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6 Monetary base" sheetId="1" r:id="rId1"/>
  </sheets>
  <definedNames>
    <definedName name="_xlnm.Print_Area" localSheetId="0">'II_6 Monetary base'!$A$1:$U$170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6" i="1" l="1"/>
  <c r="S166" i="1"/>
  <c r="R166" i="1"/>
  <c r="I166" i="1"/>
  <c r="R165" i="1"/>
  <c r="L165" i="1"/>
  <c r="K165" i="1"/>
  <c r="J165" i="1"/>
  <c r="S165" i="1" s="1"/>
  <c r="H165" i="1"/>
  <c r="I165" i="1" s="1"/>
  <c r="U165" i="1" s="1"/>
  <c r="S164" i="1"/>
  <c r="U151" i="1"/>
  <c r="R151" i="1"/>
  <c r="L151" i="1"/>
  <c r="K151" i="1"/>
  <c r="S151" i="1" s="1"/>
  <c r="J151" i="1"/>
  <c r="I151" i="1"/>
  <c r="U150" i="1"/>
  <c r="R150" i="1"/>
  <c r="L150" i="1"/>
  <c r="K150" i="1"/>
  <c r="J150" i="1"/>
  <c r="S150" i="1" s="1"/>
  <c r="I150" i="1"/>
  <c r="R149" i="1"/>
  <c r="L149" i="1"/>
  <c r="K149" i="1"/>
  <c r="J149" i="1"/>
  <c r="S149" i="1" s="1"/>
  <c r="I149" i="1"/>
  <c r="U149" i="1" s="1"/>
  <c r="R148" i="1"/>
  <c r="L148" i="1"/>
  <c r="K148" i="1"/>
  <c r="J148" i="1"/>
  <c r="S148" i="1" s="1"/>
  <c r="I148" i="1"/>
  <c r="U148" i="1" s="1"/>
  <c r="U147" i="1"/>
  <c r="R147" i="1"/>
  <c r="L147" i="1"/>
  <c r="K147" i="1"/>
  <c r="J147" i="1"/>
  <c r="S147" i="1" s="1"/>
  <c r="I147" i="1"/>
  <c r="S146" i="1"/>
  <c r="R146" i="1"/>
  <c r="L146" i="1"/>
  <c r="K146" i="1"/>
  <c r="J146" i="1"/>
  <c r="I146" i="1"/>
  <c r="U146" i="1" s="1"/>
  <c r="R144" i="1"/>
  <c r="S144" i="1" s="1"/>
  <c r="L144" i="1"/>
  <c r="K144" i="1"/>
  <c r="J144" i="1"/>
  <c r="I144" i="1"/>
  <c r="U144" i="1" s="1"/>
  <c r="U143" i="1"/>
  <c r="R143" i="1"/>
  <c r="L143" i="1"/>
  <c r="K143" i="1"/>
  <c r="S143" i="1" s="1"/>
  <c r="J143" i="1"/>
  <c r="I143" i="1"/>
  <c r="U142" i="1"/>
  <c r="R142" i="1"/>
  <c r="L142" i="1"/>
  <c r="K142" i="1"/>
  <c r="S142" i="1" s="1"/>
  <c r="J142" i="1"/>
  <c r="I142" i="1"/>
  <c r="R141" i="1"/>
  <c r="L141" i="1"/>
  <c r="K141" i="1"/>
  <c r="J141" i="1"/>
  <c r="S141" i="1" s="1"/>
  <c r="I141" i="1"/>
  <c r="U141" i="1" s="1"/>
  <c r="R140" i="1"/>
  <c r="L140" i="1"/>
  <c r="K140" i="1"/>
  <c r="J140" i="1"/>
  <c r="S140" i="1" s="1"/>
  <c r="I140" i="1"/>
  <c r="U140" i="1" s="1"/>
  <c r="R139" i="1"/>
  <c r="L139" i="1"/>
  <c r="K139" i="1"/>
  <c r="J139" i="1"/>
  <c r="S139" i="1" s="1"/>
  <c r="I139" i="1"/>
  <c r="U139" i="1" s="1"/>
  <c r="U138" i="1"/>
  <c r="R138" i="1"/>
  <c r="L138" i="1"/>
  <c r="K138" i="1"/>
  <c r="J138" i="1"/>
  <c r="S138" i="1" s="1"/>
  <c r="I138" i="1"/>
  <c r="S137" i="1"/>
  <c r="R137" i="1"/>
  <c r="L137" i="1"/>
  <c r="K137" i="1"/>
  <c r="J137" i="1"/>
  <c r="I137" i="1"/>
  <c r="U137" i="1" s="1"/>
  <c r="R136" i="1"/>
  <c r="S136" i="1" s="1"/>
  <c r="L136" i="1"/>
  <c r="K136" i="1"/>
  <c r="J136" i="1"/>
  <c r="I136" i="1"/>
  <c r="U136" i="1" s="1"/>
  <c r="U135" i="1"/>
  <c r="R135" i="1"/>
  <c r="L135" i="1"/>
  <c r="K135" i="1"/>
  <c r="S135" i="1" s="1"/>
  <c r="J135" i="1"/>
  <c r="I135" i="1"/>
  <c r="U134" i="1"/>
  <c r="R134" i="1"/>
  <c r="L134" i="1"/>
  <c r="K134" i="1"/>
  <c r="S134" i="1" s="1"/>
  <c r="J134" i="1"/>
  <c r="I134" i="1"/>
  <c r="R133" i="1"/>
  <c r="L133" i="1"/>
  <c r="K133" i="1"/>
  <c r="J133" i="1"/>
  <c r="S133" i="1" s="1"/>
  <c r="I133" i="1"/>
  <c r="U133" i="1" s="1"/>
  <c r="R131" i="1"/>
  <c r="L131" i="1"/>
  <c r="K131" i="1"/>
  <c r="J131" i="1"/>
  <c r="S131" i="1" s="1"/>
  <c r="I131" i="1"/>
  <c r="U131" i="1" s="1"/>
  <c r="R130" i="1"/>
  <c r="L130" i="1"/>
  <c r="K130" i="1"/>
  <c r="J130" i="1"/>
  <c r="S130" i="1" s="1"/>
  <c r="I130" i="1"/>
  <c r="U130" i="1" s="1"/>
  <c r="U129" i="1"/>
  <c r="R129" i="1"/>
  <c r="L129" i="1"/>
  <c r="K129" i="1"/>
  <c r="J129" i="1"/>
  <c r="S129" i="1" s="1"/>
  <c r="I129" i="1"/>
  <c r="S128" i="1"/>
  <c r="R128" i="1"/>
  <c r="L128" i="1"/>
  <c r="K128" i="1"/>
  <c r="J128" i="1"/>
  <c r="I128" i="1"/>
  <c r="U128" i="1" s="1"/>
  <c r="R127" i="1"/>
  <c r="S127" i="1" s="1"/>
  <c r="K127" i="1"/>
  <c r="J127" i="1"/>
  <c r="I127" i="1"/>
  <c r="U127" i="1" s="1"/>
  <c r="R126" i="1"/>
  <c r="K126" i="1"/>
  <c r="J126" i="1"/>
  <c r="S126" i="1" s="1"/>
  <c r="I126" i="1"/>
  <c r="U126" i="1" s="1"/>
  <c r="R125" i="1"/>
  <c r="K125" i="1"/>
  <c r="S125" i="1" s="1"/>
  <c r="J125" i="1"/>
  <c r="I125" i="1"/>
  <c r="U125" i="1" s="1"/>
  <c r="U124" i="1"/>
  <c r="S124" i="1"/>
  <c r="R124" i="1"/>
  <c r="K124" i="1"/>
  <c r="J124" i="1"/>
  <c r="I124" i="1"/>
  <c r="R123" i="1"/>
  <c r="S123" i="1" s="1"/>
  <c r="K123" i="1"/>
  <c r="J123" i="1"/>
  <c r="I123" i="1"/>
  <c r="U123" i="1" s="1"/>
  <c r="R122" i="1"/>
  <c r="K122" i="1"/>
  <c r="J122" i="1"/>
  <c r="S122" i="1" s="1"/>
  <c r="I122" i="1"/>
  <c r="U122" i="1" s="1"/>
  <c r="R121" i="1"/>
  <c r="K121" i="1"/>
  <c r="J121" i="1"/>
  <c r="S121" i="1" s="1"/>
  <c r="I121" i="1"/>
  <c r="U121" i="1" s="1"/>
  <c r="U120" i="1"/>
  <c r="S120" i="1"/>
  <c r="I120" i="1"/>
  <c r="S118" i="1"/>
  <c r="I118" i="1"/>
  <c r="U118" i="1" s="1"/>
  <c r="S117" i="1"/>
  <c r="I117" i="1"/>
  <c r="U117" i="1" s="1"/>
  <c r="U116" i="1"/>
  <c r="S116" i="1"/>
  <c r="I116" i="1"/>
  <c r="S115" i="1"/>
  <c r="I115" i="1"/>
  <c r="U115" i="1" s="1"/>
  <c r="U114" i="1"/>
  <c r="S114" i="1"/>
  <c r="I114" i="1"/>
  <c r="S113" i="1"/>
  <c r="I113" i="1"/>
  <c r="U113" i="1" s="1"/>
  <c r="U112" i="1"/>
  <c r="S112" i="1"/>
  <c r="I112" i="1"/>
  <c r="U111" i="1"/>
  <c r="S111" i="1"/>
  <c r="I111" i="1"/>
  <c r="S110" i="1"/>
  <c r="I110" i="1"/>
  <c r="U110" i="1" s="1"/>
  <c r="S109" i="1"/>
  <c r="I109" i="1"/>
  <c r="U109" i="1" s="1"/>
  <c r="U108" i="1"/>
  <c r="S108" i="1"/>
  <c r="I108" i="1"/>
  <c r="S107" i="1"/>
  <c r="I107" i="1"/>
  <c r="U107" i="1" s="1"/>
  <c r="U105" i="1"/>
  <c r="S105" i="1"/>
  <c r="I105" i="1"/>
  <c r="S104" i="1"/>
  <c r="I104" i="1"/>
  <c r="U104" i="1" s="1"/>
  <c r="U103" i="1"/>
  <c r="S103" i="1"/>
  <c r="I103" i="1"/>
  <c r="U102" i="1"/>
  <c r="S102" i="1"/>
  <c r="I102" i="1"/>
  <c r="S101" i="1"/>
  <c r="I101" i="1"/>
  <c r="U101" i="1" s="1"/>
  <c r="S100" i="1"/>
  <c r="I100" i="1"/>
  <c r="U100" i="1" s="1"/>
  <c r="U99" i="1"/>
  <c r="S99" i="1"/>
  <c r="I99" i="1"/>
  <c r="S98" i="1"/>
  <c r="I98" i="1"/>
  <c r="U98" i="1" s="1"/>
  <c r="U97" i="1"/>
  <c r="S97" i="1"/>
  <c r="I97" i="1"/>
  <c r="S96" i="1"/>
  <c r="I96" i="1"/>
  <c r="U96" i="1" s="1"/>
  <c r="U95" i="1"/>
  <c r="S95" i="1"/>
  <c r="I95" i="1"/>
  <c r="U94" i="1"/>
  <c r="S94" i="1"/>
  <c r="I94" i="1"/>
  <c r="S92" i="1"/>
  <c r="I92" i="1"/>
  <c r="U92" i="1" s="1"/>
  <c r="S91" i="1"/>
  <c r="I91" i="1"/>
  <c r="U91" i="1" s="1"/>
  <c r="U90" i="1"/>
  <c r="S90" i="1"/>
  <c r="I90" i="1"/>
  <c r="S89" i="1"/>
  <c r="I89" i="1"/>
  <c r="U89" i="1" s="1"/>
  <c r="U88" i="1"/>
  <c r="S88" i="1"/>
  <c r="I88" i="1"/>
  <c r="S87" i="1"/>
  <c r="I87" i="1"/>
  <c r="U87" i="1" s="1"/>
  <c r="U86" i="1"/>
  <c r="S86" i="1"/>
  <c r="I86" i="1"/>
  <c r="U85" i="1"/>
  <c r="S85" i="1"/>
  <c r="I85" i="1"/>
  <c r="S84" i="1"/>
  <c r="I84" i="1"/>
  <c r="U84" i="1" s="1"/>
  <c r="S83" i="1"/>
  <c r="I83" i="1"/>
  <c r="U83" i="1" s="1"/>
  <c r="U82" i="1"/>
  <c r="S82" i="1"/>
  <c r="I82" i="1"/>
  <c r="S81" i="1"/>
  <c r="I81" i="1"/>
  <c r="U81" i="1" s="1"/>
  <c r="U79" i="1"/>
  <c r="S79" i="1"/>
  <c r="I79" i="1"/>
  <c r="S78" i="1"/>
  <c r="I78" i="1"/>
  <c r="U78" i="1" s="1"/>
  <c r="U77" i="1"/>
  <c r="S77" i="1"/>
  <c r="I77" i="1"/>
  <c r="U76" i="1"/>
  <c r="S76" i="1"/>
  <c r="I76" i="1"/>
  <c r="S75" i="1"/>
  <c r="I75" i="1"/>
  <c r="U75" i="1" s="1"/>
  <c r="S74" i="1"/>
  <c r="I74" i="1"/>
  <c r="U74" i="1" s="1"/>
  <c r="U73" i="1"/>
  <c r="S73" i="1"/>
  <c r="I73" i="1"/>
  <c r="S72" i="1"/>
  <c r="I72" i="1"/>
  <c r="U72" i="1" s="1"/>
  <c r="U71" i="1"/>
  <c r="S71" i="1"/>
  <c r="I71" i="1"/>
  <c r="S70" i="1"/>
  <c r="I70" i="1"/>
  <c r="U70" i="1" s="1"/>
  <c r="U69" i="1"/>
  <c r="S69" i="1"/>
  <c r="I69" i="1"/>
  <c r="U68" i="1"/>
  <c r="S68" i="1"/>
  <c r="I68" i="1"/>
  <c r="S66" i="1"/>
  <c r="I66" i="1"/>
  <c r="U66" i="1" s="1"/>
  <c r="S65" i="1"/>
  <c r="I65" i="1"/>
  <c r="U65" i="1" s="1"/>
  <c r="U64" i="1"/>
  <c r="S64" i="1"/>
  <c r="I64" i="1"/>
  <c r="S63" i="1"/>
  <c r="I63" i="1"/>
  <c r="U63" i="1" s="1"/>
  <c r="U62" i="1"/>
  <c r="S62" i="1"/>
  <c r="I62" i="1"/>
  <c r="S61" i="1"/>
  <c r="I61" i="1"/>
  <c r="U61" i="1" s="1"/>
  <c r="U60" i="1"/>
  <c r="S60" i="1"/>
  <c r="I60" i="1"/>
  <c r="U59" i="1"/>
  <c r="S59" i="1"/>
  <c r="I59" i="1"/>
  <c r="S58" i="1"/>
  <c r="I58" i="1"/>
  <c r="U58" i="1" s="1"/>
  <c r="S57" i="1"/>
  <c r="I57" i="1"/>
  <c r="U57" i="1" s="1"/>
  <c r="U56" i="1"/>
  <c r="S56" i="1"/>
  <c r="I56" i="1"/>
  <c r="S55" i="1"/>
  <c r="I55" i="1"/>
  <c r="U55" i="1" s="1"/>
  <c r="U53" i="1"/>
  <c r="S53" i="1"/>
  <c r="I53" i="1"/>
  <c r="U52" i="1"/>
  <c r="S52" i="1"/>
  <c r="I52" i="1"/>
  <c r="U51" i="1"/>
  <c r="S51" i="1"/>
  <c r="I51" i="1"/>
  <c r="U50" i="1"/>
  <c r="S50" i="1"/>
  <c r="I50" i="1"/>
  <c r="S49" i="1"/>
  <c r="I49" i="1"/>
  <c r="U49" i="1" s="1"/>
  <c r="S48" i="1"/>
  <c r="I48" i="1"/>
  <c r="U48" i="1" s="1"/>
  <c r="U47" i="1"/>
  <c r="S47" i="1"/>
  <c r="I47" i="1"/>
  <c r="S46" i="1"/>
  <c r="I46" i="1"/>
  <c r="U46" i="1" s="1"/>
  <c r="U45" i="1"/>
  <c r="S45" i="1"/>
  <c r="I45" i="1"/>
  <c r="S44" i="1"/>
  <c r="I44" i="1"/>
  <c r="U44" i="1" s="1"/>
  <c r="U43" i="1"/>
  <c r="S43" i="1"/>
  <c r="I43" i="1"/>
  <c r="U42" i="1"/>
  <c r="S42" i="1"/>
  <c r="I42" i="1"/>
  <c r="S40" i="1"/>
  <c r="S35" i="1"/>
  <c r="I35" i="1"/>
  <c r="S34" i="1"/>
  <c r="I34" i="1"/>
  <c r="S32" i="1"/>
  <c r="I32" i="1"/>
  <c r="S31" i="1"/>
  <c r="I31" i="1"/>
  <c r="S30" i="1"/>
  <c r="I30" i="1"/>
  <c r="S29" i="1"/>
  <c r="I29" i="1"/>
  <c r="S27" i="1"/>
  <c r="I27" i="1"/>
  <c r="S26" i="1"/>
  <c r="I26" i="1"/>
  <c r="S25" i="1"/>
  <c r="I25" i="1"/>
  <c r="S24" i="1"/>
  <c r="I24" i="1"/>
  <c r="S21" i="1"/>
  <c r="I21" i="1"/>
  <c r="S20" i="1"/>
  <c r="I20" i="1"/>
  <c r="S19" i="1"/>
  <c r="I19" i="1"/>
  <c r="U19" i="1" s="1"/>
  <c r="U18" i="1"/>
  <c r="S18" i="1"/>
  <c r="I18" i="1"/>
  <c r="S17" i="1"/>
  <c r="I17" i="1"/>
  <c r="U17" i="1" s="1"/>
  <c r="U16" i="1"/>
  <c r="S16" i="1"/>
  <c r="I16" i="1"/>
  <c r="U15" i="1"/>
  <c r="S15" i="1"/>
  <c r="I15" i="1"/>
  <c r="S14" i="1"/>
  <c r="I14" i="1"/>
  <c r="U14" i="1" s="1"/>
</calcChain>
</file>

<file path=xl/sharedStrings.xml><?xml version="1.0" encoding="utf-8"?>
<sst xmlns="http://schemas.openxmlformats.org/spreadsheetml/2006/main" count="525" uniqueCount="100">
  <si>
    <t xml:space="preserve"> </t>
  </si>
  <si>
    <t>EVOLUTION OF MONETARY BASE, BROAD MONEY AND THE MONEY MULTIPLIER</t>
  </si>
  <si>
    <t>II.6</t>
  </si>
  <si>
    <t xml:space="preserve">              Description</t>
  </si>
  <si>
    <t>MONETARY BASE</t>
  </si>
  <si>
    <t>COUNTERPARTS OF MONETARY BASE</t>
  </si>
  <si>
    <t>BROAD</t>
  </si>
  <si>
    <t>MONEY</t>
  </si>
  <si>
    <t>MULTIPLIER</t>
  </si>
  <si>
    <t>(M3)</t>
  </si>
  <si>
    <t xml:space="preserve">  Currency in</t>
  </si>
  <si>
    <t xml:space="preserve">    Bank</t>
  </si>
  <si>
    <t>Microfinances</t>
  </si>
  <si>
    <t>Other</t>
  </si>
  <si>
    <t>Public</t>
  </si>
  <si>
    <t>Local</t>
  </si>
  <si>
    <t xml:space="preserve">  Other </t>
  </si>
  <si>
    <t>TOTAL</t>
  </si>
  <si>
    <t xml:space="preserve">Net foreign </t>
  </si>
  <si>
    <t xml:space="preserve">Net claims  </t>
  </si>
  <si>
    <t>Claims on</t>
  </si>
  <si>
    <t>Créances sur</t>
  </si>
  <si>
    <t>Withdrawal</t>
  </si>
  <si>
    <t>Other items net</t>
  </si>
  <si>
    <t xml:space="preserve">  circulation</t>
  </si>
  <si>
    <t xml:space="preserve">   deposits</t>
  </si>
  <si>
    <t>deposits</t>
  </si>
  <si>
    <t xml:space="preserve"> Financial  </t>
  </si>
  <si>
    <t xml:space="preserve"> nonfinancial</t>
  </si>
  <si>
    <t>government</t>
  </si>
  <si>
    <t xml:space="preserve">  Deposits</t>
  </si>
  <si>
    <t>assets</t>
  </si>
  <si>
    <t xml:space="preserve">on  </t>
  </si>
  <si>
    <t xml:space="preserve">commercial </t>
  </si>
  <si>
    <t>other</t>
  </si>
  <si>
    <t xml:space="preserve"> public </t>
  </si>
  <si>
    <t>les administrations</t>
  </si>
  <si>
    <t xml:space="preserve"> private sector</t>
  </si>
  <si>
    <t xml:space="preserve">   liquidity</t>
  </si>
  <si>
    <t xml:space="preserve">  (out of BRB)</t>
  </si>
  <si>
    <t>intermediaries</t>
  </si>
  <si>
    <t>corporation</t>
  </si>
  <si>
    <t>Government</t>
  </si>
  <si>
    <t>banks</t>
  </si>
  <si>
    <t xml:space="preserve"> financial</t>
  </si>
  <si>
    <t>locales</t>
  </si>
  <si>
    <t>Period</t>
  </si>
  <si>
    <t>corporations</t>
  </si>
  <si>
    <t>2008</t>
  </si>
  <si>
    <t>-</t>
  </si>
  <si>
    <t>2009</t>
  </si>
  <si>
    <t xml:space="preserve">2010 </t>
  </si>
  <si>
    <r>
      <t xml:space="preserve">2011      </t>
    </r>
    <r>
      <rPr>
        <vertAlign val="superscript"/>
        <sz val="10"/>
        <rFont val="Helv"/>
      </rPr>
      <t xml:space="preserve"> </t>
    </r>
  </si>
  <si>
    <t>2012</t>
  </si>
  <si>
    <t>2013</t>
  </si>
  <si>
    <t>2014</t>
  </si>
  <si>
    <t>2015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</si>
  <si>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</si>
  <si>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</si>
  <si>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</si>
  <si>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</si>
  <si>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</si>
  <si>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</si>
  <si>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</si>
  <si>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</si>
  <si>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</si>
  <si>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</si>
  <si>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t xml:space="preserve">  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</si>
  <si>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</si>
  <si>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</si>
  <si>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</si>
  <si>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</si>
  <si>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</si>
  <si>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</si>
  <si>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</si>
  <si>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</si>
  <si>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</si>
  <si>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</si>
  <si>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</si>
  <si>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</si>
  <si>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</si>
  <si>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</si>
  <si>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</si>
  <si>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</si>
  <si>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</si>
  <si>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</si>
  <si>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</si>
  <si>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</si>
  <si>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</si>
  <si>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2016 January</t>
  </si>
  <si>
    <t xml:space="preserve">          February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</si>
  <si>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</si>
  <si>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</si>
  <si>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</si>
  <si>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</si>
  <si>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r>
      <t xml:space="preserve">            May</t>
    </r>
    <r>
      <rPr>
        <vertAlign val="superscript"/>
        <sz val="12"/>
        <rFont val="Helv"/>
      </rPr>
      <t>(p)</t>
    </r>
  </si>
  <si>
    <r>
      <t xml:space="preserve">           July</t>
    </r>
    <r>
      <rPr>
        <vertAlign val="superscript"/>
        <sz val="12"/>
        <rFont val="Helv"/>
      </rPr>
      <t>(p)</t>
    </r>
  </si>
  <si>
    <r>
      <t xml:space="preserve">           August</t>
    </r>
    <r>
      <rPr>
        <vertAlign val="superscript"/>
        <sz val="10"/>
        <rFont val="Helv"/>
      </rPr>
      <t>(p)</t>
    </r>
  </si>
  <si>
    <t>(p): Provisoire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</si>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</sst>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"/>
    <numFmt numFmtId="166" formatCode="#,##0.0"/>
    <numFmt numFmtId="167" formatCode="0.0_ ;\-0.0\ "/>
    <numFmt numFmtId="168" formatCode="0.0_)"/>
    <numFmt numFmtId="169" formatCode="0_)"/>
  </numFmts>
  <fonts count="9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sz val="10"/>
      <color rgb="FFFF0000"/>
      <name val="Helv"/>
    </font>
    <font>
      <vertAlign val="superscript"/>
      <sz val="10"/>
      <name val="Helv"/>
    </font>
    <font>
      <sz val="11"/>
      <name val="Helv"/>
    </font>
    <font>
      <vertAlign val="superscript"/>
      <sz val="11"/>
      <name val="Helv"/>
    </font>
    <font>
      <vertAlign val="superscript"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17">
    <xf numFmtId="164" fontId="0" fillId="0" borderId="0" xfId="0"/>
    <xf numFmtId="164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/>
    <xf numFmtId="164" fontId="1" fillId="0" borderId="2" xfId="0" applyNumberFormat="1" applyFont="1" applyFill="1" applyBorder="1" applyAlignment="1" applyProtection="1"/>
    <xf numFmtId="165" fontId="1" fillId="0" borderId="2" xfId="0" applyNumberFormat="1" applyFont="1" applyFill="1" applyBorder="1" applyAlignment="1" applyProtection="1"/>
    <xf numFmtId="164" fontId="1" fillId="2" borderId="2" xfId="0" applyNumberFormat="1" applyFont="1" applyFill="1" applyBorder="1" applyAlignment="1" applyProtection="1"/>
    <xf numFmtId="166" fontId="1" fillId="0" borderId="2" xfId="0" applyNumberFormat="1" applyFont="1" applyFill="1" applyBorder="1" applyAlignment="1" applyProtection="1"/>
    <xf numFmtId="164" fontId="1" fillId="0" borderId="3" xfId="0" applyFont="1" applyFill="1" applyBorder="1"/>
    <xf numFmtId="164" fontId="1" fillId="0" borderId="0" xfId="0" applyFont="1" applyFill="1"/>
    <xf numFmtId="164" fontId="1" fillId="0" borderId="4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2" borderId="7" xfId="0" applyNumberFormat="1" applyFont="1" applyFill="1" applyBorder="1" applyAlignment="1" applyProtection="1">
      <alignment horizontal="fill"/>
    </xf>
    <xf numFmtId="166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9" xfId="0" applyFont="1" applyFill="1" applyBorder="1"/>
    <xf numFmtId="164" fontId="1" fillId="0" borderId="2" xfId="0" applyFont="1" applyFill="1" applyBorder="1"/>
    <xf numFmtId="164" fontId="1" fillId="0" borderId="3" xfId="0" applyFont="1" applyFill="1" applyBorder="1" applyAlignment="1"/>
    <xf numFmtId="165" fontId="1" fillId="0" borderId="1" xfId="0" applyNumberFormat="1" applyFont="1" applyFill="1" applyBorder="1" applyAlignment="1" applyProtection="1"/>
    <xf numFmtId="164" fontId="1" fillId="0" borderId="3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164" fontId="1" fillId="0" borderId="9" xfId="0" applyFont="1" applyFill="1" applyBorder="1" applyAlignment="1"/>
    <xf numFmtId="164" fontId="2" fillId="0" borderId="10" xfId="0" applyNumberFormat="1" applyFont="1" applyFill="1" applyBorder="1" applyProtection="1"/>
    <xf numFmtId="164" fontId="2" fillId="0" borderId="5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8" xfId="0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/>
    <xf numFmtId="164" fontId="1" fillId="2" borderId="7" xfId="0" applyNumberFormat="1" applyFont="1" applyFill="1" applyBorder="1" applyAlignment="1" applyProtection="1"/>
    <xf numFmtId="166" fontId="1" fillId="0" borderId="7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>
      <alignment horizontal="left"/>
    </xf>
    <xf numFmtId="164" fontId="1" fillId="0" borderId="4" xfId="0" applyNumberFormat="1" applyFont="1" applyFill="1" applyBorder="1" applyAlignment="1" applyProtection="1"/>
    <xf numFmtId="164" fontId="1" fillId="2" borderId="3" xfId="0" applyNumberFormat="1" applyFont="1" applyFill="1" applyBorder="1" applyAlignment="1" applyProtection="1"/>
    <xf numFmtId="166" fontId="1" fillId="0" borderId="9" xfId="0" applyNumberFormat="1" applyFont="1" applyFill="1" applyBorder="1" applyAlignment="1" applyProtection="1"/>
    <xf numFmtId="164" fontId="1" fillId="0" borderId="10" xfId="0" applyNumberFormat="1" applyFont="1" applyFill="1" applyBorder="1" applyAlignment="1" applyProtection="1"/>
    <xf numFmtId="164" fontId="2" fillId="0" borderId="10" xfId="0" applyFont="1" applyFill="1" applyBorder="1"/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6" fontId="1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/>
    <xf numFmtId="164" fontId="3" fillId="0" borderId="10" xfId="0" applyNumberFormat="1" applyFont="1" applyFill="1" applyBorder="1" applyAlignment="1" applyProtection="1"/>
    <xf numFmtId="164" fontId="1" fillId="0" borderId="1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/>
    <xf numFmtId="164" fontId="4" fillId="0" borderId="10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/>
    <xf numFmtId="166" fontId="1" fillId="0" borderId="10" xfId="0" applyNumberFormat="1" applyFont="1" applyFill="1" applyBorder="1" applyAlignment="1" applyProtection="1"/>
    <xf numFmtId="164" fontId="1" fillId="0" borderId="11" xfId="0" applyNumberFormat="1" applyFont="1" applyFill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4" fontId="1" fillId="2" borderId="8" xfId="0" applyNumberFormat="1" applyFont="1" applyFill="1" applyBorder="1" applyAlignment="1" applyProtection="1">
      <alignment horizontal="fill"/>
    </xf>
    <xf numFmtId="166" fontId="1" fillId="0" borderId="11" xfId="0" applyNumberFormat="1" applyFont="1" applyFill="1" applyBorder="1" applyAlignment="1" applyProtection="1">
      <alignment horizontal="fill"/>
    </xf>
    <xf numFmtId="164" fontId="1" fillId="0" borderId="1" xfId="0" applyNumberFormat="1" applyFont="1" applyFill="1" applyBorder="1" applyProtection="1"/>
    <xf numFmtId="165" fontId="1" fillId="0" borderId="9" xfId="0" applyNumberFormat="1" applyFont="1" applyFill="1" applyBorder="1" applyAlignment="1" applyProtection="1"/>
    <xf numFmtId="164" fontId="1" fillId="0" borderId="4" xfId="0" quotePrefix="1" applyFont="1" applyFill="1" applyBorder="1" applyAlignment="1">
      <alignment horizontal="left"/>
    </xf>
    <xf numFmtId="164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Border="1" applyAlignment="1"/>
    <xf numFmtId="167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Fill="1" applyBorder="1" applyAlignment="1" applyProtection="1">
      <alignment horizontal="right"/>
    </xf>
    <xf numFmtId="164" fontId="1" fillId="0" borderId="0" xfId="0" applyFont="1" applyFill="1" applyBorder="1"/>
    <xf numFmtId="166" fontId="1" fillId="0" borderId="10" xfId="0" applyNumberFormat="1" applyFont="1" applyBorder="1" applyAlignment="1" applyProtection="1"/>
    <xf numFmtId="168" fontId="1" fillId="0" borderId="4" xfId="0" quotePrefix="1" applyNumberFormat="1" applyFont="1" applyBorder="1" applyAlignment="1" applyProtection="1">
      <alignment horizontal="left"/>
    </xf>
    <xf numFmtId="164" fontId="1" fillId="0" borderId="10" xfId="0" quotePrefix="1" applyNumberFormat="1" applyFont="1" applyFill="1" applyBorder="1" applyAlignment="1" applyProtection="1">
      <alignment horizontal="right"/>
    </xf>
    <xf numFmtId="169" fontId="1" fillId="0" borderId="4" xfId="0" applyNumberFormat="1" applyFont="1" applyBorder="1" applyAlignment="1" applyProtection="1">
      <alignment horizontal="left"/>
    </xf>
    <xf numFmtId="164" fontId="1" fillId="0" borderId="4" xfId="0" applyFont="1" applyFill="1" applyBorder="1" applyAlignment="1">
      <alignment horizontal="left"/>
    </xf>
    <xf numFmtId="164" fontId="1" fillId="0" borderId="4" xfId="0" applyNumberFormat="1" applyFont="1" applyBorder="1" applyAlignment="1" applyProtection="1">
      <alignment horizontal="left"/>
    </xf>
    <xf numFmtId="168" fontId="6" fillId="0" borderId="4" xfId="0" applyNumberFormat="1" applyFont="1" applyFill="1" applyBorder="1" applyAlignment="1" applyProtection="1">
      <alignment horizontal="left"/>
    </xf>
    <xf numFmtId="166" fontId="1" fillId="0" borderId="10" xfId="0" quotePrefix="1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right"/>
    </xf>
    <xf numFmtId="166" fontId="1" fillId="2" borderId="10" xfId="0" applyNumberFormat="1" applyFont="1" applyFill="1" applyBorder="1" applyAlignment="1" applyProtection="1"/>
    <xf numFmtId="167" fontId="1" fillId="2" borderId="10" xfId="0" applyNumberFormat="1" applyFont="1" applyFill="1" applyBorder="1" applyAlignment="1" applyProtection="1">
      <alignment horizontal="right"/>
    </xf>
    <xf numFmtId="166" fontId="1" fillId="2" borderId="10" xfId="0" applyNumberFormat="1" applyFont="1" applyFill="1" applyBorder="1" applyAlignment="1" applyProtection="1">
      <alignment horizontal="right"/>
    </xf>
    <xf numFmtId="164" fontId="1" fillId="2" borderId="0" xfId="0" applyFont="1" applyFill="1" applyBorder="1"/>
    <xf numFmtId="168" fontId="1" fillId="0" borderId="4" xfId="0" applyNumberFormat="1" applyFont="1" applyFill="1" applyBorder="1" applyAlignment="1" applyProtection="1">
      <alignment horizontal="left"/>
    </xf>
    <xf numFmtId="164" fontId="1" fillId="0" borderId="10" xfId="0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1" xfId="0" applyNumberFormat="1" applyFont="1" applyFill="1" applyBorder="1" applyAlignment="1" applyProtection="1">
      <alignment horizontal="right"/>
    </xf>
    <xf numFmtId="166" fontId="1" fillId="0" borderId="11" xfId="0" applyNumberFormat="1" applyFont="1" applyBorder="1" applyAlignment="1" applyProtection="1"/>
    <xf numFmtId="166" fontId="1" fillId="0" borderId="11" xfId="0" applyNumberFormat="1" applyFont="1" applyFill="1" applyBorder="1" applyAlignment="1" applyProtection="1">
      <alignment horizontal="right"/>
    </xf>
    <xf numFmtId="164" fontId="2" fillId="0" borderId="1" xfId="0" applyFont="1" applyFill="1" applyBorder="1"/>
    <xf numFmtId="164" fontId="1" fillId="0" borderId="2" xfId="0" applyFont="1" applyFill="1" applyBorder="1" applyAlignment="1"/>
    <xf numFmtId="165" fontId="1" fillId="0" borderId="2" xfId="0" applyNumberFormat="1" applyFont="1" applyFill="1" applyBorder="1" applyAlignment="1"/>
    <xf numFmtId="164" fontId="1" fillId="2" borderId="2" xfId="0" applyFont="1" applyFill="1" applyBorder="1" applyAlignment="1"/>
    <xf numFmtId="166" fontId="1" fillId="0" borderId="2" xfId="0" applyNumberFormat="1" applyFont="1" applyFill="1" applyBorder="1" applyAlignment="1"/>
    <xf numFmtId="164" fontId="2" fillId="0" borderId="6" xfId="0" applyFont="1" applyFill="1" applyBorder="1"/>
    <xf numFmtId="164" fontId="1" fillId="0" borderId="7" xfId="0" applyFont="1" applyFill="1" applyBorder="1" applyAlignment="1">
      <alignment horizontal="centerContinuous"/>
    </xf>
    <xf numFmtId="165" fontId="1" fillId="0" borderId="7" xfId="0" applyNumberFormat="1" applyFont="1" applyFill="1" applyBorder="1" applyAlignment="1">
      <alignment horizontal="centerContinuous"/>
    </xf>
    <xf numFmtId="164" fontId="1" fillId="2" borderId="7" xfId="0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/>
    <xf numFmtId="164" fontId="1" fillId="2" borderId="0" xfId="0" applyFont="1" applyFill="1" applyBorder="1" applyAlignment="1"/>
    <xf numFmtId="166" fontId="1" fillId="0" borderId="0" xfId="0" applyNumberFormat="1" applyFont="1" applyFill="1" applyBorder="1" applyAlignment="1"/>
    <xf numFmtId="164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Font="1" applyFill="1" applyAlignment="1"/>
    <xf numFmtId="165" fontId="1" fillId="0" borderId="0" xfId="0" applyNumberFormat="1" applyFont="1" applyFill="1" applyAlignment="1"/>
    <xf numFmtId="164" fontId="1" fillId="2" borderId="0" xfId="0" applyFont="1" applyFill="1" applyAlignment="1"/>
    <xf numFmtId="166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85775"/>
          <a:ext cx="14097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485775"/>
          <a:ext cx="14097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showGridLines="0" tabSelected="1" view="pageBreakPreview" topLeftCell="N41" zoomScale="60" zoomScaleNormal="100" workbookViewId="0">
      <selection activeCell="W171" sqref="W171"/>
    </sheetView>
  </sheetViews>
  <sheetFormatPr defaultColWidth="13.88671875" defaultRowHeight="12.75" x14ac:dyDescent="0.2"/>
  <cols>
    <col min="1" max="1" width="16.5546875" style="8" customWidth="1"/>
    <col min="2" max="2" width="10.88671875" style="113" bestFit="1" customWidth="1"/>
    <col min="3" max="3" width="10.109375" style="113" bestFit="1" customWidth="1"/>
    <col min="4" max="4" width="10.6640625" style="113" bestFit="1" customWidth="1"/>
    <col min="5" max="5" width="10.44140625" style="113" bestFit="1" customWidth="1"/>
    <col min="6" max="6" width="9.33203125" style="113" bestFit="1" customWidth="1"/>
    <col min="7" max="7" width="9" style="113" bestFit="1" customWidth="1"/>
    <col min="8" max="8" width="8.109375" style="113" bestFit="1" customWidth="1"/>
    <col min="9" max="9" width="10.44140625" style="113" bestFit="1" customWidth="1"/>
    <col min="10" max="10" width="10.44140625" style="114" bestFit="1" customWidth="1"/>
    <col min="11" max="11" width="10.44140625" style="113" bestFit="1" customWidth="1"/>
    <col min="12" max="12" width="10.109375" style="113" bestFit="1" customWidth="1"/>
    <col min="13" max="13" width="10.44140625" style="113" bestFit="1" customWidth="1"/>
    <col min="14" max="14" width="9.88671875" style="113" bestFit="1" customWidth="1"/>
    <col min="15" max="15" width="13.6640625" style="115" hidden="1" customWidth="1"/>
    <col min="16" max="16" width="10.88671875" style="113" bestFit="1" customWidth="1"/>
    <col min="17" max="17" width="8.77734375" style="116" bestFit="1" customWidth="1"/>
    <col min="18" max="18" width="11.21875" style="113" bestFit="1" customWidth="1"/>
    <col min="19" max="19" width="10.44140625" style="113" bestFit="1" customWidth="1"/>
    <col min="20" max="20" width="12" style="113" bestFit="1" customWidth="1"/>
    <col min="21" max="21" width="12.109375" style="113" bestFit="1" customWidth="1"/>
    <col min="22" max="16384" width="13.88671875" style="8"/>
  </cols>
  <sheetData>
    <row r="1" spans="1:2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  <c r="P1" s="3"/>
      <c r="Q1" s="6"/>
      <c r="R1" s="3"/>
      <c r="S1" s="3"/>
      <c r="T1" s="3"/>
      <c r="U1" s="7"/>
    </row>
    <row r="2" spans="1:21" x14ac:dyDescent="0.2">
      <c r="A2" s="9"/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2</v>
      </c>
    </row>
    <row r="3" spans="1:21" x14ac:dyDescent="0.2">
      <c r="A3" s="13"/>
      <c r="B3" s="13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6"/>
      <c r="P3" s="14"/>
      <c r="Q3" s="17"/>
      <c r="R3" s="14"/>
      <c r="S3" s="14"/>
      <c r="T3" s="14"/>
      <c r="U3" s="18"/>
    </row>
    <row r="4" spans="1:21" x14ac:dyDescent="0.2">
      <c r="A4" s="19"/>
      <c r="B4" s="2"/>
      <c r="C4" s="3"/>
      <c r="D4" s="3"/>
      <c r="E4" s="20"/>
      <c r="F4" s="3"/>
      <c r="G4" s="3"/>
      <c r="H4" s="3"/>
      <c r="I4" s="21"/>
      <c r="J4" s="22"/>
      <c r="K4" s="3"/>
      <c r="L4" s="3"/>
      <c r="M4" s="3"/>
      <c r="N4" s="3"/>
      <c r="O4" s="5"/>
      <c r="P4" s="3"/>
      <c r="Q4" s="6"/>
      <c r="R4" s="3"/>
      <c r="S4" s="23"/>
      <c r="T4" s="24"/>
      <c r="U4" s="25"/>
    </row>
    <row r="5" spans="1:21" ht="15.75" customHeight="1" x14ac:dyDescent="0.2">
      <c r="A5" s="26" t="s">
        <v>3</v>
      </c>
      <c r="B5" s="10" t="s">
        <v>4</v>
      </c>
      <c r="C5" s="11"/>
      <c r="D5" s="11"/>
      <c r="E5" s="11"/>
      <c r="F5" s="11"/>
      <c r="G5" s="11"/>
      <c r="H5" s="11"/>
      <c r="I5" s="27"/>
      <c r="J5" s="10" t="s">
        <v>5</v>
      </c>
      <c r="K5" s="11"/>
      <c r="L5" s="11"/>
      <c r="M5" s="11"/>
      <c r="N5" s="11"/>
      <c r="O5" s="11"/>
      <c r="P5" s="11"/>
      <c r="Q5" s="11"/>
      <c r="R5" s="11"/>
      <c r="S5" s="27"/>
      <c r="T5" s="28" t="s">
        <v>6</v>
      </c>
      <c r="U5" s="28" t="s">
        <v>7</v>
      </c>
    </row>
    <row r="6" spans="1:21" x14ac:dyDescent="0.2">
      <c r="A6" s="26"/>
      <c r="B6" s="29"/>
      <c r="C6" s="30"/>
      <c r="D6" s="30"/>
      <c r="E6" s="30"/>
      <c r="F6" s="30"/>
      <c r="G6" s="30"/>
      <c r="H6" s="30"/>
      <c r="I6" s="31"/>
      <c r="J6" s="32"/>
      <c r="K6" s="30"/>
      <c r="L6" s="30"/>
      <c r="M6" s="30"/>
      <c r="N6" s="30"/>
      <c r="O6" s="33"/>
      <c r="P6" s="30"/>
      <c r="Q6" s="34"/>
      <c r="R6" s="30"/>
      <c r="S6" s="31"/>
      <c r="T6" s="28" t="s">
        <v>7</v>
      </c>
      <c r="U6" s="28" t="s">
        <v>8</v>
      </c>
    </row>
    <row r="7" spans="1:21" x14ac:dyDescent="0.2">
      <c r="A7" s="26"/>
      <c r="B7" s="35"/>
      <c r="C7" s="3"/>
      <c r="D7" s="24"/>
      <c r="E7" s="24"/>
      <c r="F7" s="2"/>
      <c r="G7" s="24"/>
      <c r="H7" s="24"/>
      <c r="I7" s="36"/>
      <c r="J7" s="22"/>
      <c r="K7" s="24"/>
      <c r="L7" s="24"/>
      <c r="M7" s="2"/>
      <c r="N7" s="24"/>
      <c r="O7" s="37"/>
      <c r="P7" s="23"/>
      <c r="Q7" s="38"/>
      <c r="R7" s="24"/>
      <c r="S7" s="24"/>
      <c r="T7" s="28" t="s">
        <v>9</v>
      </c>
      <c r="U7" s="39"/>
    </row>
    <row r="8" spans="1:21" x14ac:dyDescent="0.2">
      <c r="A8" s="40"/>
      <c r="B8" s="41" t="s">
        <v>10</v>
      </c>
      <c r="C8" s="42" t="s">
        <v>11</v>
      </c>
      <c r="D8" s="43" t="s">
        <v>12</v>
      </c>
      <c r="E8" s="43" t="s">
        <v>13</v>
      </c>
      <c r="F8" s="42" t="s">
        <v>14</v>
      </c>
      <c r="G8" s="43" t="s">
        <v>15</v>
      </c>
      <c r="H8" s="43" t="s">
        <v>16</v>
      </c>
      <c r="I8" s="44" t="s">
        <v>17</v>
      </c>
      <c r="J8" s="45" t="s">
        <v>18</v>
      </c>
      <c r="K8" s="43" t="s">
        <v>19</v>
      </c>
      <c r="L8" s="43" t="s">
        <v>20</v>
      </c>
      <c r="M8" s="46" t="s">
        <v>20</v>
      </c>
      <c r="N8" s="43" t="s">
        <v>20</v>
      </c>
      <c r="O8" s="47" t="s">
        <v>21</v>
      </c>
      <c r="P8" s="48" t="s">
        <v>20</v>
      </c>
      <c r="Q8" s="49" t="s">
        <v>22</v>
      </c>
      <c r="R8" s="43" t="s">
        <v>23</v>
      </c>
      <c r="S8" s="50" t="s">
        <v>17</v>
      </c>
      <c r="T8" s="41"/>
      <c r="U8" s="41"/>
    </row>
    <row r="9" spans="1:21" x14ac:dyDescent="0.2">
      <c r="A9" s="26"/>
      <c r="B9" s="41" t="s">
        <v>24</v>
      </c>
      <c r="C9" s="51" t="s">
        <v>25</v>
      </c>
      <c r="D9" s="43" t="s">
        <v>26</v>
      </c>
      <c r="E9" s="43" t="s">
        <v>27</v>
      </c>
      <c r="F9" s="42" t="s">
        <v>28</v>
      </c>
      <c r="G9" s="43" t="s">
        <v>29</v>
      </c>
      <c r="H9" s="43" t="s">
        <v>30</v>
      </c>
      <c r="I9" s="52"/>
      <c r="J9" s="45" t="s">
        <v>31</v>
      </c>
      <c r="K9" s="43" t="s">
        <v>32</v>
      </c>
      <c r="L9" s="43" t="s">
        <v>33</v>
      </c>
      <c r="M9" s="46" t="s">
        <v>34</v>
      </c>
      <c r="N9" s="43" t="s">
        <v>35</v>
      </c>
      <c r="O9" s="47" t="s">
        <v>36</v>
      </c>
      <c r="P9" s="48" t="s">
        <v>37</v>
      </c>
      <c r="Q9" s="49" t="s">
        <v>38</v>
      </c>
      <c r="R9" s="39"/>
      <c r="S9" s="53"/>
      <c r="T9" s="54"/>
      <c r="U9" s="54"/>
    </row>
    <row r="10" spans="1:21" x14ac:dyDescent="0.2">
      <c r="A10" s="26"/>
      <c r="B10" s="41" t="s">
        <v>39</v>
      </c>
      <c r="C10" s="55"/>
      <c r="D10" s="56"/>
      <c r="E10" s="43" t="s">
        <v>40</v>
      </c>
      <c r="F10" s="42" t="s">
        <v>41</v>
      </c>
      <c r="G10" s="43" t="s">
        <v>26</v>
      </c>
      <c r="H10" s="39" t="s">
        <v>0</v>
      </c>
      <c r="I10" s="36"/>
      <c r="J10" s="45"/>
      <c r="K10" s="43" t="s">
        <v>42</v>
      </c>
      <c r="L10" s="43" t="s">
        <v>43</v>
      </c>
      <c r="M10" s="46" t="s">
        <v>44</v>
      </c>
      <c r="N10" s="43" t="s">
        <v>28</v>
      </c>
      <c r="O10" s="47" t="s">
        <v>45</v>
      </c>
      <c r="P10" s="52"/>
      <c r="Q10" s="49"/>
      <c r="R10" s="39"/>
      <c r="S10" s="39"/>
      <c r="T10" s="39"/>
      <c r="U10" s="39"/>
    </row>
    <row r="11" spans="1:21" x14ac:dyDescent="0.2">
      <c r="A11" s="26" t="s">
        <v>46</v>
      </c>
      <c r="B11" s="39"/>
      <c r="C11" s="55"/>
      <c r="D11" s="56"/>
      <c r="E11" s="43" t="s">
        <v>26</v>
      </c>
      <c r="F11" s="42" t="s">
        <v>26</v>
      </c>
      <c r="G11" s="56"/>
      <c r="H11" s="39" t="s">
        <v>0</v>
      </c>
      <c r="I11" s="36"/>
      <c r="J11" s="57"/>
      <c r="K11" s="39"/>
      <c r="L11" s="39"/>
      <c r="M11" s="43" t="s">
        <v>40</v>
      </c>
      <c r="N11" s="43" t="s">
        <v>47</v>
      </c>
      <c r="O11" s="47"/>
      <c r="P11" s="58"/>
      <c r="Q11" s="59"/>
      <c r="R11" s="39"/>
      <c r="S11" s="39"/>
      <c r="T11" s="39"/>
      <c r="U11" s="39"/>
    </row>
    <row r="12" spans="1:21" x14ac:dyDescent="0.2">
      <c r="A12" s="60"/>
      <c r="B12" s="60"/>
      <c r="C12" s="14"/>
      <c r="D12" s="60"/>
      <c r="E12" s="60"/>
      <c r="F12" s="13"/>
      <c r="G12" s="60"/>
      <c r="H12" s="60"/>
      <c r="I12" s="13"/>
      <c r="J12" s="61"/>
      <c r="K12" s="60"/>
      <c r="L12" s="60"/>
      <c r="M12" s="13"/>
      <c r="N12" s="60"/>
      <c r="O12" s="62"/>
      <c r="P12" s="18"/>
      <c r="Q12" s="63"/>
      <c r="R12" s="60"/>
      <c r="S12" s="60"/>
      <c r="T12" s="60"/>
      <c r="U12" s="60"/>
    </row>
    <row r="13" spans="1:21" x14ac:dyDescent="0.2">
      <c r="A13" s="64"/>
      <c r="B13" s="24"/>
      <c r="C13" s="24"/>
      <c r="D13" s="24"/>
      <c r="E13" s="24"/>
      <c r="F13" s="24"/>
      <c r="G13" s="24"/>
      <c r="H13" s="24"/>
      <c r="I13" s="24"/>
      <c r="J13" s="65"/>
      <c r="K13" s="24"/>
      <c r="L13" s="24"/>
      <c r="M13" s="24"/>
      <c r="N13" s="24"/>
      <c r="O13" s="24"/>
      <c r="P13" s="24"/>
      <c r="Q13" s="38"/>
      <c r="R13" s="24"/>
      <c r="S13" s="24"/>
      <c r="T13" s="24"/>
      <c r="U13" s="24"/>
    </row>
    <row r="14" spans="1:21" s="71" customFormat="1" hidden="1" x14ac:dyDescent="0.2">
      <c r="A14" s="66" t="s">
        <v>48</v>
      </c>
      <c r="B14" s="67">
        <v>124230.9</v>
      </c>
      <c r="C14" s="67">
        <v>24965.9</v>
      </c>
      <c r="D14" s="67" t="s">
        <v>49</v>
      </c>
      <c r="E14" s="67">
        <v>1127</v>
      </c>
      <c r="F14" s="67">
        <v>4527.2</v>
      </c>
      <c r="G14" s="67">
        <v>56.9</v>
      </c>
      <c r="H14" s="67">
        <v>1675.3</v>
      </c>
      <c r="I14" s="67" t="e">
        <f>H14+F14+E14+C14+B14+G14+D14</f>
        <v>#VALUE!</v>
      </c>
      <c r="J14" s="68">
        <v>159092.20000000007</v>
      </c>
      <c r="K14" s="67">
        <v>76990.5</v>
      </c>
      <c r="L14" s="67" t="s">
        <v>49</v>
      </c>
      <c r="M14" s="67">
        <v>380.9</v>
      </c>
      <c r="N14" s="67">
        <v>25</v>
      </c>
      <c r="O14" s="67" t="s">
        <v>49</v>
      </c>
      <c r="P14" s="67">
        <v>3901.2000000000003</v>
      </c>
      <c r="Q14" s="69">
        <v>-12000</v>
      </c>
      <c r="R14" s="70">
        <v>-71806.600000000006</v>
      </c>
      <c r="S14" s="67" t="e">
        <f>R14+Q14+P14+N14+M14+L14+K14+J14+O14</f>
        <v>#VALUE!</v>
      </c>
      <c r="T14" s="67">
        <v>482598.3</v>
      </c>
      <c r="U14" s="67" t="e">
        <f t="shared" ref="U14:U19" si="0">T14/I14</f>
        <v>#VALUE!</v>
      </c>
    </row>
    <row r="15" spans="1:21" s="71" customFormat="1" hidden="1" x14ac:dyDescent="0.2">
      <c r="A15" s="66" t="s">
        <v>50</v>
      </c>
      <c r="B15" s="67">
        <v>136206.20000000001</v>
      </c>
      <c r="C15" s="67">
        <v>53891.1</v>
      </c>
      <c r="D15" s="67" t="s">
        <v>49</v>
      </c>
      <c r="E15" s="67">
        <v>1014.1</v>
      </c>
      <c r="F15" s="67">
        <v>6100.8</v>
      </c>
      <c r="G15" s="67">
        <v>29.2</v>
      </c>
      <c r="H15" s="67">
        <v>901.8</v>
      </c>
      <c r="I15" s="67" t="e">
        <f>H15+F15+E15+C15+B15+G15+D15</f>
        <v>#VALUE!</v>
      </c>
      <c r="J15" s="68">
        <v>144966.20000000007</v>
      </c>
      <c r="K15" s="67">
        <v>167752.20000000004</v>
      </c>
      <c r="L15" s="67" t="s">
        <v>49</v>
      </c>
      <c r="M15" s="67">
        <v>380.9</v>
      </c>
      <c r="N15" s="67">
        <v>20</v>
      </c>
      <c r="O15" s="67" t="s">
        <v>49</v>
      </c>
      <c r="P15" s="67">
        <v>4342.7</v>
      </c>
      <c r="Q15" s="69">
        <v>-10000</v>
      </c>
      <c r="R15" s="70">
        <v>-109318.79999999999</v>
      </c>
      <c r="S15" s="67" t="e">
        <f>R15+Q15+P15+N15+M15+L15+K15+J15+O15</f>
        <v>#VALUE!</v>
      </c>
      <c r="T15" s="67">
        <v>565309.9</v>
      </c>
      <c r="U15" s="67" t="e">
        <f t="shared" si="0"/>
        <v>#VALUE!</v>
      </c>
    </row>
    <row r="16" spans="1:21" s="71" customFormat="1" hidden="1" x14ac:dyDescent="0.2">
      <c r="A16" s="66" t="s">
        <v>51</v>
      </c>
      <c r="B16" s="67">
        <v>155835.20000000001</v>
      </c>
      <c r="C16" s="67">
        <v>47450.5</v>
      </c>
      <c r="D16" s="67">
        <v>2738.884497</v>
      </c>
      <c r="E16" s="67">
        <v>1428</v>
      </c>
      <c r="F16" s="67">
        <v>3735.6</v>
      </c>
      <c r="G16" s="67">
        <v>28.6</v>
      </c>
      <c r="H16" s="67">
        <v>422.01550300000008</v>
      </c>
      <c r="I16" s="67">
        <f>H16+F16+E16+C16+B16+G16+D16</f>
        <v>211638.80000000002</v>
      </c>
      <c r="J16" s="72">
        <v>141613.59999999998</v>
      </c>
      <c r="K16" s="67">
        <v>150905.29999999999</v>
      </c>
      <c r="L16" s="67" t="s">
        <v>49</v>
      </c>
      <c r="M16" s="67">
        <v>380.9</v>
      </c>
      <c r="N16" s="67">
        <v>20</v>
      </c>
      <c r="O16" s="67" t="s">
        <v>49</v>
      </c>
      <c r="P16" s="67">
        <v>4671.9999999999991</v>
      </c>
      <c r="Q16" s="69">
        <v>-7000</v>
      </c>
      <c r="R16" s="70">
        <v>-78953</v>
      </c>
      <c r="S16" s="67" t="e">
        <f>R16+Q16+P16+N16+M16+L16+K16+J16+O16</f>
        <v>#VALUE!</v>
      </c>
      <c r="T16" s="67">
        <v>686629.8</v>
      </c>
      <c r="U16" s="67">
        <f t="shared" si="0"/>
        <v>3.244347444797457</v>
      </c>
    </row>
    <row r="17" spans="1:21" s="71" customFormat="1" ht="15.75" hidden="1" x14ac:dyDescent="0.2">
      <c r="A17" s="73" t="s">
        <v>52</v>
      </c>
      <c r="B17" s="67">
        <v>170106</v>
      </c>
      <c r="C17" s="67">
        <v>34979.700000000004</v>
      </c>
      <c r="D17" s="67">
        <v>500</v>
      </c>
      <c r="E17" s="67">
        <v>278</v>
      </c>
      <c r="F17" s="67">
        <v>5041.4999999999982</v>
      </c>
      <c r="G17" s="67">
        <v>23.6</v>
      </c>
      <c r="H17" s="67">
        <v>397.3</v>
      </c>
      <c r="I17" s="67">
        <f>H17+F17+E17+C17+B17+G17+D17</f>
        <v>211326.1</v>
      </c>
      <c r="J17" s="72">
        <v>82293.999999999942</v>
      </c>
      <c r="K17" s="67">
        <v>211644.80000000005</v>
      </c>
      <c r="L17" s="67">
        <v>25301.3</v>
      </c>
      <c r="M17" s="67">
        <v>380.9</v>
      </c>
      <c r="N17" s="67">
        <v>20</v>
      </c>
      <c r="O17" s="67" t="s">
        <v>49</v>
      </c>
      <c r="P17" s="67">
        <v>6184.2</v>
      </c>
      <c r="Q17" s="74" t="s">
        <v>49</v>
      </c>
      <c r="R17" s="70">
        <v>-114499.1</v>
      </c>
      <c r="S17" s="67" t="e">
        <f>R17+Q17+P17+N17+M17+L17+K17+J17+O17</f>
        <v>#VALUE!</v>
      </c>
      <c r="T17" s="67">
        <v>725532.39999999991</v>
      </c>
      <c r="U17" s="67">
        <f t="shared" si="0"/>
        <v>3.4332361218041685</v>
      </c>
    </row>
    <row r="18" spans="1:21" s="71" customFormat="1" x14ac:dyDescent="0.2">
      <c r="A18" s="73" t="s">
        <v>53</v>
      </c>
      <c r="B18" s="67">
        <v>198246.9</v>
      </c>
      <c r="C18" s="67">
        <v>39879.9</v>
      </c>
      <c r="D18" s="67">
        <v>22413.599999999999</v>
      </c>
      <c r="E18" s="67">
        <v>2827.5</v>
      </c>
      <c r="F18" s="67">
        <v>3234.3</v>
      </c>
      <c r="G18" s="67">
        <v>14.5</v>
      </c>
      <c r="H18" s="67">
        <v>669.4</v>
      </c>
      <c r="I18" s="67">
        <f>SUM(B18:H18)</f>
        <v>267286.10000000003</v>
      </c>
      <c r="J18" s="72">
        <v>66928.900000000023</v>
      </c>
      <c r="K18" s="67">
        <v>285507.40000000002</v>
      </c>
      <c r="L18" s="67" t="s">
        <v>49</v>
      </c>
      <c r="M18" s="67" t="s">
        <v>49</v>
      </c>
      <c r="N18" s="67">
        <v>20</v>
      </c>
      <c r="O18" s="67" t="s">
        <v>49</v>
      </c>
      <c r="P18" s="67">
        <v>8125.5</v>
      </c>
      <c r="Q18" s="69">
        <v>-6800</v>
      </c>
      <c r="R18" s="70">
        <v>-86495.700000000012</v>
      </c>
      <c r="S18" s="67">
        <f>SUM(J18:R18)</f>
        <v>267286.10000000003</v>
      </c>
      <c r="T18" s="67">
        <v>873381.8</v>
      </c>
      <c r="U18" s="67">
        <f t="shared" si="0"/>
        <v>3.2675915432938711</v>
      </c>
    </row>
    <row r="19" spans="1:21" s="71" customFormat="1" x14ac:dyDescent="0.2">
      <c r="A19" s="73" t="s">
        <v>54</v>
      </c>
      <c r="B19" s="67">
        <v>211683.7</v>
      </c>
      <c r="C19" s="67">
        <v>82710.8</v>
      </c>
      <c r="D19" s="67">
        <v>5135.8</v>
      </c>
      <c r="E19" s="67">
        <v>2674</v>
      </c>
      <c r="F19" s="67">
        <v>3566.2</v>
      </c>
      <c r="G19" s="67">
        <v>28</v>
      </c>
      <c r="H19" s="67">
        <v>787.6</v>
      </c>
      <c r="I19" s="67">
        <f t="shared" ref="I19:I83" si="1">SUM(B19:H19)</f>
        <v>306586.09999999998</v>
      </c>
      <c r="J19" s="72">
        <v>118133.79999999999</v>
      </c>
      <c r="K19" s="67">
        <v>229473.99999999997</v>
      </c>
      <c r="L19" s="67" t="s">
        <v>49</v>
      </c>
      <c r="M19" s="67" t="s">
        <v>49</v>
      </c>
      <c r="N19" s="67">
        <v>20</v>
      </c>
      <c r="O19" s="67" t="s">
        <v>49</v>
      </c>
      <c r="P19" s="67">
        <v>10118.699999999999</v>
      </c>
      <c r="Q19" s="74" t="s">
        <v>49</v>
      </c>
      <c r="R19" s="70">
        <v>-51160.400000000009</v>
      </c>
      <c r="S19" s="67">
        <f t="shared" ref="S19:S83" si="2">SUM(J19:R19)</f>
        <v>306586.09999999992</v>
      </c>
      <c r="T19" s="67">
        <v>983168.8</v>
      </c>
      <c r="U19" s="67">
        <f t="shared" si="0"/>
        <v>3.206827706800798</v>
      </c>
    </row>
    <row r="20" spans="1:21" s="71" customFormat="1" x14ac:dyDescent="0.2">
      <c r="A20" s="73" t="s">
        <v>55</v>
      </c>
      <c r="B20" s="67">
        <v>227340.9</v>
      </c>
      <c r="C20" s="67">
        <v>120095.4</v>
      </c>
      <c r="D20" s="67">
        <v>1035.0999999999999</v>
      </c>
      <c r="E20" s="67">
        <v>1624.7</v>
      </c>
      <c r="F20" s="67">
        <v>3555.9</v>
      </c>
      <c r="G20" s="67">
        <v>22.9</v>
      </c>
      <c r="H20" s="67">
        <v>1326.1</v>
      </c>
      <c r="I20" s="67">
        <f t="shared" si="1"/>
        <v>355001</v>
      </c>
      <c r="J20" s="72">
        <v>128675.9</v>
      </c>
      <c r="K20" s="67">
        <v>263591.09999999998</v>
      </c>
      <c r="L20" s="67">
        <v>0</v>
      </c>
      <c r="M20" s="67">
        <v>2000</v>
      </c>
      <c r="N20" s="67">
        <v>20</v>
      </c>
      <c r="O20" s="67" t="s">
        <v>49</v>
      </c>
      <c r="P20" s="67">
        <v>12103.3</v>
      </c>
      <c r="Q20" s="74" t="s">
        <v>49</v>
      </c>
      <c r="R20" s="70">
        <v>-51389.299999999988</v>
      </c>
      <c r="S20" s="67">
        <f t="shared" si="2"/>
        <v>355001</v>
      </c>
      <c r="T20" s="67">
        <v>1102468.5000000002</v>
      </c>
      <c r="U20" s="67">
        <v>3.1055363224328953</v>
      </c>
    </row>
    <row r="21" spans="1:21" s="71" customFormat="1" x14ac:dyDescent="0.2">
      <c r="A21" s="73" t="s">
        <v>56</v>
      </c>
      <c r="B21" s="67">
        <v>230723.7</v>
      </c>
      <c r="C21" s="67">
        <v>84351</v>
      </c>
      <c r="D21" s="67">
        <v>1611</v>
      </c>
      <c r="E21" s="67">
        <v>2209.5</v>
      </c>
      <c r="F21" s="67">
        <v>4368.5</v>
      </c>
      <c r="G21" s="67">
        <v>44.5</v>
      </c>
      <c r="H21" s="67">
        <v>1200</v>
      </c>
      <c r="I21" s="67">
        <f t="shared" si="1"/>
        <v>324508.2</v>
      </c>
      <c r="J21" s="72">
        <v>-132985.60000000001</v>
      </c>
      <c r="K21" s="67">
        <v>452581.6</v>
      </c>
      <c r="L21" s="67">
        <v>19800</v>
      </c>
      <c r="M21" s="67">
        <v>2000</v>
      </c>
      <c r="N21" s="67">
        <v>20</v>
      </c>
      <c r="O21" s="67" t="s">
        <v>49</v>
      </c>
      <c r="P21" s="67">
        <v>14933.9</v>
      </c>
      <c r="Q21" s="74" t="s">
        <v>49</v>
      </c>
      <c r="R21" s="70">
        <v>-31841.69999999999</v>
      </c>
      <c r="S21" s="67">
        <f t="shared" si="2"/>
        <v>324508.2</v>
      </c>
      <c r="T21" s="67">
        <v>1101095.8</v>
      </c>
      <c r="U21" s="67">
        <v>3.393121653012158</v>
      </c>
    </row>
    <row r="22" spans="1:21" s="71" customFormat="1" x14ac:dyDescent="0.2">
      <c r="A22" s="75">
        <v>2016</v>
      </c>
      <c r="B22" s="67">
        <v>267512.5</v>
      </c>
      <c r="C22" s="67">
        <v>134302.79999999999</v>
      </c>
      <c r="D22" s="67">
        <v>5995.8</v>
      </c>
      <c r="E22" s="67">
        <v>3575.7</v>
      </c>
      <c r="F22" s="67">
        <v>6509.8</v>
      </c>
      <c r="G22" s="67">
        <v>7.7</v>
      </c>
      <c r="H22" s="67">
        <v>1319.7</v>
      </c>
      <c r="I22" s="67">
        <v>419224</v>
      </c>
      <c r="J22" s="72">
        <v>-162073.80000000002</v>
      </c>
      <c r="K22" s="67">
        <v>509226.20000000007</v>
      </c>
      <c r="L22" s="67">
        <v>87000</v>
      </c>
      <c r="M22" s="67">
        <v>2000</v>
      </c>
      <c r="N22" s="67">
        <v>20</v>
      </c>
      <c r="O22" s="67"/>
      <c r="P22" s="67">
        <v>15731</v>
      </c>
      <c r="Q22" s="67" t="s">
        <v>49</v>
      </c>
      <c r="R22" s="70">
        <v>-32679.399999999991</v>
      </c>
      <c r="S22" s="67">
        <v>419224</v>
      </c>
      <c r="T22" s="67">
        <v>1180019.4000000001</v>
      </c>
      <c r="U22" s="67">
        <v>2.8147706238192471</v>
      </c>
    </row>
    <row r="23" spans="1:21" s="71" customFormat="1" x14ac:dyDescent="0.2">
      <c r="A23" s="76"/>
      <c r="B23" s="67"/>
      <c r="C23" s="67"/>
      <c r="D23" s="67"/>
      <c r="E23" s="67"/>
      <c r="F23" s="67"/>
      <c r="G23" s="67"/>
      <c r="H23" s="67"/>
      <c r="I23" s="67"/>
      <c r="J23" s="72"/>
      <c r="K23" s="67"/>
      <c r="L23" s="67"/>
      <c r="M23" s="67"/>
      <c r="N23" s="67"/>
      <c r="O23" s="67"/>
      <c r="P23" s="67"/>
      <c r="Q23" s="69"/>
      <c r="R23" s="70"/>
      <c r="S23" s="67"/>
      <c r="T23" s="67"/>
      <c r="U23" s="67"/>
    </row>
    <row r="24" spans="1:21" s="71" customFormat="1" x14ac:dyDescent="0.2">
      <c r="A24" s="77" t="s">
        <v>57</v>
      </c>
      <c r="B24" s="67">
        <v>201300.8</v>
      </c>
      <c r="C24" s="67">
        <v>70896.399999999994</v>
      </c>
      <c r="D24" s="67">
        <v>426.9</v>
      </c>
      <c r="E24" s="67">
        <v>1135.9000000000001</v>
      </c>
      <c r="F24" s="67">
        <v>1041.5</v>
      </c>
      <c r="G24" s="67">
        <v>24.6</v>
      </c>
      <c r="H24" s="67">
        <v>1373.4</v>
      </c>
      <c r="I24" s="67">
        <f t="shared" si="1"/>
        <v>276199.5</v>
      </c>
      <c r="J24" s="72">
        <v>95018.6</v>
      </c>
      <c r="K24" s="67">
        <v>243395.1</v>
      </c>
      <c r="L24" s="67">
        <v>325.10000000000002</v>
      </c>
      <c r="M24" s="67">
        <v>1914.8</v>
      </c>
      <c r="N24" s="67">
        <v>20</v>
      </c>
      <c r="O24" s="67" t="s">
        <v>49</v>
      </c>
      <c r="P24" s="67">
        <v>11758.1</v>
      </c>
      <c r="Q24" s="70">
        <v>-27200</v>
      </c>
      <c r="R24" s="70">
        <v>-49032.200000000012</v>
      </c>
      <c r="S24" s="67">
        <f t="shared" si="2"/>
        <v>276199.49999999994</v>
      </c>
      <c r="T24" s="67">
        <v>984625.54999999981</v>
      </c>
      <c r="U24" s="67">
        <v>3.5649070689845557</v>
      </c>
    </row>
    <row r="25" spans="1:21" s="71" customFormat="1" x14ac:dyDescent="0.2">
      <c r="A25" s="77" t="s">
        <v>58</v>
      </c>
      <c r="B25" s="67">
        <v>223781.8</v>
      </c>
      <c r="C25" s="67">
        <v>100650</v>
      </c>
      <c r="D25" s="67">
        <v>1428.4</v>
      </c>
      <c r="E25" s="67">
        <v>1303.5</v>
      </c>
      <c r="F25" s="67">
        <v>6385</v>
      </c>
      <c r="G25" s="67">
        <v>20.2</v>
      </c>
      <c r="H25" s="67">
        <v>1329.6</v>
      </c>
      <c r="I25" s="67">
        <f t="shared" si="1"/>
        <v>334898.5</v>
      </c>
      <c r="J25" s="72">
        <v>89071.500000000029</v>
      </c>
      <c r="K25" s="67">
        <v>282645.39999999997</v>
      </c>
      <c r="L25" s="67"/>
      <c r="M25" s="67">
        <v>1914.8</v>
      </c>
      <c r="N25" s="67">
        <v>20</v>
      </c>
      <c r="O25" s="67" t="s">
        <v>49</v>
      </c>
      <c r="P25" s="67">
        <v>12500.7</v>
      </c>
      <c r="Q25" s="74" t="s">
        <v>49</v>
      </c>
      <c r="R25" s="70">
        <v>-51253.900000000009</v>
      </c>
      <c r="S25" s="67">
        <f t="shared" si="2"/>
        <v>334898.5</v>
      </c>
      <c r="T25" s="67">
        <v>1046962.8</v>
      </c>
      <c r="U25" s="67">
        <v>3.1262092843055429</v>
      </c>
    </row>
    <row r="26" spans="1:21" s="71" customFormat="1" x14ac:dyDescent="0.2">
      <c r="A26" s="77" t="s">
        <v>59</v>
      </c>
      <c r="B26" s="67">
        <v>222708</v>
      </c>
      <c r="C26" s="67">
        <v>80783.100000000006</v>
      </c>
      <c r="D26" s="67">
        <v>631.5</v>
      </c>
      <c r="E26" s="67">
        <v>2407.5</v>
      </c>
      <c r="F26" s="67">
        <v>2153.6</v>
      </c>
      <c r="G26" s="67">
        <v>23.3</v>
      </c>
      <c r="H26" s="67">
        <v>969.1</v>
      </c>
      <c r="I26" s="67">
        <f t="shared" si="1"/>
        <v>309676.09999999992</v>
      </c>
      <c r="J26" s="72">
        <v>142837.30000000002</v>
      </c>
      <c r="K26" s="67">
        <v>195393.90000000002</v>
      </c>
      <c r="L26" s="67">
        <v>231.90000000000009</v>
      </c>
      <c r="M26" s="67">
        <v>2000</v>
      </c>
      <c r="N26" s="67">
        <v>20</v>
      </c>
      <c r="O26" s="67" t="s">
        <v>49</v>
      </c>
      <c r="P26" s="67">
        <v>12409.6</v>
      </c>
      <c r="Q26" s="74" t="s">
        <v>49</v>
      </c>
      <c r="R26" s="70">
        <v>-43216.6</v>
      </c>
      <c r="S26" s="67">
        <f t="shared" si="2"/>
        <v>309676.10000000009</v>
      </c>
      <c r="T26" s="67">
        <v>1048455.4555555555</v>
      </c>
      <c r="U26" s="67">
        <v>3.3856518328523113</v>
      </c>
    </row>
    <row r="27" spans="1:21" s="71" customFormat="1" x14ac:dyDescent="0.2">
      <c r="A27" s="77" t="s">
        <v>60</v>
      </c>
      <c r="B27" s="67">
        <v>227340.9</v>
      </c>
      <c r="C27" s="67">
        <v>120095.4</v>
      </c>
      <c r="D27" s="67">
        <v>1035.0999999999999</v>
      </c>
      <c r="E27" s="67">
        <v>1624.7</v>
      </c>
      <c r="F27" s="67">
        <v>3555.9</v>
      </c>
      <c r="G27" s="67">
        <v>22.9</v>
      </c>
      <c r="H27" s="67">
        <v>1326.1</v>
      </c>
      <c r="I27" s="67">
        <f t="shared" si="1"/>
        <v>355001</v>
      </c>
      <c r="J27" s="72">
        <v>128675.9</v>
      </c>
      <c r="K27" s="67">
        <v>263591.09999999998</v>
      </c>
      <c r="L27" s="67">
        <v>0</v>
      </c>
      <c r="M27" s="67">
        <v>2000</v>
      </c>
      <c r="N27" s="67">
        <v>20</v>
      </c>
      <c r="O27" s="67" t="s">
        <v>49</v>
      </c>
      <c r="P27" s="67">
        <v>12103.3</v>
      </c>
      <c r="Q27" s="74" t="s">
        <v>49</v>
      </c>
      <c r="R27" s="70">
        <v>-51389.299999999988</v>
      </c>
      <c r="S27" s="67">
        <f t="shared" si="2"/>
        <v>355001</v>
      </c>
      <c r="T27" s="67">
        <v>1102468.5000000002</v>
      </c>
      <c r="U27" s="67">
        <v>3.1055363224328953</v>
      </c>
    </row>
    <row r="28" spans="1:21" s="71" customFormat="1" x14ac:dyDescent="0.2">
      <c r="A28" s="77"/>
      <c r="B28" s="67"/>
      <c r="C28" s="67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67"/>
      <c r="P28" s="67"/>
      <c r="Q28" s="74"/>
      <c r="R28" s="70"/>
      <c r="S28" s="67"/>
      <c r="T28" s="67"/>
      <c r="U28" s="67"/>
    </row>
    <row r="29" spans="1:21" s="71" customFormat="1" x14ac:dyDescent="0.2">
      <c r="A29" s="77" t="s">
        <v>61</v>
      </c>
      <c r="B29" s="67">
        <v>223176.6</v>
      </c>
      <c r="C29" s="67">
        <v>71767.600000000006</v>
      </c>
      <c r="D29" s="67">
        <v>1593.8</v>
      </c>
      <c r="E29" s="67">
        <v>1878.3</v>
      </c>
      <c r="F29" s="67">
        <v>4089.8</v>
      </c>
      <c r="G29" s="67">
        <v>47.4</v>
      </c>
      <c r="H29" s="67">
        <v>243.7</v>
      </c>
      <c r="I29" s="67">
        <f t="shared" si="1"/>
        <v>302797.2</v>
      </c>
      <c r="J29" s="72">
        <v>115526.39999999999</v>
      </c>
      <c r="K29" s="67">
        <v>215693.9</v>
      </c>
      <c r="L29" s="67">
        <v>1178.9000000000001</v>
      </c>
      <c r="M29" s="67">
        <v>2000</v>
      </c>
      <c r="N29" s="67">
        <v>20</v>
      </c>
      <c r="O29" s="67" t="s">
        <v>49</v>
      </c>
      <c r="P29" s="67">
        <v>12654.2</v>
      </c>
      <c r="Q29" s="74" t="s">
        <v>49</v>
      </c>
      <c r="R29" s="70">
        <v>-44276.2</v>
      </c>
      <c r="S29" s="67">
        <f t="shared" si="2"/>
        <v>302797.2</v>
      </c>
      <c r="T29" s="67">
        <v>1059585.55</v>
      </c>
      <c r="U29" s="67">
        <v>3.4993241350976825</v>
      </c>
    </row>
    <row r="30" spans="1:21" s="71" customFormat="1" x14ac:dyDescent="0.2">
      <c r="A30" s="77" t="s">
        <v>62</v>
      </c>
      <c r="B30" s="67">
        <v>254961.4</v>
      </c>
      <c r="C30" s="67">
        <v>63611.8</v>
      </c>
      <c r="D30" s="67">
        <v>9771.2999999999993</v>
      </c>
      <c r="E30" s="67">
        <v>2089.9</v>
      </c>
      <c r="F30" s="67">
        <v>3640.6</v>
      </c>
      <c r="G30" s="67">
        <v>62.4</v>
      </c>
      <c r="H30" s="67">
        <v>357.5</v>
      </c>
      <c r="I30" s="67">
        <f t="shared" si="1"/>
        <v>334494.90000000002</v>
      </c>
      <c r="J30" s="72">
        <v>11927.499999999976</v>
      </c>
      <c r="K30" s="67">
        <v>318199.59999999998</v>
      </c>
      <c r="L30" s="67">
        <v>20000</v>
      </c>
      <c r="M30" s="67">
        <v>2000</v>
      </c>
      <c r="N30" s="67">
        <v>20</v>
      </c>
      <c r="O30" s="67" t="s">
        <v>49</v>
      </c>
      <c r="P30" s="67">
        <v>13128.8</v>
      </c>
      <c r="Q30" s="74" t="s">
        <v>49</v>
      </c>
      <c r="R30" s="70">
        <v>-30781.000000000015</v>
      </c>
      <c r="S30" s="67">
        <f t="shared" si="2"/>
        <v>334494.89999999997</v>
      </c>
      <c r="T30" s="67">
        <v>1099392.4999999995</v>
      </c>
      <c r="U30" s="67">
        <v>3.2867242519990572</v>
      </c>
    </row>
    <row r="31" spans="1:21" s="71" customFormat="1" x14ac:dyDescent="0.2">
      <c r="A31" s="77" t="s">
        <v>63</v>
      </c>
      <c r="B31" s="67">
        <v>216072.1</v>
      </c>
      <c r="C31" s="67">
        <v>79716.800000000003</v>
      </c>
      <c r="D31" s="67">
        <v>5700.2</v>
      </c>
      <c r="E31" s="67">
        <v>3810.3</v>
      </c>
      <c r="F31" s="67">
        <v>8658</v>
      </c>
      <c r="G31" s="67">
        <v>33.1</v>
      </c>
      <c r="H31" s="67">
        <v>323.5</v>
      </c>
      <c r="I31" s="67">
        <f t="shared" si="1"/>
        <v>314314</v>
      </c>
      <c r="J31" s="72">
        <v>-77050.100000000006</v>
      </c>
      <c r="K31" s="67">
        <v>398227.1</v>
      </c>
      <c r="L31" s="67">
        <v>4840.3</v>
      </c>
      <c r="M31" s="67">
        <v>2000</v>
      </c>
      <c r="N31" s="67">
        <v>20</v>
      </c>
      <c r="O31" s="67" t="s">
        <v>49</v>
      </c>
      <c r="P31" s="67">
        <v>14713.9</v>
      </c>
      <c r="Q31" s="74" t="s">
        <v>49</v>
      </c>
      <c r="R31" s="70">
        <v>-28437.199999999997</v>
      </c>
      <c r="S31" s="67">
        <f t="shared" si="2"/>
        <v>314314</v>
      </c>
      <c r="T31" s="67">
        <v>1102168.2444444443</v>
      </c>
      <c r="U31" s="67">
        <v>3.506583367092921</v>
      </c>
    </row>
    <row r="32" spans="1:21" s="71" customFormat="1" x14ac:dyDescent="0.2">
      <c r="A32" s="77" t="s">
        <v>64</v>
      </c>
      <c r="B32" s="67">
        <v>230723.7</v>
      </c>
      <c r="C32" s="67">
        <v>84351</v>
      </c>
      <c r="D32" s="67">
        <v>1611</v>
      </c>
      <c r="E32" s="67">
        <v>2209.5</v>
      </c>
      <c r="F32" s="67">
        <v>4368.5</v>
      </c>
      <c r="G32" s="67">
        <v>44.5</v>
      </c>
      <c r="H32" s="67">
        <v>1200</v>
      </c>
      <c r="I32" s="67">
        <f t="shared" si="1"/>
        <v>324508.2</v>
      </c>
      <c r="J32" s="72">
        <v>-132985.60000000001</v>
      </c>
      <c r="K32" s="67">
        <v>452581.6</v>
      </c>
      <c r="L32" s="67">
        <v>19800</v>
      </c>
      <c r="M32" s="67">
        <v>2000</v>
      </c>
      <c r="N32" s="67">
        <v>20</v>
      </c>
      <c r="O32" s="67" t="s">
        <v>49</v>
      </c>
      <c r="P32" s="67">
        <v>14933.9</v>
      </c>
      <c r="Q32" s="74" t="s">
        <v>49</v>
      </c>
      <c r="R32" s="70">
        <v>-31841.69999999999</v>
      </c>
      <c r="S32" s="67">
        <f t="shared" si="2"/>
        <v>324508.2</v>
      </c>
      <c r="T32" s="67">
        <v>1101095.8</v>
      </c>
      <c r="U32" s="67">
        <v>3.393121653012158</v>
      </c>
    </row>
    <row r="33" spans="1:21" s="71" customFormat="1" x14ac:dyDescent="0.2">
      <c r="A33" s="77"/>
      <c r="B33" s="67"/>
      <c r="C33" s="67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67"/>
      <c r="P33" s="67"/>
      <c r="Q33" s="74"/>
      <c r="R33" s="70"/>
      <c r="S33" s="67"/>
      <c r="T33" s="67"/>
      <c r="U33" s="67"/>
    </row>
    <row r="34" spans="1:21" s="71" customFormat="1" x14ac:dyDescent="0.2">
      <c r="A34" s="77" t="s">
        <v>65</v>
      </c>
      <c r="B34" s="67">
        <v>219964.2</v>
      </c>
      <c r="C34" s="67">
        <v>94301.6</v>
      </c>
      <c r="D34" s="67">
        <v>2510.6999999999998</v>
      </c>
      <c r="E34" s="67">
        <v>2734.9</v>
      </c>
      <c r="F34" s="67">
        <v>2813.9</v>
      </c>
      <c r="G34" s="67">
        <v>26.4</v>
      </c>
      <c r="H34" s="67">
        <v>910.3</v>
      </c>
      <c r="I34" s="67">
        <f t="shared" si="1"/>
        <v>323262.00000000012</v>
      </c>
      <c r="J34" s="72">
        <v>-194954</v>
      </c>
      <c r="K34" s="67">
        <v>453694.6</v>
      </c>
      <c r="L34" s="67">
        <v>71850</v>
      </c>
      <c r="M34" s="67">
        <v>2000</v>
      </c>
      <c r="N34" s="67">
        <v>20</v>
      </c>
      <c r="O34" s="67" t="s">
        <v>49</v>
      </c>
      <c r="P34" s="67">
        <v>15893</v>
      </c>
      <c r="Q34" s="74" t="s">
        <v>49</v>
      </c>
      <c r="R34" s="70">
        <v>-25241.600000000006</v>
      </c>
      <c r="S34" s="67">
        <f t="shared" si="2"/>
        <v>323262</v>
      </c>
      <c r="T34" s="67">
        <v>1074422.6499999999</v>
      </c>
      <c r="U34" s="67">
        <v>3.32368991715698</v>
      </c>
    </row>
    <row r="35" spans="1:21" s="71" customFormat="1" x14ac:dyDescent="0.2">
      <c r="A35" s="77" t="s">
        <v>62</v>
      </c>
      <c r="B35" s="67">
        <v>255415.5</v>
      </c>
      <c r="C35" s="67">
        <v>98845.3</v>
      </c>
      <c r="D35" s="67">
        <v>3186.6</v>
      </c>
      <c r="E35" s="67">
        <v>1740</v>
      </c>
      <c r="F35" s="67">
        <v>4307.5</v>
      </c>
      <c r="G35" s="67">
        <v>16.100000000000001</v>
      </c>
      <c r="H35" s="67">
        <v>557.9</v>
      </c>
      <c r="I35" s="67">
        <f t="shared" si="1"/>
        <v>364068.89999999997</v>
      </c>
      <c r="J35" s="72">
        <v>-186003.4</v>
      </c>
      <c r="K35" s="67">
        <v>457106.39999999997</v>
      </c>
      <c r="L35" s="67">
        <v>101000</v>
      </c>
      <c r="M35" s="67">
        <v>2000</v>
      </c>
      <c r="N35" s="67">
        <v>20</v>
      </c>
      <c r="O35" s="67"/>
      <c r="P35" s="67">
        <v>16553.2</v>
      </c>
      <c r="Q35" s="74" t="s">
        <v>49</v>
      </c>
      <c r="R35" s="70">
        <v>-26607.299999999988</v>
      </c>
      <c r="S35" s="67">
        <f t="shared" si="2"/>
        <v>364068.9</v>
      </c>
      <c r="T35" s="67">
        <v>1117322.5999999999</v>
      </c>
      <c r="U35" s="67">
        <v>3.0689866670841699</v>
      </c>
    </row>
    <row r="36" spans="1:21" s="71" customFormat="1" x14ac:dyDescent="0.2">
      <c r="A36" s="78" t="s">
        <v>63</v>
      </c>
      <c r="B36" s="67">
        <v>254499.1</v>
      </c>
      <c r="C36" s="67">
        <v>124775.9</v>
      </c>
      <c r="D36" s="67">
        <v>834</v>
      </c>
      <c r="E36" s="67">
        <v>3523.6</v>
      </c>
      <c r="F36" s="67">
        <v>4926.1000000000004</v>
      </c>
      <c r="G36" s="67">
        <v>3.6</v>
      </c>
      <c r="H36" s="67">
        <v>1138.3</v>
      </c>
      <c r="I36" s="67">
        <v>389700.6</v>
      </c>
      <c r="J36" s="72">
        <v>-181601</v>
      </c>
      <c r="K36" s="67">
        <v>457923.6</v>
      </c>
      <c r="L36" s="67">
        <v>118705</v>
      </c>
      <c r="M36" s="67">
        <v>2000</v>
      </c>
      <c r="N36" s="67">
        <v>20</v>
      </c>
      <c r="O36" s="67"/>
      <c r="P36" s="67">
        <v>16291.4</v>
      </c>
      <c r="Q36" s="67" t="s">
        <v>49</v>
      </c>
      <c r="R36" s="70">
        <v>-23638.400000000009</v>
      </c>
      <c r="S36" s="67">
        <v>389700.6</v>
      </c>
      <c r="T36" s="67">
        <v>1130783.45</v>
      </c>
      <c r="U36" s="67">
        <v>2.9016723351208595</v>
      </c>
    </row>
    <row r="37" spans="1:21" s="71" customFormat="1" x14ac:dyDescent="0.2">
      <c r="A37" s="78" t="s">
        <v>64</v>
      </c>
      <c r="B37" s="67">
        <v>267512.5</v>
      </c>
      <c r="C37" s="67">
        <v>134302.79999999999</v>
      </c>
      <c r="D37" s="67">
        <v>5995.8</v>
      </c>
      <c r="E37" s="67">
        <v>3575.7</v>
      </c>
      <c r="F37" s="67">
        <v>6509.8</v>
      </c>
      <c r="G37" s="67">
        <v>7.7</v>
      </c>
      <c r="H37" s="67">
        <v>1319.7</v>
      </c>
      <c r="I37" s="67">
        <v>419224</v>
      </c>
      <c r="J37" s="72">
        <v>-162073.80000000002</v>
      </c>
      <c r="K37" s="67">
        <v>509226.20000000007</v>
      </c>
      <c r="L37" s="67">
        <v>87000</v>
      </c>
      <c r="M37" s="67">
        <v>2000</v>
      </c>
      <c r="N37" s="67">
        <v>20</v>
      </c>
      <c r="O37" s="67"/>
      <c r="P37" s="67">
        <v>15731</v>
      </c>
      <c r="Q37" s="67" t="s">
        <v>49</v>
      </c>
      <c r="R37" s="70">
        <v>-32679.399999999991</v>
      </c>
      <c r="S37" s="67">
        <v>419224</v>
      </c>
      <c r="T37" s="67">
        <v>1180019.4000000001</v>
      </c>
      <c r="U37" s="67">
        <v>2.8147706238192471</v>
      </c>
    </row>
    <row r="38" spans="1:21" s="71" customFormat="1" x14ac:dyDescent="0.2">
      <c r="A38" s="7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s="71" customFormat="1" ht="15.75" x14ac:dyDescent="0.2">
      <c r="A39" s="78" t="s">
        <v>66</v>
      </c>
      <c r="B39" s="67">
        <v>267562.40000000002</v>
      </c>
      <c r="C39" s="67">
        <v>167615</v>
      </c>
      <c r="D39" s="67">
        <v>13631.3</v>
      </c>
      <c r="E39" s="67">
        <v>2642.3</v>
      </c>
      <c r="F39" s="67">
        <v>7688</v>
      </c>
      <c r="G39" s="67">
        <v>157.1</v>
      </c>
      <c r="H39" s="67">
        <v>2095</v>
      </c>
      <c r="I39" s="67">
        <v>461391.1</v>
      </c>
      <c r="J39" s="67">
        <v>-126159.60000000003</v>
      </c>
      <c r="K39" s="67">
        <v>512292.1</v>
      </c>
      <c r="L39" s="67">
        <v>87840</v>
      </c>
      <c r="M39" s="67">
        <v>1000</v>
      </c>
      <c r="N39" s="67">
        <v>20</v>
      </c>
      <c r="O39" s="67"/>
      <c r="P39" s="67">
        <v>20527</v>
      </c>
      <c r="Q39" s="67" t="s">
        <v>49</v>
      </c>
      <c r="R39" s="67">
        <v>-34128.399999999987</v>
      </c>
      <c r="S39" s="67">
        <v>461391.09999999992</v>
      </c>
      <c r="T39" s="67">
        <v>1261421.3999999999</v>
      </c>
      <c r="U39" s="67">
        <v>2.7339526055010595</v>
      </c>
    </row>
    <row r="40" spans="1:21" s="71" customFormat="1" x14ac:dyDescent="0.2">
      <c r="A40" s="78" t="s">
        <v>67</v>
      </c>
      <c r="B40" s="67">
        <v>301775.5</v>
      </c>
      <c r="C40" s="67">
        <v>101969.2</v>
      </c>
      <c r="D40" s="67">
        <v>11602.5</v>
      </c>
      <c r="E40" s="67">
        <v>2615.4</v>
      </c>
      <c r="F40" s="67">
        <v>7635.6</v>
      </c>
      <c r="G40" s="67">
        <v>11</v>
      </c>
      <c r="H40" s="67">
        <v>4565.7</v>
      </c>
      <c r="I40" s="67">
        <v>430174.9</v>
      </c>
      <c r="J40" s="72">
        <v>-135616.80000000002</v>
      </c>
      <c r="K40" s="67">
        <v>500672.8</v>
      </c>
      <c r="L40" s="67">
        <v>69737.5</v>
      </c>
      <c r="M40" s="67">
        <v>1000</v>
      </c>
      <c r="N40" s="67">
        <v>20</v>
      </c>
      <c r="O40" s="67"/>
      <c r="P40" s="67">
        <v>22527.9</v>
      </c>
      <c r="Q40" s="67" t="s">
        <v>49</v>
      </c>
      <c r="R40" s="70">
        <v>-28166.499999999993</v>
      </c>
      <c r="S40" s="67">
        <f>SUM(J40:R40)</f>
        <v>430174.9</v>
      </c>
      <c r="T40" s="67">
        <v>1369924.9</v>
      </c>
      <c r="U40" s="67">
        <v>3.0791936024161335</v>
      </c>
    </row>
    <row r="41" spans="1:21" s="71" customFormat="1" x14ac:dyDescent="0.2">
      <c r="A41" s="77"/>
      <c r="B41" s="67"/>
      <c r="C41" s="67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67"/>
      <c r="P41" s="67"/>
      <c r="Q41" s="74"/>
      <c r="R41" s="70"/>
      <c r="S41" s="67"/>
      <c r="T41" s="67"/>
      <c r="U41" s="67"/>
    </row>
    <row r="42" spans="1:21" s="71" customFormat="1" hidden="1" x14ac:dyDescent="0.2">
      <c r="A42" s="77" t="s">
        <v>68</v>
      </c>
      <c r="B42" s="67">
        <v>87847.1</v>
      </c>
      <c r="C42" s="67">
        <v>21116.2</v>
      </c>
      <c r="D42" s="67" t="s">
        <v>49</v>
      </c>
      <c r="E42" s="67">
        <v>751.69999999999993</v>
      </c>
      <c r="F42" s="67">
        <v>1538.8</v>
      </c>
      <c r="G42" s="67">
        <v>459</v>
      </c>
      <c r="H42" s="67">
        <v>2177.1999999999998</v>
      </c>
      <c r="I42" s="67">
        <f t="shared" si="1"/>
        <v>113890</v>
      </c>
      <c r="J42" s="70">
        <v>71000.099999999977</v>
      </c>
      <c r="K42" s="67">
        <v>95478.1</v>
      </c>
      <c r="L42" s="67">
        <v>1804</v>
      </c>
      <c r="M42" s="67">
        <v>380.9</v>
      </c>
      <c r="N42" s="67">
        <v>25</v>
      </c>
      <c r="O42" s="67" t="s">
        <v>49</v>
      </c>
      <c r="P42" s="67">
        <v>3815.5</v>
      </c>
      <c r="Q42" s="74" t="s">
        <v>49</v>
      </c>
      <c r="R42" s="70">
        <v>-58613.599999999991</v>
      </c>
      <c r="S42" s="67">
        <f t="shared" si="2"/>
        <v>113889.99999999999</v>
      </c>
      <c r="T42" s="67">
        <v>365559.8</v>
      </c>
      <c r="U42" s="67">
        <f t="shared" ref="U42:U109" si="3">T42/I42</f>
        <v>3.2097620511019405</v>
      </c>
    </row>
    <row r="43" spans="1:21" s="71" customFormat="1" hidden="1" x14ac:dyDescent="0.2">
      <c r="A43" s="77" t="s">
        <v>69</v>
      </c>
      <c r="B43" s="67">
        <v>88984.4</v>
      </c>
      <c r="C43" s="67">
        <v>19977.3</v>
      </c>
      <c r="D43" s="67" t="s">
        <v>49</v>
      </c>
      <c r="E43" s="67">
        <v>1824.2999999999997</v>
      </c>
      <c r="F43" s="67">
        <v>1165.7</v>
      </c>
      <c r="G43" s="67">
        <v>398.2</v>
      </c>
      <c r="H43" s="67">
        <v>2259.2999999999997</v>
      </c>
      <c r="I43" s="67">
        <f t="shared" si="1"/>
        <v>114609.2</v>
      </c>
      <c r="J43" s="70">
        <v>62812.299999999988</v>
      </c>
      <c r="K43" s="67">
        <v>105260.5</v>
      </c>
      <c r="L43" s="67">
        <v>1000</v>
      </c>
      <c r="M43" s="67">
        <v>380.9</v>
      </c>
      <c r="N43" s="67">
        <v>25</v>
      </c>
      <c r="O43" s="67" t="s">
        <v>49</v>
      </c>
      <c r="P43" s="67">
        <v>3781.2999999999997</v>
      </c>
      <c r="Q43" s="74" t="s">
        <v>49</v>
      </c>
      <c r="R43" s="70">
        <v>-58650.8</v>
      </c>
      <c r="S43" s="67">
        <f t="shared" si="2"/>
        <v>114609.19999999997</v>
      </c>
      <c r="T43" s="67">
        <v>378747.69999999995</v>
      </c>
      <c r="U43" s="67">
        <f t="shared" si="3"/>
        <v>3.3046884543300186</v>
      </c>
    </row>
    <row r="44" spans="1:21" s="71" customFormat="1" hidden="1" x14ac:dyDescent="0.2">
      <c r="A44" s="77" t="s">
        <v>70</v>
      </c>
      <c r="B44" s="67">
        <v>89739.6</v>
      </c>
      <c r="C44" s="67">
        <v>23461.300000000003</v>
      </c>
      <c r="D44" s="67" t="s">
        <v>49</v>
      </c>
      <c r="E44" s="67">
        <v>1391.6999999999998</v>
      </c>
      <c r="F44" s="67">
        <v>1864.2</v>
      </c>
      <c r="G44" s="67">
        <v>340.6</v>
      </c>
      <c r="H44" s="67">
        <v>2050.2999999999997</v>
      </c>
      <c r="I44" s="67">
        <f t="shared" si="1"/>
        <v>118847.70000000001</v>
      </c>
      <c r="J44" s="70">
        <v>60403.499999999942</v>
      </c>
      <c r="K44" s="67">
        <v>107776.49999999999</v>
      </c>
      <c r="L44" s="67">
        <v>1000</v>
      </c>
      <c r="M44" s="67">
        <v>380.9</v>
      </c>
      <c r="N44" s="67">
        <v>25</v>
      </c>
      <c r="O44" s="67" t="s">
        <v>49</v>
      </c>
      <c r="P44" s="67">
        <v>3931.7999999999997</v>
      </c>
      <c r="Q44" s="79">
        <v>-3000</v>
      </c>
      <c r="R44" s="70">
        <v>-51669.999999999993</v>
      </c>
      <c r="S44" s="67">
        <f t="shared" si="2"/>
        <v>118847.69999999992</v>
      </c>
      <c r="T44" s="67">
        <v>398263.2</v>
      </c>
      <c r="U44" s="67">
        <f t="shared" si="3"/>
        <v>3.3510383457147253</v>
      </c>
    </row>
    <row r="45" spans="1:21" s="71" customFormat="1" hidden="1" x14ac:dyDescent="0.2">
      <c r="A45" s="77" t="s">
        <v>71</v>
      </c>
      <c r="B45" s="67">
        <v>98410.2</v>
      </c>
      <c r="C45" s="67">
        <v>22480</v>
      </c>
      <c r="D45" s="67" t="s">
        <v>49</v>
      </c>
      <c r="E45" s="67">
        <v>1734.1</v>
      </c>
      <c r="F45" s="67">
        <v>2398.0000000000005</v>
      </c>
      <c r="G45" s="67">
        <v>261.39999999999998</v>
      </c>
      <c r="H45" s="67">
        <v>1930.3</v>
      </c>
      <c r="I45" s="67">
        <f t="shared" si="1"/>
        <v>127214</v>
      </c>
      <c r="J45" s="70">
        <v>65629.399999999994</v>
      </c>
      <c r="K45" s="67">
        <v>106043.30000000002</v>
      </c>
      <c r="L45" s="67">
        <v>1000</v>
      </c>
      <c r="M45" s="67">
        <v>380.9</v>
      </c>
      <c r="N45" s="67">
        <v>25</v>
      </c>
      <c r="O45" s="67" t="s">
        <v>49</v>
      </c>
      <c r="P45" s="67">
        <v>3953.5</v>
      </c>
      <c r="Q45" s="74" t="s">
        <v>49</v>
      </c>
      <c r="R45" s="70">
        <v>-49818.100000000006</v>
      </c>
      <c r="S45" s="67">
        <f t="shared" si="2"/>
        <v>127214</v>
      </c>
      <c r="T45" s="67">
        <v>396837.4</v>
      </c>
      <c r="U45" s="67">
        <f t="shared" si="3"/>
        <v>3.1194475450815164</v>
      </c>
    </row>
    <row r="46" spans="1:21" s="71" customFormat="1" hidden="1" x14ac:dyDescent="0.2">
      <c r="A46" s="77" t="s">
        <v>72</v>
      </c>
      <c r="B46" s="67">
        <v>98766.6</v>
      </c>
      <c r="C46" s="67">
        <v>23173.1</v>
      </c>
      <c r="D46" s="67" t="s">
        <v>49</v>
      </c>
      <c r="E46" s="67">
        <v>1414.8</v>
      </c>
      <c r="F46" s="67">
        <v>1675.1769999999997</v>
      </c>
      <c r="G46" s="67">
        <v>336.5</v>
      </c>
      <c r="H46" s="67">
        <v>2158.6999999999998</v>
      </c>
      <c r="I46" s="67">
        <f t="shared" si="1"/>
        <v>127524.87700000001</v>
      </c>
      <c r="J46" s="59">
        <v>61488</v>
      </c>
      <c r="K46" s="67">
        <v>117095.97699999998</v>
      </c>
      <c r="L46" s="67" t="s">
        <v>49</v>
      </c>
      <c r="M46" s="67">
        <v>380.9</v>
      </c>
      <c r="N46" s="67">
        <v>25</v>
      </c>
      <c r="O46" s="67" t="s">
        <v>49</v>
      </c>
      <c r="P46" s="67">
        <v>4084.1</v>
      </c>
      <c r="Q46" s="79">
        <v>-5000</v>
      </c>
      <c r="R46" s="70">
        <v>-50549.1</v>
      </c>
      <c r="S46" s="67">
        <f t="shared" si="2"/>
        <v>127524.87699999998</v>
      </c>
      <c r="T46" s="67">
        <v>387845.07699999993</v>
      </c>
      <c r="U46" s="67">
        <f t="shared" si="3"/>
        <v>3.0413287675627392</v>
      </c>
    </row>
    <row r="47" spans="1:21" s="71" customFormat="1" hidden="1" x14ac:dyDescent="0.2">
      <c r="A47" s="77" t="s">
        <v>62</v>
      </c>
      <c r="B47" s="67">
        <v>109147.9</v>
      </c>
      <c r="C47" s="67">
        <v>18877.900000000001</v>
      </c>
      <c r="D47" s="67" t="s">
        <v>49</v>
      </c>
      <c r="E47" s="67">
        <v>1506.9</v>
      </c>
      <c r="F47" s="67">
        <v>4287.1000000000004</v>
      </c>
      <c r="G47" s="67">
        <v>490.1</v>
      </c>
      <c r="H47" s="67">
        <v>1501.1</v>
      </c>
      <c r="I47" s="67">
        <f t="shared" si="1"/>
        <v>135811</v>
      </c>
      <c r="J47" s="68">
        <v>56309.5</v>
      </c>
      <c r="K47" s="67">
        <v>126345.09999999999</v>
      </c>
      <c r="L47" s="67">
        <v>1474.9</v>
      </c>
      <c r="M47" s="67">
        <v>380.9</v>
      </c>
      <c r="N47" s="67">
        <v>25</v>
      </c>
      <c r="O47" s="67" t="s">
        <v>49</v>
      </c>
      <c r="P47" s="67">
        <v>4127.7</v>
      </c>
      <c r="Q47" s="74" t="s">
        <v>49</v>
      </c>
      <c r="R47" s="70">
        <v>-52852.100000000006</v>
      </c>
      <c r="S47" s="67">
        <f t="shared" si="2"/>
        <v>135810.99999999997</v>
      </c>
      <c r="T47" s="67">
        <v>406650.7</v>
      </c>
      <c r="U47" s="67">
        <f t="shared" si="3"/>
        <v>2.9942397891187018</v>
      </c>
    </row>
    <row r="48" spans="1:21" s="71" customFormat="1" hidden="1" x14ac:dyDescent="0.2">
      <c r="A48" s="77" t="s">
        <v>73</v>
      </c>
      <c r="B48" s="67">
        <v>121800.8</v>
      </c>
      <c r="C48" s="67">
        <v>21782.1</v>
      </c>
      <c r="D48" s="67" t="s">
        <v>49</v>
      </c>
      <c r="E48" s="67">
        <v>1271.3</v>
      </c>
      <c r="F48" s="67">
        <v>1552.6999999999998</v>
      </c>
      <c r="G48" s="67">
        <v>456.2</v>
      </c>
      <c r="H48" s="67">
        <v>2042.6</v>
      </c>
      <c r="I48" s="67">
        <f t="shared" si="1"/>
        <v>148905.70000000001</v>
      </c>
      <c r="J48" s="68">
        <v>70144.199999999953</v>
      </c>
      <c r="K48" s="67">
        <v>122388.49999999997</v>
      </c>
      <c r="L48" s="67">
        <v>3006.3</v>
      </c>
      <c r="M48" s="67">
        <v>380.9</v>
      </c>
      <c r="N48" s="67">
        <v>25</v>
      </c>
      <c r="O48" s="67" t="s">
        <v>49</v>
      </c>
      <c r="P48" s="67">
        <v>4086.8</v>
      </c>
      <c r="Q48" s="74" t="s">
        <v>49</v>
      </c>
      <c r="R48" s="70">
        <v>-51126</v>
      </c>
      <c r="S48" s="67">
        <f t="shared" si="2"/>
        <v>148905.6999999999</v>
      </c>
      <c r="T48" s="67">
        <v>424665.5</v>
      </c>
      <c r="U48" s="67">
        <f t="shared" si="3"/>
        <v>2.8519089598316247</v>
      </c>
    </row>
    <row r="49" spans="1:21" s="71" customFormat="1" hidden="1" x14ac:dyDescent="0.2">
      <c r="A49" s="77" t="s">
        <v>74</v>
      </c>
      <c r="B49" s="67">
        <v>121398.7</v>
      </c>
      <c r="C49" s="67">
        <v>17654.900000000001</v>
      </c>
      <c r="D49" s="67" t="s">
        <v>49</v>
      </c>
      <c r="E49" s="67">
        <v>920.40000000000009</v>
      </c>
      <c r="F49" s="67">
        <v>1198.7</v>
      </c>
      <c r="G49" s="67">
        <v>293.2</v>
      </c>
      <c r="H49" s="67">
        <v>2010.8</v>
      </c>
      <c r="I49" s="67">
        <f t="shared" si="1"/>
        <v>143476.70000000001</v>
      </c>
      <c r="J49" s="68">
        <v>79117.500000000029</v>
      </c>
      <c r="K49" s="67">
        <v>105645.6</v>
      </c>
      <c r="L49" s="67">
        <v>6000</v>
      </c>
      <c r="M49" s="67">
        <v>380.9</v>
      </c>
      <c r="N49" s="67">
        <v>25</v>
      </c>
      <c r="O49" s="67" t="s">
        <v>49</v>
      </c>
      <c r="P49" s="67">
        <v>4045.3</v>
      </c>
      <c r="Q49" s="74" t="s">
        <v>49</v>
      </c>
      <c r="R49" s="70">
        <v>-51737.599999999999</v>
      </c>
      <c r="S49" s="67">
        <f t="shared" si="2"/>
        <v>143476.70000000001</v>
      </c>
      <c r="T49" s="67">
        <v>438876.20000000007</v>
      </c>
      <c r="U49" s="67">
        <f t="shared" si="3"/>
        <v>3.0588673979816936</v>
      </c>
    </row>
    <row r="50" spans="1:21" s="71" customFormat="1" hidden="1" x14ac:dyDescent="0.2">
      <c r="A50" s="77" t="s">
        <v>63</v>
      </c>
      <c r="B50" s="67">
        <v>123002.6</v>
      </c>
      <c r="C50" s="67">
        <v>17303.099999999999</v>
      </c>
      <c r="D50" s="67" t="s">
        <v>49</v>
      </c>
      <c r="E50" s="67">
        <v>1436.6</v>
      </c>
      <c r="F50" s="67">
        <v>2300</v>
      </c>
      <c r="G50" s="67">
        <v>256.10000000000002</v>
      </c>
      <c r="H50" s="67">
        <v>2635.2</v>
      </c>
      <c r="I50" s="67">
        <f t="shared" si="1"/>
        <v>146933.60000000003</v>
      </c>
      <c r="J50" s="68">
        <v>75833.299999999959</v>
      </c>
      <c r="K50" s="67">
        <v>107112.1</v>
      </c>
      <c r="L50" s="67">
        <v>10622.1</v>
      </c>
      <c r="M50" s="67">
        <v>380.9</v>
      </c>
      <c r="N50" s="67">
        <v>25</v>
      </c>
      <c r="O50" s="67" t="s">
        <v>49</v>
      </c>
      <c r="P50" s="67">
        <v>3971.9</v>
      </c>
      <c r="Q50" s="74" t="s">
        <v>49</v>
      </c>
      <c r="R50" s="70">
        <v>-51011.7</v>
      </c>
      <c r="S50" s="67">
        <f t="shared" si="2"/>
        <v>146933.59999999998</v>
      </c>
      <c r="T50" s="67">
        <v>453036.39999999997</v>
      </c>
      <c r="U50" s="67">
        <f t="shared" si="3"/>
        <v>3.0832729886152648</v>
      </c>
    </row>
    <row r="51" spans="1:21" s="71" customFormat="1" hidden="1" x14ac:dyDescent="0.2">
      <c r="A51" s="77" t="s">
        <v>75</v>
      </c>
      <c r="B51" s="67">
        <v>118622.6</v>
      </c>
      <c r="C51" s="67">
        <v>23160.400000000001</v>
      </c>
      <c r="D51" s="67" t="s">
        <v>49</v>
      </c>
      <c r="E51" s="67">
        <v>835.6</v>
      </c>
      <c r="F51" s="67">
        <v>1851.5</v>
      </c>
      <c r="G51" s="67">
        <v>143.6</v>
      </c>
      <c r="H51" s="67">
        <v>1653.9</v>
      </c>
      <c r="I51" s="67">
        <f t="shared" si="1"/>
        <v>146267.6</v>
      </c>
      <c r="J51" s="68">
        <v>95303.6</v>
      </c>
      <c r="K51" s="67">
        <v>94508.800000000003</v>
      </c>
      <c r="L51" s="67">
        <v>5355.8</v>
      </c>
      <c r="M51" s="67">
        <v>380.9</v>
      </c>
      <c r="N51" s="67">
        <v>25</v>
      </c>
      <c r="O51" s="67" t="s">
        <v>49</v>
      </c>
      <c r="P51" s="67">
        <v>4023.9</v>
      </c>
      <c r="Q51" s="74" t="s">
        <v>49</v>
      </c>
      <c r="R51" s="70">
        <v>-53330.399999999994</v>
      </c>
      <c r="S51" s="67">
        <f t="shared" si="2"/>
        <v>146267.6</v>
      </c>
      <c r="T51" s="67">
        <v>452404.50000000006</v>
      </c>
      <c r="U51" s="67">
        <f t="shared" si="3"/>
        <v>3.092991886104647</v>
      </c>
    </row>
    <row r="52" spans="1:21" s="71" customFormat="1" hidden="1" x14ac:dyDescent="0.2">
      <c r="A52" s="77" t="s">
        <v>76</v>
      </c>
      <c r="B52" s="67">
        <v>116373.1</v>
      </c>
      <c r="C52" s="67">
        <v>20223</v>
      </c>
      <c r="D52" s="67" t="s">
        <v>49</v>
      </c>
      <c r="E52" s="67">
        <v>632.4</v>
      </c>
      <c r="F52" s="67">
        <v>1054.3</v>
      </c>
      <c r="G52" s="67">
        <v>133</v>
      </c>
      <c r="H52" s="67">
        <v>1621.7</v>
      </c>
      <c r="I52" s="67">
        <f t="shared" si="1"/>
        <v>140037.5</v>
      </c>
      <c r="J52" s="68">
        <v>107336.39999999994</v>
      </c>
      <c r="K52" s="67">
        <v>77336.900000000023</v>
      </c>
      <c r="L52" s="67">
        <v>5508.8</v>
      </c>
      <c r="M52" s="67">
        <v>380.9</v>
      </c>
      <c r="N52" s="67">
        <v>25</v>
      </c>
      <c r="O52" s="67" t="s">
        <v>49</v>
      </c>
      <c r="P52" s="67">
        <v>4016.4</v>
      </c>
      <c r="Q52" s="69">
        <v>-1500</v>
      </c>
      <c r="R52" s="70">
        <v>-53066.899999999994</v>
      </c>
      <c r="S52" s="67">
        <f t="shared" si="2"/>
        <v>140037.49999999994</v>
      </c>
      <c r="T52" s="67">
        <v>454987.00000000006</v>
      </c>
      <c r="U52" s="67">
        <f t="shared" si="3"/>
        <v>3.2490368651254133</v>
      </c>
    </row>
    <row r="53" spans="1:21" s="71" customFormat="1" hidden="1" x14ac:dyDescent="0.2">
      <c r="A53" s="77" t="s">
        <v>64</v>
      </c>
      <c r="B53" s="67">
        <v>124230.9</v>
      </c>
      <c r="C53" s="67">
        <v>24965.9</v>
      </c>
      <c r="D53" s="67" t="s">
        <v>49</v>
      </c>
      <c r="E53" s="67">
        <v>1127</v>
      </c>
      <c r="F53" s="67">
        <v>4527.2</v>
      </c>
      <c r="G53" s="67">
        <v>56.9</v>
      </c>
      <c r="H53" s="67">
        <v>1675.3</v>
      </c>
      <c r="I53" s="67">
        <f t="shared" si="1"/>
        <v>156583.19999999998</v>
      </c>
      <c r="J53" s="68">
        <v>159092.20000000007</v>
      </c>
      <c r="K53" s="67">
        <v>76990.5</v>
      </c>
      <c r="L53" s="67" t="s">
        <v>49</v>
      </c>
      <c r="M53" s="67">
        <v>380.9</v>
      </c>
      <c r="N53" s="67">
        <v>25</v>
      </c>
      <c r="O53" s="67" t="s">
        <v>49</v>
      </c>
      <c r="P53" s="67">
        <v>3901.2000000000003</v>
      </c>
      <c r="Q53" s="69">
        <v>-12000</v>
      </c>
      <c r="R53" s="70">
        <v>-71806.600000000006</v>
      </c>
      <c r="S53" s="67">
        <f t="shared" si="2"/>
        <v>156583.20000000007</v>
      </c>
      <c r="T53" s="67">
        <v>482598.3</v>
      </c>
      <c r="U53" s="67">
        <f t="shared" si="3"/>
        <v>3.082056695737474</v>
      </c>
    </row>
    <row r="54" spans="1:21" s="71" customFormat="1" hidden="1" x14ac:dyDescent="0.2">
      <c r="A54" s="80"/>
      <c r="B54" s="67"/>
      <c r="C54" s="67"/>
      <c r="D54" s="67"/>
      <c r="E54" s="67"/>
      <c r="F54" s="67"/>
      <c r="G54" s="67"/>
      <c r="H54" s="67"/>
      <c r="I54" s="67"/>
      <c r="J54" s="68"/>
      <c r="K54" s="67"/>
      <c r="L54" s="67"/>
      <c r="M54" s="67"/>
      <c r="N54" s="67"/>
      <c r="O54" s="67"/>
      <c r="P54" s="67"/>
      <c r="Q54" s="69"/>
      <c r="R54" s="70"/>
      <c r="S54" s="67"/>
      <c r="T54" s="67"/>
      <c r="U54" s="67"/>
    </row>
    <row r="55" spans="1:21" s="71" customFormat="1" hidden="1" x14ac:dyDescent="0.2">
      <c r="A55" s="77" t="s">
        <v>77</v>
      </c>
      <c r="B55" s="67">
        <v>114706.9</v>
      </c>
      <c r="C55" s="67">
        <v>31192.800000000003</v>
      </c>
      <c r="D55" s="67" t="s">
        <v>49</v>
      </c>
      <c r="E55" s="67">
        <v>817.6</v>
      </c>
      <c r="F55" s="67">
        <v>1689.4999999999998</v>
      </c>
      <c r="G55" s="67">
        <v>89.3</v>
      </c>
      <c r="H55" s="67">
        <v>1627.8</v>
      </c>
      <c r="I55" s="67">
        <f t="shared" si="1"/>
        <v>150123.9</v>
      </c>
      <c r="J55" s="68">
        <v>141369.9</v>
      </c>
      <c r="K55" s="67">
        <v>72031.8</v>
      </c>
      <c r="L55" s="67" t="s">
        <v>49</v>
      </c>
      <c r="M55" s="67">
        <v>380.9</v>
      </c>
      <c r="N55" s="67">
        <v>25</v>
      </c>
      <c r="O55" s="67" t="s">
        <v>49</v>
      </c>
      <c r="P55" s="67">
        <v>4675.2</v>
      </c>
      <c r="Q55" s="69">
        <v>-15000</v>
      </c>
      <c r="R55" s="70">
        <v>-53358.9</v>
      </c>
      <c r="S55" s="67">
        <f t="shared" si="2"/>
        <v>150123.90000000002</v>
      </c>
      <c r="T55" s="67">
        <v>464981.6</v>
      </c>
      <c r="U55" s="67">
        <f t="shared" si="3"/>
        <v>3.0973189478823824</v>
      </c>
    </row>
    <row r="56" spans="1:21" s="71" customFormat="1" hidden="1" x14ac:dyDescent="0.2">
      <c r="A56" s="77" t="s">
        <v>69</v>
      </c>
      <c r="B56" s="67">
        <v>113068.7</v>
      </c>
      <c r="C56" s="67">
        <v>27634.1</v>
      </c>
      <c r="D56" s="67" t="s">
        <v>49</v>
      </c>
      <c r="E56" s="67">
        <v>704.00000000000011</v>
      </c>
      <c r="F56" s="67">
        <v>1532.1679999999999</v>
      </c>
      <c r="G56" s="67">
        <v>93.5</v>
      </c>
      <c r="H56" s="67">
        <v>1771.6</v>
      </c>
      <c r="I56" s="67">
        <f t="shared" si="1"/>
        <v>144804.068</v>
      </c>
      <c r="J56" s="68">
        <v>125265.90000000002</v>
      </c>
      <c r="K56" s="67">
        <v>81052.968000000023</v>
      </c>
      <c r="L56" s="67" t="s">
        <v>49</v>
      </c>
      <c r="M56" s="67">
        <v>380.9</v>
      </c>
      <c r="N56" s="67">
        <v>25</v>
      </c>
      <c r="O56" s="67" t="s">
        <v>49</v>
      </c>
      <c r="P56" s="67">
        <v>4588.5</v>
      </c>
      <c r="Q56" s="69">
        <v>-10000</v>
      </c>
      <c r="R56" s="70">
        <v>-56509.2</v>
      </c>
      <c r="S56" s="67">
        <f t="shared" si="2"/>
        <v>144804.06800000003</v>
      </c>
      <c r="T56" s="67">
        <v>460292.56800000003</v>
      </c>
      <c r="U56" s="67">
        <f t="shared" si="3"/>
        <v>3.1787267744439336</v>
      </c>
    </row>
    <row r="57" spans="1:21" s="71" customFormat="1" hidden="1" x14ac:dyDescent="0.2">
      <c r="A57" s="77" t="s">
        <v>70</v>
      </c>
      <c r="B57" s="67">
        <v>112651.3</v>
      </c>
      <c r="C57" s="67">
        <v>22247.699999999997</v>
      </c>
      <c r="D57" s="67" t="s">
        <v>49</v>
      </c>
      <c r="E57" s="67">
        <v>482.70000000000005</v>
      </c>
      <c r="F57" s="67">
        <v>1866.9</v>
      </c>
      <c r="G57" s="67">
        <v>232.7</v>
      </c>
      <c r="H57" s="67">
        <v>1526.3</v>
      </c>
      <c r="I57" s="67">
        <f t="shared" si="1"/>
        <v>139007.6</v>
      </c>
      <c r="J57" s="68">
        <v>105784.50000000003</v>
      </c>
      <c r="K57" s="67">
        <v>86813.2</v>
      </c>
      <c r="L57" s="67" t="s">
        <v>49</v>
      </c>
      <c r="M57" s="67">
        <v>380.9</v>
      </c>
      <c r="N57" s="67">
        <v>25</v>
      </c>
      <c r="O57" s="67" t="s">
        <v>49</v>
      </c>
      <c r="P57" s="67">
        <v>4553.5</v>
      </c>
      <c r="Q57" s="69">
        <v>-8300</v>
      </c>
      <c r="R57" s="70">
        <v>-50249.499999999993</v>
      </c>
      <c r="S57" s="67">
        <f t="shared" si="2"/>
        <v>139007.6</v>
      </c>
      <c r="T57" s="67">
        <v>471393.89999999991</v>
      </c>
      <c r="U57" s="67">
        <f t="shared" si="3"/>
        <v>3.3911376068646599</v>
      </c>
    </row>
    <row r="58" spans="1:21" s="71" customFormat="1" hidden="1" x14ac:dyDescent="0.2">
      <c r="A58" s="77" t="s">
        <v>71</v>
      </c>
      <c r="B58" s="67">
        <v>115183.7</v>
      </c>
      <c r="C58" s="67">
        <v>23019</v>
      </c>
      <c r="D58" s="67" t="s">
        <v>49</v>
      </c>
      <c r="E58" s="67">
        <v>472.70000000000005</v>
      </c>
      <c r="F58" s="67">
        <v>2219.5</v>
      </c>
      <c r="G58" s="67">
        <v>59.6</v>
      </c>
      <c r="H58" s="67">
        <v>1285.2</v>
      </c>
      <c r="I58" s="67">
        <f t="shared" si="1"/>
        <v>142239.70000000004</v>
      </c>
      <c r="J58" s="68">
        <v>90877.500000000029</v>
      </c>
      <c r="K58" s="67">
        <v>97639.400000000009</v>
      </c>
      <c r="L58" s="67" t="s">
        <v>49</v>
      </c>
      <c r="M58" s="67">
        <v>380.9</v>
      </c>
      <c r="N58" s="67">
        <v>25</v>
      </c>
      <c r="O58" s="67" t="s">
        <v>49</v>
      </c>
      <c r="P58" s="67">
        <v>4559.9000000000005</v>
      </c>
      <c r="Q58" s="69">
        <v>-2300</v>
      </c>
      <c r="R58" s="70">
        <v>-48943</v>
      </c>
      <c r="S58" s="67">
        <f t="shared" si="2"/>
        <v>142239.70000000001</v>
      </c>
      <c r="T58" s="67">
        <v>476285.8</v>
      </c>
      <c r="U58" s="67">
        <f t="shared" si="3"/>
        <v>3.3484730353058945</v>
      </c>
    </row>
    <row r="59" spans="1:21" s="71" customFormat="1" hidden="1" x14ac:dyDescent="0.2">
      <c r="A59" s="77" t="s">
        <v>72</v>
      </c>
      <c r="B59" s="67">
        <v>112468.1</v>
      </c>
      <c r="C59" s="67">
        <v>30605.599999999999</v>
      </c>
      <c r="D59" s="67" t="s">
        <v>49</v>
      </c>
      <c r="E59" s="67">
        <v>318.79999999999995</v>
      </c>
      <c r="F59" s="67">
        <v>1111</v>
      </c>
      <c r="G59" s="67">
        <v>43</v>
      </c>
      <c r="H59" s="67">
        <v>1319.9</v>
      </c>
      <c r="I59" s="67">
        <f t="shared" si="1"/>
        <v>145866.4</v>
      </c>
      <c r="J59" s="68">
        <v>154336.40000000008</v>
      </c>
      <c r="K59" s="67">
        <v>70010.700000000012</v>
      </c>
      <c r="L59" s="67" t="s">
        <v>49</v>
      </c>
      <c r="M59" s="67">
        <v>380.9</v>
      </c>
      <c r="N59" s="67">
        <v>25</v>
      </c>
      <c r="O59" s="67" t="s">
        <v>49</v>
      </c>
      <c r="P59" s="67">
        <v>4633</v>
      </c>
      <c r="Q59" s="74" t="s">
        <v>49</v>
      </c>
      <c r="R59" s="70">
        <v>-83519.600000000006</v>
      </c>
      <c r="S59" s="67">
        <f t="shared" si="2"/>
        <v>145866.40000000008</v>
      </c>
      <c r="T59" s="67">
        <v>470690.00000000012</v>
      </c>
      <c r="U59" s="67">
        <f t="shared" si="3"/>
        <v>3.2268569046744151</v>
      </c>
    </row>
    <row r="60" spans="1:21" s="71" customFormat="1" hidden="1" x14ac:dyDescent="0.2">
      <c r="A60" s="77" t="s">
        <v>62</v>
      </c>
      <c r="B60" s="67">
        <v>120665.4</v>
      </c>
      <c r="C60" s="67">
        <v>39647.5</v>
      </c>
      <c r="D60" s="67" t="s">
        <v>49</v>
      </c>
      <c r="E60" s="67">
        <v>835.8</v>
      </c>
      <c r="F60" s="67">
        <v>2826.4</v>
      </c>
      <c r="G60" s="67">
        <v>55.3</v>
      </c>
      <c r="H60" s="67">
        <v>1354.9</v>
      </c>
      <c r="I60" s="67">
        <f t="shared" si="1"/>
        <v>165385.29999999996</v>
      </c>
      <c r="J60" s="68">
        <v>148241.89999999997</v>
      </c>
      <c r="K60" s="67">
        <v>92741.8</v>
      </c>
      <c r="L60" s="67" t="s">
        <v>49</v>
      </c>
      <c r="M60" s="67">
        <v>380.9</v>
      </c>
      <c r="N60" s="67">
        <v>25</v>
      </c>
      <c r="O60" s="67" t="s">
        <v>49</v>
      </c>
      <c r="P60" s="67">
        <v>4658.5</v>
      </c>
      <c r="Q60" s="74" t="s">
        <v>49</v>
      </c>
      <c r="R60" s="70">
        <v>-80662.8</v>
      </c>
      <c r="S60" s="67">
        <f t="shared" si="2"/>
        <v>165385.29999999993</v>
      </c>
      <c r="T60" s="67">
        <v>486761.1</v>
      </c>
      <c r="U60" s="67">
        <f t="shared" si="3"/>
        <v>2.9431944677066229</v>
      </c>
    </row>
    <row r="61" spans="1:21" s="71" customFormat="1" hidden="1" x14ac:dyDescent="0.2">
      <c r="A61" s="77" t="s">
        <v>73</v>
      </c>
      <c r="B61" s="67">
        <v>124675.4</v>
      </c>
      <c r="C61" s="67">
        <v>21455.5</v>
      </c>
      <c r="D61" s="67" t="s">
        <v>49</v>
      </c>
      <c r="E61" s="67">
        <v>220.4</v>
      </c>
      <c r="F61" s="67">
        <v>1534.6</v>
      </c>
      <c r="G61" s="67">
        <v>42.1</v>
      </c>
      <c r="H61" s="67">
        <v>1409.2</v>
      </c>
      <c r="I61" s="67">
        <f t="shared" si="1"/>
        <v>149337.20000000001</v>
      </c>
      <c r="J61" s="68">
        <v>132152.60000000003</v>
      </c>
      <c r="K61" s="67">
        <v>95710.200000000012</v>
      </c>
      <c r="L61" s="67" t="s">
        <v>49</v>
      </c>
      <c r="M61" s="67">
        <v>380.9</v>
      </c>
      <c r="N61" s="67">
        <v>25</v>
      </c>
      <c r="O61" s="67" t="s">
        <v>49</v>
      </c>
      <c r="P61" s="67">
        <v>4670.6999999999989</v>
      </c>
      <c r="Q61" s="69">
        <v>-3000</v>
      </c>
      <c r="R61" s="70">
        <v>-80602.2</v>
      </c>
      <c r="S61" s="67">
        <f t="shared" si="2"/>
        <v>149337.20000000007</v>
      </c>
      <c r="T61" s="67">
        <v>486512.20000000007</v>
      </c>
      <c r="U61" s="67">
        <f t="shared" si="3"/>
        <v>3.2578098424237232</v>
      </c>
    </row>
    <row r="62" spans="1:21" s="71" customFormat="1" hidden="1" x14ac:dyDescent="0.2">
      <c r="A62" s="77" t="s">
        <v>74</v>
      </c>
      <c r="B62" s="67">
        <v>124765.5</v>
      </c>
      <c r="C62" s="67">
        <v>26062.2</v>
      </c>
      <c r="D62" s="67" t="s">
        <v>49</v>
      </c>
      <c r="E62" s="67">
        <v>303.80000000000007</v>
      </c>
      <c r="F62" s="67">
        <v>1731.2</v>
      </c>
      <c r="G62" s="67">
        <v>64.5</v>
      </c>
      <c r="H62" s="67">
        <v>1217</v>
      </c>
      <c r="I62" s="67">
        <f t="shared" si="1"/>
        <v>154144.20000000001</v>
      </c>
      <c r="J62" s="68">
        <v>115750.00000000003</v>
      </c>
      <c r="K62" s="67">
        <v>111837.09999999999</v>
      </c>
      <c r="L62" s="67" t="s">
        <v>49</v>
      </c>
      <c r="M62" s="67">
        <v>380.9</v>
      </c>
      <c r="N62" s="67">
        <v>25</v>
      </c>
      <c r="O62" s="67" t="s">
        <v>49</v>
      </c>
      <c r="P62" s="67">
        <v>4653.8999999999996</v>
      </c>
      <c r="Q62" s="74" t="s">
        <v>49</v>
      </c>
      <c r="R62" s="70">
        <v>-78502.7</v>
      </c>
      <c r="S62" s="67">
        <f t="shared" si="2"/>
        <v>154144.20000000001</v>
      </c>
      <c r="T62" s="67">
        <v>492047.6</v>
      </c>
      <c r="U62" s="67">
        <f t="shared" si="3"/>
        <v>3.1921252956647082</v>
      </c>
    </row>
    <row r="63" spans="1:21" s="71" customFormat="1" hidden="1" x14ac:dyDescent="0.2">
      <c r="A63" s="77" t="s">
        <v>63</v>
      </c>
      <c r="B63" s="67">
        <v>117851.2</v>
      </c>
      <c r="C63" s="67">
        <v>36139</v>
      </c>
      <c r="D63" s="67" t="s">
        <v>49</v>
      </c>
      <c r="E63" s="67">
        <v>818.50000000000011</v>
      </c>
      <c r="F63" s="67">
        <v>2040.1</v>
      </c>
      <c r="G63" s="67">
        <v>48.6</v>
      </c>
      <c r="H63" s="67">
        <v>1353.5</v>
      </c>
      <c r="I63" s="67">
        <f t="shared" si="1"/>
        <v>158250.90000000002</v>
      </c>
      <c r="J63" s="68">
        <v>133943.70000000004</v>
      </c>
      <c r="K63" s="67">
        <v>98007.60000000002</v>
      </c>
      <c r="L63" s="67" t="s">
        <v>49</v>
      </c>
      <c r="M63" s="67">
        <v>380.9</v>
      </c>
      <c r="N63" s="67">
        <v>25</v>
      </c>
      <c r="O63" s="67" t="s">
        <v>49</v>
      </c>
      <c r="P63" s="67">
        <v>4617.6999999999989</v>
      </c>
      <c r="Q63" s="74" t="s">
        <v>49</v>
      </c>
      <c r="R63" s="70">
        <v>-78724</v>
      </c>
      <c r="S63" s="67">
        <f t="shared" si="2"/>
        <v>158250.90000000005</v>
      </c>
      <c r="T63" s="67">
        <v>505926.30000000005</v>
      </c>
      <c r="U63" s="67">
        <f t="shared" si="3"/>
        <v>3.196988453146238</v>
      </c>
    </row>
    <row r="64" spans="1:21" s="71" customFormat="1" hidden="1" x14ac:dyDescent="0.2">
      <c r="A64" s="77" t="s">
        <v>75</v>
      </c>
      <c r="B64" s="67">
        <v>119216.8</v>
      </c>
      <c r="C64" s="67">
        <v>33282.800000000003</v>
      </c>
      <c r="D64" s="67" t="s">
        <v>49</v>
      </c>
      <c r="E64" s="67">
        <v>686.40000000000009</v>
      </c>
      <c r="F64" s="67">
        <v>1721.9</v>
      </c>
      <c r="G64" s="67">
        <v>76.900000000000006</v>
      </c>
      <c r="H64" s="67">
        <v>1329.2</v>
      </c>
      <c r="I64" s="67">
        <f t="shared" si="1"/>
        <v>156314</v>
      </c>
      <c r="J64" s="68">
        <v>129014.59999999998</v>
      </c>
      <c r="K64" s="67">
        <v>103504.70000000001</v>
      </c>
      <c r="L64" s="67" t="s">
        <v>49</v>
      </c>
      <c r="M64" s="67">
        <v>380.9</v>
      </c>
      <c r="N64" s="67">
        <v>25</v>
      </c>
      <c r="O64" s="67" t="s">
        <v>49</v>
      </c>
      <c r="P64" s="67">
        <v>4536.3999999999996</v>
      </c>
      <c r="Q64" s="74" t="s">
        <v>49</v>
      </c>
      <c r="R64" s="70">
        <v>-81147.599999999991</v>
      </c>
      <c r="S64" s="67">
        <f t="shared" si="2"/>
        <v>156314</v>
      </c>
      <c r="T64" s="67">
        <v>514112.9</v>
      </c>
      <c r="U64" s="67">
        <f t="shared" si="3"/>
        <v>3.2889753956779306</v>
      </c>
    </row>
    <row r="65" spans="1:21" s="71" customFormat="1" hidden="1" x14ac:dyDescent="0.2">
      <c r="A65" s="77" t="s">
        <v>76</v>
      </c>
      <c r="B65" s="67">
        <v>117965.7</v>
      </c>
      <c r="C65" s="67">
        <v>37170.699999999997</v>
      </c>
      <c r="D65" s="67" t="s">
        <v>49</v>
      </c>
      <c r="E65" s="67">
        <v>941.09999999999991</v>
      </c>
      <c r="F65" s="67">
        <v>1724.1</v>
      </c>
      <c r="G65" s="67">
        <v>100.3</v>
      </c>
      <c r="H65" s="67">
        <v>1112.4000000000001</v>
      </c>
      <c r="I65" s="67">
        <f t="shared" si="1"/>
        <v>159014.29999999999</v>
      </c>
      <c r="J65" s="68">
        <v>120358.70000000001</v>
      </c>
      <c r="K65" s="67">
        <v>124081.19999999998</v>
      </c>
      <c r="L65" s="67" t="s">
        <v>49</v>
      </c>
      <c r="M65" s="67">
        <v>380.9</v>
      </c>
      <c r="N65" s="67">
        <v>25</v>
      </c>
      <c r="O65" s="67" t="s">
        <v>49</v>
      </c>
      <c r="P65" s="67">
        <v>4468.2999999999993</v>
      </c>
      <c r="Q65" s="69">
        <v>-6000</v>
      </c>
      <c r="R65" s="70">
        <v>-84299.8</v>
      </c>
      <c r="S65" s="67">
        <f t="shared" si="2"/>
        <v>159014.29999999999</v>
      </c>
      <c r="T65" s="67">
        <v>509232.3</v>
      </c>
      <c r="U65" s="67">
        <f t="shared" si="3"/>
        <v>3.2024308505587236</v>
      </c>
    </row>
    <row r="66" spans="1:21" s="71" customFormat="1" hidden="1" x14ac:dyDescent="0.2">
      <c r="A66" s="77" t="s">
        <v>64</v>
      </c>
      <c r="B66" s="67">
        <v>136206.20000000001</v>
      </c>
      <c r="C66" s="67">
        <v>53891.1</v>
      </c>
      <c r="D66" s="67" t="s">
        <v>49</v>
      </c>
      <c r="E66" s="67">
        <v>1014.1</v>
      </c>
      <c r="F66" s="67">
        <v>6100.8</v>
      </c>
      <c r="G66" s="67">
        <v>29.2</v>
      </c>
      <c r="H66" s="67">
        <v>901.8</v>
      </c>
      <c r="I66" s="67">
        <f t="shared" si="1"/>
        <v>198143.2</v>
      </c>
      <c r="J66" s="68">
        <v>144966.20000000007</v>
      </c>
      <c r="K66" s="67">
        <v>167752.20000000004</v>
      </c>
      <c r="L66" s="67" t="s">
        <v>49</v>
      </c>
      <c r="M66" s="67">
        <v>380.9</v>
      </c>
      <c r="N66" s="67">
        <v>20</v>
      </c>
      <c r="O66" s="67" t="s">
        <v>49</v>
      </c>
      <c r="P66" s="67">
        <v>4342.7</v>
      </c>
      <c r="Q66" s="69">
        <v>-10000</v>
      </c>
      <c r="R66" s="70">
        <v>-109318.79999999999</v>
      </c>
      <c r="S66" s="67">
        <f t="shared" si="2"/>
        <v>198143.20000000019</v>
      </c>
      <c r="T66" s="67">
        <v>565309.9</v>
      </c>
      <c r="U66" s="67">
        <f t="shared" si="3"/>
        <v>2.8530370964030056</v>
      </c>
    </row>
    <row r="67" spans="1:21" s="71" customFormat="1" hidden="1" x14ac:dyDescent="0.2">
      <c r="A67" s="77"/>
      <c r="B67" s="67"/>
      <c r="C67" s="67"/>
      <c r="D67" s="67"/>
      <c r="E67" s="67"/>
      <c r="F67" s="67"/>
      <c r="G67" s="67"/>
      <c r="H67" s="67"/>
      <c r="I67" s="67"/>
      <c r="J67" s="68"/>
      <c r="K67" s="67"/>
      <c r="L67" s="67"/>
      <c r="M67" s="67"/>
      <c r="N67" s="67"/>
      <c r="O67" s="67"/>
      <c r="P67" s="67"/>
      <c r="Q67" s="69"/>
      <c r="R67" s="70"/>
      <c r="S67" s="67"/>
      <c r="T67" s="67"/>
      <c r="U67" s="67"/>
    </row>
    <row r="68" spans="1:21" s="71" customFormat="1" hidden="1" x14ac:dyDescent="0.2">
      <c r="A68" s="77" t="s">
        <v>78</v>
      </c>
      <c r="B68" s="67">
        <v>124469.1</v>
      </c>
      <c r="C68" s="67">
        <v>44898.400000000001</v>
      </c>
      <c r="D68" s="67" t="s">
        <v>49</v>
      </c>
      <c r="E68" s="67">
        <v>721.3</v>
      </c>
      <c r="F68" s="67">
        <v>3451.6000000000004</v>
      </c>
      <c r="G68" s="67">
        <v>35</v>
      </c>
      <c r="H68" s="67">
        <v>778.3</v>
      </c>
      <c r="I68" s="67">
        <f t="shared" si="1"/>
        <v>174353.69999999998</v>
      </c>
      <c r="J68" s="68">
        <v>153042.50000000006</v>
      </c>
      <c r="K68" s="67">
        <v>117407.90000000002</v>
      </c>
      <c r="L68" s="67" t="s">
        <v>49</v>
      </c>
      <c r="M68" s="67">
        <v>380.9</v>
      </c>
      <c r="N68" s="67">
        <v>20</v>
      </c>
      <c r="O68" s="67" t="s">
        <v>49</v>
      </c>
      <c r="P68" s="67">
        <v>5185.8999999999996</v>
      </c>
      <c r="Q68" s="69">
        <v>-20000</v>
      </c>
      <c r="R68" s="70">
        <v>-81683.5</v>
      </c>
      <c r="S68" s="67">
        <f t="shared" si="2"/>
        <v>174353.70000000013</v>
      </c>
      <c r="T68" s="67">
        <v>550236.5</v>
      </c>
      <c r="U68" s="67">
        <f t="shared" si="3"/>
        <v>3.155863626639412</v>
      </c>
    </row>
    <row r="69" spans="1:21" s="71" customFormat="1" hidden="1" x14ac:dyDescent="0.2">
      <c r="A69" s="77" t="s">
        <v>69</v>
      </c>
      <c r="B69" s="67">
        <v>125950.7</v>
      </c>
      <c r="C69" s="67">
        <v>41712.1</v>
      </c>
      <c r="D69" s="67" t="s">
        <v>49</v>
      </c>
      <c r="E69" s="67">
        <v>1912.9999999999998</v>
      </c>
      <c r="F69" s="67">
        <v>1645.8999999999999</v>
      </c>
      <c r="G69" s="67">
        <v>58.4</v>
      </c>
      <c r="H69" s="67">
        <v>1143.8</v>
      </c>
      <c r="I69" s="67">
        <f t="shared" si="1"/>
        <v>172423.89999999997</v>
      </c>
      <c r="J69" s="72">
        <v>150227.50000000003</v>
      </c>
      <c r="K69" s="67">
        <v>117857.3</v>
      </c>
      <c r="L69" s="67" t="s">
        <v>49</v>
      </c>
      <c r="M69" s="67">
        <v>380.9</v>
      </c>
      <c r="N69" s="67">
        <v>20</v>
      </c>
      <c r="O69" s="67" t="s">
        <v>49</v>
      </c>
      <c r="P69" s="67">
        <v>5109.2</v>
      </c>
      <c r="Q69" s="69">
        <v>-16000</v>
      </c>
      <c r="R69" s="70">
        <v>-85170.999999999985</v>
      </c>
      <c r="S69" s="67">
        <f t="shared" si="2"/>
        <v>172423.90000000008</v>
      </c>
      <c r="T69" s="67">
        <v>555905.10000000009</v>
      </c>
      <c r="U69" s="67">
        <f t="shared" si="3"/>
        <v>3.2240605855684752</v>
      </c>
    </row>
    <row r="70" spans="1:21" s="71" customFormat="1" hidden="1" x14ac:dyDescent="0.2">
      <c r="A70" s="77" t="s">
        <v>70</v>
      </c>
      <c r="B70" s="67">
        <v>125349.6</v>
      </c>
      <c r="C70" s="67">
        <v>26586.199999999997</v>
      </c>
      <c r="D70" s="67" t="s">
        <v>49</v>
      </c>
      <c r="E70" s="67">
        <v>707.1</v>
      </c>
      <c r="F70" s="67">
        <v>2048.3000000000002</v>
      </c>
      <c r="G70" s="67">
        <v>77.400000000000006</v>
      </c>
      <c r="H70" s="67">
        <v>590.6</v>
      </c>
      <c r="I70" s="67">
        <f t="shared" si="1"/>
        <v>155359.19999999998</v>
      </c>
      <c r="J70" s="72">
        <v>136213.69999999992</v>
      </c>
      <c r="K70" s="67">
        <v>123302.19999999998</v>
      </c>
      <c r="L70" s="67" t="s">
        <v>49</v>
      </c>
      <c r="M70" s="67">
        <v>380.9</v>
      </c>
      <c r="N70" s="67">
        <v>20</v>
      </c>
      <c r="O70" s="67" t="s">
        <v>49</v>
      </c>
      <c r="P70" s="67">
        <v>5051.8999999999996</v>
      </c>
      <c r="Q70" s="69">
        <v>-22100</v>
      </c>
      <c r="R70" s="70">
        <v>-87509.5</v>
      </c>
      <c r="S70" s="67">
        <f t="shared" si="2"/>
        <v>155359.1999999999</v>
      </c>
      <c r="T70" s="67">
        <v>572007.59999999986</v>
      </c>
      <c r="U70" s="67">
        <f t="shared" si="3"/>
        <v>3.6818392473699655</v>
      </c>
    </row>
    <row r="71" spans="1:21" s="71" customFormat="1" hidden="1" x14ac:dyDescent="0.2">
      <c r="A71" s="77" t="s">
        <v>71</v>
      </c>
      <c r="B71" s="67">
        <v>127864.3</v>
      </c>
      <c r="C71" s="67">
        <v>42278.6</v>
      </c>
      <c r="D71" s="67" t="s">
        <v>49</v>
      </c>
      <c r="E71" s="67">
        <v>2281</v>
      </c>
      <c r="F71" s="67">
        <v>2970.8</v>
      </c>
      <c r="G71" s="67">
        <v>53</v>
      </c>
      <c r="H71" s="67">
        <v>722.2</v>
      </c>
      <c r="I71" s="67">
        <f t="shared" si="1"/>
        <v>176169.9</v>
      </c>
      <c r="J71" s="72">
        <v>124940.20000000007</v>
      </c>
      <c r="K71" s="67">
        <v>140275.89999999997</v>
      </c>
      <c r="L71" s="67" t="s">
        <v>49</v>
      </c>
      <c r="M71" s="67">
        <v>380.9</v>
      </c>
      <c r="N71" s="67">
        <v>20</v>
      </c>
      <c r="O71" s="67" t="s">
        <v>49</v>
      </c>
      <c r="P71" s="67">
        <v>5048.7</v>
      </c>
      <c r="Q71" s="69">
        <v>-10000</v>
      </c>
      <c r="R71" s="70">
        <v>-84495.800000000017</v>
      </c>
      <c r="S71" s="67">
        <f t="shared" si="2"/>
        <v>176169.90000000005</v>
      </c>
      <c r="T71" s="67">
        <v>572238.10000000009</v>
      </c>
      <c r="U71" s="67">
        <f t="shared" si="3"/>
        <v>3.2482172039604955</v>
      </c>
    </row>
    <row r="72" spans="1:21" s="71" customFormat="1" hidden="1" x14ac:dyDescent="0.2">
      <c r="A72" s="77" t="s">
        <v>72</v>
      </c>
      <c r="B72" s="67">
        <v>130114.6</v>
      </c>
      <c r="C72" s="67">
        <v>15889</v>
      </c>
      <c r="D72" s="67" t="s">
        <v>49</v>
      </c>
      <c r="E72" s="67">
        <v>2142.3000000000002</v>
      </c>
      <c r="F72" s="67">
        <v>3033.4</v>
      </c>
      <c r="G72" s="67">
        <v>40.6</v>
      </c>
      <c r="H72" s="67">
        <v>557.70000000000005</v>
      </c>
      <c r="I72" s="67">
        <f t="shared" si="1"/>
        <v>151777.60000000001</v>
      </c>
      <c r="J72" s="72">
        <v>110538.00000000006</v>
      </c>
      <c r="K72" s="67">
        <v>123904.30000000002</v>
      </c>
      <c r="L72" s="67" t="s">
        <v>49</v>
      </c>
      <c r="M72" s="67">
        <v>380.9</v>
      </c>
      <c r="N72" s="67">
        <v>20</v>
      </c>
      <c r="O72" s="67" t="s">
        <v>49</v>
      </c>
      <c r="P72" s="67">
        <v>4993.0999999999995</v>
      </c>
      <c r="Q72" s="74" t="s">
        <v>49</v>
      </c>
      <c r="R72" s="70">
        <v>-88058.7</v>
      </c>
      <c r="S72" s="67">
        <f t="shared" si="2"/>
        <v>151777.60000000009</v>
      </c>
      <c r="T72" s="67">
        <v>559245.80000000005</v>
      </c>
      <c r="U72" s="67">
        <f t="shared" si="3"/>
        <v>3.6846398941609304</v>
      </c>
    </row>
    <row r="73" spans="1:21" s="71" customFormat="1" hidden="1" x14ac:dyDescent="0.2">
      <c r="A73" s="77" t="s">
        <v>62</v>
      </c>
      <c r="B73" s="67">
        <v>147647.5</v>
      </c>
      <c r="C73" s="67">
        <v>21971.5</v>
      </c>
      <c r="D73" s="67">
        <v>0.49099999999999999</v>
      </c>
      <c r="E73" s="67">
        <v>1973</v>
      </c>
      <c r="F73" s="67">
        <v>2936</v>
      </c>
      <c r="G73" s="67">
        <v>23.6</v>
      </c>
      <c r="H73" s="67">
        <v>883.10900000000004</v>
      </c>
      <c r="I73" s="67">
        <f t="shared" si="1"/>
        <v>175435.2</v>
      </c>
      <c r="J73" s="72">
        <v>94137.999999999971</v>
      </c>
      <c r="K73" s="67">
        <v>149157.60000000003</v>
      </c>
      <c r="L73" s="67" t="s">
        <v>49</v>
      </c>
      <c r="M73" s="67">
        <v>380.9</v>
      </c>
      <c r="N73" s="67">
        <v>20</v>
      </c>
      <c r="O73" s="67" t="s">
        <v>49</v>
      </c>
      <c r="P73" s="67">
        <v>4893.7</v>
      </c>
      <c r="Q73" s="74" t="s">
        <v>49</v>
      </c>
      <c r="R73" s="70">
        <v>-73155</v>
      </c>
      <c r="S73" s="67">
        <f t="shared" si="2"/>
        <v>175435.2</v>
      </c>
      <c r="T73" s="67">
        <v>599322.1</v>
      </c>
      <c r="U73" s="67">
        <f t="shared" si="3"/>
        <v>3.4162021076728042</v>
      </c>
    </row>
    <row r="74" spans="1:21" s="71" customFormat="1" hidden="1" x14ac:dyDescent="0.2">
      <c r="A74" s="77" t="s">
        <v>73</v>
      </c>
      <c r="B74" s="67">
        <v>163191.5</v>
      </c>
      <c r="C74" s="67">
        <v>23739.5</v>
      </c>
      <c r="D74" s="67">
        <v>50.491</v>
      </c>
      <c r="E74" s="67">
        <v>1612.3</v>
      </c>
      <c r="F74" s="67">
        <v>3851.2</v>
      </c>
      <c r="G74" s="67">
        <v>31</v>
      </c>
      <c r="H74" s="67">
        <v>432.50900000000001</v>
      </c>
      <c r="I74" s="67">
        <f t="shared" si="1"/>
        <v>192908.5</v>
      </c>
      <c r="J74" s="72">
        <v>91739.900000000023</v>
      </c>
      <c r="K74" s="67">
        <v>167573.5</v>
      </c>
      <c r="L74" s="67" t="s">
        <v>49</v>
      </c>
      <c r="M74" s="67">
        <v>380.9</v>
      </c>
      <c r="N74" s="67">
        <v>20</v>
      </c>
      <c r="O74" s="67" t="s">
        <v>49</v>
      </c>
      <c r="P74" s="67">
        <v>4854.0999999999995</v>
      </c>
      <c r="Q74" s="74" t="s">
        <v>49</v>
      </c>
      <c r="R74" s="70">
        <v>-71659.899999999994</v>
      </c>
      <c r="S74" s="67">
        <f t="shared" si="2"/>
        <v>192908.50000000003</v>
      </c>
      <c r="T74" s="67">
        <v>628333.30000000005</v>
      </c>
      <c r="U74" s="67">
        <f t="shared" si="3"/>
        <v>3.2571571496331164</v>
      </c>
    </row>
    <row r="75" spans="1:21" s="71" customFormat="1" hidden="1" x14ac:dyDescent="0.2">
      <c r="A75" s="77" t="s">
        <v>74</v>
      </c>
      <c r="B75" s="67">
        <v>156374.20000000001</v>
      </c>
      <c r="C75" s="67">
        <v>31485.7</v>
      </c>
      <c r="D75" s="67">
        <v>200.49100000000001</v>
      </c>
      <c r="E75" s="67">
        <v>1069.3000000000002</v>
      </c>
      <c r="F75" s="67">
        <v>3228.5799999999995</v>
      </c>
      <c r="G75" s="67">
        <v>38.200000000000003</v>
      </c>
      <c r="H75" s="67">
        <v>563.70900000000006</v>
      </c>
      <c r="I75" s="67">
        <f t="shared" si="1"/>
        <v>192960.18000000002</v>
      </c>
      <c r="J75" s="72">
        <v>83653</v>
      </c>
      <c r="K75" s="67">
        <v>162905.58000000002</v>
      </c>
      <c r="L75" s="67">
        <v>598.6</v>
      </c>
      <c r="M75" s="67">
        <v>380.9</v>
      </c>
      <c r="N75" s="67">
        <v>20</v>
      </c>
      <c r="O75" s="67" t="s">
        <v>49</v>
      </c>
      <c r="P75" s="67">
        <v>4806.8</v>
      </c>
      <c r="Q75" s="74" t="s">
        <v>49</v>
      </c>
      <c r="R75" s="70">
        <v>-59404.700000000004</v>
      </c>
      <c r="S75" s="67">
        <f t="shared" si="2"/>
        <v>192960.18</v>
      </c>
      <c r="T75" s="67">
        <v>635999.17999999993</v>
      </c>
      <c r="U75" s="67">
        <f t="shared" si="3"/>
        <v>3.2960125762735082</v>
      </c>
    </row>
    <row r="76" spans="1:21" s="71" customFormat="1" hidden="1" x14ac:dyDescent="0.2">
      <c r="A76" s="77" t="s">
        <v>63</v>
      </c>
      <c r="B76" s="67">
        <v>149317.20000000001</v>
      </c>
      <c r="C76" s="67">
        <v>30479.4</v>
      </c>
      <c r="D76" s="67">
        <v>200.49100000000001</v>
      </c>
      <c r="E76" s="67">
        <v>1908.1999999999998</v>
      </c>
      <c r="F76" s="67">
        <v>1770.6000000000001</v>
      </c>
      <c r="G76" s="67">
        <v>19.399999999999999</v>
      </c>
      <c r="H76" s="67">
        <v>570.70900000000006</v>
      </c>
      <c r="I76" s="67">
        <f t="shared" si="1"/>
        <v>184266.00000000003</v>
      </c>
      <c r="J76" s="72">
        <v>69547.100000000035</v>
      </c>
      <c r="K76" s="67">
        <v>171436.9</v>
      </c>
      <c r="L76" s="67" t="s">
        <v>49</v>
      </c>
      <c r="M76" s="67">
        <v>380.9</v>
      </c>
      <c r="N76" s="67">
        <v>20</v>
      </c>
      <c r="O76" s="67" t="s">
        <v>49</v>
      </c>
      <c r="P76" s="67">
        <v>4817.1999999999989</v>
      </c>
      <c r="Q76" s="69">
        <v>-2000</v>
      </c>
      <c r="R76" s="70">
        <v>-59936.100000000006</v>
      </c>
      <c r="S76" s="67">
        <f t="shared" si="2"/>
        <v>184266.00000000003</v>
      </c>
      <c r="T76" s="67">
        <v>637143.30000000005</v>
      </c>
      <c r="U76" s="67">
        <f t="shared" si="3"/>
        <v>3.4577366415942166</v>
      </c>
    </row>
    <row r="77" spans="1:21" s="71" customFormat="1" hidden="1" x14ac:dyDescent="0.2">
      <c r="A77" s="77" t="s">
        <v>75</v>
      </c>
      <c r="B77" s="67">
        <v>145288.6</v>
      </c>
      <c r="C77" s="67">
        <v>15265.400000000001</v>
      </c>
      <c r="D77" s="67">
        <v>0.49099999999999999</v>
      </c>
      <c r="E77" s="67">
        <v>2831.3</v>
      </c>
      <c r="F77" s="67">
        <v>954.49999999999989</v>
      </c>
      <c r="G77" s="67">
        <v>16.5</v>
      </c>
      <c r="H77" s="67">
        <v>677.80899999999997</v>
      </c>
      <c r="I77" s="67">
        <f t="shared" si="1"/>
        <v>165034.6</v>
      </c>
      <c r="J77" s="72">
        <v>66483.800000000047</v>
      </c>
      <c r="K77" s="67">
        <v>149463.90000000002</v>
      </c>
      <c r="L77" s="67">
        <v>3740.2</v>
      </c>
      <c r="M77" s="67">
        <v>380.9</v>
      </c>
      <c r="N77" s="67">
        <v>20</v>
      </c>
      <c r="O77" s="67" t="s">
        <v>49</v>
      </c>
      <c r="P77" s="67">
        <v>4696.3999999999996</v>
      </c>
      <c r="Q77" s="74" t="s">
        <v>49</v>
      </c>
      <c r="R77" s="70">
        <v>-59750.600000000006</v>
      </c>
      <c r="S77" s="67">
        <f t="shared" si="2"/>
        <v>165034.60000000006</v>
      </c>
      <c r="T77" s="67">
        <v>628055.30000000005</v>
      </c>
      <c r="U77" s="67">
        <f t="shared" si="3"/>
        <v>3.8055977352627877</v>
      </c>
    </row>
    <row r="78" spans="1:21" s="71" customFormat="1" hidden="1" x14ac:dyDescent="0.2">
      <c r="A78" s="77" t="s">
        <v>76</v>
      </c>
      <c r="B78" s="67">
        <v>143026.9</v>
      </c>
      <c r="C78" s="67">
        <v>31831.5</v>
      </c>
      <c r="D78" s="67">
        <v>100.5</v>
      </c>
      <c r="E78" s="67">
        <v>3638.7</v>
      </c>
      <c r="F78" s="67">
        <v>1518.6</v>
      </c>
      <c r="G78" s="67">
        <v>22</v>
      </c>
      <c r="H78" s="67">
        <v>575.40899999999999</v>
      </c>
      <c r="I78" s="67">
        <f t="shared" si="1"/>
        <v>180713.60900000003</v>
      </c>
      <c r="J78" s="72">
        <v>74650.300000000047</v>
      </c>
      <c r="K78" s="67">
        <v>164159.80000000002</v>
      </c>
      <c r="L78" s="67" t="s">
        <v>49</v>
      </c>
      <c r="M78" s="67">
        <v>380.9</v>
      </c>
      <c r="N78" s="67">
        <v>20</v>
      </c>
      <c r="O78" s="67" t="s">
        <v>49</v>
      </c>
      <c r="P78" s="67">
        <v>4573</v>
      </c>
      <c r="Q78" s="74" t="s">
        <v>49</v>
      </c>
      <c r="R78" s="70">
        <v>-63070.400000000001</v>
      </c>
      <c r="S78" s="67">
        <f t="shared" si="2"/>
        <v>180713.60000000006</v>
      </c>
      <c r="T78" s="67">
        <v>640335.80900000001</v>
      </c>
      <c r="U78" s="67">
        <f t="shared" si="3"/>
        <v>3.5433734766483465</v>
      </c>
    </row>
    <row r="79" spans="1:21" s="86" customFormat="1" hidden="1" x14ac:dyDescent="0.2">
      <c r="A79" s="81" t="s">
        <v>64</v>
      </c>
      <c r="B79" s="82">
        <v>155835.20000000001</v>
      </c>
      <c r="C79" s="82">
        <v>47450.5</v>
      </c>
      <c r="D79" s="82">
        <v>2738.884497</v>
      </c>
      <c r="E79" s="82">
        <v>1428</v>
      </c>
      <c r="F79" s="82">
        <v>3735.6</v>
      </c>
      <c r="G79" s="82">
        <v>28.6</v>
      </c>
      <c r="H79" s="82">
        <v>422.01550300000008</v>
      </c>
      <c r="I79" s="82">
        <f t="shared" si="1"/>
        <v>211638.80000000002</v>
      </c>
      <c r="J79" s="83">
        <v>141613.59999999998</v>
      </c>
      <c r="K79" s="82">
        <v>150905.29999999999</v>
      </c>
      <c r="L79" s="82" t="s">
        <v>49</v>
      </c>
      <c r="M79" s="82">
        <v>380.9</v>
      </c>
      <c r="N79" s="82">
        <v>20</v>
      </c>
      <c r="O79" s="82" t="s">
        <v>49</v>
      </c>
      <c r="P79" s="82">
        <v>4671.9999999999991</v>
      </c>
      <c r="Q79" s="84">
        <v>-7000</v>
      </c>
      <c r="R79" s="85">
        <v>-78953</v>
      </c>
      <c r="S79" s="82">
        <f t="shared" si="2"/>
        <v>211638.8</v>
      </c>
      <c r="T79" s="82">
        <v>703372.51550300012</v>
      </c>
      <c r="U79" s="82">
        <f t="shared" si="3"/>
        <v>3.3234573032118879</v>
      </c>
    </row>
    <row r="80" spans="1:21" s="86" customFormat="1" hidden="1" x14ac:dyDescent="0.2">
      <c r="A80" s="81"/>
      <c r="B80" s="82"/>
      <c r="C80" s="82"/>
      <c r="D80" s="82"/>
      <c r="E80" s="82"/>
      <c r="F80" s="82"/>
      <c r="G80" s="82"/>
      <c r="H80" s="82"/>
      <c r="I80" s="82"/>
      <c r="J80" s="83"/>
      <c r="K80" s="82"/>
      <c r="L80" s="82"/>
      <c r="M80" s="82"/>
      <c r="N80" s="82"/>
      <c r="O80" s="82"/>
      <c r="P80" s="82"/>
      <c r="Q80" s="84"/>
      <c r="R80" s="85"/>
      <c r="S80" s="82"/>
      <c r="T80" s="82"/>
      <c r="U80" s="82"/>
    </row>
    <row r="81" spans="1:21" s="71" customFormat="1" hidden="1" x14ac:dyDescent="0.2">
      <c r="A81" s="77" t="s">
        <v>79</v>
      </c>
      <c r="B81" s="67">
        <v>145536.5</v>
      </c>
      <c r="C81" s="67">
        <v>43841.1</v>
      </c>
      <c r="D81" s="67">
        <v>135.918432</v>
      </c>
      <c r="E81" s="67">
        <v>512.70000000000005</v>
      </c>
      <c r="F81" s="67">
        <v>1078.5</v>
      </c>
      <c r="G81" s="67">
        <v>56</v>
      </c>
      <c r="H81" s="67">
        <v>742.38156800000002</v>
      </c>
      <c r="I81" s="67">
        <f t="shared" si="1"/>
        <v>191903.10000000003</v>
      </c>
      <c r="J81" s="72">
        <v>131446.90000000002</v>
      </c>
      <c r="K81" s="67">
        <v>126919.59999999999</v>
      </c>
      <c r="L81" s="67" t="s">
        <v>49</v>
      </c>
      <c r="M81" s="67">
        <v>380.9</v>
      </c>
      <c r="N81" s="67">
        <v>20</v>
      </c>
      <c r="O81" s="67" t="s">
        <v>49</v>
      </c>
      <c r="P81" s="67">
        <v>5574.3999999999987</v>
      </c>
      <c r="Q81" s="69">
        <v>-8500</v>
      </c>
      <c r="R81" s="70">
        <v>-63938.7</v>
      </c>
      <c r="S81" s="67">
        <f t="shared" si="2"/>
        <v>191903.09999999998</v>
      </c>
      <c r="T81" s="67">
        <v>668021.28156800009</v>
      </c>
      <c r="U81" s="67">
        <f t="shared" si="3"/>
        <v>3.4810343426864909</v>
      </c>
    </row>
    <row r="82" spans="1:21" s="71" customFormat="1" hidden="1" x14ac:dyDescent="0.2">
      <c r="A82" s="77" t="s">
        <v>69</v>
      </c>
      <c r="B82" s="67">
        <v>144843.29999999999</v>
      </c>
      <c r="C82" s="67">
        <v>28928.1</v>
      </c>
      <c r="D82" s="67">
        <v>543</v>
      </c>
      <c r="E82" s="67">
        <v>1155.7999999999997</v>
      </c>
      <c r="F82" s="67">
        <v>1490.1</v>
      </c>
      <c r="G82" s="67">
        <v>36.700000000000003</v>
      </c>
      <c r="H82" s="67">
        <v>731</v>
      </c>
      <c r="I82" s="67">
        <f t="shared" si="1"/>
        <v>177728</v>
      </c>
      <c r="J82" s="72">
        <v>156264.40000000002</v>
      </c>
      <c r="K82" s="67">
        <v>83321.100000000006</v>
      </c>
      <c r="L82" s="67">
        <v>1723.4</v>
      </c>
      <c r="M82" s="67">
        <v>380.9</v>
      </c>
      <c r="N82" s="67">
        <v>20</v>
      </c>
      <c r="O82" s="67" t="s">
        <v>49</v>
      </c>
      <c r="P82" s="67">
        <v>5574.5999999999995</v>
      </c>
      <c r="Q82" s="69">
        <v>-3000</v>
      </c>
      <c r="R82" s="70">
        <v>-66556.399999999994</v>
      </c>
      <c r="S82" s="67">
        <f t="shared" si="2"/>
        <v>177728.00000000003</v>
      </c>
      <c r="T82" s="67">
        <v>668911</v>
      </c>
      <c r="U82" s="67">
        <f t="shared" si="3"/>
        <v>3.7636782048973711</v>
      </c>
    </row>
    <row r="83" spans="1:21" s="71" customFormat="1" hidden="1" x14ac:dyDescent="0.2">
      <c r="A83" s="77" t="s">
        <v>70</v>
      </c>
      <c r="B83" s="67">
        <v>149827.1</v>
      </c>
      <c r="C83" s="67">
        <v>39367.200000000004</v>
      </c>
      <c r="D83" s="67">
        <v>398.98371200000003</v>
      </c>
      <c r="E83" s="67">
        <v>611.6</v>
      </c>
      <c r="F83" s="67">
        <v>2831.0000000000005</v>
      </c>
      <c r="G83" s="67">
        <v>92.9</v>
      </c>
      <c r="H83" s="67">
        <v>1004.016288</v>
      </c>
      <c r="I83" s="67">
        <f t="shared" si="1"/>
        <v>194132.80000000002</v>
      </c>
      <c r="J83" s="72">
        <v>143339.09999999998</v>
      </c>
      <c r="K83" s="67">
        <v>111050.6</v>
      </c>
      <c r="L83" s="67">
        <v>3410.3</v>
      </c>
      <c r="M83" s="67">
        <v>380.9</v>
      </c>
      <c r="N83" s="67">
        <v>20</v>
      </c>
      <c r="O83" s="67" t="s">
        <v>49</v>
      </c>
      <c r="P83" s="67">
        <v>5495.9999999999991</v>
      </c>
      <c r="Q83" s="69">
        <v>-4500</v>
      </c>
      <c r="R83" s="70">
        <v>-65064.1</v>
      </c>
      <c r="S83" s="67">
        <f t="shared" si="2"/>
        <v>194132.79999999996</v>
      </c>
      <c r="T83" s="67">
        <v>689883.216288</v>
      </c>
      <c r="U83" s="67">
        <f t="shared" si="3"/>
        <v>3.5536664401275826</v>
      </c>
    </row>
    <row r="84" spans="1:21" s="71" customFormat="1" hidden="1" x14ac:dyDescent="0.2">
      <c r="A84" s="77" t="s">
        <v>71</v>
      </c>
      <c r="B84" s="67">
        <v>154603.9</v>
      </c>
      <c r="C84" s="67">
        <v>34054.1</v>
      </c>
      <c r="D84" s="67">
        <v>647.1</v>
      </c>
      <c r="E84" s="67">
        <v>591.6</v>
      </c>
      <c r="F84" s="67">
        <v>6855.9000000000005</v>
      </c>
      <c r="G84" s="67">
        <v>47.3</v>
      </c>
      <c r="H84" s="67">
        <v>872.30000000000007</v>
      </c>
      <c r="I84" s="67">
        <f t="shared" ref="I84:I147" si="4">SUM(B84:H84)</f>
        <v>197672.19999999998</v>
      </c>
      <c r="J84" s="72">
        <v>151581.59999999998</v>
      </c>
      <c r="K84" s="67">
        <v>102644.49999999999</v>
      </c>
      <c r="L84" s="67">
        <v>4017</v>
      </c>
      <c r="M84" s="67">
        <v>380.9</v>
      </c>
      <c r="N84" s="67">
        <v>20</v>
      </c>
      <c r="O84" s="67" t="s">
        <v>49</v>
      </c>
      <c r="P84" s="67">
        <v>5481.7999999999993</v>
      </c>
      <c r="Q84" s="74" t="s">
        <v>49</v>
      </c>
      <c r="R84" s="70">
        <v>-66453.600000000006</v>
      </c>
      <c r="S84" s="67">
        <f t="shared" ref="S84:S147" si="5">SUM(J84:R84)</f>
        <v>197672.19999999998</v>
      </c>
      <c r="T84" s="67">
        <v>696434</v>
      </c>
      <c r="U84" s="67">
        <f t="shared" si="3"/>
        <v>3.5231762483545994</v>
      </c>
    </row>
    <row r="85" spans="1:21" s="71" customFormat="1" hidden="1" x14ac:dyDescent="0.2">
      <c r="A85" s="77" t="s">
        <v>72</v>
      </c>
      <c r="B85" s="67">
        <v>159225.29999999999</v>
      </c>
      <c r="C85" s="67">
        <v>26890.299999999996</v>
      </c>
      <c r="D85" s="67">
        <v>398.98371200000003</v>
      </c>
      <c r="E85" s="67">
        <v>968.90000000000009</v>
      </c>
      <c r="F85" s="67">
        <v>4582.8999999999996</v>
      </c>
      <c r="G85" s="67">
        <v>124.5</v>
      </c>
      <c r="H85" s="67">
        <v>765.01628800000003</v>
      </c>
      <c r="I85" s="67">
        <f t="shared" si="4"/>
        <v>192955.89999999997</v>
      </c>
      <c r="J85" s="72">
        <v>145435.50000000006</v>
      </c>
      <c r="K85" s="67">
        <v>101140.19999999998</v>
      </c>
      <c r="L85" s="67">
        <v>8670.2999999999993</v>
      </c>
      <c r="M85" s="67">
        <v>380.9</v>
      </c>
      <c r="N85" s="67">
        <v>20</v>
      </c>
      <c r="O85" s="67" t="s">
        <v>49</v>
      </c>
      <c r="P85" s="67">
        <v>5605.9</v>
      </c>
      <c r="Q85" s="74" t="s">
        <v>49</v>
      </c>
      <c r="R85" s="70">
        <v>-68296.900000000009</v>
      </c>
      <c r="S85" s="67">
        <f t="shared" si="5"/>
        <v>192955.90000000002</v>
      </c>
      <c r="T85" s="67">
        <v>702079.21628799988</v>
      </c>
      <c r="U85" s="67">
        <f t="shared" si="3"/>
        <v>3.6385475452577505</v>
      </c>
    </row>
    <row r="86" spans="1:21" s="71" customFormat="1" hidden="1" x14ac:dyDescent="0.2">
      <c r="A86" s="77" t="s">
        <v>62</v>
      </c>
      <c r="B86" s="67">
        <v>172348.7</v>
      </c>
      <c r="C86" s="67">
        <v>27532.100000000002</v>
      </c>
      <c r="D86" s="67">
        <v>4490.4912750000003</v>
      </c>
      <c r="E86" s="67">
        <v>1167.8999999999999</v>
      </c>
      <c r="F86" s="67">
        <v>4553.0999999999995</v>
      </c>
      <c r="G86" s="67">
        <v>97</v>
      </c>
      <c r="H86" s="67">
        <v>801.50872499999969</v>
      </c>
      <c r="I86" s="67">
        <f t="shared" si="4"/>
        <v>210990.80000000002</v>
      </c>
      <c r="J86" s="72">
        <v>133383.10000000003</v>
      </c>
      <c r="K86" s="67">
        <v>115763.80000000005</v>
      </c>
      <c r="L86" s="67">
        <v>21978.1</v>
      </c>
      <c r="M86" s="67">
        <v>380.9</v>
      </c>
      <c r="N86" s="67">
        <v>20</v>
      </c>
      <c r="O86" s="67" t="s">
        <v>49</v>
      </c>
      <c r="P86" s="67">
        <v>5860.2</v>
      </c>
      <c r="Q86" s="74" t="s">
        <v>49</v>
      </c>
      <c r="R86" s="70">
        <v>-66395.3</v>
      </c>
      <c r="S86" s="67">
        <f t="shared" si="5"/>
        <v>210990.8000000001</v>
      </c>
      <c r="T86" s="67">
        <v>725805.00872499996</v>
      </c>
      <c r="U86" s="67">
        <f t="shared" si="3"/>
        <v>3.4399841544038883</v>
      </c>
    </row>
    <row r="87" spans="1:21" s="71" customFormat="1" hidden="1" x14ac:dyDescent="0.2">
      <c r="A87" s="77" t="s">
        <v>73</v>
      </c>
      <c r="B87" s="67">
        <v>186362</v>
      </c>
      <c r="C87" s="67">
        <v>25164.7</v>
      </c>
      <c r="D87" s="67">
        <v>4881.352691</v>
      </c>
      <c r="E87" s="67">
        <v>913</v>
      </c>
      <c r="F87" s="67">
        <v>7643.699999999998</v>
      </c>
      <c r="G87" s="67">
        <v>97.7</v>
      </c>
      <c r="H87" s="67">
        <v>562.94730900000013</v>
      </c>
      <c r="I87" s="67">
        <f t="shared" si="4"/>
        <v>225625.40000000005</v>
      </c>
      <c r="J87" s="72">
        <v>119995.09999999998</v>
      </c>
      <c r="K87" s="67">
        <v>140073</v>
      </c>
      <c r="L87" s="67">
        <v>28323</v>
      </c>
      <c r="M87" s="67">
        <v>380.9</v>
      </c>
      <c r="N87" s="67">
        <v>20</v>
      </c>
      <c r="O87" s="67" t="s">
        <v>49</v>
      </c>
      <c r="P87" s="67">
        <v>5863.3</v>
      </c>
      <c r="Q87" s="74" t="s">
        <v>49</v>
      </c>
      <c r="R87" s="70">
        <v>-69029.899999999994</v>
      </c>
      <c r="S87" s="67">
        <f t="shared" si="5"/>
        <v>225625.4</v>
      </c>
      <c r="T87" s="67">
        <v>760470.03064233332</v>
      </c>
      <c r="U87" s="67">
        <f t="shared" si="3"/>
        <v>3.3704983155368726</v>
      </c>
    </row>
    <row r="88" spans="1:21" s="71" customFormat="1" hidden="1" x14ac:dyDescent="0.2">
      <c r="A88" s="77" t="s">
        <v>74</v>
      </c>
      <c r="B88" s="67">
        <v>180063.1</v>
      </c>
      <c r="C88" s="67">
        <v>37662.400000000001</v>
      </c>
      <c r="D88" s="67">
        <v>181.68308100000002</v>
      </c>
      <c r="E88" s="67">
        <v>1275.4000000000001</v>
      </c>
      <c r="F88" s="67">
        <v>1958.6</v>
      </c>
      <c r="G88" s="67">
        <v>83.5</v>
      </c>
      <c r="H88" s="67">
        <v>481.61691899999994</v>
      </c>
      <c r="I88" s="67">
        <f t="shared" si="4"/>
        <v>221706.3</v>
      </c>
      <c r="J88" s="72">
        <v>101092.90000000002</v>
      </c>
      <c r="K88" s="67">
        <v>148332.30000000002</v>
      </c>
      <c r="L88" s="67">
        <v>30627.200000000001</v>
      </c>
      <c r="M88" s="67">
        <v>380.9</v>
      </c>
      <c r="N88" s="67">
        <v>20</v>
      </c>
      <c r="O88" s="67" t="s">
        <v>49</v>
      </c>
      <c r="P88" s="67">
        <v>5886.4000000000005</v>
      </c>
      <c r="Q88" s="74" t="s">
        <v>49</v>
      </c>
      <c r="R88" s="70">
        <v>-64633.4</v>
      </c>
      <c r="S88" s="67">
        <f t="shared" si="5"/>
        <v>221706.30000000008</v>
      </c>
      <c r="T88" s="67">
        <v>754558.58358566649</v>
      </c>
      <c r="U88" s="67">
        <f t="shared" si="3"/>
        <v>3.4034151649532132</v>
      </c>
    </row>
    <row r="89" spans="1:21" s="71" customFormat="1" hidden="1" x14ac:dyDescent="0.2">
      <c r="A89" s="77" t="s">
        <v>63</v>
      </c>
      <c r="B89" s="67">
        <v>168466.4</v>
      </c>
      <c r="C89" s="67">
        <v>33244.300000000003</v>
      </c>
      <c r="D89" s="67">
        <v>2484.4</v>
      </c>
      <c r="E89" s="67">
        <v>1493.8</v>
      </c>
      <c r="F89" s="67">
        <v>1412.9000000000003</v>
      </c>
      <c r="G89" s="67">
        <v>37.9</v>
      </c>
      <c r="H89" s="67">
        <v>500.59999999999991</v>
      </c>
      <c r="I89" s="67">
        <f t="shared" si="4"/>
        <v>207640.3</v>
      </c>
      <c r="J89" s="72">
        <v>81241.400000000023</v>
      </c>
      <c r="K89" s="67">
        <v>149815.80000000002</v>
      </c>
      <c r="L89" s="67">
        <v>41214.800000000003</v>
      </c>
      <c r="M89" s="67">
        <v>380.9</v>
      </c>
      <c r="N89" s="67">
        <v>20</v>
      </c>
      <c r="O89" s="67" t="s">
        <v>49</v>
      </c>
      <c r="P89" s="67">
        <v>6248.6999999999989</v>
      </c>
      <c r="Q89" s="74" t="s">
        <v>49</v>
      </c>
      <c r="R89" s="70">
        <v>-71281.3</v>
      </c>
      <c r="S89" s="67">
        <f t="shared" si="5"/>
        <v>207640.3000000001</v>
      </c>
      <c r="T89" s="67">
        <v>723509.55</v>
      </c>
      <c r="U89" s="67">
        <f t="shared" si="3"/>
        <v>3.4844370288426672</v>
      </c>
    </row>
    <row r="90" spans="1:21" s="71" customFormat="1" hidden="1" x14ac:dyDescent="0.2">
      <c r="A90" s="77" t="s">
        <v>75</v>
      </c>
      <c r="B90" s="67">
        <v>163042.70000000001</v>
      </c>
      <c r="C90" s="67">
        <v>23626.300000000003</v>
      </c>
      <c r="D90" s="67">
        <v>2788.4236020000003</v>
      </c>
      <c r="E90" s="67">
        <v>931.2</v>
      </c>
      <c r="F90" s="67">
        <v>2651.1000000000004</v>
      </c>
      <c r="G90" s="67">
        <v>25.6</v>
      </c>
      <c r="H90" s="67">
        <v>1386.4763980000002</v>
      </c>
      <c r="I90" s="67">
        <f t="shared" si="4"/>
        <v>194451.80000000002</v>
      </c>
      <c r="J90" s="72">
        <v>61605.000000000058</v>
      </c>
      <c r="K90" s="67">
        <v>165574.1</v>
      </c>
      <c r="L90" s="67">
        <v>33892.300000000003</v>
      </c>
      <c r="M90" s="67">
        <v>380.9</v>
      </c>
      <c r="N90" s="67">
        <v>20</v>
      </c>
      <c r="O90" s="67" t="s">
        <v>49</v>
      </c>
      <c r="P90" s="67">
        <v>6149.4999999999991</v>
      </c>
      <c r="Q90" s="74" t="s">
        <v>49</v>
      </c>
      <c r="R90" s="70">
        <v>-73170</v>
      </c>
      <c r="S90" s="67">
        <f t="shared" si="5"/>
        <v>194451.80000000005</v>
      </c>
      <c r="T90" s="67">
        <v>727970.00973133335</v>
      </c>
      <c r="U90" s="67">
        <f t="shared" si="3"/>
        <v>3.7437041453529014</v>
      </c>
    </row>
    <row r="91" spans="1:21" s="71" customFormat="1" hidden="1" x14ac:dyDescent="0.2">
      <c r="A91" s="77" t="s">
        <v>76</v>
      </c>
      <c r="B91" s="67">
        <v>157871.5</v>
      </c>
      <c r="C91" s="67">
        <v>19725.599999999999</v>
      </c>
      <c r="D91" s="67">
        <v>2419.5932160000002</v>
      </c>
      <c r="E91" s="67">
        <v>782.7</v>
      </c>
      <c r="F91" s="67">
        <v>2706.9</v>
      </c>
      <c r="G91" s="67">
        <v>9.1</v>
      </c>
      <c r="H91" s="67">
        <v>435.90678400000024</v>
      </c>
      <c r="I91" s="67">
        <f t="shared" si="4"/>
        <v>183951.30000000002</v>
      </c>
      <c r="J91" s="72">
        <v>59710.299999999988</v>
      </c>
      <c r="K91" s="67">
        <v>152674.5</v>
      </c>
      <c r="L91" s="67">
        <v>39419.1</v>
      </c>
      <c r="M91" s="67">
        <v>380.9</v>
      </c>
      <c r="N91" s="67">
        <v>20</v>
      </c>
      <c r="O91" s="67" t="s">
        <v>49</v>
      </c>
      <c r="P91" s="67">
        <v>6130.8</v>
      </c>
      <c r="Q91" s="74" t="s">
        <v>49</v>
      </c>
      <c r="R91" s="70">
        <v>-74384.3</v>
      </c>
      <c r="S91" s="67">
        <f t="shared" si="5"/>
        <v>183951.3</v>
      </c>
      <c r="T91" s="67">
        <v>713369.9234506666</v>
      </c>
      <c r="U91" s="67">
        <f t="shared" si="3"/>
        <v>3.8780368687292044</v>
      </c>
    </row>
    <row r="92" spans="1:21" s="71" customFormat="1" hidden="1" x14ac:dyDescent="0.2">
      <c r="A92" s="77" t="s">
        <v>64</v>
      </c>
      <c r="B92" s="67">
        <v>170106</v>
      </c>
      <c r="C92" s="67">
        <v>34979.700000000004</v>
      </c>
      <c r="D92" s="67">
        <v>500</v>
      </c>
      <c r="E92" s="67">
        <v>278</v>
      </c>
      <c r="F92" s="67">
        <v>5041.4999999999982</v>
      </c>
      <c r="G92" s="67">
        <v>23.6</v>
      </c>
      <c r="H92" s="67">
        <v>397.3</v>
      </c>
      <c r="I92" s="67">
        <f t="shared" si="4"/>
        <v>211326.1</v>
      </c>
      <c r="J92" s="72">
        <v>82293.999999999942</v>
      </c>
      <c r="K92" s="67">
        <v>211644.80000000005</v>
      </c>
      <c r="L92" s="67">
        <v>25301.3</v>
      </c>
      <c r="M92" s="67">
        <v>380.9</v>
      </c>
      <c r="N92" s="67">
        <v>20</v>
      </c>
      <c r="O92" s="67" t="s">
        <v>49</v>
      </c>
      <c r="P92" s="67">
        <v>6184.2</v>
      </c>
      <c r="Q92" s="74" t="s">
        <v>49</v>
      </c>
      <c r="R92" s="70">
        <v>-114499.1</v>
      </c>
      <c r="S92" s="67">
        <f t="shared" si="5"/>
        <v>211326.1</v>
      </c>
      <c r="T92" s="67">
        <v>752310.1</v>
      </c>
      <c r="U92" s="67">
        <f t="shared" si="3"/>
        <v>3.5599488184374763</v>
      </c>
    </row>
    <row r="93" spans="1:21" s="71" customFormat="1" hidden="1" x14ac:dyDescent="0.2">
      <c r="A93" s="77"/>
      <c r="B93" s="67"/>
      <c r="C93" s="67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74"/>
      <c r="R93" s="70"/>
      <c r="S93" s="67"/>
      <c r="T93" s="67"/>
      <c r="U93" s="67"/>
    </row>
    <row r="94" spans="1:21" s="71" customFormat="1" hidden="1" x14ac:dyDescent="0.2">
      <c r="A94" s="77" t="s">
        <v>80</v>
      </c>
      <c r="B94" s="67">
        <v>162981.5</v>
      </c>
      <c r="C94" s="67">
        <v>18924</v>
      </c>
      <c r="D94" s="67">
        <v>2450.4688410000003</v>
      </c>
      <c r="E94" s="67">
        <v>543.20000000000005</v>
      </c>
      <c r="F94" s="67">
        <v>2058.7000000000007</v>
      </c>
      <c r="G94" s="67">
        <v>44.3</v>
      </c>
      <c r="H94" s="67">
        <v>2583.6311589999991</v>
      </c>
      <c r="I94" s="67">
        <f t="shared" si="4"/>
        <v>189585.80000000002</v>
      </c>
      <c r="J94" s="72">
        <v>112890.80000000016</v>
      </c>
      <c r="K94" s="67">
        <v>137839.40000000002</v>
      </c>
      <c r="L94" s="67">
        <v>17713.400000000001</v>
      </c>
      <c r="M94" s="67">
        <v>380.9</v>
      </c>
      <c r="N94" s="67">
        <v>20</v>
      </c>
      <c r="O94" s="67" t="s">
        <v>49</v>
      </c>
      <c r="P94" s="67">
        <v>7026.9</v>
      </c>
      <c r="Q94" s="74" t="s">
        <v>49</v>
      </c>
      <c r="R94" s="70">
        <v>-86285.6</v>
      </c>
      <c r="S94" s="67">
        <f t="shared" si="5"/>
        <v>189585.80000000025</v>
      </c>
      <c r="T94" s="67">
        <v>747577.81449233356</v>
      </c>
      <c r="U94" s="67">
        <f t="shared" si="3"/>
        <v>3.9432162877828061</v>
      </c>
    </row>
    <row r="95" spans="1:21" s="71" customFormat="1" hidden="1" x14ac:dyDescent="0.2">
      <c r="A95" s="77" t="s">
        <v>69</v>
      </c>
      <c r="B95" s="67">
        <v>164099.6</v>
      </c>
      <c r="C95" s="67">
        <v>29919</v>
      </c>
      <c r="D95" s="67">
        <v>520.86202399999991</v>
      </c>
      <c r="E95" s="67">
        <v>1147.5999999999999</v>
      </c>
      <c r="F95" s="67">
        <v>3279.3</v>
      </c>
      <c r="G95" s="67">
        <v>44.3</v>
      </c>
      <c r="H95" s="67">
        <v>511.93797600000005</v>
      </c>
      <c r="I95" s="67">
        <f t="shared" si="4"/>
        <v>199522.59999999998</v>
      </c>
      <c r="J95" s="72">
        <v>98423.899999999965</v>
      </c>
      <c r="K95" s="67">
        <v>143263.60000000003</v>
      </c>
      <c r="L95" s="67">
        <v>29586.1</v>
      </c>
      <c r="M95" s="67">
        <v>380.9</v>
      </c>
      <c r="N95" s="67">
        <v>20</v>
      </c>
      <c r="O95" s="67" t="s">
        <v>49</v>
      </c>
      <c r="P95" s="67">
        <v>7177.8999999999987</v>
      </c>
      <c r="Q95" s="74" t="s">
        <v>49</v>
      </c>
      <c r="R95" s="70">
        <v>-79329.8</v>
      </c>
      <c r="S95" s="67">
        <f t="shared" si="5"/>
        <v>199522.60000000003</v>
      </c>
      <c r="T95" s="67">
        <v>748424.90464266669</v>
      </c>
      <c r="U95" s="67">
        <f t="shared" si="3"/>
        <v>3.7510783472281677</v>
      </c>
    </row>
    <row r="96" spans="1:21" s="71" customFormat="1" hidden="1" x14ac:dyDescent="0.2">
      <c r="A96" s="77" t="s">
        <v>70</v>
      </c>
      <c r="B96" s="67">
        <v>165509.4</v>
      </c>
      <c r="C96" s="67">
        <v>23200.9</v>
      </c>
      <c r="D96" s="67">
        <v>444.90000000000003</v>
      </c>
      <c r="E96" s="67">
        <v>480.40000000000003</v>
      </c>
      <c r="F96" s="67">
        <v>1503.9000000000003</v>
      </c>
      <c r="G96" s="67">
        <v>18.3</v>
      </c>
      <c r="H96" s="67">
        <v>2529.8000000000002</v>
      </c>
      <c r="I96" s="67">
        <f t="shared" si="4"/>
        <v>193687.59999999995</v>
      </c>
      <c r="J96" s="72">
        <v>67729.100000000093</v>
      </c>
      <c r="K96" s="67">
        <v>164340</v>
      </c>
      <c r="L96" s="67">
        <v>31811.4</v>
      </c>
      <c r="M96" s="67">
        <v>380.9</v>
      </c>
      <c r="N96" s="67">
        <v>20</v>
      </c>
      <c r="O96" s="67" t="s">
        <v>49</v>
      </c>
      <c r="P96" s="67">
        <v>7120.7</v>
      </c>
      <c r="Q96" s="74" t="s">
        <v>49</v>
      </c>
      <c r="R96" s="70">
        <v>-77714.5</v>
      </c>
      <c r="S96" s="67">
        <f t="shared" si="5"/>
        <v>193687.60000000015</v>
      </c>
      <c r="T96" s="67">
        <v>738845.55</v>
      </c>
      <c r="U96" s="67">
        <f t="shared" si="3"/>
        <v>3.814624942433074</v>
      </c>
    </row>
    <row r="97" spans="1:21" s="71" customFormat="1" hidden="1" x14ac:dyDescent="0.2">
      <c r="A97" s="77" t="s">
        <v>71</v>
      </c>
      <c r="B97" s="67">
        <v>168178.8</v>
      </c>
      <c r="C97" s="67">
        <v>28326</v>
      </c>
      <c r="D97" s="67">
        <v>3254.9822990000002</v>
      </c>
      <c r="E97" s="67">
        <v>525</v>
      </c>
      <c r="F97" s="67">
        <v>2712.4</v>
      </c>
      <c r="G97" s="67">
        <v>14.3</v>
      </c>
      <c r="H97" s="67">
        <v>569.21770099999958</v>
      </c>
      <c r="I97" s="67">
        <f t="shared" si="4"/>
        <v>203580.69999999995</v>
      </c>
      <c r="J97" s="72">
        <v>57855.800000000047</v>
      </c>
      <c r="K97" s="67">
        <v>170991.3</v>
      </c>
      <c r="L97" s="67">
        <v>44281</v>
      </c>
      <c r="M97" s="67">
        <v>380.9</v>
      </c>
      <c r="N97" s="67">
        <v>20</v>
      </c>
      <c r="O97" s="67" t="s">
        <v>49</v>
      </c>
      <c r="P97" s="67">
        <v>7227.2</v>
      </c>
      <c r="Q97" s="74" t="s">
        <v>49</v>
      </c>
      <c r="R97" s="70">
        <v>-77175.5</v>
      </c>
      <c r="S97" s="67">
        <f t="shared" si="5"/>
        <v>203580.70000000007</v>
      </c>
      <c r="T97" s="67">
        <v>750527.35103433323</v>
      </c>
      <c r="U97" s="67">
        <f t="shared" si="3"/>
        <v>3.6866331191234405</v>
      </c>
    </row>
    <row r="98" spans="1:21" s="71" customFormat="1" hidden="1" x14ac:dyDescent="0.2">
      <c r="A98" s="77" t="s">
        <v>72</v>
      </c>
      <c r="B98" s="67">
        <v>167039</v>
      </c>
      <c r="C98" s="67">
        <v>27641.7</v>
      </c>
      <c r="D98" s="67">
        <v>3068.6653120000001</v>
      </c>
      <c r="E98" s="67">
        <v>365.90000000000003</v>
      </c>
      <c r="F98" s="67">
        <v>6215.7</v>
      </c>
      <c r="G98" s="67">
        <v>64.599999999999994</v>
      </c>
      <c r="H98" s="67">
        <v>468.33468800000037</v>
      </c>
      <c r="I98" s="67">
        <f t="shared" si="4"/>
        <v>204863.90000000002</v>
      </c>
      <c r="J98" s="72">
        <v>60535.400000000081</v>
      </c>
      <c r="K98" s="67">
        <v>164633.69999999995</v>
      </c>
      <c r="L98" s="67">
        <v>51288.800000000003</v>
      </c>
      <c r="M98" s="67" t="s">
        <v>49</v>
      </c>
      <c r="N98" s="67">
        <v>20</v>
      </c>
      <c r="O98" s="67" t="s">
        <v>49</v>
      </c>
      <c r="P98" s="67">
        <v>7332.5999999999995</v>
      </c>
      <c r="Q98" s="74" t="s">
        <v>49</v>
      </c>
      <c r="R98" s="70">
        <v>-78946.600000000006</v>
      </c>
      <c r="S98" s="67">
        <f t="shared" si="5"/>
        <v>204863.9</v>
      </c>
      <c r="T98" s="67">
        <v>740255.65135466657</v>
      </c>
      <c r="U98" s="67">
        <f t="shared" si="3"/>
        <v>3.6134021238230187</v>
      </c>
    </row>
    <row r="99" spans="1:21" s="71" customFormat="1" hidden="1" x14ac:dyDescent="0.2">
      <c r="A99" s="77" t="s">
        <v>62</v>
      </c>
      <c r="B99" s="67">
        <v>183642.4</v>
      </c>
      <c r="C99" s="67">
        <v>27850.7</v>
      </c>
      <c r="D99" s="67">
        <v>989.76381599999991</v>
      </c>
      <c r="E99" s="67">
        <v>1363.6</v>
      </c>
      <c r="F99" s="67">
        <v>3705.5</v>
      </c>
      <c r="G99" s="67">
        <v>10</v>
      </c>
      <c r="H99" s="67">
        <v>373.03618400000005</v>
      </c>
      <c r="I99" s="67">
        <f t="shared" si="4"/>
        <v>217935</v>
      </c>
      <c r="J99" s="72">
        <v>49308</v>
      </c>
      <c r="K99" s="67">
        <v>186067.59999999998</v>
      </c>
      <c r="L99" s="67">
        <v>60598.8</v>
      </c>
      <c r="M99" s="67" t="s">
        <v>49</v>
      </c>
      <c r="N99" s="67">
        <v>20</v>
      </c>
      <c r="O99" s="67" t="s">
        <v>49</v>
      </c>
      <c r="P99" s="67">
        <v>7454</v>
      </c>
      <c r="Q99" s="74" t="s">
        <v>49</v>
      </c>
      <c r="R99" s="70">
        <v>-85513.4</v>
      </c>
      <c r="S99" s="67">
        <f t="shared" si="5"/>
        <v>217934.99999999997</v>
      </c>
      <c r="T99" s="67">
        <v>761972.53618399985</v>
      </c>
      <c r="U99" s="67">
        <f t="shared" si="3"/>
        <v>3.4963293467501773</v>
      </c>
    </row>
    <row r="100" spans="1:21" s="71" customFormat="1" hidden="1" x14ac:dyDescent="0.2">
      <c r="A100" s="77" t="s">
        <v>73</v>
      </c>
      <c r="B100" s="67">
        <v>191205.6</v>
      </c>
      <c r="C100" s="67">
        <v>34620.6</v>
      </c>
      <c r="D100" s="67">
        <v>1122.0805439999999</v>
      </c>
      <c r="E100" s="67">
        <v>1745.6999999999998</v>
      </c>
      <c r="F100" s="67">
        <v>2790.1000000000004</v>
      </c>
      <c r="G100" s="67">
        <v>6.4</v>
      </c>
      <c r="H100" s="67">
        <v>449.81945599999995</v>
      </c>
      <c r="I100" s="67">
        <f t="shared" si="4"/>
        <v>231940.30000000002</v>
      </c>
      <c r="J100" s="72">
        <v>46872.800000000047</v>
      </c>
      <c r="K100" s="67">
        <v>206962.8</v>
      </c>
      <c r="L100" s="67">
        <v>53762</v>
      </c>
      <c r="M100" s="67" t="s">
        <v>49</v>
      </c>
      <c r="N100" s="67">
        <v>20</v>
      </c>
      <c r="O100" s="67" t="s">
        <v>49</v>
      </c>
      <c r="P100" s="67">
        <v>7549.5999999999995</v>
      </c>
      <c r="Q100" s="74" t="s">
        <v>49</v>
      </c>
      <c r="R100" s="70">
        <v>-83226.899999999994</v>
      </c>
      <c r="S100" s="67">
        <f t="shared" si="5"/>
        <v>231940.30000000002</v>
      </c>
      <c r="T100" s="67">
        <v>782674.73612266686</v>
      </c>
      <c r="U100" s="67">
        <f t="shared" si="3"/>
        <v>3.3744663438077245</v>
      </c>
    </row>
    <row r="101" spans="1:21" s="71" customFormat="1" hidden="1" x14ac:dyDescent="0.2">
      <c r="A101" s="77" t="s">
        <v>74</v>
      </c>
      <c r="B101" s="67">
        <v>196035.5</v>
      </c>
      <c r="C101" s="67">
        <v>27931.4</v>
      </c>
      <c r="D101" s="67">
        <v>992.75356799999997</v>
      </c>
      <c r="E101" s="67">
        <v>1485.5</v>
      </c>
      <c r="F101" s="67">
        <v>3236.7999999999997</v>
      </c>
      <c r="G101" s="67">
        <v>17.3</v>
      </c>
      <c r="H101" s="67">
        <v>298.04643199999998</v>
      </c>
      <c r="I101" s="67">
        <f t="shared" si="4"/>
        <v>229997.29999999996</v>
      </c>
      <c r="J101" s="72">
        <v>39580.200000000012</v>
      </c>
      <c r="K101" s="67">
        <v>221346.3</v>
      </c>
      <c r="L101" s="67">
        <v>40499.300000000003</v>
      </c>
      <c r="M101" s="67" t="s">
        <v>49</v>
      </c>
      <c r="N101" s="67">
        <v>20</v>
      </c>
      <c r="O101" s="67" t="s">
        <v>49</v>
      </c>
      <c r="P101" s="67">
        <v>7681.7</v>
      </c>
      <c r="Q101" s="74" t="s">
        <v>49</v>
      </c>
      <c r="R101" s="70">
        <v>-79130.2</v>
      </c>
      <c r="S101" s="67">
        <f t="shared" si="5"/>
        <v>229997.3</v>
      </c>
      <c r="T101" s="67">
        <v>814167.17976533319</v>
      </c>
      <c r="U101" s="67">
        <f t="shared" si="3"/>
        <v>3.5398988586619642</v>
      </c>
    </row>
    <row r="102" spans="1:21" s="71" customFormat="1" hidden="1" x14ac:dyDescent="0.2">
      <c r="A102" s="77" t="s">
        <v>63</v>
      </c>
      <c r="B102" s="67">
        <v>184428.3</v>
      </c>
      <c r="C102" s="67">
        <v>32797.5</v>
      </c>
      <c r="D102" s="67">
        <v>289.7</v>
      </c>
      <c r="E102" s="67">
        <v>1441.2</v>
      </c>
      <c r="F102" s="67">
        <v>1869.8</v>
      </c>
      <c r="G102" s="67">
        <v>12.8</v>
      </c>
      <c r="H102" s="67">
        <v>334.9</v>
      </c>
      <c r="I102" s="67">
        <f t="shared" si="4"/>
        <v>221174.19999999998</v>
      </c>
      <c r="J102" s="72">
        <v>55414.5</v>
      </c>
      <c r="K102" s="67">
        <v>208067.1</v>
      </c>
      <c r="L102" s="67">
        <v>29808.6</v>
      </c>
      <c r="M102" s="67" t="s">
        <v>49</v>
      </c>
      <c r="N102" s="67">
        <v>20</v>
      </c>
      <c r="O102" s="67" t="s">
        <v>49</v>
      </c>
      <c r="P102" s="67">
        <v>8060.7</v>
      </c>
      <c r="Q102" s="74" t="s">
        <v>49</v>
      </c>
      <c r="R102" s="70">
        <v>-80196.700000000012</v>
      </c>
      <c r="S102" s="67">
        <f t="shared" si="5"/>
        <v>221174.19999999995</v>
      </c>
      <c r="T102" s="67">
        <v>805244.55</v>
      </c>
      <c r="U102" s="67">
        <f t="shared" si="3"/>
        <v>3.6407707137631791</v>
      </c>
    </row>
    <row r="103" spans="1:21" s="71" customFormat="1" hidden="1" x14ac:dyDescent="0.2">
      <c r="A103" s="77" t="s">
        <v>75</v>
      </c>
      <c r="B103" s="67">
        <v>180543.7</v>
      </c>
      <c r="C103" s="67">
        <v>38998.9</v>
      </c>
      <c r="D103" s="67">
        <v>4830.7</v>
      </c>
      <c r="E103" s="67">
        <v>2876.3</v>
      </c>
      <c r="F103" s="67">
        <v>6487.9000000000005</v>
      </c>
      <c r="G103" s="67">
        <v>24.3</v>
      </c>
      <c r="H103" s="67">
        <v>419.2</v>
      </c>
      <c r="I103" s="67">
        <f t="shared" si="4"/>
        <v>234181</v>
      </c>
      <c r="J103" s="72">
        <v>50733.300000000105</v>
      </c>
      <c r="K103" s="67">
        <v>233205.7</v>
      </c>
      <c r="L103" s="67">
        <v>15843.6</v>
      </c>
      <c r="M103" s="67" t="s">
        <v>49</v>
      </c>
      <c r="N103" s="67">
        <v>20</v>
      </c>
      <c r="O103" s="67" t="s">
        <v>49</v>
      </c>
      <c r="P103" s="67">
        <v>8140.9</v>
      </c>
      <c r="Q103" s="74" t="s">
        <v>49</v>
      </c>
      <c r="R103" s="70">
        <v>-73762.5</v>
      </c>
      <c r="S103" s="67">
        <f t="shared" si="5"/>
        <v>234181.00000000012</v>
      </c>
      <c r="T103" s="67">
        <v>812268.3666666667</v>
      </c>
      <c r="U103" s="67">
        <f t="shared" si="3"/>
        <v>3.4685493983998135</v>
      </c>
    </row>
    <row r="104" spans="1:21" s="71" customFormat="1" hidden="1" x14ac:dyDescent="0.2">
      <c r="A104" s="77" t="s">
        <v>76</v>
      </c>
      <c r="B104" s="67">
        <v>180263.8</v>
      </c>
      <c r="C104" s="67">
        <v>44006.6</v>
      </c>
      <c r="D104" s="67">
        <v>3861.3</v>
      </c>
      <c r="E104" s="67">
        <v>3435.2999999999997</v>
      </c>
      <c r="F104" s="67">
        <v>7826.4</v>
      </c>
      <c r="G104" s="67">
        <v>33</v>
      </c>
      <c r="H104" s="67">
        <v>611</v>
      </c>
      <c r="I104" s="67">
        <f t="shared" si="4"/>
        <v>240037.39999999997</v>
      </c>
      <c r="J104" s="72">
        <v>50395</v>
      </c>
      <c r="K104" s="67">
        <v>251672.2</v>
      </c>
      <c r="L104" s="67">
        <v>9108</v>
      </c>
      <c r="M104" s="67" t="s">
        <v>49</v>
      </c>
      <c r="N104" s="67">
        <v>20</v>
      </c>
      <c r="O104" s="67" t="s">
        <v>49</v>
      </c>
      <c r="P104" s="67">
        <v>8109.4</v>
      </c>
      <c r="Q104" s="74" t="s">
        <v>49</v>
      </c>
      <c r="R104" s="70">
        <v>-79267.199999999997</v>
      </c>
      <c r="S104" s="67">
        <f t="shared" si="5"/>
        <v>240037.40000000002</v>
      </c>
      <c r="T104" s="67">
        <v>823567.88333333319</v>
      </c>
      <c r="U104" s="67">
        <f t="shared" si="3"/>
        <v>3.430998183338652</v>
      </c>
    </row>
    <row r="105" spans="1:21" s="71" customFormat="1" hidden="1" x14ac:dyDescent="0.2">
      <c r="A105" s="77" t="s">
        <v>64</v>
      </c>
      <c r="B105" s="67">
        <v>198246.9</v>
      </c>
      <c r="C105" s="67">
        <v>39879.9</v>
      </c>
      <c r="D105" s="67">
        <v>22413.599999999999</v>
      </c>
      <c r="E105" s="67">
        <v>2827.5</v>
      </c>
      <c r="F105" s="67">
        <v>3234.3</v>
      </c>
      <c r="G105" s="67">
        <v>14.5</v>
      </c>
      <c r="H105" s="67">
        <v>669.4</v>
      </c>
      <c r="I105" s="67">
        <f t="shared" si="4"/>
        <v>267286.10000000003</v>
      </c>
      <c r="J105" s="72">
        <v>66928.900000000023</v>
      </c>
      <c r="K105" s="67">
        <v>285507.40000000002</v>
      </c>
      <c r="L105" s="67" t="s">
        <v>49</v>
      </c>
      <c r="M105" s="67" t="s">
        <v>49</v>
      </c>
      <c r="N105" s="67">
        <v>20</v>
      </c>
      <c r="O105" s="67" t="s">
        <v>49</v>
      </c>
      <c r="P105" s="67">
        <v>8125.5</v>
      </c>
      <c r="Q105" s="69">
        <v>-6800</v>
      </c>
      <c r="R105" s="70">
        <v>-86495.700000000012</v>
      </c>
      <c r="S105" s="67">
        <f t="shared" si="5"/>
        <v>267286.10000000003</v>
      </c>
      <c r="T105" s="67">
        <v>873381.8</v>
      </c>
      <c r="U105" s="67">
        <f t="shared" si="3"/>
        <v>3.2675915432938711</v>
      </c>
    </row>
    <row r="106" spans="1:21" s="71" customFormat="1" hidden="1" x14ac:dyDescent="0.2">
      <c r="A106" s="77"/>
      <c r="B106" s="67"/>
      <c r="C106" s="67"/>
      <c r="D106" s="67"/>
      <c r="E106" s="67"/>
      <c r="F106" s="67"/>
      <c r="G106" s="67"/>
      <c r="H106" s="67"/>
      <c r="I106" s="67"/>
      <c r="J106" s="72"/>
      <c r="K106" s="67"/>
      <c r="L106" s="67"/>
      <c r="M106" s="67"/>
      <c r="N106" s="67"/>
      <c r="O106" s="67"/>
      <c r="P106" s="67"/>
      <c r="Q106" s="69"/>
      <c r="R106" s="70"/>
      <c r="S106" s="67"/>
      <c r="T106" s="67"/>
      <c r="U106" s="67"/>
    </row>
    <row r="107" spans="1:21" s="71" customFormat="1" hidden="1" x14ac:dyDescent="0.2">
      <c r="A107" s="77" t="s">
        <v>81</v>
      </c>
      <c r="B107" s="67">
        <v>182477.4</v>
      </c>
      <c r="C107" s="67">
        <v>41549.800000000003</v>
      </c>
      <c r="D107" s="67">
        <v>5031.2</v>
      </c>
      <c r="E107" s="67">
        <v>3714.3</v>
      </c>
      <c r="F107" s="67">
        <v>1475.9</v>
      </c>
      <c r="G107" s="67">
        <v>48.3</v>
      </c>
      <c r="H107" s="67">
        <v>1113.7</v>
      </c>
      <c r="I107" s="67">
        <f t="shared" si="4"/>
        <v>235410.6</v>
      </c>
      <c r="J107" s="72">
        <v>55782.700000000012</v>
      </c>
      <c r="K107" s="67">
        <v>246528.49999999997</v>
      </c>
      <c r="L107" s="67" t="s">
        <v>49</v>
      </c>
      <c r="M107" s="67" t="s">
        <v>49</v>
      </c>
      <c r="N107" s="67">
        <v>20</v>
      </c>
      <c r="O107" s="67" t="s">
        <v>49</v>
      </c>
      <c r="P107" s="67">
        <v>8854.1</v>
      </c>
      <c r="Q107" s="74" t="s">
        <v>49</v>
      </c>
      <c r="R107" s="70">
        <v>-75774.7</v>
      </c>
      <c r="S107" s="67">
        <f t="shared" si="5"/>
        <v>235410.59999999992</v>
      </c>
      <c r="T107" s="67">
        <v>866567.72499999986</v>
      </c>
      <c r="U107" s="67">
        <f t="shared" si="3"/>
        <v>3.6810905073943139</v>
      </c>
    </row>
    <row r="108" spans="1:21" s="71" customFormat="1" hidden="1" x14ac:dyDescent="0.2">
      <c r="A108" s="77" t="s">
        <v>69</v>
      </c>
      <c r="B108" s="67">
        <v>188192.1</v>
      </c>
      <c r="C108" s="67">
        <v>46670</v>
      </c>
      <c r="D108" s="67">
        <v>11248.3</v>
      </c>
      <c r="E108" s="67">
        <v>2782.2</v>
      </c>
      <c r="F108" s="67">
        <v>6918.6999999999989</v>
      </c>
      <c r="G108" s="67">
        <v>41.8</v>
      </c>
      <c r="H108" s="67">
        <v>415.1</v>
      </c>
      <c r="I108" s="67">
        <f t="shared" si="4"/>
        <v>256268.2</v>
      </c>
      <c r="J108" s="72">
        <v>97419.499999999884</v>
      </c>
      <c r="K108" s="67">
        <v>214938.4</v>
      </c>
      <c r="L108" s="67">
        <v>11804.3</v>
      </c>
      <c r="M108" s="67" t="s">
        <v>49</v>
      </c>
      <c r="N108" s="67">
        <v>20</v>
      </c>
      <c r="O108" s="67" t="s">
        <v>49</v>
      </c>
      <c r="P108" s="67">
        <v>8848.2999999999993</v>
      </c>
      <c r="Q108" s="74" t="s">
        <v>49</v>
      </c>
      <c r="R108" s="70">
        <v>-76762.3</v>
      </c>
      <c r="S108" s="67">
        <f t="shared" si="5"/>
        <v>256268.1999999999</v>
      </c>
      <c r="T108" s="67">
        <v>891287.04999999993</v>
      </c>
      <c r="U108" s="67">
        <f t="shared" si="3"/>
        <v>3.4779463468350733</v>
      </c>
    </row>
    <row r="109" spans="1:21" s="71" customFormat="1" hidden="1" x14ac:dyDescent="0.2">
      <c r="A109" s="77" t="s">
        <v>70</v>
      </c>
      <c r="B109" s="67">
        <v>189178.2</v>
      </c>
      <c r="C109" s="67">
        <v>45758.400000000001</v>
      </c>
      <c r="D109" s="67">
        <v>9951.2000000000007</v>
      </c>
      <c r="E109" s="67">
        <v>2115</v>
      </c>
      <c r="F109" s="67">
        <v>5247.0000000000009</v>
      </c>
      <c r="G109" s="67">
        <v>70.7</v>
      </c>
      <c r="H109" s="67">
        <v>298.60000000000002</v>
      </c>
      <c r="I109" s="67">
        <f t="shared" si="4"/>
        <v>252619.10000000003</v>
      </c>
      <c r="J109" s="72">
        <v>48746.900000000081</v>
      </c>
      <c r="K109" s="67">
        <v>264998.8</v>
      </c>
      <c r="L109" s="67">
        <v>7592</v>
      </c>
      <c r="M109" s="67" t="s">
        <v>49</v>
      </c>
      <c r="N109" s="67">
        <v>20</v>
      </c>
      <c r="O109" s="67" t="s">
        <v>49</v>
      </c>
      <c r="P109" s="67">
        <v>8683.9</v>
      </c>
      <c r="Q109" s="74" t="s">
        <v>49</v>
      </c>
      <c r="R109" s="70">
        <v>-77422.5</v>
      </c>
      <c r="S109" s="67">
        <f t="shared" si="5"/>
        <v>252619.10000000009</v>
      </c>
      <c r="T109" s="67">
        <v>890343.07499999995</v>
      </c>
      <c r="U109" s="67">
        <f t="shared" si="3"/>
        <v>3.5244487649587852</v>
      </c>
    </row>
    <row r="110" spans="1:21" s="71" customFormat="1" hidden="1" x14ac:dyDescent="0.2">
      <c r="A110" s="77" t="s">
        <v>71</v>
      </c>
      <c r="B110" s="67">
        <v>192574</v>
      </c>
      <c r="C110" s="67">
        <v>53981.2</v>
      </c>
      <c r="D110" s="67">
        <v>1329.9</v>
      </c>
      <c r="E110" s="67">
        <v>3020.3</v>
      </c>
      <c r="F110" s="67">
        <v>7844.6</v>
      </c>
      <c r="G110" s="67">
        <v>43</v>
      </c>
      <c r="H110" s="67">
        <v>760.2</v>
      </c>
      <c r="I110" s="67">
        <f t="shared" si="4"/>
        <v>259553.2</v>
      </c>
      <c r="J110" s="72">
        <v>44693.599999999977</v>
      </c>
      <c r="K110" s="67">
        <v>280277.5</v>
      </c>
      <c r="L110" s="67" t="s">
        <v>49</v>
      </c>
      <c r="M110" s="67" t="s">
        <v>49</v>
      </c>
      <c r="N110" s="67">
        <v>20</v>
      </c>
      <c r="O110" s="67" t="s">
        <v>49</v>
      </c>
      <c r="P110" s="67">
        <v>8648.7000000000007</v>
      </c>
      <c r="Q110" s="74" t="s">
        <v>49</v>
      </c>
      <c r="R110" s="70">
        <v>-74086.599999999991</v>
      </c>
      <c r="S110" s="67">
        <f t="shared" si="5"/>
        <v>259553.2</v>
      </c>
      <c r="T110" s="67">
        <v>920149.39999999991</v>
      </c>
      <c r="U110" s="67">
        <f t="shared" ref="U110:U126" si="6">T110/I110</f>
        <v>3.5451283205138671</v>
      </c>
    </row>
    <row r="111" spans="1:21" s="71" customFormat="1" hidden="1" x14ac:dyDescent="0.2">
      <c r="A111" s="77" t="s">
        <v>72</v>
      </c>
      <c r="B111" s="67">
        <v>197918.3</v>
      </c>
      <c r="C111" s="67">
        <v>46750.1</v>
      </c>
      <c r="D111" s="67">
        <v>4135.4000000000005</v>
      </c>
      <c r="E111" s="67">
        <v>2696.4</v>
      </c>
      <c r="F111" s="67">
        <v>7258.8</v>
      </c>
      <c r="G111" s="67">
        <v>140.30000000000001</v>
      </c>
      <c r="H111" s="67">
        <v>373.5</v>
      </c>
      <c r="I111" s="67">
        <f t="shared" si="4"/>
        <v>259272.79999999996</v>
      </c>
      <c r="J111" s="72">
        <v>64212.600000000035</v>
      </c>
      <c r="K111" s="67">
        <v>251958.70000000007</v>
      </c>
      <c r="L111" s="67" t="s">
        <v>49</v>
      </c>
      <c r="M111" s="67" t="s">
        <v>49</v>
      </c>
      <c r="N111" s="67">
        <v>20</v>
      </c>
      <c r="O111" s="67" t="s">
        <v>49</v>
      </c>
      <c r="P111" s="67">
        <v>8884</v>
      </c>
      <c r="Q111" s="74" t="s">
        <v>49</v>
      </c>
      <c r="R111" s="70">
        <v>-65802.5</v>
      </c>
      <c r="S111" s="67">
        <f t="shared" si="5"/>
        <v>259272.8000000001</v>
      </c>
      <c r="T111" s="67">
        <v>924950.52500000014</v>
      </c>
      <c r="U111" s="67">
        <f t="shared" si="6"/>
        <v>3.5674799863310009</v>
      </c>
    </row>
    <row r="112" spans="1:21" s="71" customFormat="1" hidden="1" x14ac:dyDescent="0.2">
      <c r="A112" s="77" t="s">
        <v>62</v>
      </c>
      <c r="B112" s="67">
        <v>205811.8</v>
      </c>
      <c r="C112" s="67">
        <v>56976.3</v>
      </c>
      <c r="D112" s="67">
        <v>7760.5</v>
      </c>
      <c r="E112" s="67">
        <v>2218.5</v>
      </c>
      <c r="F112" s="67">
        <v>7471.7000000000007</v>
      </c>
      <c r="G112" s="67">
        <v>79.7</v>
      </c>
      <c r="H112" s="67">
        <v>271.5</v>
      </c>
      <c r="I112" s="67">
        <f t="shared" si="4"/>
        <v>280590</v>
      </c>
      <c r="J112" s="72">
        <v>56965.400000000081</v>
      </c>
      <c r="K112" s="67">
        <v>273884.2</v>
      </c>
      <c r="L112" s="67" t="s">
        <v>49</v>
      </c>
      <c r="M112" s="67" t="s">
        <v>49</v>
      </c>
      <c r="N112" s="67">
        <v>20</v>
      </c>
      <c r="O112" s="67" t="s">
        <v>49</v>
      </c>
      <c r="P112" s="67">
        <v>9042.5</v>
      </c>
      <c r="Q112" s="74" t="s">
        <v>49</v>
      </c>
      <c r="R112" s="70">
        <v>-59322.100000000006</v>
      </c>
      <c r="S112" s="67">
        <f t="shared" si="5"/>
        <v>280590.00000000012</v>
      </c>
      <c r="T112" s="67">
        <v>924684.54999999981</v>
      </c>
      <c r="U112" s="67">
        <f t="shared" si="6"/>
        <v>3.2955007306033708</v>
      </c>
    </row>
    <row r="113" spans="1:21" s="71" customFormat="1" hidden="1" x14ac:dyDescent="0.2">
      <c r="A113" s="77" t="s">
        <v>73</v>
      </c>
      <c r="B113" s="67">
        <v>205754.8</v>
      </c>
      <c r="C113" s="67">
        <v>42545.7</v>
      </c>
      <c r="D113" s="67">
        <v>1034.5999999999999</v>
      </c>
      <c r="E113" s="67">
        <v>1712.5</v>
      </c>
      <c r="F113" s="67">
        <v>3739.7000000000003</v>
      </c>
      <c r="G113" s="67">
        <v>57.6</v>
      </c>
      <c r="H113" s="67">
        <v>313.7</v>
      </c>
      <c r="I113" s="67">
        <f t="shared" si="4"/>
        <v>255158.60000000003</v>
      </c>
      <c r="J113" s="72">
        <v>88260.70000000007</v>
      </c>
      <c r="K113" s="67">
        <v>211421.3</v>
      </c>
      <c r="L113" s="67">
        <v>2619.6999999999998</v>
      </c>
      <c r="M113" s="67" t="s">
        <v>49</v>
      </c>
      <c r="N113" s="67">
        <v>20</v>
      </c>
      <c r="O113" s="67" t="s">
        <v>49</v>
      </c>
      <c r="P113" s="67">
        <v>9499</v>
      </c>
      <c r="Q113" s="74" t="s">
        <v>49</v>
      </c>
      <c r="R113" s="70">
        <v>-56662.099999999991</v>
      </c>
      <c r="S113" s="67">
        <f t="shared" si="5"/>
        <v>255158.60000000009</v>
      </c>
      <c r="T113" s="67">
        <v>930211.65833333344</v>
      </c>
      <c r="U113" s="67">
        <f t="shared" si="6"/>
        <v>3.6456214226498083</v>
      </c>
    </row>
    <row r="114" spans="1:21" s="71" customFormat="1" hidden="1" x14ac:dyDescent="0.2">
      <c r="A114" s="77" t="s">
        <v>74</v>
      </c>
      <c r="B114" s="67">
        <v>207966.5</v>
      </c>
      <c r="C114" s="67">
        <v>65307.6</v>
      </c>
      <c r="D114" s="67">
        <v>4962.2000000000007</v>
      </c>
      <c r="E114" s="67">
        <v>2783.3</v>
      </c>
      <c r="F114" s="67">
        <v>7575.4</v>
      </c>
      <c r="G114" s="67">
        <v>52.2</v>
      </c>
      <c r="H114" s="67">
        <v>218.9</v>
      </c>
      <c r="I114" s="67">
        <f t="shared" si="4"/>
        <v>288866.10000000003</v>
      </c>
      <c r="J114" s="72">
        <v>79468.299999999988</v>
      </c>
      <c r="K114" s="67">
        <v>254521.30000000002</v>
      </c>
      <c r="L114" s="67" t="s">
        <v>49</v>
      </c>
      <c r="M114" s="67" t="s">
        <v>49</v>
      </c>
      <c r="N114" s="67">
        <v>20</v>
      </c>
      <c r="O114" s="67" t="s">
        <v>49</v>
      </c>
      <c r="P114" s="67">
        <v>9778.4</v>
      </c>
      <c r="Q114" s="74" t="s">
        <v>49</v>
      </c>
      <c r="R114" s="70">
        <v>-54921.899999999994</v>
      </c>
      <c r="S114" s="67">
        <f t="shared" si="5"/>
        <v>288866.09999999998</v>
      </c>
      <c r="T114" s="67">
        <v>953124.16666666674</v>
      </c>
      <c r="U114" s="67">
        <f t="shared" si="6"/>
        <v>3.2995362441860316</v>
      </c>
    </row>
    <row r="115" spans="1:21" s="71" customFormat="1" hidden="1" x14ac:dyDescent="0.2">
      <c r="A115" s="77" t="s">
        <v>63</v>
      </c>
      <c r="B115" s="67">
        <v>201031</v>
      </c>
      <c r="C115" s="67">
        <v>65670.899999999994</v>
      </c>
      <c r="D115" s="67">
        <v>1516.7</v>
      </c>
      <c r="E115" s="67">
        <v>4193</v>
      </c>
      <c r="F115" s="67">
        <v>4666.1000000000004</v>
      </c>
      <c r="G115" s="67">
        <v>54.7</v>
      </c>
      <c r="H115" s="67">
        <v>280.2</v>
      </c>
      <c r="I115" s="67">
        <f t="shared" si="4"/>
        <v>277412.60000000003</v>
      </c>
      <c r="J115" s="72">
        <v>78410.799999999988</v>
      </c>
      <c r="K115" s="67">
        <v>243601.6</v>
      </c>
      <c r="L115" s="67">
        <v>61.3</v>
      </c>
      <c r="M115" s="67" t="s">
        <v>49</v>
      </c>
      <c r="N115" s="67">
        <v>20</v>
      </c>
      <c r="O115" s="67" t="s">
        <v>49</v>
      </c>
      <c r="P115" s="67">
        <v>9872.7999999999993</v>
      </c>
      <c r="Q115" s="74" t="s">
        <v>49</v>
      </c>
      <c r="R115" s="70">
        <v>-54553.899999999987</v>
      </c>
      <c r="S115" s="67">
        <f t="shared" si="5"/>
        <v>277412.60000000003</v>
      </c>
      <c r="T115" s="67">
        <v>953057.17500000005</v>
      </c>
      <c r="U115" s="67">
        <f t="shared" si="6"/>
        <v>3.4355223050431016</v>
      </c>
    </row>
    <row r="116" spans="1:21" s="71" customFormat="1" hidden="1" x14ac:dyDescent="0.2">
      <c r="A116" s="77" t="s">
        <v>75</v>
      </c>
      <c r="B116" s="67">
        <v>202480.1</v>
      </c>
      <c r="C116" s="67">
        <v>63902</v>
      </c>
      <c r="D116" s="67">
        <v>14280.7</v>
      </c>
      <c r="E116" s="67">
        <v>3120.3999999999996</v>
      </c>
      <c r="F116" s="67">
        <v>4807.3999999999996</v>
      </c>
      <c r="G116" s="67">
        <v>67.5</v>
      </c>
      <c r="H116" s="67">
        <v>563.79999999999995</v>
      </c>
      <c r="I116" s="67">
        <f t="shared" si="4"/>
        <v>289221.90000000002</v>
      </c>
      <c r="J116" s="72">
        <v>98627.299999999988</v>
      </c>
      <c r="K116" s="67">
        <v>234765.29999999996</v>
      </c>
      <c r="L116" s="67" t="s">
        <v>49</v>
      </c>
      <c r="M116" s="67" t="s">
        <v>49</v>
      </c>
      <c r="N116" s="67">
        <v>20</v>
      </c>
      <c r="O116" s="67" t="s">
        <v>49</v>
      </c>
      <c r="P116" s="67">
        <v>9994.6</v>
      </c>
      <c r="Q116" s="74" t="s">
        <v>49</v>
      </c>
      <c r="R116" s="70">
        <v>-54185.299999999996</v>
      </c>
      <c r="S116" s="67">
        <f t="shared" si="5"/>
        <v>289221.89999999997</v>
      </c>
      <c r="T116" s="67">
        <v>957138.3833333333</v>
      </c>
      <c r="U116" s="67">
        <f t="shared" si="6"/>
        <v>3.3093565298247927</v>
      </c>
    </row>
    <row r="117" spans="1:21" s="71" customFormat="1" hidden="1" x14ac:dyDescent="0.2">
      <c r="A117" s="77" t="s">
        <v>76</v>
      </c>
      <c r="B117" s="67">
        <v>205821.3</v>
      </c>
      <c r="C117" s="67">
        <v>68293.7</v>
      </c>
      <c r="D117" s="67">
        <v>4330</v>
      </c>
      <c r="E117" s="67">
        <v>2717.5</v>
      </c>
      <c r="F117" s="67">
        <v>5401.4999999999991</v>
      </c>
      <c r="G117" s="67">
        <v>104.6</v>
      </c>
      <c r="H117" s="67">
        <v>723.9</v>
      </c>
      <c r="I117" s="67">
        <f t="shared" si="4"/>
        <v>287392.5</v>
      </c>
      <c r="J117" s="72">
        <v>81256.100000000035</v>
      </c>
      <c r="K117" s="67">
        <v>249308.5</v>
      </c>
      <c r="L117" s="67" t="s">
        <v>49</v>
      </c>
      <c r="M117" s="67" t="s">
        <v>49</v>
      </c>
      <c r="N117" s="67">
        <v>20</v>
      </c>
      <c r="O117" s="67" t="s">
        <v>49</v>
      </c>
      <c r="P117" s="67">
        <v>10127.199999999999</v>
      </c>
      <c r="Q117" s="74" t="s">
        <v>49</v>
      </c>
      <c r="R117" s="70">
        <v>-53319.3</v>
      </c>
      <c r="S117" s="67">
        <f t="shared" si="5"/>
        <v>287392.50000000006</v>
      </c>
      <c r="T117" s="67">
        <v>959908.49166666658</v>
      </c>
      <c r="U117" s="67">
        <f t="shared" si="6"/>
        <v>3.3400610373154018</v>
      </c>
    </row>
    <row r="118" spans="1:21" s="71" customFormat="1" hidden="1" x14ac:dyDescent="0.2">
      <c r="A118" s="77" t="s">
        <v>64</v>
      </c>
      <c r="B118" s="67">
        <v>211683.7</v>
      </c>
      <c r="C118" s="67">
        <v>82710.8</v>
      </c>
      <c r="D118" s="67">
        <v>5135.8</v>
      </c>
      <c r="E118" s="67">
        <v>2674</v>
      </c>
      <c r="F118" s="67">
        <v>3566.2</v>
      </c>
      <c r="G118" s="67">
        <v>28</v>
      </c>
      <c r="H118" s="67">
        <v>787.6</v>
      </c>
      <c r="I118" s="67">
        <f t="shared" si="4"/>
        <v>306586.09999999998</v>
      </c>
      <c r="J118" s="72">
        <v>118133.79999999999</v>
      </c>
      <c r="K118" s="67">
        <v>229473.99999999997</v>
      </c>
      <c r="L118" s="67" t="s">
        <v>49</v>
      </c>
      <c r="M118" s="67" t="s">
        <v>49</v>
      </c>
      <c r="N118" s="67">
        <v>20</v>
      </c>
      <c r="O118" s="67" t="s">
        <v>49</v>
      </c>
      <c r="P118" s="67">
        <v>10118.699999999999</v>
      </c>
      <c r="Q118" s="74" t="s">
        <v>49</v>
      </c>
      <c r="R118" s="70">
        <v>-51160.400000000009</v>
      </c>
      <c r="S118" s="67">
        <f t="shared" si="5"/>
        <v>306586.09999999992</v>
      </c>
      <c r="T118" s="67">
        <v>983168.8</v>
      </c>
      <c r="U118" s="67">
        <f t="shared" si="6"/>
        <v>3.206827706800798</v>
      </c>
    </row>
    <row r="119" spans="1:21" s="71" customFormat="1" hidden="1" x14ac:dyDescent="0.2">
      <c r="A119" s="80"/>
      <c r="B119" s="67"/>
      <c r="C119" s="67"/>
      <c r="D119" s="67"/>
      <c r="E119" s="67"/>
      <c r="F119" s="67"/>
      <c r="G119" s="67"/>
      <c r="H119" s="67"/>
      <c r="I119" s="67"/>
      <c r="J119" s="72"/>
      <c r="K119" s="67"/>
      <c r="L119" s="67"/>
      <c r="M119" s="67"/>
      <c r="N119" s="67"/>
      <c r="O119" s="67"/>
      <c r="P119" s="67"/>
      <c r="Q119" s="74"/>
      <c r="R119" s="70"/>
      <c r="S119" s="67"/>
      <c r="T119" s="67"/>
      <c r="U119" s="67"/>
    </row>
    <row r="120" spans="1:21" s="71" customFormat="1" hidden="1" x14ac:dyDescent="0.2">
      <c r="A120" s="77" t="s">
        <v>82</v>
      </c>
      <c r="B120" s="67">
        <v>202030.1</v>
      </c>
      <c r="C120" s="67">
        <v>63490.3</v>
      </c>
      <c r="D120" s="67">
        <v>957</v>
      </c>
      <c r="E120" s="67">
        <v>2260.1999999999998</v>
      </c>
      <c r="F120" s="67">
        <v>2464.6999999999998</v>
      </c>
      <c r="G120" s="67">
        <v>33.9</v>
      </c>
      <c r="H120" s="67">
        <v>1652.3</v>
      </c>
      <c r="I120" s="67">
        <f t="shared" si="4"/>
        <v>272888.50000000006</v>
      </c>
      <c r="J120" s="72">
        <v>102196.30000000005</v>
      </c>
      <c r="K120" s="67">
        <v>210861.09999999998</v>
      </c>
      <c r="L120" s="67" t="s">
        <v>49</v>
      </c>
      <c r="M120" s="67" t="s">
        <v>49</v>
      </c>
      <c r="N120" s="67">
        <v>20</v>
      </c>
      <c r="O120" s="67" t="s">
        <v>49</v>
      </c>
      <c r="P120" s="67">
        <v>11156.5</v>
      </c>
      <c r="Q120" s="74" t="s">
        <v>49</v>
      </c>
      <c r="R120" s="70">
        <v>-51345.4</v>
      </c>
      <c r="S120" s="67">
        <f t="shared" si="5"/>
        <v>272888.5</v>
      </c>
      <c r="T120" s="67">
        <v>961616.14999999991</v>
      </c>
      <c r="U120" s="67">
        <f t="shared" si="6"/>
        <v>3.5238427049875671</v>
      </c>
    </row>
    <row r="121" spans="1:21" s="71" customFormat="1" hidden="1" x14ac:dyDescent="0.2">
      <c r="A121" s="77" t="s">
        <v>69</v>
      </c>
      <c r="B121" s="67">
        <v>199255.9</v>
      </c>
      <c r="C121" s="67">
        <v>59022.7</v>
      </c>
      <c r="D121" s="67">
        <v>2284.6999999999998</v>
      </c>
      <c r="E121" s="67">
        <v>2097</v>
      </c>
      <c r="F121" s="67">
        <v>2938.3</v>
      </c>
      <c r="G121" s="67">
        <v>32.299999999999997</v>
      </c>
      <c r="H121" s="67">
        <v>613</v>
      </c>
      <c r="I121" s="67">
        <f t="shared" si="4"/>
        <v>266243.89999999997</v>
      </c>
      <c r="J121" s="72">
        <f>475747.7-385806.2+1198.4</f>
        <v>91139.9</v>
      </c>
      <c r="K121" s="67">
        <f>395958-181814.8</f>
        <v>214143.2</v>
      </c>
      <c r="L121" s="67">
        <v>115</v>
      </c>
      <c r="M121" s="67">
        <v>1914.8</v>
      </c>
      <c r="N121" s="67">
        <v>20</v>
      </c>
      <c r="O121" s="67" t="s">
        <v>49</v>
      </c>
      <c r="P121" s="67">
        <v>11612.7</v>
      </c>
      <c r="Q121" s="74" t="s">
        <v>49</v>
      </c>
      <c r="R121" s="70">
        <f>33.4+16104.5-1198.4+887.9-9270.7-1240.9+13312-71329.5</f>
        <v>-52701.7</v>
      </c>
      <c r="S121" s="67">
        <f t="shared" si="5"/>
        <v>266243.89999999997</v>
      </c>
      <c r="T121" s="67">
        <v>973145.60000000009</v>
      </c>
      <c r="U121" s="67">
        <f t="shared" si="6"/>
        <v>3.6550906894017112</v>
      </c>
    </row>
    <row r="122" spans="1:21" s="71" customFormat="1" hidden="1" x14ac:dyDescent="0.2">
      <c r="A122" s="77" t="s">
        <v>70</v>
      </c>
      <c r="B122" s="67">
        <v>201300.8</v>
      </c>
      <c r="C122" s="67">
        <v>70896.399999999994</v>
      </c>
      <c r="D122" s="67">
        <v>426.9</v>
      </c>
      <c r="E122" s="67">
        <v>1135.9000000000001</v>
      </c>
      <c r="F122" s="67">
        <v>1041.5</v>
      </c>
      <c r="G122" s="67">
        <v>24.6</v>
      </c>
      <c r="H122" s="67">
        <v>1373.4</v>
      </c>
      <c r="I122" s="67">
        <f t="shared" si="4"/>
        <v>276199.5</v>
      </c>
      <c r="J122" s="72">
        <f>490364.5-396544.3+1198.4</f>
        <v>95018.6</v>
      </c>
      <c r="K122" s="67">
        <f>404471-161075.9</f>
        <v>243395.1</v>
      </c>
      <c r="L122" s="67">
        <v>325.10000000000002</v>
      </c>
      <c r="M122" s="67">
        <v>1914.8</v>
      </c>
      <c r="N122" s="67">
        <v>20</v>
      </c>
      <c r="O122" s="67" t="s">
        <v>49</v>
      </c>
      <c r="P122" s="67">
        <v>11758.1</v>
      </c>
      <c r="Q122" s="70">
        <v>-27200</v>
      </c>
      <c r="R122" s="70">
        <f>21.3+16389.1-1198.4+887.9-6602.2-1098+13903.7-71335.6</f>
        <v>-49032.200000000012</v>
      </c>
      <c r="S122" s="67">
        <f t="shared" si="5"/>
        <v>276199.49999999994</v>
      </c>
      <c r="T122" s="67">
        <v>984625.54999999981</v>
      </c>
      <c r="U122" s="67">
        <f t="shared" si="6"/>
        <v>3.5649070689845557</v>
      </c>
    </row>
    <row r="123" spans="1:21" s="71" customFormat="1" hidden="1" x14ac:dyDescent="0.2">
      <c r="A123" s="77" t="s">
        <v>71</v>
      </c>
      <c r="B123" s="67">
        <v>208491.1</v>
      </c>
      <c r="C123" s="67">
        <v>88908.1</v>
      </c>
      <c r="D123" s="67">
        <v>1280.0999999999999</v>
      </c>
      <c r="E123" s="67">
        <v>1749.2</v>
      </c>
      <c r="F123" s="67">
        <v>3119.1</v>
      </c>
      <c r="G123" s="67">
        <v>29.9</v>
      </c>
      <c r="H123" s="67">
        <v>3474.7</v>
      </c>
      <c r="I123" s="67">
        <f t="shared" si="4"/>
        <v>307052.2</v>
      </c>
      <c r="J123" s="72">
        <f>492431.1-398474+1198.4</f>
        <v>95155.499999999971</v>
      </c>
      <c r="K123" s="67">
        <f>409906.3-163913.7</f>
        <v>245992.59999999998</v>
      </c>
      <c r="L123" s="67" t="s">
        <v>49</v>
      </c>
      <c r="M123" s="67">
        <v>1914.8</v>
      </c>
      <c r="N123" s="67">
        <v>20</v>
      </c>
      <c r="O123" s="67" t="s">
        <v>49</v>
      </c>
      <c r="P123" s="67">
        <v>11937.4</v>
      </c>
      <c r="Q123" s="74" t="s">
        <v>49</v>
      </c>
      <c r="R123" s="70">
        <f>21.3+47709.6-1198.4+887.9-6404.9-1060.8-800-87122.8</f>
        <v>-47968.100000000006</v>
      </c>
      <c r="S123" s="67">
        <f t="shared" si="5"/>
        <v>307052.19999999995</v>
      </c>
      <c r="T123" s="67">
        <v>1030307.5999999999</v>
      </c>
      <c r="U123" s="67">
        <f t="shared" si="6"/>
        <v>3.3554802733867395</v>
      </c>
    </row>
    <row r="124" spans="1:21" s="71" customFormat="1" hidden="1" x14ac:dyDescent="0.2">
      <c r="A124" s="77" t="s">
        <v>72</v>
      </c>
      <c r="B124" s="67">
        <v>217664.2</v>
      </c>
      <c r="C124" s="67">
        <v>94855.4</v>
      </c>
      <c r="D124" s="67">
        <v>297.8</v>
      </c>
      <c r="E124" s="67">
        <v>2191.3000000000002</v>
      </c>
      <c r="F124" s="67">
        <v>1750.3</v>
      </c>
      <c r="G124" s="67">
        <v>45</v>
      </c>
      <c r="H124" s="67">
        <v>1633.4</v>
      </c>
      <c r="I124" s="67">
        <f t="shared" si="4"/>
        <v>318437.39999999997</v>
      </c>
      <c r="J124" s="72">
        <f>481241.6-396516+1198.4</f>
        <v>85923.999999999971</v>
      </c>
      <c r="K124" s="67">
        <f>411110.1-143405.2</f>
        <v>267704.89999999997</v>
      </c>
      <c r="L124" s="67"/>
      <c r="M124" s="67">
        <v>1914.8</v>
      </c>
      <c r="N124" s="67">
        <v>20</v>
      </c>
      <c r="O124" s="67" t="s">
        <v>49</v>
      </c>
      <c r="P124" s="67">
        <v>11973.7</v>
      </c>
      <c r="Q124" s="74" t="s">
        <v>49</v>
      </c>
      <c r="R124" s="70">
        <f>21.3+47840.2-1198.4+887.9-5114.3-1028.6-3446.2-87061.9</f>
        <v>-49099.999999999993</v>
      </c>
      <c r="S124" s="67">
        <f t="shared" si="5"/>
        <v>318437.39999999991</v>
      </c>
      <c r="T124" s="67">
        <v>1020430.15</v>
      </c>
      <c r="U124" s="67">
        <f t="shared" si="6"/>
        <v>3.2044921545019527</v>
      </c>
    </row>
    <row r="125" spans="1:21" s="71" customFormat="1" hidden="1" x14ac:dyDescent="0.2">
      <c r="A125" s="77" t="s">
        <v>62</v>
      </c>
      <c r="B125" s="67">
        <v>223781.8</v>
      </c>
      <c r="C125" s="67">
        <v>100650</v>
      </c>
      <c r="D125" s="67">
        <v>1428.4</v>
      </c>
      <c r="E125" s="67">
        <v>1303.5</v>
      </c>
      <c r="F125" s="67">
        <v>6385</v>
      </c>
      <c r="G125" s="67">
        <v>20.2</v>
      </c>
      <c r="H125" s="67">
        <v>1329.6</v>
      </c>
      <c r="I125" s="67">
        <f t="shared" si="4"/>
        <v>334898.5</v>
      </c>
      <c r="J125" s="72">
        <f>485405.9-397532.8+1198.4</f>
        <v>89071.500000000029</v>
      </c>
      <c r="K125" s="67">
        <f>434035.1-151389.7</f>
        <v>282645.39999999997</v>
      </c>
      <c r="L125" s="67"/>
      <c r="M125" s="67">
        <v>1914.8</v>
      </c>
      <c r="N125" s="67">
        <v>20</v>
      </c>
      <c r="O125" s="67" t="s">
        <v>49</v>
      </c>
      <c r="P125" s="67">
        <v>12500.7</v>
      </c>
      <c r="Q125" s="74" t="s">
        <v>49</v>
      </c>
      <c r="R125" s="70">
        <f>21.3+46067.1-1198.4+887.9-2743.8-1057.4-2716.3-90514.3</f>
        <v>-51253.900000000009</v>
      </c>
      <c r="S125" s="67">
        <f t="shared" si="5"/>
        <v>334898.5</v>
      </c>
      <c r="T125" s="67">
        <v>1046962.8</v>
      </c>
      <c r="U125" s="67">
        <f t="shared" si="6"/>
        <v>3.1262092843055433</v>
      </c>
    </row>
    <row r="126" spans="1:21" s="71" customFormat="1" hidden="1" x14ac:dyDescent="0.2">
      <c r="A126" s="77" t="s">
        <v>73</v>
      </c>
      <c r="B126" s="67">
        <v>239726</v>
      </c>
      <c r="C126" s="67">
        <v>85589</v>
      </c>
      <c r="D126" s="67">
        <v>5114.6000000000004</v>
      </c>
      <c r="E126" s="67">
        <v>1871.9</v>
      </c>
      <c r="F126" s="67">
        <v>6762.7</v>
      </c>
      <c r="G126" s="67">
        <v>16.100000000000001</v>
      </c>
      <c r="H126" s="67">
        <v>3757.8</v>
      </c>
      <c r="I126" s="67">
        <f t="shared" si="4"/>
        <v>342838.1</v>
      </c>
      <c r="J126" s="72">
        <f>455398.8-385996.8+1198.4</f>
        <v>70600.399999999994</v>
      </c>
      <c r="K126" s="67">
        <f>447505.3-145793.7</f>
        <v>301711.59999999998</v>
      </c>
      <c r="L126" s="67"/>
      <c r="M126" s="67">
        <v>1914.8</v>
      </c>
      <c r="N126" s="67">
        <v>20</v>
      </c>
      <c r="O126" s="67" t="s">
        <v>49</v>
      </c>
      <c r="P126" s="67">
        <v>12519.3</v>
      </c>
      <c r="Q126" s="74" t="s">
        <v>49</v>
      </c>
      <c r="R126" s="70">
        <f>21.3+56200.1-1198.4+887.9-9700.7-1203.3-2458.5-86476.4</f>
        <v>-43928</v>
      </c>
      <c r="S126" s="67">
        <f t="shared" si="5"/>
        <v>342838.1</v>
      </c>
      <c r="T126" s="67">
        <v>1096880.6166666665</v>
      </c>
      <c r="U126" s="67">
        <f t="shared" si="6"/>
        <v>3.1994128326655251</v>
      </c>
    </row>
    <row r="127" spans="1:21" s="71" customFormat="1" hidden="1" x14ac:dyDescent="0.2">
      <c r="A127" s="77" t="s">
        <v>74</v>
      </c>
      <c r="B127" s="67">
        <v>234022.8</v>
      </c>
      <c r="C127" s="67">
        <v>93988.4</v>
      </c>
      <c r="D127" s="67">
        <v>622.79999999999995</v>
      </c>
      <c r="E127" s="67">
        <v>1591.3</v>
      </c>
      <c r="F127" s="67">
        <v>2898.3</v>
      </c>
      <c r="G127" s="67">
        <v>44.9</v>
      </c>
      <c r="H127" s="67">
        <v>4866.3</v>
      </c>
      <c r="I127" s="67">
        <f t="shared" si="4"/>
        <v>338034.79999999993</v>
      </c>
      <c r="J127" s="72">
        <f>460611.2-379199.7+1198.4</f>
        <v>82609.899999999994</v>
      </c>
      <c r="K127" s="67">
        <f>437467.9-150872.4</f>
        <v>286595.5</v>
      </c>
      <c r="L127" s="67"/>
      <c r="M127" s="67">
        <v>2000</v>
      </c>
      <c r="N127" s="67">
        <v>20</v>
      </c>
      <c r="O127" s="67" t="s">
        <v>49</v>
      </c>
      <c r="P127" s="67">
        <v>12402.8</v>
      </c>
      <c r="Q127" s="74" t="s">
        <v>49</v>
      </c>
      <c r="R127" s="70">
        <f>21.3+56676.9-1198.4+887.9-9573.8-940.7-4721.2-86745.4</f>
        <v>-45593.39999999998</v>
      </c>
      <c r="S127" s="67">
        <f t="shared" si="5"/>
        <v>338034.80000000005</v>
      </c>
      <c r="T127" s="67">
        <v>1089057.0555555555</v>
      </c>
      <c r="U127" s="67">
        <f>T127/I127</f>
        <v>3.2217305897367838</v>
      </c>
    </row>
    <row r="128" spans="1:21" s="71" customFormat="1" hidden="1" x14ac:dyDescent="0.2">
      <c r="A128" s="77" t="s">
        <v>63</v>
      </c>
      <c r="B128" s="67">
        <v>222708</v>
      </c>
      <c r="C128" s="67">
        <v>80783.100000000006</v>
      </c>
      <c r="D128" s="67">
        <v>631.5</v>
      </c>
      <c r="E128" s="67">
        <v>2407.5</v>
      </c>
      <c r="F128" s="67">
        <v>2153.6</v>
      </c>
      <c r="G128" s="67">
        <v>23.3</v>
      </c>
      <c r="H128" s="67">
        <v>969.1</v>
      </c>
      <c r="I128" s="67">
        <f t="shared" si="4"/>
        <v>309676.09999999992</v>
      </c>
      <c r="J128" s="72">
        <f>523706.4-382067.5+1198.4</f>
        <v>142837.30000000002</v>
      </c>
      <c r="K128" s="67">
        <f>421409.4-226015.5</f>
        <v>195393.90000000002</v>
      </c>
      <c r="L128" s="67">
        <f>2231.9-2000</f>
        <v>231.90000000000009</v>
      </c>
      <c r="M128" s="67">
        <v>2000</v>
      </c>
      <c r="N128" s="67">
        <v>20</v>
      </c>
      <c r="O128" s="67" t="s">
        <v>49</v>
      </c>
      <c r="P128" s="67">
        <v>12409.6</v>
      </c>
      <c r="Q128" s="74" t="s">
        <v>49</v>
      </c>
      <c r="R128" s="70">
        <f>21.3+57430-1198.4+887.9-8443.4-1055.6-4209.9-86648.5</f>
        <v>-43216.6</v>
      </c>
      <c r="S128" s="67">
        <f t="shared" si="5"/>
        <v>309676.10000000009</v>
      </c>
      <c r="T128" s="67">
        <v>1048455.4555555555</v>
      </c>
      <c r="U128" s="67">
        <f>T128/I128</f>
        <v>3.3856518328523117</v>
      </c>
    </row>
    <row r="129" spans="1:21" s="71" customFormat="1" hidden="1" x14ac:dyDescent="0.2">
      <c r="A129" s="77" t="s">
        <v>75</v>
      </c>
      <c r="B129" s="67">
        <v>222327.4</v>
      </c>
      <c r="C129" s="67">
        <v>134377.79999999999</v>
      </c>
      <c r="D129" s="67">
        <v>5301.7</v>
      </c>
      <c r="E129" s="67">
        <v>2382.1999999999998</v>
      </c>
      <c r="F129" s="67">
        <v>5743.4</v>
      </c>
      <c r="G129" s="67">
        <v>39.299999999999997</v>
      </c>
      <c r="H129" s="67">
        <v>174.2</v>
      </c>
      <c r="I129" s="67">
        <f t="shared" si="4"/>
        <v>370346</v>
      </c>
      <c r="J129" s="72">
        <f>517932.7-380171.5+1198.4</f>
        <v>138959.6</v>
      </c>
      <c r="K129" s="67">
        <f>468148.1-204650.9</f>
        <v>263497.19999999995</v>
      </c>
      <c r="L129" s="67">
        <f>2000-2000</f>
        <v>0</v>
      </c>
      <c r="M129" s="67">
        <v>2000</v>
      </c>
      <c r="N129" s="67">
        <v>20</v>
      </c>
      <c r="O129" s="67" t="s">
        <v>49</v>
      </c>
      <c r="P129" s="67">
        <v>12267.8</v>
      </c>
      <c r="Q129" s="74" t="s">
        <v>49</v>
      </c>
      <c r="R129" s="70">
        <f>21.3+59825.3-1198.4+887.9-9452.2-1157.5-8619.5-86705.5</f>
        <v>-46398.599999999991</v>
      </c>
      <c r="S129" s="67">
        <f t="shared" si="5"/>
        <v>370345.99999999994</v>
      </c>
      <c r="T129" s="67">
        <v>1084798.1629629626</v>
      </c>
      <c r="U129" s="67">
        <f>T129/I129</f>
        <v>2.9291477779237867</v>
      </c>
    </row>
    <row r="130" spans="1:21" s="71" customFormat="1" hidden="1" x14ac:dyDescent="0.2">
      <c r="A130" s="77" t="s">
        <v>76</v>
      </c>
      <c r="B130" s="67">
        <v>219197.7</v>
      </c>
      <c r="C130" s="67">
        <v>105839.2</v>
      </c>
      <c r="D130" s="67">
        <v>910.9</v>
      </c>
      <c r="E130" s="67">
        <v>1576.2</v>
      </c>
      <c r="F130" s="67">
        <v>1671.9</v>
      </c>
      <c r="G130" s="67">
        <v>10.8</v>
      </c>
      <c r="H130" s="67">
        <v>1629</v>
      </c>
      <c r="I130" s="67">
        <f t="shared" si="4"/>
        <v>330835.70000000007</v>
      </c>
      <c r="J130" s="72">
        <f>509034.4-376171.7+1198.4</f>
        <v>134061.1</v>
      </c>
      <c r="K130" s="67">
        <f>434687.3-206775.6</f>
        <v>227911.69999999998</v>
      </c>
      <c r="L130" s="67">
        <f>2565.8-2000</f>
        <v>565.80000000000018</v>
      </c>
      <c r="M130" s="67">
        <v>2000</v>
      </c>
      <c r="N130" s="67">
        <v>20</v>
      </c>
      <c r="O130" s="67" t="s">
        <v>49</v>
      </c>
      <c r="P130" s="67">
        <v>12253.7</v>
      </c>
      <c r="Q130" s="74" t="s">
        <v>49</v>
      </c>
      <c r="R130" s="70">
        <f>21.3+61512.9-1198.4+887.9-9053-1071.6-10345.2-86730.5</f>
        <v>-45976.599999999991</v>
      </c>
      <c r="S130" s="67">
        <f t="shared" si="5"/>
        <v>330835.7</v>
      </c>
      <c r="T130" s="67">
        <v>1052158.3086419753</v>
      </c>
      <c r="U130" s="67">
        <f>T130/I130</f>
        <v>3.1803046304917366</v>
      </c>
    </row>
    <row r="131" spans="1:21" s="71" customFormat="1" hidden="1" x14ac:dyDescent="0.2">
      <c r="A131" s="77" t="s">
        <v>64</v>
      </c>
      <c r="B131" s="67">
        <v>227340.9</v>
      </c>
      <c r="C131" s="67">
        <v>120095.4</v>
      </c>
      <c r="D131" s="67">
        <v>1035.0999999999999</v>
      </c>
      <c r="E131" s="67">
        <v>1624.7</v>
      </c>
      <c r="F131" s="67">
        <v>3555.9</v>
      </c>
      <c r="G131" s="67">
        <v>22.9</v>
      </c>
      <c r="H131" s="67">
        <v>1326.1</v>
      </c>
      <c r="I131" s="67">
        <f t="shared" si="4"/>
        <v>355001</v>
      </c>
      <c r="J131" s="72">
        <f>500016.3-372538.8+1198.4</f>
        <v>128675.9</v>
      </c>
      <c r="K131" s="67">
        <f>448063.6-184472.5</f>
        <v>263591.09999999998</v>
      </c>
      <c r="L131" s="67">
        <f>2000-2000</f>
        <v>0</v>
      </c>
      <c r="M131" s="67">
        <v>2000</v>
      </c>
      <c r="N131" s="67">
        <v>20</v>
      </c>
      <c r="O131" s="67" t="s">
        <v>49</v>
      </c>
      <c r="P131" s="67">
        <v>12103.3</v>
      </c>
      <c r="Q131" s="74" t="s">
        <v>49</v>
      </c>
      <c r="R131" s="70">
        <f>21.3+65554.3-1198.4+887.9-9222.6-1064.1-8152.8-98214.9</f>
        <v>-51389.299999999988</v>
      </c>
      <c r="S131" s="67">
        <f t="shared" si="5"/>
        <v>355001</v>
      </c>
      <c r="T131" s="67">
        <v>1102468.5000000002</v>
      </c>
      <c r="U131" s="67">
        <f>T131/I131</f>
        <v>3.1055363224328953</v>
      </c>
    </row>
    <row r="132" spans="1:21" s="71" customFormat="1" hidden="1" x14ac:dyDescent="0.2">
      <c r="A132" s="77"/>
      <c r="B132" s="67"/>
      <c r="C132" s="67"/>
      <c r="D132" s="67"/>
      <c r="E132" s="67"/>
      <c r="F132" s="67"/>
      <c r="G132" s="67"/>
      <c r="H132" s="67"/>
      <c r="I132" s="67"/>
      <c r="J132" s="72"/>
      <c r="K132" s="67"/>
      <c r="L132" s="67"/>
      <c r="M132" s="67"/>
      <c r="N132" s="67"/>
      <c r="O132" s="67"/>
      <c r="P132" s="67"/>
      <c r="Q132" s="74"/>
      <c r="R132" s="70"/>
      <c r="S132" s="67"/>
      <c r="T132" s="67"/>
      <c r="U132" s="67"/>
    </row>
    <row r="133" spans="1:21" s="71" customFormat="1" hidden="1" x14ac:dyDescent="0.2">
      <c r="A133" s="77" t="s">
        <v>83</v>
      </c>
      <c r="B133" s="67">
        <v>221881.2</v>
      </c>
      <c r="C133" s="67">
        <v>90284</v>
      </c>
      <c r="D133" s="67">
        <v>1412.8</v>
      </c>
      <c r="E133" s="67">
        <v>1251.9000000000001</v>
      </c>
      <c r="F133" s="67">
        <v>2661.8</v>
      </c>
      <c r="G133" s="67">
        <v>11.2</v>
      </c>
      <c r="H133" s="67">
        <v>309.5</v>
      </c>
      <c r="I133" s="67">
        <f t="shared" si="4"/>
        <v>317812.40000000002</v>
      </c>
      <c r="J133" s="72">
        <f>483199.5-357331.8+1198.4</f>
        <v>127066.1</v>
      </c>
      <c r="K133" s="67">
        <f>415348.9-196033.7</f>
        <v>219315.20000000001</v>
      </c>
      <c r="L133" s="67">
        <f>2463.7-2000</f>
        <v>463.69999999999982</v>
      </c>
      <c r="M133" s="67">
        <v>2000</v>
      </c>
      <c r="N133" s="67">
        <v>20</v>
      </c>
      <c r="O133" s="67" t="s">
        <v>49</v>
      </c>
      <c r="P133" s="67">
        <v>12903.4</v>
      </c>
      <c r="Q133" s="74" t="s">
        <v>49</v>
      </c>
      <c r="R133" s="70">
        <f>21.3+67989.3-1198.4+887.9-10502.8-1109.7-11229.7-88813.9</f>
        <v>-43955.999999999985</v>
      </c>
      <c r="S133" s="67">
        <f t="shared" si="5"/>
        <v>317812.40000000008</v>
      </c>
      <c r="T133" s="67">
        <v>1074532.95</v>
      </c>
      <c r="U133" s="67">
        <f t="shared" ref="U133:U144" si="7">T133/I133</f>
        <v>3.3810290284457114</v>
      </c>
    </row>
    <row r="134" spans="1:21" s="71" customFormat="1" hidden="1" x14ac:dyDescent="0.2">
      <c r="A134" s="77" t="s">
        <v>84</v>
      </c>
      <c r="B134" s="67">
        <v>223869.8</v>
      </c>
      <c r="C134" s="67">
        <v>128772</v>
      </c>
      <c r="D134" s="67">
        <v>1446.5</v>
      </c>
      <c r="E134" s="67">
        <v>2667.8</v>
      </c>
      <c r="F134" s="67">
        <v>4150.5</v>
      </c>
      <c r="G134" s="67">
        <v>29.4</v>
      </c>
      <c r="H134" s="67">
        <v>410.4</v>
      </c>
      <c r="I134" s="67">
        <f t="shared" si="4"/>
        <v>361346.4</v>
      </c>
      <c r="J134" s="72">
        <f>475373.3-354020.7+1198.4</f>
        <v>122550.99999999997</v>
      </c>
      <c r="K134" s="67">
        <f>462738.1-196031.2</f>
        <v>266706.89999999997</v>
      </c>
      <c r="L134" s="67">
        <f>2000-2000</f>
        <v>0</v>
      </c>
      <c r="M134" s="67">
        <v>2000</v>
      </c>
      <c r="N134" s="67">
        <v>20</v>
      </c>
      <c r="O134" s="67" t="s">
        <v>49</v>
      </c>
      <c r="P134" s="67">
        <v>12771.4</v>
      </c>
      <c r="Q134" s="74" t="s">
        <v>49</v>
      </c>
      <c r="R134" s="70">
        <f>21.3+69461.2-1198.4+887.9-10301.6-1045.4-10806.9-89721</f>
        <v>-42702.9</v>
      </c>
      <c r="S134" s="67">
        <f t="shared" si="5"/>
        <v>361346.39999999991</v>
      </c>
      <c r="T134" s="67">
        <v>1085114.7</v>
      </c>
      <c r="U134" s="67">
        <f t="shared" si="7"/>
        <v>3.0029763683822499</v>
      </c>
    </row>
    <row r="135" spans="1:21" s="71" customFormat="1" hidden="1" x14ac:dyDescent="0.2">
      <c r="A135" s="77" t="s">
        <v>61</v>
      </c>
      <c r="B135" s="67">
        <v>223176.6</v>
      </c>
      <c r="C135" s="67">
        <v>71767.600000000006</v>
      </c>
      <c r="D135" s="67">
        <v>1593.8</v>
      </c>
      <c r="E135" s="67">
        <v>1878.3</v>
      </c>
      <c r="F135" s="67">
        <v>4089.8</v>
      </c>
      <c r="G135" s="67">
        <v>47.4</v>
      </c>
      <c r="H135" s="67">
        <v>243.7</v>
      </c>
      <c r="I135" s="67">
        <f t="shared" si="4"/>
        <v>302797.2</v>
      </c>
      <c r="J135" s="72">
        <f>471312.6-356984.6+1198.4</f>
        <v>115526.39999999999</v>
      </c>
      <c r="K135" s="67">
        <f>412400.5-196706.6</f>
        <v>215693.9</v>
      </c>
      <c r="L135" s="67">
        <f>3178.9-2000</f>
        <v>1178.9000000000001</v>
      </c>
      <c r="M135" s="67">
        <v>2000</v>
      </c>
      <c r="N135" s="67">
        <v>20</v>
      </c>
      <c r="O135" s="67" t="s">
        <v>49</v>
      </c>
      <c r="P135" s="67">
        <v>12654.2</v>
      </c>
      <c r="Q135" s="74" t="s">
        <v>49</v>
      </c>
      <c r="R135" s="70">
        <f>21.3+70415.3-1198.4+887.9-10123.6-1091.7-13545.7-89641.3</f>
        <v>-44276.2</v>
      </c>
      <c r="S135" s="67">
        <f t="shared" si="5"/>
        <v>302797.2</v>
      </c>
      <c r="T135" s="67">
        <v>1059585.55</v>
      </c>
      <c r="U135" s="67">
        <f t="shared" si="7"/>
        <v>3.4993241350976825</v>
      </c>
    </row>
    <row r="136" spans="1:21" s="71" customFormat="1" hidden="1" x14ac:dyDescent="0.2">
      <c r="A136" s="77" t="s">
        <v>85</v>
      </c>
      <c r="B136" s="67">
        <v>238022.8</v>
      </c>
      <c r="C136" s="67">
        <v>72697.2</v>
      </c>
      <c r="D136" s="67">
        <v>3120.4</v>
      </c>
      <c r="E136" s="67">
        <v>1431.1</v>
      </c>
      <c r="F136" s="67">
        <v>4725.5</v>
      </c>
      <c r="G136" s="67">
        <v>18.399999999999999</v>
      </c>
      <c r="H136" s="67">
        <v>403.8</v>
      </c>
      <c r="I136" s="67">
        <f t="shared" si="4"/>
        <v>320419.20000000001</v>
      </c>
      <c r="J136" s="72">
        <f>452409.5-360084.5+1198.4</f>
        <v>93523.4</v>
      </c>
      <c r="K136" s="67">
        <f>440884.9-198822.1</f>
        <v>242062.80000000002</v>
      </c>
      <c r="L136" s="67">
        <f>12000-2000</f>
        <v>10000</v>
      </c>
      <c r="M136" s="67">
        <v>2000</v>
      </c>
      <c r="N136" s="67">
        <v>20</v>
      </c>
      <c r="O136" s="67" t="s">
        <v>49</v>
      </c>
      <c r="P136" s="67">
        <v>12455.3</v>
      </c>
      <c r="Q136" s="74" t="s">
        <v>49</v>
      </c>
      <c r="R136" s="70">
        <f>61+72416.3-1198.4+887.9-9306.4-1124.5-5028.9-96349.3</f>
        <v>-39642.300000000003</v>
      </c>
      <c r="S136" s="67">
        <f t="shared" si="5"/>
        <v>320419.20000000001</v>
      </c>
      <c r="T136" s="67">
        <v>1104250.8</v>
      </c>
      <c r="U136" s="67">
        <f t="shared" si="7"/>
        <v>3.4462691374299665</v>
      </c>
    </row>
    <row r="137" spans="1:21" s="71" customFormat="1" hidden="1" x14ac:dyDescent="0.2">
      <c r="A137" s="77" t="s">
        <v>86</v>
      </c>
      <c r="B137" s="67">
        <v>248023.4</v>
      </c>
      <c r="C137" s="67">
        <v>69415.7</v>
      </c>
      <c r="D137" s="67">
        <v>6610</v>
      </c>
      <c r="E137" s="67">
        <v>1979.6</v>
      </c>
      <c r="F137" s="67">
        <v>5097.8999999999996</v>
      </c>
      <c r="G137" s="67">
        <v>48</v>
      </c>
      <c r="H137" s="67">
        <v>588.29999999999995</v>
      </c>
      <c r="I137" s="67">
        <f t="shared" si="4"/>
        <v>331762.89999999997</v>
      </c>
      <c r="J137" s="72">
        <f>451993-356222.3+1198.4</f>
        <v>96969.1</v>
      </c>
      <c r="K137" s="67">
        <f>464369-205884.1</f>
        <v>258484.9</v>
      </c>
      <c r="L137" s="67">
        <f>2911.5-2000</f>
        <v>911.5</v>
      </c>
      <c r="M137" s="67">
        <v>2000</v>
      </c>
      <c r="N137" s="67">
        <v>20</v>
      </c>
      <c r="O137" s="67" t="s">
        <v>49</v>
      </c>
      <c r="P137" s="67">
        <v>12774.8</v>
      </c>
      <c r="Q137" s="74" t="s">
        <v>49</v>
      </c>
      <c r="R137" s="70">
        <f>61+73754.4-1198.4+887.9-8857.5-1125-7161.4-95758.4</f>
        <v>-39397.4</v>
      </c>
      <c r="S137" s="67">
        <f t="shared" si="5"/>
        <v>331762.89999999997</v>
      </c>
      <c r="T137" s="67">
        <v>1123167.05</v>
      </c>
      <c r="U137" s="67">
        <f t="shared" si="7"/>
        <v>3.3854510254160433</v>
      </c>
    </row>
    <row r="138" spans="1:21" s="71" customFormat="1" hidden="1" x14ac:dyDescent="0.2">
      <c r="A138" s="77" t="s">
        <v>62</v>
      </c>
      <c r="B138" s="67">
        <v>254961.4</v>
      </c>
      <c r="C138" s="67">
        <v>63611.8</v>
      </c>
      <c r="D138" s="67">
        <v>9771.2999999999993</v>
      </c>
      <c r="E138" s="67">
        <v>2089.9</v>
      </c>
      <c r="F138" s="67">
        <v>3640.6</v>
      </c>
      <c r="G138" s="67">
        <v>62.4</v>
      </c>
      <c r="H138" s="67">
        <v>357.5</v>
      </c>
      <c r="I138" s="67">
        <f t="shared" si="4"/>
        <v>334494.90000000002</v>
      </c>
      <c r="J138" s="72">
        <f>372018.8-361289.7+1198.4</f>
        <v>11927.499999999976</v>
      </c>
      <c r="K138" s="67">
        <f>504411.7-186212.1</f>
        <v>318199.59999999998</v>
      </c>
      <c r="L138" s="67">
        <f>22000-2000</f>
        <v>20000</v>
      </c>
      <c r="M138" s="67">
        <v>2000</v>
      </c>
      <c r="N138" s="67">
        <v>20</v>
      </c>
      <c r="O138" s="67" t="s">
        <v>49</v>
      </c>
      <c r="P138" s="67">
        <v>13128.8</v>
      </c>
      <c r="Q138" s="74" t="s">
        <v>49</v>
      </c>
      <c r="R138" s="70">
        <f>61+72615.2-1198.4+887.9-1293.3-1101.1-5626.8-95125.5</f>
        <v>-30781.000000000015</v>
      </c>
      <c r="S138" s="67">
        <f t="shared" si="5"/>
        <v>334494.89999999997</v>
      </c>
      <c r="T138" s="67">
        <v>1099392.4999999995</v>
      </c>
      <c r="U138" s="67">
        <f t="shared" si="7"/>
        <v>3.2867242519990572</v>
      </c>
    </row>
    <row r="139" spans="1:21" s="71" customFormat="1" hidden="1" x14ac:dyDescent="0.2">
      <c r="A139" s="77" t="s">
        <v>87</v>
      </c>
      <c r="B139" s="67">
        <v>238905.2</v>
      </c>
      <c r="C139" s="67">
        <v>80850</v>
      </c>
      <c r="D139" s="67">
        <v>2711.7</v>
      </c>
      <c r="E139" s="67">
        <v>1992.3</v>
      </c>
      <c r="F139" s="67">
        <v>2932.2</v>
      </c>
      <c r="G139" s="67">
        <v>59.3</v>
      </c>
      <c r="H139" s="67">
        <v>428</v>
      </c>
      <c r="I139" s="67">
        <f t="shared" si="4"/>
        <v>327878.7</v>
      </c>
      <c r="J139" s="72">
        <f>352745.3-356249.3+1198.4</f>
        <v>-2305.6</v>
      </c>
      <c r="K139" s="67">
        <f>505143.9-164384.2</f>
        <v>340759.7</v>
      </c>
      <c r="L139" s="67">
        <f>8000-2000</f>
        <v>6000</v>
      </c>
      <c r="M139" s="67">
        <v>2000</v>
      </c>
      <c r="N139" s="67">
        <v>20</v>
      </c>
      <c r="O139" s="67" t="s">
        <v>49</v>
      </c>
      <c r="P139" s="67">
        <v>13666.4</v>
      </c>
      <c r="Q139" s="74" t="s">
        <v>49</v>
      </c>
      <c r="R139" s="70">
        <f>81.3+70254.5-1198.4+887.9-1675.7-1220.4-3574.2-95816.8</f>
        <v>-32261.799999999988</v>
      </c>
      <c r="S139" s="67">
        <f t="shared" si="5"/>
        <v>327878.70000000007</v>
      </c>
      <c r="T139" s="67">
        <v>1097538.8833333335</v>
      </c>
      <c r="U139" s="67">
        <f t="shared" si="7"/>
        <v>3.3473930552162536</v>
      </c>
    </row>
    <row r="140" spans="1:21" s="71" customFormat="1" x14ac:dyDescent="0.2">
      <c r="A140" s="77" t="s">
        <v>88</v>
      </c>
      <c r="B140" s="67">
        <v>230953.7</v>
      </c>
      <c r="C140" s="67">
        <v>89861</v>
      </c>
      <c r="D140" s="67">
        <v>3048.9</v>
      </c>
      <c r="E140" s="67">
        <v>3013.9</v>
      </c>
      <c r="F140" s="67">
        <v>1505.9</v>
      </c>
      <c r="G140" s="67">
        <v>18.2</v>
      </c>
      <c r="H140" s="67">
        <v>333.6</v>
      </c>
      <c r="I140" s="67">
        <f t="shared" si="4"/>
        <v>328735.20000000007</v>
      </c>
      <c r="J140" s="72">
        <f>311325.5-355556.2+1198.4</f>
        <v>-43032.30000000001</v>
      </c>
      <c r="K140" s="67">
        <f>541329.4-166223.8</f>
        <v>375105.60000000003</v>
      </c>
      <c r="L140" s="67">
        <f>12000-2000</f>
        <v>10000</v>
      </c>
      <c r="M140" s="67">
        <v>2000</v>
      </c>
      <c r="N140" s="67">
        <v>20</v>
      </c>
      <c r="O140" s="67" t="s">
        <v>49</v>
      </c>
      <c r="P140" s="67">
        <v>14221.5</v>
      </c>
      <c r="Q140" s="74" t="s">
        <v>49</v>
      </c>
      <c r="R140" s="70">
        <f>81.3+71092.5-1198.4+887.9-1816.6-1256-2386.1-94984.2</f>
        <v>-29579.599999999999</v>
      </c>
      <c r="S140" s="67">
        <f t="shared" si="5"/>
        <v>328735.20000000007</v>
      </c>
      <c r="T140" s="67">
        <v>1105881.6444444444</v>
      </c>
      <c r="U140" s="67">
        <f t="shared" si="7"/>
        <v>3.3640499844386733</v>
      </c>
    </row>
    <row r="141" spans="1:21" s="71" customFormat="1" x14ac:dyDescent="0.2">
      <c r="A141" s="77" t="s">
        <v>63</v>
      </c>
      <c r="B141" s="67">
        <v>216072.1</v>
      </c>
      <c r="C141" s="67">
        <v>79716.800000000003</v>
      </c>
      <c r="D141" s="67">
        <v>5700.2</v>
      </c>
      <c r="E141" s="67">
        <v>3810.3</v>
      </c>
      <c r="F141" s="67">
        <v>8658</v>
      </c>
      <c r="G141" s="67">
        <v>33.1</v>
      </c>
      <c r="H141" s="67">
        <v>323.5</v>
      </c>
      <c r="I141" s="67">
        <f t="shared" si="4"/>
        <v>314314</v>
      </c>
      <c r="J141" s="72">
        <f>273056.3-351304.8+1198.4</f>
        <v>-77050.100000000006</v>
      </c>
      <c r="K141" s="67">
        <f>578061.5-179834.4</f>
        <v>398227.1</v>
      </c>
      <c r="L141" s="67">
        <f>6840.3-2000</f>
        <v>4840.3</v>
      </c>
      <c r="M141" s="67">
        <v>2000</v>
      </c>
      <c r="N141" s="67">
        <v>20</v>
      </c>
      <c r="O141" s="67" t="s">
        <v>49</v>
      </c>
      <c r="P141" s="67">
        <v>14713.9</v>
      </c>
      <c r="Q141" s="74" t="s">
        <v>49</v>
      </c>
      <c r="R141" s="70">
        <f>61.4+69762.2-1198.4+887.9-1252.3-1274.9-643.9-94779.2</f>
        <v>-28437.199999999997</v>
      </c>
      <c r="S141" s="67">
        <f t="shared" si="5"/>
        <v>314314</v>
      </c>
      <c r="T141" s="67">
        <v>1102168.2444444443</v>
      </c>
      <c r="U141" s="67">
        <f t="shared" si="7"/>
        <v>3.506583367092921</v>
      </c>
    </row>
    <row r="142" spans="1:21" s="71" customFormat="1" x14ac:dyDescent="0.2">
      <c r="A142" s="77" t="s">
        <v>75</v>
      </c>
      <c r="B142" s="67">
        <v>225234.3</v>
      </c>
      <c r="C142" s="67">
        <v>112668.5</v>
      </c>
      <c r="D142" s="67">
        <v>6435.6</v>
      </c>
      <c r="E142" s="67">
        <v>2770.6</v>
      </c>
      <c r="F142" s="67">
        <v>6415.9</v>
      </c>
      <c r="G142" s="67">
        <v>25.1</v>
      </c>
      <c r="H142" s="67">
        <v>463.8</v>
      </c>
      <c r="I142" s="67">
        <f t="shared" si="4"/>
        <v>354013.79999999993</v>
      </c>
      <c r="J142" s="72">
        <f>289429-349041.3+1198.4</f>
        <v>-58413.899999999987</v>
      </c>
      <c r="K142" s="67">
        <f>602681.6-172044.3</f>
        <v>430637.3</v>
      </c>
      <c r="L142" s="67">
        <f>2000-2000</f>
        <v>0</v>
      </c>
      <c r="M142" s="67">
        <v>2000</v>
      </c>
      <c r="N142" s="67">
        <v>20</v>
      </c>
      <c r="O142" s="67" t="s">
        <v>49</v>
      </c>
      <c r="P142" s="67">
        <v>14871.7</v>
      </c>
      <c r="Q142" s="74" t="s">
        <v>49</v>
      </c>
      <c r="R142" s="70">
        <f>61.4+68994.5-1198.4+887.9-2211.8-1234.8-6204.2-94195.9</f>
        <v>-35101.300000000003</v>
      </c>
      <c r="S142" s="67">
        <f t="shared" si="5"/>
        <v>354013.80000000005</v>
      </c>
      <c r="T142" s="67">
        <v>1141077.6037037037</v>
      </c>
      <c r="U142" s="67">
        <f t="shared" si="7"/>
        <v>3.2232574089024326</v>
      </c>
    </row>
    <row r="143" spans="1:21" s="71" customFormat="1" x14ac:dyDescent="0.2">
      <c r="A143" s="77" t="s">
        <v>76</v>
      </c>
      <c r="B143" s="67">
        <v>221763.4</v>
      </c>
      <c r="C143" s="67">
        <v>89671.1</v>
      </c>
      <c r="D143" s="67">
        <v>835</v>
      </c>
      <c r="E143" s="67">
        <v>2847.7</v>
      </c>
      <c r="F143" s="67">
        <v>4746.8999999999996</v>
      </c>
      <c r="G143" s="67">
        <v>22</v>
      </c>
      <c r="H143" s="67">
        <v>870.5</v>
      </c>
      <c r="I143" s="67">
        <f t="shared" si="4"/>
        <v>320756.60000000003</v>
      </c>
      <c r="J143" s="72">
        <f>236298.7-350334.2+1198.4</f>
        <v>-112837.1</v>
      </c>
      <c r="K143" s="67">
        <f>609719.2-171980.6</f>
        <v>437738.6</v>
      </c>
      <c r="L143" s="67">
        <f>2000+11300+5193.2-2000</f>
        <v>16493.2</v>
      </c>
      <c r="M143" s="67">
        <v>2000</v>
      </c>
      <c r="N143" s="67">
        <v>20</v>
      </c>
      <c r="O143" s="67" t="s">
        <v>49</v>
      </c>
      <c r="P143" s="67">
        <v>14969.3</v>
      </c>
      <c r="Q143" s="74" t="s">
        <v>49</v>
      </c>
      <c r="R143" s="70">
        <f>61.4+69133-1198.4+887.9-3556.8-1411.3-6887.1-94656.1</f>
        <v>-37627.400000000016</v>
      </c>
      <c r="S143" s="67">
        <f t="shared" si="5"/>
        <v>320756.59999999998</v>
      </c>
      <c r="T143" s="67">
        <v>1083311.1024691358</v>
      </c>
      <c r="U143" s="67">
        <f t="shared" si="7"/>
        <v>3.3773618453030605</v>
      </c>
    </row>
    <row r="144" spans="1:21" s="71" customFormat="1" x14ac:dyDescent="0.2">
      <c r="A144" s="77" t="s">
        <v>64</v>
      </c>
      <c r="B144" s="67">
        <v>230723.7</v>
      </c>
      <c r="C144" s="67">
        <v>84351</v>
      </c>
      <c r="D144" s="67">
        <v>1611</v>
      </c>
      <c r="E144" s="67">
        <v>2209.5</v>
      </c>
      <c r="F144" s="67">
        <v>4368.5</v>
      </c>
      <c r="G144" s="67">
        <v>44.5</v>
      </c>
      <c r="H144" s="67">
        <v>1200</v>
      </c>
      <c r="I144" s="67">
        <f t="shared" si="4"/>
        <v>324508.2</v>
      </c>
      <c r="J144" s="72">
        <f>220631.2-354815.2+1198.4</f>
        <v>-132985.60000000001</v>
      </c>
      <c r="K144" s="67">
        <f>641724.6-189143</f>
        <v>452581.6</v>
      </c>
      <c r="L144" s="67">
        <f>2000+15800+4000-2000</f>
        <v>19800</v>
      </c>
      <c r="M144" s="67">
        <v>2000</v>
      </c>
      <c r="N144" s="67">
        <v>20</v>
      </c>
      <c r="O144" s="67" t="s">
        <v>49</v>
      </c>
      <c r="P144" s="67">
        <v>14933.9</v>
      </c>
      <c r="Q144" s="74" t="s">
        <v>49</v>
      </c>
      <c r="R144" s="70">
        <f>48.3+70740.6-1198.4+887.9-5645.1-1187.7-1265-94222.3</f>
        <v>-31841.69999999999</v>
      </c>
      <c r="S144" s="67">
        <f t="shared" si="5"/>
        <v>324508.2</v>
      </c>
      <c r="T144" s="67">
        <v>1101095.8</v>
      </c>
      <c r="U144" s="67">
        <f t="shared" si="7"/>
        <v>3.393121653012158</v>
      </c>
    </row>
    <row r="145" spans="1:21" s="71" customFormat="1" x14ac:dyDescent="0.2">
      <c r="A145" s="78"/>
      <c r="B145" s="67"/>
      <c r="C145" s="67"/>
      <c r="D145" s="67"/>
      <c r="E145" s="67"/>
      <c r="F145" s="67"/>
      <c r="G145" s="67"/>
      <c r="H145" s="67"/>
      <c r="I145" s="67"/>
      <c r="J145" s="72"/>
      <c r="K145" s="67"/>
      <c r="L145" s="67"/>
      <c r="M145" s="67"/>
      <c r="N145" s="67"/>
      <c r="O145" s="67"/>
      <c r="P145" s="67"/>
      <c r="Q145" s="74"/>
      <c r="R145" s="70"/>
      <c r="S145" s="67"/>
      <c r="T145" s="67"/>
      <c r="U145" s="67"/>
    </row>
    <row r="146" spans="1:21" s="71" customFormat="1" x14ac:dyDescent="0.2">
      <c r="A146" s="78" t="s">
        <v>89</v>
      </c>
      <c r="B146" s="67">
        <v>226455.9</v>
      </c>
      <c r="C146" s="67">
        <v>97415.5</v>
      </c>
      <c r="D146" s="67">
        <v>1365.4</v>
      </c>
      <c r="E146" s="67">
        <v>1524.2</v>
      </c>
      <c r="F146" s="67">
        <v>2402.5</v>
      </c>
      <c r="G146" s="67">
        <v>52.7</v>
      </c>
      <c r="H146" s="67">
        <v>588.70000000000005</v>
      </c>
      <c r="I146" s="67">
        <f t="shared" si="4"/>
        <v>329804.90000000008</v>
      </c>
      <c r="J146" s="72">
        <f>214074.7-351129.1+1198.4</f>
        <v>-135855.99999999997</v>
      </c>
      <c r="K146" s="67">
        <f>598712.1-157721.4</f>
        <v>440990.69999999995</v>
      </c>
      <c r="L146" s="67">
        <f>2000+37705-2000</f>
        <v>37705</v>
      </c>
      <c r="M146" s="67">
        <v>2000</v>
      </c>
      <c r="N146" s="67">
        <v>20</v>
      </c>
      <c r="O146" s="67" t="s">
        <v>49</v>
      </c>
      <c r="P146" s="67">
        <v>15514.3</v>
      </c>
      <c r="Q146" s="74" t="s">
        <v>49</v>
      </c>
      <c r="R146" s="70">
        <f>48.3+71595.3-1198.4+887.9-5990-1258.3-545.6-94108.3</f>
        <v>-30569.1</v>
      </c>
      <c r="S146" s="67">
        <f t="shared" si="5"/>
        <v>329804.89999999997</v>
      </c>
      <c r="T146" s="67">
        <v>1086567.7</v>
      </c>
      <c r="U146" s="67">
        <f t="shared" ref="U146:U151" si="8">T146/I146</f>
        <v>3.2945771879071528</v>
      </c>
    </row>
    <row r="147" spans="1:21" s="71" customFormat="1" x14ac:dyDescent="0.2">
      <c r="A147" s="78" t="s">
        <v>90</v>
      </c>
      <c r="B147" s="67">
        <v>228222</v>
      </c>
      <c r="C147" s="67">
        <v>82311.3</v>
      </c>
      <c r="D147" s="67">
        <v>10313.200000000001</v>
      </c>
      <c r="E147" s="67">
        <v>2882.1</v>
      </c>
      <c r="F147" s="67">
        <v>9164.2000000000007</v>
      </c>
      <c r="G147" s="67">
        <v>6.9</v>
      </c>
      <c r="H147" s="67">
        <v>948.2</v>
      </c>
      <c r="I147" s="67">
        <f t="shared" si="4"/>
        <v>333847.90000000002</v>
      </c>
      <c r="J147" s="72">
        <f>176947.2-344743.7+1198.4</f>
        <v>-166598.1</v>
      </c>
      <c r="K147" s="67">
        <f>626840.4-158336.1</f>
        <v>468504.30000000005</v>
      </c>
      <c r="L147" s="67">
        <f>2000+43325+639.8-2000</f>
        <v>43964.800000000003</v>
      </c>
      <c r="M147" s="67">
        <v>2000</v>
      </c>
      <c r="N147" s="67">
        <v>20</v>
      </c>
      <c r="O147" s="67" t="s">
        <v>49</v>
      </c>
      <c r="P147" s="67">
        <v>15543.1</v>
      </c>
      <c r="Q147" s="74" t="s">
        <v>49</v>
      </c>
      <c r="R147" s="70">
        <f>48.3+72112-1198.4+887.9-6827.1-1188.5+398.2-93818.6</f>
        <v>-29586.200000000004</v>
      </c>
      <c r="S147" s="67">
        <f t="shared" si="5"/>
        <v>333847.90000000002</v>
      </c>
      <c r="T147" s="67">
        <v>1103155.9333333331</v>
      </c>
      <c r="U147" s="67">
        <f t="shared" si="8"/>
        <v>3.3043668488953593</v>
      </c>
    </row>
    <row r="148" spans="1:21" s="71" customFormat="1" x14ac:dyDescent="0.2">
      <c r="A148" s="78" t="s">
        <v>70</v>
      </c>
      <c r="B148" s="67">
        <v>219964.2</v>
      </c>
      <c r="C148" s="67">
        <v>94301.6</v>
      </c>
      <c r="D148" s="67">
        <v>2510.6999999999998</v>
      </c>
      <c r="E148" s="67">
        <v>2734.9</v>
      </c>
      <c r="F148" s="67">
        <v>2813.9</v>
      </c>
      <c r="G148" s="67">
        <v>26.4</v>
      </c>
      <c r="H148" s="67">
        <v>910.3</v>
      </c>
      <c r="I148" s="67">
        <f>SUM(B148:H148)</f>
        <v>323262.00000000012</v>
      </c>
      <c r="J148" s="72">
        <f>154021.4-350173.8+1198.4</f>
        <v>-194954</v>
      </c>
      <c r="K148" s="67">
        <f>635625.1-181930.5</f>
        <v>453694.6</v>
      </c>
      <c r="L148" s="67">
        <f>2000+71527.8+322.2-2000</f>
        <v>71850</v>
      </c>
      <c r="M148" s="67">
        <v>2000</v>
      </c>
      <c r="N148" s="67">
        <v>20</v>
      </c>
      <c r="O148" s="67" t="s">
        <v>49</v>
      </c>
      <c r="P148" s="67">
        <v>15893</v>
      </c>
      <c r="Q148" s="74" t="s">
        <v>49</v>
      </c>
      <c r="R148" s="70">
        <f>48.3+72033.5-1198.4+887.9-5204-1206.1+3581.8-94184.6</f>
        <v>-25241.600000000006</v>
      </c>
      <c r="S148" s="67">
        <f>SUM(J148:R148)</f>
        <v>323262</v>
      </c>
      <c r="T148" s="67">
        <v>1074422.6499999999</v>
      </c>
      <c r="U148" s="67">
        <f t="shared" si="8"/>
        <v>3.3236899171569796</v>
      </c>
    </row>
    <row r="149" spans="1:21" s="71" customFormat="1" x14ac:dyDescent="0.2">
      <c r="A149" s="78" t="s">
        <v>71</v>
      </c>
      <c r="B149" s="67">
        <v>230212</v>
      </c>
      <c r="C149" s="67">
        <v>112572.5</v>
      </c>
      <c r="D149" s="67">
        <v>1361.9</v>
      </c>
      <c r="E149" s="67">
        <v>1956.8</v>
      </c>
      <c r="F149" s="67">
        <v>3187.7</v>
      </c>
      <c r="G149" s="67">
        <v>15.2</v>
      </c>
      <c r="H149" s="67">
        <v>438.4</v>
      </c>
      <c r="I149" s="67">
        <f>SUM(B149:H149)</f>
        <v>349744.50000000006</v>
      </c>
      <c r="J149" s="72">
        <f>178335-355049.6+1198.4</f>
        <v>-175516.19999999998</v>
      </c>
      <c r="K149" s="67">
        <f>640405.2-184360.9</f>
        <v>456044.29999999993</v>
      </c>
      <c r="L149" s="67">
        <f>2000+71877.8+322.2-2000</f>
        <v>72200</v>
      </c>
      <c r="M149" s="67">
        <v>2000</v>
      </c>
      <c r="N149" s="67">
        <v>20</v>
      </c>
      <c r="O149" s="67" t="s">
        <v>49</v>
      </c>
      <c r="P149" s="67">
        <v>16072.6</v>
      </c>
      <c r="Q149" s="74" t="s">
        <v>49</v>
      </c>
      <c r="R149" s="70">
        <f>86.1+72548.4-1198.4+887.9-5204-1352.2+7259.2-94103.2</f>
        <v>-21076.199999999997</v>
      </c>
      <c r="S149" s="67">
        <f>SUM(J149:R149)</f>
        <v>349744.49999999994</v>
      </c>
      <c r="T149" s="67">
        <v>1100011.0666666664</v>
      </c>
      <c r="U149" s="67">
        <f t="shared" si="8"/>
        <v>3.1451847467699028</v>
      </c>
    </row>
    <row r="150" spans="1:21" s="71" customFormat="1" x14ac:dyDescent="0.2">
      <c r="A150" s="78" t="s">
        <v>72</v>
      </c>
      <c r="B150" s="67">
        <v>230195.9</v>
      </c>
      <c r="C150" s="67">
        <v>105627.9</v>
      </c>
      <c r="D150" s="67">
        <v>7539.1</v>
      </c>
      <c r="E150" s="67">
        <v>2568.1999999999998</v>
      </c>
      <c r="F150" s="67">
        <v>7710.2</v>
      </c>
      <c r="G150" s="67">
        <v>37.6</v>
      </c>
      <c r="H150" s="67">
        <v>798.3</v>
      </c>
      <c r="I150" s="67">
        <f>SUM(B150:H150)</f>
        <v>354477.19999999995</v>
      </c>
      <c r="J150" s="72">
        <f>155514.5-352456.3+1198.4</f>
        <v>-195743.4</v>
      </c>
      <c r="K150" s="67">
        <f>655244.3-180986.2</f>
        <v>474258.10000000003</v>
      </c>
      <c r="L150" s="67">
        <f>2000+81677.8+322.2-2000</f>
        <v>82000</v>
      </c>
      <c r="M150" s="67">
        <v>2000</v>
      </c>
      <c r="N150" s="67">
        <v>20</v>
      </c>
      <c r="O150" s="67" t="s">
        <v>49</v>
      </c>
      <c r="P150" s="67">
        <v>16307.1</v>
      </c>
      <c r="Q150" s="74" t="s">
        <v>49</v>
      </c>
      <c r="R150" s="70">
        <f>86.1+73194.1-1198.4+887.9-6494.3-1955.5+5109.2-93993.7</f>
        <v>-24364.599999999991</v>
      </c>
      <c r="S150" s="67">
        <f>SUM(J150:R150)</f>
        <v>354477.20000000007</v>
      </c>
      <c r="T150" s="67">
        <v>1099491.0833333333</v>
      </c>
      <c r="U150" s="67">
        <f t="shared" si="8"/>
        <v>3.1017258185669867</v>
      </c>
    </row>
    <row r="151" spans="1:21" s="71" customFormat="1" x14ac:dyDescent="0.2">
      <c r="A151" s="78" t="s">
        <v>62</v>
      </c>
      <c r="B151" s="67">
        <v>255415.5</v>
      </c>
      <c r="C151" s="67">
        <v>98845.3</v>
      </c>
      <c r="D151" s="67">
        <v>3186.6</v>
      </c>
      <c r="E151" s="67">
        <v>1740</v>
      </c>
      <c r="F151" s="67">
        <v>4307.5</v>
      </c>
      <c r="G151" s="67">
        <v>16.100000000000001</v>
      </c>
      <c r="H151" s="67">
        <v>557.9</v>
      </c>
      <c r="I151" s="67">
        <f>SUM(B151:H151)</f>
        <v>364068.89999999997</v>
      </c>
      <c r="J151" s="72">
        <f>164637-351838.8+1198.4</f>
        <v>-186003.4</v>
      </c>
      <c r="K151" s="67">
        <f>650423.6-193317.2</f>
        <v>457106.39999999997</v>
      </c>
      <c r="L151" s="67">
        <f>100677.8+322.2</f>
        <v>101000</v>
      </c>
      <c r="M151" s="67">
        <v>2000</v>
      </c>
      <c r="N151" s="67">
        <v>20</v>
      </c>
      <c r="O151" s="67"/>
      <c r="P151" s="67">
        <v>16553.2</v>
      </c>
      <c r="Q151" s="74" t="s">
        <v>49</v>
      </c>
      <c r="R151" s="70">
        <f>73.2+72742.7-1198.4+887.9-5535.4-1938.5+2252.6-93891.4</f>
        <v>-26607.299999999988</v>
      </c>
      <c r="S151" s="67">
        <f>SUM(J151:R151)</f>
        <v>364068.9</v>
      </c>
      <c r="T151" s="67">
        <v>1117322.5999999999</v>
      </c>
      <c r="U151" s="67">
        <f t="shared" si="8"/>
        <v>3.0689866670841699</v>
      </c>
    </row>
    <row r="152" spans="1:21" s="71" customFormat="1" x14ac:dyDescent="0.2">
      <c r="A152" s="78" t="s">
        <v>73</v>
      </c>
      <c r="B152" s="67">
        <v>265902.59999999998</v>
      </c>
      <c r="C152" s="67">
        <v>101091.2</v>
      </c>
      <c r="D152" s="67">
        <v>6715.9</v>
      </c>
      <c r="E152" s="67">
        <v>2646.6</v>
      </c>
      <c r="F152" s="67">
        <v>5193.3</v>
      </c>
      <c r="G152" s="67">
        <v>8.4</v>
      </c>
      <c r="H152" s="67">
        <v>772.4</v>
      </c>
      <c r="I152" s="67">
        <v>382330.4</v>
      </c>
      <c r="J152" s="72">
        <v>-186226.3</v>
      </c>
      <c r="K152" s="67">
        <v>464133.8</v>
      </c>
      <c r="L152" s="67">
        <v>111437</v>
      </c>
      <c r="M152" s="67">
        <v>2000</v>
      </c>
      <c r="N152" s="67">
        <v>20</v>
      </c>
      <c r="O152" s="67"/>
      <c r="P152" s="67">
        <v>16490.900000000001</v>
      </c>
      <c r="Q152" s="67" t="s">
        <v>49</v>
      </c>
      <c r="R152" s="70">
        <v>-25525</v>
      </c>
      <c r="S152" s="67">
        <v>382330.39999999997</v>
      </c>
      <c r="T152" s="67">
        <v>1118925.8500000001</v>
      </c>
      <c r="U152" s="67">
        <v>2.9265939878178666</v>
      </c>
    </row>
    <row r="153" spans="1:21" s="71" customFormat="1" x14ac:dyDescent="0.2">
      <c r="A153" s="78" t="s">
        <v>74</v>
      </c>
      <c r="B153" s="67">
        <v>259211.2</v>
      </c>
      <c r="C153" s="67">
        <v>96485.6</v>
      </c>
      <c r="D153" s="67">
        <v>678.2</v>
      </c>
      <c r="E153" s="67">
        <v>3581.1</v>
      </c>
      <c r="F153" s="67">
        <v>4709.8</v>
      </c>
      <c r="G153" s="67">
        <v>5.4</v>
      </c>
      <c r="H153" s="67">
        <v>2762.9</v>
      </c>
      <c r="I153" s="67">
        <v>367434.20000000007</v>
      </c>
      <c r="J153" s="72">
        <v>-192550.6</v>
      </c>
      <c r="K153" s="67">
        <v>464665.5</v>
      </c>
      <c r="L153" s="67">
        <v>101883</v>
      </c>
      <c r="M153" s="67">
        <v>2000</v>
      </c>
      <c r="N153" s="67">
        <v>20</v>
      </c>
      <c r="O153" s="67"/>
      <c r="P153" s="67">
        <v>16453.2</v>
      </c>
      <c r="Q153" s="67" t="s">
        <v>49</v>
      </c>
      <c r="R153" s="70">
        <v>-25036.89999999998</v>
      </c>
      <c r="S153" s="67">
        <v>367434.20000000007</v>
      </c>
      <c r="T153" s="67">
        <v>1128196.2</v>
      </c>
      <c r="U153" s="67">
        <v>3.0704713932453749</v>
      </c>
    </row>
    <row r="154" spans="1:21" s="71" customFormat="1" x14ac:dyDescent="0.2">
      <c r="A154" s="78" t="s">
        <v>63</v>
      </c>
      <c r="B154" s="67">
        <v>254499.1</v>
      </c>
      <c r="C154" s="67">
        <v>124775.9</v>
      </c>
      <c r="D154" s="67">
        <v>834</v>
      </c>
      <c r="E154" s="67">
        <v>3523.6</v>
      </c>
      <c r="F154" s="67">
        <v>4926.1000000000004</v>
      </c>
      <c r="G154" s="67">
        <v>3.6</v>
      </c>
      <c r="H154" s="67">
        <v>1138.3</v>
      </c>
      <c r="I154" s="67">
        <v>389700.6</v>
      </c>
      <c r="J154" s="72">
        <v>-181601</v>
      </c>
      <c r="K154" s="67">
        <v>457923.6</v>
      </c>
      <c r="L154" s="67">
        <v>118705</v>
      </c>
      <c r="M154" s="67">
        <v>2000</v>
      </c>
      <c r="N154" s="67">
        <v>20</v>
      </c>
      <c r="O154" s="67"/>
      <c r="P154" s="67">
        <v>16291.4</v>
      </c>
      <c r="Q154" s="67" t="s">
        <v>49</v>
      </c>
      <c r="R154" s="70">
        <v>-23638.400000000009</v>
      </c>
      <c r="S154" s="67">
        <v>389700.6</v>
      </c>
      <c r="T154" s="67">
        <v>1130783.45</v>
      </c>
      <c r="U154" s="67">
        <v>2.9016723351208595</v>
      </c>
    </row>
    <row r="155" spans="1:21" s="71" customFormat="1" x14ac:dyDescent="0.2">
      <c r="A155" s="78" t="s">
        <v>75</v>
      </c>
      <c r="B155" s="67">
        <v>254519.8</v>
      </c>
      <c r="C155" s="67">
        <v>112931.8</v>
      </c>
      <c r="D155" s="67">
        <v>1498.7</v>
      </c>
      <c r="E155" s="67">
        <v>3149.6</v>
      </c>
      <c r="F155" s="67">
        <v>3531.1</v>
      </c>
      <c r="G155" s="67">
        <v>5.2</v>
      </c>
      <c r="H155" s="67">
        <v>1875</v>
      </c>
      <c r="I155" s="67">
        <v>377511.2</v>
      </c>
      <c r="J155" s="72">
        <v>-181634.80000000002</v>
      </c>
      <c r="K155" s="67">
        <v>470608.2</v>
      </c>
      <c r="L155" s="67">
        <v>101274</v>
      </c>
      <c r="M155" s="67">
        <v>2000</v>
      </c>
      <c r="N155" s="67">
        <v>20</v>
      </c>
      <c r="O155" s="67"/>
      <c r="P155" s="67">
        <v>16036.3</v>
      </c>
      <c r="Q155" s="67" t="s">
        <v>49</v>
      </c>
      <c r="R155" s="70">
        <v>-30792.5</v>
      </c>
      <c r="S155" s="67">
        <v>377511.19999999995</v>
      </c>
      <c r="T155" s="67">
        <v>1136066.9666666666</v>
      </c>
      <c r="U155" s="67">
        <v>3.0093596340099751</v>
      </c>
    </row>
    <row r="156" spans="1:21" s="71" customFormat="1" x14ac:dyDescent="0.2">
      <c r="A156" s="78" t="s">
        <v>76</v>
      </c>
      <c r="B156" s="67">
        <v>255283.4</v>
      </c>
      <c r="C156" s="67">
        <v>125278.8</v>
      </c>
      <c r="D156" s="67">
        <v>8178.4</v>
      </c>
      <c r="E156" s="67">
        <v>2943.8</v>
      </c>
      <c r="F156" s="67">
        <v>9000.1</v>
      </c>
      <c r="G156" s="67">
        <v>3.2</v>
      </c>
      <c r="H156" s="67">
        <v>1378.3</v>
      </c>
      <c r="I156" s="67">
        <v>402066.00000000006</v>
      </c>
      <c r="J156" s="72">
        <v>-174078</v>
      </c>
      <c r="K156" s="67">
        <v>494743.1</v>
      </c>
      <c r="L156" s="67">
        <v>101050</v>
      </c>
      <c r="M156" s="67">
        <v>2000</v>
      </c>
      <c r="N156" s="67">
        <v>20</v>
      </c>
      <c r="O156" s="67"/>
      <c r="P156" s="67">
        <v>15955.6</v>
      </c>
      <c r="Q156" s="67" t="s">
        <v>49</v>
      </c>
      <c r="R156" s="70">
        <v>-37624.69999999999</v>
      </c>
      <c r="S156" s="67">
        <v>402066</v>
      </c>
      <c r="T156" s="67">
        <v>1155970.8388888887</v>
      </c>
      <c r="U156" s="67">
        <v>2.8750773228497026</v>
      </c>
    </row>
    <row r="157" spans="1:21" s="71" customFormat="1" x14ac:dyDescent="0.2">
      <c r="A157" s="78" t="s">
        <v>64</v>
      </c>
      <c r="B157" s="67">
        <v>267512.5</v>
      </c>
      <c r="C157" s="67">
        <v>134302.79999999999</v>
      </c>
      <c r="D157" s="67">
        <v>5995.8</v>
      </c>
      <c r="E157" s="67">
        <v>3575.7</v>
      </c>
      <c r="F157" s="67">
        <v>6509.8</v>
      </c>
      <c r="G157" s="67">
        <v>7.7</v>
      </c>
      <c r="H157" s="67">
        <v>1319.7</v>
      </c>
      <c r="I157" s="67">
        <v>419224</v>
      </c>
      <c r="J157" s="72">
        <v>-162073.80000000002</v>
      </c>
      <c r="K157" s="67">
        <v>509226.20000000007</v>
      </c>
      <c r="L157" s="67">
        <v>87000</v>
      </c>
      <c r="M157" s="67">
        <v>2000</v>
      </c>
      <c r="N157" s="67">
        <v>20</v>
      </c>
      <c r="O157" s="67"/>
      <c r="P157" s="67">
        <v>15731</v>
      </c>
      <c r="Q157" s="67" t="s">
        <v>49</v>
      </c>
      <c r="R157" s="70">
        <v>-32679.399999999991</v>
      </c>
      <c r="S157" s="67">
        <v>419224</v>
      </c>
      <c r="T157" s="67">
        <v>1180019.4000000001</v>
      </c>
      <c r="U157" s="67">
        <v>2.8147706238192471</v>
      </c>
    </row>
    <row r="158" spans="1:21" s="71" customFormat="1" x14ac:dyDescent="0.2">
      <c r="A158" s="78"/>
      <c r="B158" s="67"/>
      <c r="C158" s="67"/>
      <c r="D158" s="67"/>
      <c r="E158" s="67"/>
      <c r="F158" s="67"/>
      <c r="G158" s="67"/>
      <c r="H158" s="67"/>
      <c r="I158" s="67"/>
      <c r="J158" s="72"/>
      <c r="K158" s="67"/>
      <c r="L158" s="67"/>
      <c r="M158" s="67"/>
      <c r="N158" s="67"/>
      <c r="O158" s="67"/>
      <c r="P158" s="67"/>
      <c r="Q158" s="67"/>
      <c r="R158" s="70"/>
      <c r="S158" s="67"/>
      <c r="T158" s="67"/>
      <c r="U158" s="67"/>
    </row>
    <row r="159" spans="1:21" s="71" customFormat="1" ht="15.75" x14ac:dyDescent="0.2">
      <c r="A159" s="78" t="s">
        <v>91</v>
      </c>
      <c r="B159" s="67">
        <v>257413.7</v>
      </c>
      <c r="C159" s="67">
        <v>190039</v>
      </c>
      <c r="D159" s="67">
        <v>4253.3</v>
      </c>
      <c r="E159" s="67">
        <v>2487.1</v>
      </c>
      <c r="F159" s="67">
        <v>5001.6000000000004</v>
      </c>
      <c r="G159" s="67">
        <v>2.2000000000000002</v>
      </c>
      <c r="H159" s="67">
        <v>823.5</v>
      </c>
      <c r="I159" s="67">
        <v>460020.4</v>
      </c>
      <c r="J159" s="72">
        <v>-135675.79999999999</v>
      </c>
      <c r="K159" s="67">
        <v>490572</v>
      </c>
      <c r="L159" s="67">
        <v>115936.4</v>
      </c>
      <c r="M159" s="67">
        <v>1000</v>
      </c>
      <c r="N159" s="67">
        <v>20</v>
      </c>
      <c r="O159" s="67"/>
      <c r="P159" s="67">
        <v>16300.9</v>
      </c>
      <c r="Q159" s="67" t="s">
        <v>49</v>
      </c>
      <c r="R159" s="70">
        <v>-28133.09999999998</v>
      </c>
      <c r="S159" s="67">
        <v>460020.39999999997</v>
      </c>
      <c r="T159" s="67">
        <v>1197317.5666666667</v>
      </c>
      <c r="U159" s="67">
        <v>2.6027488491090103</v>
      </c>
    </row>
    <row r="160" spans="1:21" s="71" customFormat="1" ht="15.75" x14ac:dyDescent="0.2">
      <c r="A160" s="78" t="s">
        <v>92</v>
      </c>
      <c r="B160" s="67">
        <v>258459.9</v>
      </c>
      <c r="C160" s="67">
        <v>164896.79999999999</v>
      </c>
      <c r="D160" s="67">
        <v>4617.7</v>
      </c>
      <c r="E160" s="67">
        <v>1884.5</v>
      </c>
      <c r="F160" s="67">
        <v>5531.1</v>
      </c>
      <c r="G160" s="67">
        <v>2.2000000000000002</v>
      </c>
      <c r="H160" s="67">
        <v>1725.8</v>
      </c>
      <c r="I160" s="67">
        <v>437118</v>
      </c>
      <c r="J160" s="72">
        <v>-110723.4</v>
      </c>
      <c r="K160" s="67">
        <v>466989.60000000003</v>
      </c>
      <c r="L160" s="67">
        <v>95000</v>
      </c>
      <c r="M160" s="67">
        <v>1000</v>
      </c>
      <c r="N160" s="67">
        <v>20</v>
      </c>
      <c r="O160" s="67"/>
      <c r="P160" s="67">
        <v>18796.7</v>
      </c>
      <c r="Q160" s="67" t="s">
        <v>49</v>
      </c>
      <c r="R160" s="70">
        <v>-33964.89999999998</v>
      </c>
      <c r="S160" s="67">
        <v>437118</v>
      </c>
      <c r="T160" s="67">
        <v>1223172.0333333332</v>
      </c>
      <c r="U160" s="67">
        <v>2.7982650756393772</v>
      </c>
    </row>
    <row r="161" spans="1:21" s="71" customFormat="1" ht="15.75" x14ac:dyDescent="0.2">
      <c r="A161" s="78" t="s">
        <v>93</v>
      </c>
      <c r="B161" s="67">
        <v>267562.40000000002</v>
      </c>
      <c r="C161" s="67">
        <v>167615</v>
      </c>
      <c r="D161" s="67">
        <v>13631.3</v>
      </c>
      <c r="E161" s="67">
        <v>2642.3</v>
      </c>
      <c r="F161" s="67">
        <v>7688</v>
      </c>
      <c r="G161" s="67">
        <v>157.1</v>
      </c>
      <c r="H161" s="67">
        <v>2095</v>
      </c>
      <c r="I161" s="67">
        <v>461391.1</v>
      </c>
      <c r="J161" s="72">
        <v>-126159.60000000003</v>
      </c>
      <c r="K161" s="67">
        <v>512292.1</v>
      </c>
      <c r="L161" s="67">
        <v>87840</v>
      </c>
      <c r="M161" s="67">
        <v>1000</v>
      </c>
      <c r="N161" s="67">
        <v>20</v>
      </c>
      <c r="O161" s="67"/>
      <c r="P161" s="67">
        <v>20527</v>
      </c>
      <c r="Q161" s="67" t="s">
        <v>49</v>
      </c>
      <c r="R161" s="70">
        <v>-34128.399999999987</v>
      </c>
      <c r="S161" s="67">
        <v>461391.09999999992</v>
      </c>
      <c r="T161" s="67">
        <v>1261421.3999999999</v>
      </c>
      <c r="U161" s="67">
        <v>2.7339526055010595</v>
      </c>
    </row>
    <row r="162" spans="1:21" s="71" customFormat="1" x14ac:dyDescent="0.2">
      <c r="A162" s="78" t="s">
        <v>94</v>
      </c>
      <c r="B162" s="67">
        <v>269369.5</v>
      </c>
      <c r="C162" s="67">
        <v>160086.1</v>
      </c>
      <c r="D162" s="67">
        <v>11262.3</v>
      </c>
      <c r="E162" s="67">
        <v>2470.4</v>
      </c>
      <c r="F162" s="67">
        <v>6336.7</v>
      </c>
      <c r="G162" s="67">
        <v>89.2</v>
      </c>
      <c r="H162" s="67">
        <v>2476.4</v>
      </c>
      <c r="I162" s="67">
        <v>452090.6</v>
      </c>
      <c r="J162" s="72">
        <v>-134913.4</v>
      </c>
      <c r="K162" s="67">
        <v>493647.4</v>
      </c>
      <c r="L162" s="67">
        <v>100000</v>
      </c>
      <c r="M162" s="67">
        <v>1000</v>
      </c>
      <c r="N162" s="67">
        <v>20</v>
      </c>
      <c r="O162" s="67"/>
      <c r="P162" s="67">
        <v>21248.3</v>
      </c>
      <c r="Q162" s="67" t="s">
        <v>49</v>
      </c>
      <c r="R162" s="70">
        <v>-28911.699999999986</v>
      </c>
      <c r="S162" s="67">
        <v>452090.6</v>
      </c>
      <c r="T162" s="67">
        <v>1294936.3999999999</v>
      </c>
      <c r="U162" s="67">
        <v>2.8309046903430422</v>
      </c>
    </row>
    <row r="163" spans="1:21" s="71" customFormat="1" ht="18" x14ac:dyDescent="0.25">
      <c r="A163" s="78" t="s">
        <v>95</v>
      </c>
      <c r="B163" s="67">
        <v>276838.09999999998</v>
      </c>
      <c r="C163" s="67">
        <v>152045.6</v>
      </c>
      <c r="D163" s="67">
        <v>10667.7</v>
      </c>
      <c r="E163" s="67">
        <v>1637.9</v>
      </c>
      <c r="F163" s="67">
        <v>6911</v>
      </c>
      <c r="G163" s="67">
        <v>29.3</v>
      </c>
      <c r="H163" s="67">
        <v>3875.9</v>
      </c>
      <c r="I163" s="67">
        <v>452005.5</v>
      </c>
      <c r="J163" s="72">
        <v>-100012.50000000003</v>
      </c>
      <c r="K163" s="67">
        <v>460988.4</v>
      </c>
      <c r="L163" s="67">
        <v>100165.4</v>
      </c>
      <c r="M163" s="67">
        <v>1000</v>
      </c>
      <c r="N163" s="67">
        <v>20</v>
      </c>
      <c r="O163" s="67"/>
      <c r="P163" s="67">
        <v>22163.4</v>
      </c>
      <c r="Q163" s="67" t="s">
        <v>49</v>
      </c>
      <c r="R163" s="70">
        <v>-32319.19999999999</v>
      </c>
      <c r="S163" s="67">
        <v>452005.5</v>
      </c>
      <c r="T163" s="67">
        <v>1322203.2</v>
      </c>
      <c r="U163" s="67">
        <v>2.858330484916666</v>
      </c>
    </row>
    <row r="164" spans="1:21" s="71" customFormat="1" x14ac:dyDescent="0.2">
      <c r="A164" s="78" t="s">
        <v>67</v>
      </c>
      <c r="B164" s="67">
        <v>301775.5</v>
      </c>
      <c r="C164" s="67">
        <v>101969.2</v>
      </c>
      <c r="D164" s="67">
        <v>11602.5</v>
      </c>
      <c r="E164" s="67">
        <v>2615.4</v>
      </c>
      <c r="F164" s="67">
        <v>7635.6</v>
      </c>
      <c r="G164" s="67">
        <v>11</v>
      </c>
      <c r="H164" s="67">
        <v>4565.7</v>
      </c>
      <c r="I164" s="67">
        <v>430174.9</v>
      </c>
      <c r="J164" s="72">
        <v>-135616.80000000002</v>
      </c>
      <c r="K164" s="67">
        <v>500672.8</v>
      </c>
      <c r="L164" s="67">
        <v>69737.5</v>
      </c>
      <c r="M164" s="67">
        <v>1000</v>
      </c>
      <c r="N164" s="67">
        <v>20</v>
      </c>
      <c r="O164" s="67"/>
      <c r="P164" s="67">
        <v>22527.9</v>
      </c>
      <c r="Q164" s="67" t="s">
        <v>49</v>
      </c>
      <c r="R164" s="70">
        <v>-28166.499999999993</v>
      </c>
      <c r="S164" s="67">
        <f>SUM(J164:R164)</f>
        <v>430174.9</v>
      </c>
      <c r="T164" s="67">
        <v>1369924.9</v>
      </c>
      <c r="U164" s="67">
        <v>3.0791936024161335</v>
      </c>
    </row>
    <row r="165" spans="1:21" s="71" customFormat="1" ht="18" x14ac:dyDescent="0.25">
      <c r="A165" s="78" t="s">
        <v>96</v>
      </c>
      <c r="B165" s="67">
        <v>304085.59999999998</v>
      </c>
      <c r="C165" s="67">
        <v>97125.9</v>
      </c>
      <c r="D165" s="67">
        <v>13880.2</v>
      </c>
      <c r="E165" s="67">
        <v>1957.6</v>
      </c>
      <c r="F165" s="67">
        <v>10379.9</v>
      </c>
      <c r="G165" s="67">
        <v>7.9</v>
      </c>
      <c r="H165" s="67">
        <f>2057.7+29378.2</f>
        <v>31435.9</v>
      </c>
      <c r="I165" s="67">
        <f t="shared" ref="I165:I166" si="9">H165+F165+E165+C165+B165+G165+D165</f>
        <v>458873</v>
      </c>
      <c r="J165" s="72">
        <f>177070.1+1198.4-340163.4</f>
        <v>-161894.90000000002</v>
      </c>
      <c r="K165" s="67">
        <f>732104.3-227307.4</f>
        <v>504796.9</v>
      </c>
      <c r="L165" s="67">
        <f>108410+3488.5</f>
        <v>111898.5</v>
      </c>
      <c r="M165" s="67">
        <v>1000</v>
      </c>
      <c r="N165" s="67">
        <v>20</v>
      </c>
      <c r="O165" s="67"/>
      <c r="P165" s="67">
        <v>23671.7</v>
      </c>
      <c r="Q165" s="67" t="s">
        <v>49</v>
      </c>
      <c r="R165" s="70">
        <f>83.3+887.8+108390-1198.4-30132.1-1452.5-97724.8+527.5</f>
        <v>-20619.199999999997</v>
      </c>
      <c r="S165" s="67">
        <f>SUM(J165:R165)</f>
        <v>458873</v>
      </c>
      <c r="T165" s="67">
        <v>1413621.1</v>
      </c>
      <c r="U165" s="67">
        <f t="shared" ref="U165:U166" si="10">T165/I165</f>
        <v>3.0806369082513028</v>
      </c>
    </row>
    <row r="166" spans="1:21" s="71" customFormat="1" ht="15.75" x14ac:dyDescent="0.2">
      <c r="A166" s="87" t="s">
        <v>97</v>
      </c>
      <c r="B166" s="67">
        <v>307668.59999999998</v>
      </c>
      <c r="C166" s="67">
        <v>142342.39999999999</v>
      </c>
      <c r="D166" s="67">
        <v>5930</v>
      </c>
      <c r="E166" s="67">
        <v>1440.9</v>
      </c>
      <c r="F166" s="67">
        <v>19397.8</v>
      </c>
      <c r="G166" s="67">
        <v>16.2</v>
      </c>
      <c r="H166" s="88">
        <v>30509.1</v>
      </c>
      <c r="I166" s="67">
        <f t="shared" si="9"/>
        <v>507304.99999999994</v>
      </c>
      <c r="J166" s="72">
        <v>-141377.29999999999</v>
      </c>
      <c r="K166" s="67">
        <v>527189.89999999991</v>
      </c>
      <c r="L166" s="74">
        <v>107910</v>
      </c>
      <c r="M166" s="74">
        <v>0</v>
      </c>
      <c r="N166" s="67">
        <v>20</v>
      </c>
      <c r="O166" s="89"/>
      <c r="P166" s="90">
        <v>23202.3</v>
      </c>
      <c r="Q166" s="74" t="s">
        <v>49</v>
      </c>
      <c r="R166" s="91">
        <f>83.3+887.8+119053.6-1198.4-31170.5-1472.9-98891.9+3069.1</f>
        <v>-9639.8999999999705</v>
      </c>
      <c r="S166" s="67" t="e">
        <f t="shared" ref="S166" si="11">R166+Q166+P166+N166+M166+L166+K166+J166+O166</f>
        <v>#VALUE!</v>
      </c>
      <c r="T166" s="67">
        <v>1448421.1</v>
      </c>
      <c r="U166" s="67">
        <f t="shared" si="10"/>
        <v>2.8551287686894478</v>
      </c>
    </row>
    <row r="167" spans="1:21" s="71" customFormat="1" x14ac:dyDescent="0.2">
      <c r="A167" s="78"/>
      <c r="B167" s="92"/>
      <c r="C167" s="92"/>
      <c r="D167" s="92"/>
      <c r="E167" s="92"/>
      <c r="F167" s="92"/>
      <c r="G167" s="92"/>
      <c r="H167" s="92"/>
      <c r="I167" s="92"/>
      <c r="J167" s="93"/>
      <c r="K167" s="92"/>
      <c r="L167" s="92"/>
      <c r="M167" s="92"/>
      <c r="N167" s="92"/>
      <c r="O167" s="92"/>
      <c r="P167" s="92"/>
      <c r="Q167" s="92"/>
      <c r="R167" s="94"/>
      <c r="S167" s="92"/>
      <c r="T167" s="92"/>
      <c r="U167" s="92"/>
    </row>
    <row r="168" spans="1:21" x14ac:dyDescent="0.2">
      <c r="A168" s="95"/>
      <c r="B168" s="96"/>
      <c r="C168" s="96"/>
      <c r="D168" s="96"/>
      <c r="E168" s="96"/>
      <c r="F168" s="96"/>
      <c r="G168" s="96"/>
      <c r="H168" s="96"/>
      <c r="I168" s="96"/>
      <c r="J168" s="97"/>
      <c r="K168" s="96"/>
      <c r="L168" s="96"/>
      <c r="M168" s="96"/>
      <c r="N168" s="96"/>
      <c r="O168" s="98"/>
      <c r="P168" s="96"/>
      <c r="Q168" s="99"/>
      <c r="R168" s="96"/>
      <c r="S168" s="96"/>
      <c r="T168" s="96"/>
      <c r="U168" s="21"/>
    </row>
    <row r="169" spans="1:21" s="71" customFormat="1" hidden="1" x14ac:dyDescent="0.2">
      <c r="A169" s="100" t="s">
        <v>98</v>
      </c>
      <c r="B169" s="101"/>
      <c r="C169" s="101"/>
      <c r="D169" s="101"/>
      <c r="E169" s="101"/>
      <c r="F169" s="101"/>
      <c r="G169" s="101"/>
      <c r="H169" s="101"/>
      <c r="I169" s="101"/>
      <c r="J169" s="102"/>
      <c r="K169" s="101"/>
      <c r="L169" s="101"/>
      <c r="M169" s="101"/>
      <c r="N169" s="101"/>
      <c r="O169" s="103"/>
      <c r="P169" s="101"/>
      <c r="Q169" s="104"/>
      <c r="R169" s="105"/>
      <c r="S169" s="106"/>
      <c r="T169" s="101"/>
      <c r="U169" s="107"/>
    </row>
    <row r="170" spans="1:21" x14ac:dyDescent="0.2">
      <c r="A170" s="100" t="s">
        <v>99</v>
      </c>
      <c r="B170" s="101"/>
      <c r="C170" s="101"/>
      <c r="D170" s="101"/>
      <c r="E170" s="101"/>
      <c r="F170" s="101"/>
      <c r="G170" s="101"/>
      <c r="H170" s="101"/>
      <c r="I170" s="101"/>
      <c r="J170" s="102"/>
      <c r="K170" s="101"/>
      <c r="L170" s="101"/>
      <c r="M170" s="101"/>
      <c r="N170" s="101"/>
      <c r="O170" s="103"/>
      <c r="P170" s="101"/>
      <c r="Q170" s="104"/>
      <c r="R170" s="101"/>
      <c r="S170" s="106"/>
      <c r="T170" s="101"/>
      <c r="U170" s="107"/>
    </row>
    <row r="171" spans="1:21" x14ac:dyDescent="0.2">
      <c r="A171" s="71"/>
      <c r="B171" s="52"/>
      <c r="C171" s="52"/>
      <c r="D171" s="52"/>
      <c r="E171" s="52"/>
      <c r="F171" s="52"/>
      <c r="G171" s="52"/>
      <c r="H171" s="52"/>
      <c r="I171" s="52"/>
      <c r="J171" s="108"/>
      <c r="K171" s="52"/>
      <c r="L171" s="52"/>
      <c r="M171" s="52"/>
      <c r="N171" s="52"/>
      <c r="O171" s="109"/>
      <c r="P171" s="52"/>
      <c r="Q171" s="110"/>
      <c r="R171" s="52"/>
      <c r="S171" s="111"/>
      <c r="T171" s="91"/>
      <c r="U171" s="52"/>
    </row>
    <row r="172" spans="1:21" x14ac:dyDescent="0.2">
      <c r="A172" s="71"/>
      <c r="B172" s="52"/>
      <c r="C172" s="52"/>
      <c r="D172" s="52"/>
      <c r="E172" s="52"/>
      <c r="F172" s="52"/>
      <c r="G172" s="52"/>
      <c r="H172" s="52"/>
      <c r="I172" s="52"/>
      <c r="J172" s="91"/>
      <c r="K172" s="112"/>
      <c r="L172" s="52"/>
      <c r="M172" s="52"/>
      <c r="N172" s="52"/>
      <c r="O172" s="109"/>
      <c r="P172" s="52"/>
      <c r="Q172" s="110"/>
      <c r="R172" s="91"/>
      <c r="S172" s="111"/>
      <c r="T172" s="52"/>
      <c r="U172" s="52"/>
    </row>
    <row r="173" spans="1:21" x14ac:dyDescent="0.2">
      <c r="S173" s="111"/>
    </row>
    <row r="174" spans="1:21" x14ac:dyDescent="0.2">
      <c r="S174" s="111"/>
    </row>
    <row r="175" spans="1:21" x14ac:dyDescent="0.2">
      <c r="S175" s="111"/>
    </row>
    <row r="176" spans="1:21" x14ac:dyDescent="0.2">
      <c r="J176" s="91"/>
      <c r="S176" s="111"/>
    </row>
    <row r="177" spans="19:19" x14ac:dyDescent="0.2">
      <c r="S177" s="111"/>
    </row>
    <row r="178" spans="19:19" x14ac:dyDescent="0.2">
      <c r="S178" s="111"/>
    </row>
  </sheetData>
  <mergeCells count="3">
    <mergeCell ref="B2:T2"/>
    <mergeCell ref="B5:I5"/>
    <mergeCell ref="J5:S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II_6 Monetary base</vt:lpstr>
      <vt:lpstr>'II_6 Monetary base'!Print_Area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2017-11-30T06:50:43Z</dcterms:created>
  <dcterms:modified xsi:type="dcterms:W3CDTF">2017-11-30T06:51:08Z</dcterms:modified>
</cp:coreProperties>
</file>