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Statistiques Monnaie et Crédit\Bullmens  (M3) Janvier 2017 francais\"/>
    </mc:Choice>
  </mc:AlternateContent>
  <bookViews>
    <workbookView xWindow="720" yWindow="750" windowWidth="8625" windowHeight="3780"/>
  </bookViews>
  <sheets>
    <sheet name="ii4-1sitmonétaire actif" sheetId="1" r:id="rId1"/>
    <sheet name="Actuel" sheetId="2" r:id="rId2"/>
    <sheet name="Feuil1" sheetId="3" r:id="rId3"/>
  </sheets>
  <definedNames>
    <definedName name="__123Graph_A" localSheetId="0" hidden="1">'ii4-1sitmonétaire actif'!#REF!</definedName>
    <definedName name="__123Graph_B" localSheetId="0" hidden="1">'ii4-1sitmonétaire actif'!#REF!</definedName>
    <definedName name="__123Graph_C" localSheetId="0" hidden="1">'ii4-1sitmonétaire actif'!#REF!</definedName>
    <definedName name="__123Graph_D" localSheetId="0" hidden="1">'ii4-1sitmonétaire actif'!#REF!</definedName>
    <definedName name="__123Graph_E" localSheetId="0" hidden="1">'ii4-1sitmonétaire actif'!#REF!</definedName>
    <definedName name="__123Graph_X" localSheetId="0" hidden="1">'ii4-1sitmonétaire actif'!#REF!</definedName>
    <definedName name="_xlnm.Print_Area" localSheetId="0">'ii4-1sitmonétaire actif'!$A$1:$V$175</definedName>
    <definedName name="Zone_impres_MI">'ii4-1sitmonétaire actif'!$A$1:$V$171</definedName>
  </definedNames>
  <calcPr calcId="152511"/>
</workbook>
</file>

<file path=xl/calcChain.xml><?xml version="1.0" encoding="utf-8"?>
<calcChain xmlns="http://schemas.openxmlformats.org/spreadsheetml/2006/main">
  <c r="Q170" i="1" l="1"/>
  <c r="P170" i="1"/>
  <c r="H170" i="1"/>
  <c r="F170" i="1"/>
  <c r="C170" i="1"/>
  <c r="C168" i="1"/>
  <c r="B170" i="1" l="1"/>
  <c r="S170" i="1"/>
  <c r="K170" i="1"/>
  <c r="N170" i="1" s="1"/>
  <c r="D170" i="1"/>
  <c r="U170" i="1" l="1"/>
  <c r="V170" i="1" s="1"/>
  <c r="Q29" i="1" l="1"/>
  <c r="P29" i="1"/>
  <c r="S29" i="1" s="1"/>
  <c r="K29" i="1"/>
  <c r="N29" i="1" s="1"/>
  <c r="U29" i="1" s="1"/>
  <c r="H29" i="1"/>
  <c r="F29" i="1"/>
  <c r="D29" i="1"/>
  <c r="C29" i="1"/>
  <c r="B29" i="1"/>
  <c r="Q125" i="1"/>
  <c r="P125" i="1"/>
  <c r="S125" i="1" s="1"/>
  <c r="H125" i="1"/>
  <c r="K125" i="1" s="1"/>
  <c r="N125" i="1" s="1"/>
  <c r="U125" i="1" s="1"/>
  <c r="F125" i="1"/>
  <c r="C125" i="1"/>
  <c r="B125" i="1"/>
  <c r="D125" i="1" s="1"/>
  <c r="S168" i="1"/>
  <c r="U168" i="1" s="1"/>
  <c r="Q168" i="1"/>
  <c r="P168" i="1"/>
  <c r="N168" i="1"/>
  <c r="K168" i="1"/>
  <c r="H168" i="1"/>
  <c r="F168" i="1"/>
  <c r="D168" i="1"/>
  <c r="B168" i="1"/>
  <c r="B124" i="1"/>
  <c r="D124" i="1" s="1"/>
  <c r="V124" i="1" s="1"/>
  <c r="C124" i="1"/>
  <c r="F124" i="1"/>
  <c r="H124" i="1"/>
  <c r="K124" i="1" s="1"/>
  <c r="N124" i="1" s="1"/>
  <c r="U124" i="1" s="1"/>
  <c r="P124" i="1"/>
  <c r="S124" i="1" s="1"/>
  <c r="Q124" i="1"/>
  <c r="V168" i="1" l="1"/>
  <c r="V29" i="1"/>
  <c r="V125" i="1"/>
  <c r="S167" i="1" l="1"/>
  <c r="U167" i="1" s="1"/>
  <c r="V167" i="1" s="1"/>
  <c r="Q167" i="1"/>
  <c r="P167" i="1"/>
  <c r="N167" i="1"/>
  <c r="K167" i="1"/>
  <c r="H167" i="1"/>
  <c r="F167" i="1"/>
  <c r="C167" i="1"/>
  <c r="D167" i="1"/>
  <c r="B167" i="1"/>
  <c r="Q50" i="1" l="1"/>
  <c r="P50" i="1"/>
  <c r="S50" i="1" s="1"/>
  <c r="K50" i="1"/>
  <c r="N50" i="1" s="1"/>
  <c r="U50" i="1" s="1"/>
  <c r="H50" i="1"/>
  <c r="F50" i="1"/>
  <c r="D50" i="1"/>
  <c r="C50" i="1"/>
  <c r="B50" i="1"/>
  <c r="V50" i="1" l="1"/>
  <c r="Q166" i="1"/>
  <c r="P166" i="1" l="1"/>
  <c r="S166" i="1"/>
  <c r="U166" i="1" s="1"/>
  <c r="V166" i="1" s="1"/>
  <c r="N166" i="1"/>
  <c r="K166" i="1"/>
  <c r="H166" i="1"/>
  <c r="H165" i="1"/>
  <c r="H164" i="1"/>
  <c r="H163" i="1"/>
  <c r="H162" i="1"/>
  <c r="H161" i="1"/>
  <c r="H160" i="1"/>
  <c r="F166" i="1"/>
  <c r="D166" i="1"/>
  <c r="C166" i="1"/>
  <c r="B166" i="1"/>
  <c r="Q165" i="1" l="1"/>
  <c r="S165" i="1" s="1"/>
  <c r="P165" i="1"/>
  <c r="F165" i="1" l="1"/>
  <c r="C165" i="1"/>
  <c r="B165" i="1"/>
  <c r="D165" i="1" s="1"/>
  <c r="K165" i="1" l="1"/>
  <c r="N165" i="1" s="1"/>
  <c r="U165" i="1" s="1"/>
  <c r="V165" i="1" s="1"/>
  <c r="Q164" i="1" l="1"/>
  <c r="P164" i="1"/>
  <c r="S164" i="1" s="1"/>
  <c r="H159" i="1"/>
  <c r="H158" i="1"/>
  <c r="H157" i="1"/>
  <c r="F164" i="1"/>
  <c r="K164" i="1" s="1"/>
  <c r="N164" i="1" s="1"/>
  <c r="U164" i="1" l="1"/>
  <c r="C164" i="1"/>
  <c r="B164" i="1"/>
  <c r="D164" i="1" l="1"/>
  <c r="V164" i="1" s="1"/>
  <c r="Q163" i="1"/>
  <c r="P163" i="1"/>
  <c r="F163" i="1"/>
  <c r="K163" i="1" s="1"/>
  <c r="N163" i="1" s="1"/>
  <c r="C163" i="1"/>
  <c r="B163" i="1"/>
  <c r="D163" i="1" l="1"/>
  <c r="U163" i="1"/>
  <c r="S163" i="1"/>
  <c r="Q162" i="1"/>
  <c r="S162" i="1" s="1"/>
  <c r="P162" i="1"/>
  <c r="F162" i="1"/>
  <c r="K162" i="1" s="1"/>
  <c r="N162" i="1" s="1"/>
  <c r="C162" i="1"/>
  <c r="B162" i="1"/>
  <c r="D162" i="1" s="1"/>
  <c r="V163" i="1" l="1"/>
  <c r="U162" i="1"/>
  <c r="V162" i="1" s="1"/>
  <c r="Q161" i="1"/>
  <c r="P161" i="1"/>
  <c r="F161" i="1" l="1"/>
  <c r="C161" i="1"/>
  <c r="B161" i="1"/>
  <c r="S161" i="1" l="1"/>
  <c r="K161" i="1"/>
  <c r="N161" i="1" s="1"/>
  <c r="D161" i="1"/>
  <c r="U161" i="1" l="1"/>
  <c r="V161" i="1" s="1"/>
  <c r="Q160" i="1"/>
  <c r="P160" i="1"/>
  <c r="F160" i="1"/>
  <c r="C160" i="1"/>
  <c r="B160" i="1"/>
  <c r="S160" i="1" l="1"/>
  <c r="K160" i="1"/>
  <c r="N160" i="1" s="1"/>
  <c r="D160" i="1"/>
  <c r="U160" i="1" l="1"/>
  <c r="V160" i="1" s="1"/>
  <c r="Q47" i="1" l="1"/>
  <c r="P47" i="1"/>
  <c r="S47" i="1" s="1"/>
  <c r="H47" i="1"/>
  <c r="F47" i="1"/>
  <c r="K47" i="1" s="1"/>
  <c r="N47" i="1" s="1"/>
  <c r="U47" i="1" s="1"/>
  <c r="C47" i="1"/>
  <c r="B47" i="1"/>
  <c r="D47" i="1" s="1"/>
  <c r="V47" i="1" l="1"/>
  <c r="Q159" i="1"/>
  <c r="P159" i="1"/>
  <c r="S159" i="1" s="1"/>
  <c r="F159" i="1"/>
  <c r="K159" i="1" s="1"/>
  <c r="N159" i="1" s="1"/>
  <c r="C159" i="1"/>
  <c r="B159" i="1"/>
  <c r="D159" i="1" s="1"/>
  <c r="U159" i="1" l="1"/>
  <c r="V159" i="1" s="1"/>
  <c r="Q46" i="1"/>
  <c r="P46" i="1"/>
  <c r="H46" i="1"/>
  <c r="F46" i="1"/>
  <c r="C46" i="1"/>
  <c r="B46" i="1"/>
  <c r="Q45" i="1"/>
  <c r="P45" i="1"/>
  <c r="H45" i="1"/>
  <c r="F45" i="1"/>
  <c r="C45" i="1"/>
  <c r="B45" i="1"/>
  <c r="Q44" i="1"/>
  <c r="P44" i="1"/>
  <c r="H44" i="1"/>
  <c r="F44" i="1"/>
  <c r="C44" i="1"/>
  <c r="B44" i="1"/>
  <c r="Q28" i="1"/>
  <c r="P28" i="1"/>
  <c r="H28" i="1"/>
  <c r="F28" i="1"/>
  <c r="C28" i="1"/>
  <c r="B28" i="1"/>
  <c r="D28" i="1" l="1"/>
  <c r="K28" i="1"/>
  <c r="N28" i="1" s="1"/>
  <c r="S28" i="1"/>
  <c r="D44" i="1"/>
  <c r="K44" i="1"/>
  <c r="N44" i="1" s="1"/>
  <c r="S44" i="1"/>
  <c r="D45" i="1"/>
  <c r="K45" i="1"/>
  <c r="N45" i="1" s="1"/>
  <c r="U45" i="1" s="1"/>
  <c r="S45" i="1"/>
  <c r="D46" i="1"/>
  <c r="K46" i="1"/>
  <c r="N46" i="1" s="1"/>
  <c r="S46" i="1"/>
  <c r="H151" i="1"/>
  <c r="H150" i="1"/>
  <c r="H149" i="1"/>
  <c r="H148" i="1"/>
  <c r="H147" i="1"/>
  <c r="H146" i="1"/>
  <c r="H145" i="1"/>
  <c r="H144" i="1"/>
  <c r="H152" i="1"/>
  <c r="V45" i="1" l="1"/>
  <c r="U28" i="1"/>
  <c r="V28" i="1" s="1"/>
  <c r="U46" i="1"/>
  <c r="V46" i="1" s="1"/>
  <c r="U44" i="1"/>
  <c r="V44" i="1" s="1"/>
  <c r="H155" i="1"/>
  <c r="H154" i="1"/>
  <c r="H153" i="1"/>
  <c r="Q158" i="1"/>
  <c r="P158" i="1"/>
  <c r="F158" i="1"/>
  <c r="C158" i="1"/>
  <c r="B158" i="1"/>
  <c r="S158" i="1" l="1"/>
  <c r="K158" i="1"/>
  <c r="N158" i="1" s="1"/>
  <c r="D158" i="1"/>
  <c r="U158" i="1" l="1"/>
  <c r="V158" i="1" s="1"/>
  <c r="Q157" i="1"/>
  <c r="P157" i="1"/>
  <c r="F157" i="1" l="1"/>
  <c r="C157" i="1"/>
  <c r="B157" i="1"/>
  <c r="S157" i="1" l="1"/>
  <c r="K157" i="1"/>
  <c r="N157" i="1" s="1"/>
  <c r="D157" i="1"/>
  <c r="U157" i="1" l="1"/>
  <c r="V157" i="1" s="1"/>
  <c r="Q155" i="1" l="1"/>
  <c r="P155" i="1"/>
  <c r="F155" i="1"/>
  <c r="C155" i="1"/>
  <c r="B155" i="1"/>
  <c r="S155" i="1" l="1"/>
  <c r="K155" i="1"/>
  <c r="N155" i="1" s="1"/>
  <c r="D155" i="1"/>
  <c r="U155" i="1" l="1"/>
  <c r="V155" i="1" s="1"/>
  <c r="Q154" i="1"/>
  <c r="P154" i="1"/>
  <c r="F154" i="1"/>
  <c r="C154" i="1"/>
  <c r="B154" i="1"/>
  <c r="S154" i="1" l="1"/>
  <c r="K154" i="1"/>
  <c r="N154" i="1" s="1"/>
  <c r="D154" i="1"/>
  <c r="U154" i="1" l="1"/>
  <c r="V154" i="1" s="1"/>
  <c r="Q153" i="1"/>
  <c r="P153" i="1"/>
  <c r="F153" i="1"/>
  <c r="C153" i="1"/>
  <c r="B153" i="1"/>
  <c r="S153" i="1" l="1"/>
  <c r="K153" i="1"/>
  <c r="N153" i="1" s="1"/>
  <c r="D153" i="1"/>
  <c r="U153" i="1" l="1"/>
  <c r="V153" i="1" s="1"/>
  <c r="Q27" i="1"/>
  <c r="P27" i="1"/>
  <c r="H27" i="1"/>
  <c r="F27" i="1"/>
  <c r="B27" i="1"/>
  <c r="D27" i="1" s="1"/>
  <c r="Q42" i="1"/>
  <c r="P42" i="1"/>
  <c r="H42" i="1"/>
  <c r="F42" i="1"/>
  <c r="B42" i="1"/>
  <c r="D42" i="1" s="1"/>
  <c r="Q142" i="1"/>
  <c r="K27" i="1" l="1"/>
  <c r="N27" i="1" s="1"/>
  <c r="S27" i="1"/>
  <c r="K42" i="1"/>
  <c r="N42" i="1" s="1"/>
  <c r="S42" i="1"/>
  <c r="Q152" i="1"/>
  <c r="P152" i="1"/>
  <c r="S152" i="1" s="1"/>
  <c r="F152" i="1"/>
  <c r="C152" i="1"/>
  <c r="B152" i="1"/>
  <c r="U27" i="1" l="1"/>
  <c r="V27" i="1" s="1"/>
  <c r="U42" i="1"/>
  <c r="V42" i="1" s="1"/>
  <c r="K152" i="1"/>
  <c r="N152" i="1" s="1"/>
  <c r="D152" i="1"/>
  <c r="U152" i="1" l="1"/>
  <c r="V152" i="1" s="1"/>
  <c r="Q151" i="1"/>
  <c r="P151" i="1"/>
  <c r="F151" i="1"/>
  <c r="C151" i="1"/>
  <c r="B151" i="1"/>
  <c r="S151" i="1" l="1"/>
  <c r="K151" i="1"/>
  <c r="N151" i="1" s="1"/>
  <c r="D151" i="1"/>
  <c r="U151" i="1" l="1"/>
  <c r="V151" i="1" s="1"/>
  <c r="Q41" i="1"/>
  <c r="P41" i="1"/>
  <c r="H41" i="1"/>
  <c r="F41" i="1"/>
  <c r="C41" i="1"/>
  <c r="B41" i="1"/>
  <c r="Q40" i="1"/>
  <c r="P40" i="1"/>
  <c r="H40" i="1"/>
  <c r="F40" i="1"/>
  <c r="C40" i="1"/>
  <c r="B40" i="1"/>
  <c r="D35" i="1"/>
  <c r="H35" i="1"/>
  <c r="K35" i="1" s="1"/>
  <c r="N35" i="1" s="1"/>
  <c r="S35" i="1"/>
  <c r="H135" i="1"/>
  <c r="Q150" i="1"/>
  <c r="P150" i="1"/>
  <c r="H142" i="1"/>
  <c r="H141" i="1"/>
  <c r="H140" i="1"/>
  <c r="H139" i="1"/>
  <c r="H137" i="1"/>
  <c r="H136" i="1"/>
  <c r="F150" i="1"/>
  <c r="C150" i="1"/>
  <c r="B150" i="1"/>
  <c r="U35" i="1" l="1"/>
  <c r="V35" i="1" s="1"/>
  <c r="D40" i="1"/>
  <c r="K40" i="1"/>
  <c r="N40" i="1" s="1"/>
  <c r="S40" i="1"/>
  <c r="D41" i="1"/>
  <c r="K41" i="1"/>
  <c r="N41" i="1" s="1"/>
  <c r="S41" i="1"/>
  <c r="S150" i="1"/>
  <c r="K150" i="1"/>
  <c r="N150" i="1" s="1"/>
  <c r="D150" i="1"/>
  <c r="U41" i="1" l="1"/>
  <c r="V41" i="1" s="1"/>
  <c r="U40" i="1"/>
  <c r="V40" i="1" s="1"/>
  <c r="U150" i="1"/>
  <c r="V150" i="1" s="1"/>
  <c r="Q149" i="1"/>
  <c r="P149" i="1"/>
  <c r="F149" i="1"/>
  <c r="C149" i="1"/>
  <c r="B149" i="1"/>
  <c r="S149" i="1" l="1"/>
  <c r="K149" i="1"/>
  <c r="N149" i="1" s="1"/>
  <c r="D149" i="1"/>
  <c r="U149" i="1" l="1"/>
  <c r="V149" i="1" s="1"/>
  <c r="Q148" i="1"/>
  <c r="P148" i="1"/>
  <c r="F148" i="1"/>
  <c r="C148" i="1"/>
  <c r="B148" i="1"/>
  <c r="K148" i="1"/>
  <c r="N148" i="1" s="1"/>
  <c r="S148" i="1" l="1"/>
  <c r="D148" i="1"/>
  <c r="U148" i="1"/>
  <c r="Q147" i="1"/>
  <c r="P147" i="1"/>
  <c r="S147" i="1" s="1"/>
  <c r="F147" i="1"/>
  <c r="K147" i="1" s="1"/>
  <c r="N147" i="1" s="1"/>
  <c r="C147" i="1"/>
  <c r="B147" i="1"/>
  <c r="D147" i="1" l="1"/>
  <c r="V148" i="1"/>
  <c r="U147" i="1"/>
  <c r="V147" i="1" s="1"/>
  <c r="Q146" i="1" l="1"/>
  <c r="P146" i="1"/>
  <c r="F146" i="1"/>
  <c r="C146" i="1"/>
  <c r="B146" i="1"/>
  <c r="S146" i="1" l="1"/>
  <c r="K146" i="1"/>
  <c r="N146" i="1" s="1"/>
  <c r="D146" i="1"/>
  <c r="U146" i="1" l="1"/>
  <c r="V146" i="1" s="1"/>
  <c r="Q145" i="1"/>
  <c r="P145" i="1"/>
  <c r="F145" i="1"/>
  <c r="C145" i="1"/>
  <c r="B145" i="1"/>
  <c r="S145" i="1" l="1"/>
  <c r="K145" i="1"/>
  <c r="N145" i="1" s="1"/>
  <c r="D145" i="1"/>
  <c r="U145" i="1" l="1"/>
  <c r="V145" i="1" s="1"/>
  <c r="Q144" i="1" l="1"/>
  <c r="P144" i="1"/>
  <c r="F144" i="1"/>
  <c r="C144" i="1"/>
  <c r="B144" i="1"/>
  <c r="S144" i="1" l="1"/>
  <c r="K144" i="1"/>
  <c r="N144" i="1" s="1"/>
  <c r="D144" i="1"/>
  <c r="U144" i="1" l="1"/>
  <c r="V144" i="1" s="1"/>
  <c r="L141" i="1"/>
  <c r="P142" i="1" l="1"/>
  <c r="F142" i="1"/>
  <c r="B142" i="1"/>
  <c r="S142" i="1" l="1"/>
  <c r="K142" i="1"/>
  <c r="N142" i="1" s="1"/>
  <c r="D142" i="1"/>
  <c r="U142" i="1" l="1"/>
  <c r="V142" i="1" s="1"/>
  <c r="Q141" i="1"/>
  <c r="P141" i="1"/>
  <c r="F141" i="1"/>
  <c r="K141" i="1" s="1"/>
  <c r="N141" i="1" s="1"/>
  <c r="C141" i="1"/>
  <c r="B141" i="1"/>
  <c r="S141" i="1" l="1"/>
  <c r="U141" i="1" s="1"/>
  <c r="D141" i="1"/>
  <c r="Q140" i="1"/>
  <c r="P140" i="1"/>
  <c r="F140" i="1"/>
  <c r="C140" i="1"/>
  <c r="B140" i="1"/>
  <c r="V141" i="1" l="1"/>
  <c r="S140" i="1"/>
  <c r="K140" i="1"/>
  <c r="N140" i="1" s="1"/>
  <c r="D140" i="1"/>
  <c r="U140" i="1" l="1"/>
  <c r="V140" i="1" s="1"/>
  <c r="Q139" i="1"/>
  <c r="P139" i="1"/>
  <c r="S139" i="1" s="1"/>
  <c r="F139" i="1"/>
  <c r="C139" i="1"/>
  <c r="C137" i="1"/>
  <c r="B139" i="1"/>
  <c r="K139" i="1" l="1"/>
  <c r="N139" i="1" s="1"/>
  <c r="D139" i="1"/>
  <c r="U139" i="1" l="1"/>
  <c r="V139" i="1" s="1"/>
  <c r="Q39" i="1"/>
  <c r="P39" i="1"/>
  <c r="H39" i="1"/>
  <c r="F39" i="1"/>
  <c r="C39" i="1"/>
  <c r="B39" i="1"/>
  <c r="D39" i="1" l="1"/>
  <c r="K39" i="1"/>
  <c r="N39" i="1" s="1"/>
  <c r="S39" i="1"/>
  <c r="Q137" i="1"/>
  <c r="P137" i="1"/>
  <c r="S137" i="1" s="1"/>
  <c r="H134" i="1"/>
  <c r="H133" i="1"/>
  <c r="H132" i="1"/>
  <c r="F137" i="1"/>
  <c r="B137" i="1"/>
  <c r="U39" i="1" l="1"/>
  <c r="V39" i="1" s="1"/>
  <c r="K137" i="1"/>
  <c r="N137" i="1" s="1"/>
  <c r="D137" i="1"/>
  <c r="U137" i="1" l="1"/>
  <c r="V137" i="1" s="1"/>
  <c r="Q136" i="1"/>
  <c r="P136" i="1"/>
  <c r="F136" i="1"/>
  <c r="C136" i="1"/>
  <c r="B136" i="1"/>
  <c r="S136" i="1" l="1"/>
  <c r="K136" i="1"/>
  <c r="N136" i="1" s="1"/>
  <c r="D136" i="1"/>
  <c r="U136" i="1" l="1"/>
  <c r="V136" i="1" s="1"/>
  <c r="Q135" i="1" l="1"/>
  <c r="P135" i="1"/>
  <c r="H131" i="1"/>
  <c r="H130" i="1"/>
  <c r="F135" i="1"/>
  <c r="C135" i="1"/>
  <c r="B135" i="1"/>
  <c r="S135" i="1" l="1"/>
  <c r="K135" i="1"/>
  <c r="N135" i="1" s="1"/>
  <c r="D135" i="1"/>
  <c r="U135" i="1" l="1"/>
  <c r="V135" i="1" s="1"/>
  <c r="Q131" i="1" l="1"/>
  <c r="Q132" i="1"/>
  <c r="Q133" i="1"/>
  <c r="Q134" i="1"/>
  <c r="P134" i="1"/>
  <c r="F134" i="1"/>
  <c r="C134" i="1"/>
  <c r="B134" i="1"/>
  <c r="S134" i="1" l="1"/>
  <c r="K134" i="1"/>
  <c r="N134" i="1" s="1"/>
  <c r="D134" i="1"/>
  <c r="U134" i="1" l="1"/>
  <c r="V134" i="1" s="1"/>
  <c r="P133" i="1"/>
  <c r="F133" i="1"/>
  <c r="C133" i="1"/>
  <c r="B133" i="1"/>
  <c r="S133" i="1" l="1"/>
  <c r="K133" i="1"/>
  <c r="N133" i="1" s="1"/>
  <c r="D133" i="1"/>
  <c r="U133" i="1" l="1"/>
  <c r="V133" i="1" s="1"/>
  <c r="S26" i="1"/>
  <c r="H26" i="1"/>
  <c r="K26" i="1" s="1"/>
  <c r="N26" i="1" s="1"/>
  <c r="D26" i="1"/>
  <c r="U26" i="1" l="1"/>
  <c r="V26" i="1" s="1"/>
  <c r="S37" i="1" l="1"/>
  <c r="H37" i="1"/>
  <c r="K37" i="1" s="1"/>
  <c r="N37" i="1" s="1"/>
  <c r="D37" i="1"/>
  <c r="S36" i="1"/>
  <c r="H36" i="1"/>
  <c r="K36" i="1" s="1"/>
  <c r="N36" i="1" s="1"/>
  <c r="D36" i="1"/>
  <c r="P132" i="1"/>
  <c r="H129" i="1"/>
  <c r="H128" i="1"/>
  <c r="H127" i="1"/>
  <c r="H126" i="1"/>
  <c r="H123" i="1"/>
  <c r="H122" i="1"/>
  <c r="H121" i="1"/>
  <c r="H120" i="1"/>
  <c r="F132" i="1"/>
  <c r="C132" i="1"/>
  <c r="B132" i="1"/>
  <c r="U37" i="1" l="1"/>
  <c r="V37" i="1" s="1"/>
  <c r="U36" i="1"/>
  <c r="V36" i="1" s="1"/>
  <c r="S132" i="1" l="1"/>
  <c r="K132" i="1"/>
  <c r="D132" i="1"/>
  <c r="N132" i="1" l="1"/>
  <c r="U132" i="1" s="1"/>
  <c r="V132" i="1" s="1"/>
  <c r="P131" i="1"/>
  <c r="F131" i="1" l="1"/>
  <c r="C131" i="1"/>
  <c r="B131" i="1"/>
  <c r="S131" i="1" l="1"/>
  <c r="K131" i="1"/>
  <c r="N131" i="1" s="1"/>
  <c r="D131" i="1"/>
  <c r="U131" i="1" l="1"/>
  <c r="V131" i="1" s="1"/>
  <c r="S127" i="1"/>
  <c r="S128" i="1"/>
  <c r="S129" i="1"/>
  <c r="S130" i="1"/>
  <c r="K127" i="1"/>
  <c r="N127" i="1" s="1"/>
  <c r="K128" i="1"/>
  <c r="N128" i="1" s="1"/>
  <c r="U128" i="1" s="1"/>
  <c r="K129" i="1"/>
  <c r="N129" i="1" s="1"/>
  <c r="K130" i="1"/>
  <c r="N130" i="1" s="1"/>
  <c r="D130" i="1"/>
  <c r="D127" i="1"/>
  <c r="D128" i="1"/>
  <c r="D129" i="1"/>
  <c r="U130" i="1" l="1"/>
  <c r="V128" i="1"/>
  <c r="V130" i="1"/>
  <c r="U129" i="1"/>
  <c r="V129" i="1" s="1"/>
  <c r="U127" i="1"/>
  <c r="V127" i="1" s="1"/>
  <c r="L123" i="1" l="1"/>
  <c r="S52" i="1"/>
  <c r="S53" i="1"/>
  <c r="S54" i="1"/>
  <c r="S55" i="1"/>
  <c r="S56" i="1"/>
  <c r="S57" i="1"/>
  <c r="S58" i="1"/>
  <c r="S59" i="1"/>
  <c r="S60" i="1"/>
  <c r="S61" i="1"/>
  <c r="S62" i="1"/>
  <c r="S64" i="1"/>
  <c r="S65" i="1"/>
  <c r="S66" i="1"/>
  <c r="S67" i="1"/>
  <c r="S68" i="1"/>
  <c r="S69" i="1"/>
  <c r="S70" i="1"/>
  <c r="S71" i="1"/>
  <c r="S72" i="1"/>
  <c r="S73" i="1"/>
  <c r="S74" i="1"/>
  <c r="S75" i="1"/>
  <c r="S77" i="1"/>
  <c r="S78" i="1"/>
  <c r="S79" i="1"/>
  <c r="S80" i="1"/>
  <c r="S81" i="1"/>
  <c r="S82" i="1"/>
  <c r="S83" i="1"/>
  <c r="S84" i="1"/>
  <c r="S85" i="1"/>
  <c r="S86" i="1"/>
  <c r="S87" i="1"/>
  <c r="S88" i="1"/>
  <c r="S90" i="1"/>
  <c r="S91" i="1"/>
  <c r="S92" i="1"/>
  <c r="S93" i="1"/>
  <c r="S94" i="1"/>
  <c r="S95" i="1"/>
  <c r="S96" i="1"/>
  <c r="S97" i="1"/>
  <c r="S98" i="1"/>
  <c r="S99" i="1"/>
  <c r="S100" i="1"/>
  <c r="S101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6" i="1"/>
  <c r="S117" i="1"/>
  <c r="S118" i="1"/>
  <c r="S119" i="1"/>
  <c r="S120" i="1"/>
  <c r="S121" i="1"/>
  <c r="S122" i="1"/>
  <c r="S123" i="1"/>
  <c r="S126" i="1"/>
  <c r="K52" i="1"/>
  <c r="N52" i="1" s="1"/>
  <c r="U52" i="1" s="1"/>
  <c r="K53" i="1"/>
  <c r="N53" i="1" s="1"/>
  <c r="U53" i="1" s="1"/>
  <c r="K54" i="1"/>
  <c r="N54" i="1" s="1"/>
  <c r="U54" i="1" s="1"/>
  <c r="K55" i="1"/>
  <c r="N55" i="1" s="1"/>
  <c r="U55" i="1" s="1"/>
  <c r="K56" i="1"/>
  <c r="N56" i="1" s="1"/>
  <c r="K57" i="1"/>
  <c r="N57" i="1" s="1"/>
  <c r="K58" i="1"/>
  <c r="N58" i="1" s="1"/>
  <c r="K59" i="1"/>
  <c r="N59" i="1" s="1"/>
  <c r="U59" i="1" s="1"/>
  <c r="K60" i="1"/>
  <c r="N60" i="1" s="1"/>
  <c r="U60" i="1" s="1"/>
  <c r="K61" i="1"/>
  <c r="N61" i="1" s="1"/>
  <c r="U61" i="1" s="1"/>
  <c r="K62" i="1"/>
  <c r="N62" i="1" s="1"/>
  <c r="U62" i="1" s="1"/>
  <c r="K64" i="1"/>
  <c r="N64" i="1" s="1"/>
  <c r="U64" i="1" s="1"/>
  <c r="K65" i="1"/>
  <c r="N65" i="1" s="1"/>
  <c r="K66" i="1"/>
  <c r="N66" i="1" s="1"/>
  <c r="K67" i="1"/>
  <c r="N67" i="1" s="1"/>
  <c r="K68" i="1"/>
  <c r="N68" i="1" s="1"/>
  <c r="U68" i="1" s="1"/>
  <c r="K69" i="1"/>
  <c r="N69" i="1" s="1"/>
  <c r="U69" i="1" s="1"/>
  <c r="K70" i="1"/>
  <c r="N70" i="1" s="1"/>
  <c r="U70" i="1" s="1"/>
  <c r="K71" i="1"/>
  <c r="N71" i="1" s="1"/>
  <c r="U71" i="1" s="1"/>
  <c r="K72" i="1"/>
  <c r="N72" i="1" s="1"/>
  <c r="U72" i="1" s="1"/>
  <c r="K73" i="1"/>
  <c r="N73" i="1" s="1"/>
  <c r="K74" i="1"/>
  <c r="N74" i="1" s="1"/>
  <c r="K75" i="1"/>
  <c r="N75" i="1" s="1"/>
  <c r="K77" i="1"/>
  <c r="N77" i="1" s="1"/>
  <c r="U77" i="1" s="1"/>
  <c r="K78" i="1"/>
  <c r="N78" i="1" s="1"/>
  <c r="U78" i="1" s="1"/>
  <c r="K79" i="1"/>
  <c r="N79" i="1" s="1"/>
  <c r="U79" i="1" s="1"/>
  <c r="K80" i="1"/>
  <c r="N80" i="1" s="1"/>
  <c r="U80" i="1" s="1"/>
  <c r="K81" i="1"/>
  <c r="N81" i="1" s="1"/>
  <c r="U81" i="1" s="1"/>
  <c r="K82" i="1"/>
  <c r="N82" i="1" s="1"/>
  <c r="K83" i="1"/>
  <c r="N83" i="1" s="1"/>
  <c r="K84" i="1"/>
  <c r="N84" i="1" s="1"/>
  <c r="K85" i="1"/>
  <c r="N85" i="1" s="1"/>
  <c r="U85" i="1" s="1"/>
  <c r="K86" i="1"/>
  <c r="N86" i="1" s="1"/>
  <c r="U86" i="1" s="1"/>
  <c r="K87" i="1"/>
  <c r="N87" i="1" s="1"/>
  <c r="U87" i="1" s="1"/>
  <c r="K88" i="1"/>
  <c r="N88" i="1" s="1"/>
  <c r="U88" i="1" s="1"/>
  <c r="K90" i="1"/>
  <c r="N90" i="1" s="1"/>
  <c r="U90" i="1" s="1"/>
  <c r="K91" i="1"/>
  <c r="N91" i="1" s="1"/>
  <c r="K92" i="1"/>
  <c r="N92" i="1" s="1"/>
  <c r="K93" i="1"/>
  <c r="N93" i="1" s="1"/>
  <c r="K94" i="1"/>
  <c r="N94" i="1" s="1"/>
  <c r="U94" i="1" s="1"/>
  <c r="K95" i="1"/>
  <c r="N95" i="1" s="1"/>
  <c r="U95" i="1" s="1"/>
  <c r="K96" i="1"/>
  <c r="N96" i="1" s="1"/>
  <c r="U96" i="1" s="1"/>
  <c r="K97" i="1"/>
  <c r="N97" i="1" s="1"/>
  <c r="U97" i="1" s="1"/>
  <c r="K98" i="1"/>
  <c r="N98" i="1" s="1"/>
  <c r="U98" i="1" s="1"/>
  <c r="K99" i="1"/>
  <c r="N99" i="1" s="1"/>
  <c r="K100" i="1"/>
  <c r="N100" i="1" s="1"/>
  <c r="K101" i="1"/>
  <c r="N101" i="1" s="1"/>
  <c r="K103" i="1"/>
  <c r="N103" i="1" s="1"/>
  <c r="U103" i="1" s="1"/>
  <c r="K104" i="1"/>
  <c r="N104" i="1" s="1"/>
  <c r="U104" i="1" s="1"/>
  <c r="K105" i="1"/>
  <c r="N105" i="1" s="1"/>
  <c r="U105" i="1" s="1"/>
  <c r="K106" i="1"/>
  <c r="N106" i="1" s="1"/>
  <c r="U106" i="1" s="1"/>
  <c r="K107" i="1"/>
  <c r="N107" i="1" s="1"/>
  <c r="U107" i="1" s="1"/>
  <c r="K108" i="1"/>
  <c r="N108" i="1" s="1"/>
  <c r="K109" i="1"/>
  <c r="N109" i="1" s="1"/>
  <c r="K110" i="1"/>
  <c r="N110" i="1" s="1"/>
  <c r="K111" i="1"/>
  <c r="N111" i="1" s="1"/>
  <c r="U111" i="1" s="1"/>
  <c r="K112" i="1"/>
  <c r="N112" i="1" s="1"/>
  <c r="U112" i="1" s="1"/>
  <c r="K113" i="1"/>
  <c r="N113" i="1" s="1"/>
  <c r="U113" i="1" s="1"/>
  <c r="K114" i="1"/>
  <c r="N114" i="1" s="1"/>
  <c r="U114" i="1" s="1"/>
  <c r="K116" i="1"/>
  <c r="N116" i="1" s="1"/>
  <c r="K117" i="1"/>
  <c r="N117" i="1" s="1"/>
  <c r="K118" i="1"/>
  <c r="N118" i="1" s="1"/>
  <c r="K119" i="1"/>
  <c r="N119" i="1" s="1"/>
  <c r="K120" i="1"/>
  <c r="N120" i="1" s="1"/>
  <c r="U120" i="1" s="1"/>
  <c r="K121" i="1"/>
  <c r="N121" i="1" s="1"/>
  <c r="U121" i="1" s="1"/>
  <c r="K122" i="1"/>
  <c r="N122" i="1" s="1"/>
  <c r="U122" i="1" s="1"/>
  <c r="K123" i="1"/>
  <c r="K126" i="1"/>
  <c r="N126" i="1" s="1"/>
  <c r="U126" i="1" s="1"/>
  <c r="D51" i="1"/>
  <c r="D52" i="1"/>
  <c r="D53" i="1"/>
  <c r="D54" i="1"/>
  <c r="D55" i="1"/>
  <c r="D56" i="1"/>
  <c r="D57" i="1"/>
  <c r="D58" i="1"/>
  <c r="D59" i="1"/>
  <c r="D60" i="1"/>
  <c r="D61" i="1"/>
  <c r="D62" i="1"/>
  <c r="D64" i="1"/>
  <c r="D65" i="1"/>
  <c r="D66" i="1"/>
  <c r="D67" i="1"/>
  <c r="D68" i="1"/>
  <c r="D69" i="1"/>
  <c r="D70" i="1"/>
  <c r="D71" i="1"/>
  <c r="D72" i="1"/>
  <c r="D73" i="1"/>
  <c r="D74" i="1"/>
  <c r="D75" i="1"/>
  <c r="D77" i="1"/>
  <c r="D78" i="1"/>
  <c r="D79" i="1"/>
  <c r="D80" i="1"/>
  <c r="D81" i="1"/>
  <c r="D82" i="1"/>
  <c r="D83" i="1"/>
  <c r="D84" i="1"/>
  <c r="D85" i="1"/>
  <c r="D86" i="1"/>
  <c r="D87" i="1"/>
  <c r="D88" i="1"/>
  <c r="D90" i="1"/>
  <c r="D91" i="1"/>
  <c r="D92" i="1"/>
  <c r="D93" i="1"/>
  <c r="D94" i="1"/>
  <c r="D95" i="1"/>
  <c r="D96" i="1"/>
  <c r="D97" i="1"/>
  <c r="D98" i="1"/>
  <c r="D99" i="1"/>
  <c r="D100" i="1"/>
  <c r="D101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6" i="1"/>
  <c r="D117" i="1"/>
  <c r="D118" i="1"/>
  <c r="D119" i="1"/>
  <c r="D120" i="1"/>
  <c r="D121" i="1"/>
  <c r="D122" i="1"/>
  <c r="D123" i="1"/>
  <c r="D126" i="1"/>
  <c r="U118" i="1" l="1"/>
  <c r="U109" i="1"/>
  <c r="U100" i="1"/>
  <c r="U92" i="1"/>
  <c r="U83" i="1"/>
  <c r="U74" i="1"/>
  <c r="U66" i="1"/>
  <c r="V66" i="1" s="1"/>
  <c r="U57" i="1"/>
  <c r="V57" i="1" s="1"/>
  <c r="U117" i="1"/>
  <c r="U108" i="1"/>
  <c r="U99" i="1"/>
  <c r="U91" i="1"/>
  <c r="U82" i="1"/>
  <c r="U73" i="1"/>
  <c r="U65" i="1"/>
  <c r="V65" i="1" s="1"/>
  <c r="U56" i="1"/>
  <c r="V56" i="1" s="1"/>
  <c r="U116" i="1"/>
  <c r="U119" i="1"/>
  <c r="U110" i="1"/>
  <c r="U101" i="1"/>
  <c r="U93" i="1"/>
  <c r="U84" i="1"/>
  <c r="U75" i="1"/>
  <c r="V75" i="1" s="1"/>
  <c r="U67" i="1"/>
  <c r="V67" i="1" s="1"/>
  <c r="U58" i="1"/>
  <c r="V58" i="1" s="1"/>
  <c r="N123" i="1"/>
  <c r="U123" i="1" s="1"/>
  <c r="V123" i="1" s="1"/>
  <c r="V126" i="1"/>
  <c r="V122" i="1"/>
  <c r="V120" i="1"/>
  <c r="V118" i="1"/>
  <c r="V116" i="1"/>
  <c r="V113" i="1"/>
  <c r="V111" i="1"/>
  <c r="V109" i="1"/>
  <c r="V107" i="1"/>
  <c r="V105" i="1"/>
  <c r="V103" i="1"/>
  <c r="V100" i="1"/>
  <c r="V98" i="1"/>
  <c r="V96" i="1"/>
  <c r="V94" i="1"/>
  <c r="V92" i="1"/>
  <c r="V90" i="1"/>
  <c r="V87" i="1"/>
  <c r="V85" i="1"/>
  <c r="V83" i="1"/>
  <c r="V81" i="1"/>
  <c r="V79" i="1"/>
  <c r="V77" i="1"/>
  <c r="V74" i="1"/>
  <c r="V72" i="1"/>
  <c r="V70" i="1"/>
  <c r="V68" i="1"/>
  <c r="V64" i="1"/>
  <c r="V61" i="1"/>
  <c r="V59" i="1"/>
  <c r="V55" i="1"/>
  <c r="V53" i="1"/>
  <c r="V121" i="1"/>
  <c r="V119" i="1"/>
  <c r="V117" i="1"/>
  <c r="V114" i="1"/>
  <c r="V112" i="1"/>
  <c r="V110" i="1"/>
  <c r="V108" i="1"/>
  <c r="V106" i="1"/>
  <c r="V104" i="1"/>
  <c r="V101" i="1"/>
  <c r="V99" i="1"/>
  <c r="V97" i="1"/>
  <c r="V95" i="1"/>
  <c r="V93" i="1"/>
  <c r="V91" i="1"/>
  <c r="V88" i="1"/>
  <c r="V86" i="1"/>
  <c r="V84" i="1"/>
  <c r="V82" i="1"/>
  <c r="V80" i="1"/>
  <c r="V78" i="1"/>
  <c r="V73" i="1"/>
  <c r="V71" i="1"/>
  <c r="V69" i="1"/>
  <c r="V62" i="1"/>
  <c r="V60" i="1"/>
  <c r="V54" i="1"/>
  <c r="V52" i="1"/>
  <c r="K172" i="1" l="1"/>
  <c r="K173" i="1"/>
  <c r="F14" i="3" l="1"/>
  <c r="S51" i="1" l="1"/>
  <c r="AA51" i="1"/>
  <c r="AA52" i="1"/>
  <c r="K51" i="1" l="1"/>
  <c r="N51" i="1" s="1"/>
  <c r="U51" i="1" l="1"/>
  <c r="V51" i="1" s="1"/>
</calcChain>
</file>

<file path=xl/sharedStrings.xml><?xml version="1.0" encoding="utf-8"?>
<sst xmlns="http://schemas.openxmlformats.org/spreadsheetml/2006/main" count="341" uniqueCount="178">
  <si>
    <t xml:space="preserve">   II.4.1</t>
  </si>
  <si>
    <t xml:space="preserve"> </t>
  </si>
  <si>
    <t>ACTIF</t>
  </si>
  <si>
    <t xml:space="preserve">    TOTAL</t>
  </si>
  <si>
    <t xml:space="preserve">    ACTIF</t>
  </si>
  <si>
    <t xml:space="preserve">   Banques </t>
  </si>
  <si>
    <t xml:space="preserve"> B.R.B.</t>
  </si>
  <si>
    <t xml:space="preserve">   commerciales</t>
  </si>
  <si>
    <t>Total</t>
  </si>
  <si>
    <t xml:space="preserve">      Créances sur l'économie</t>
  </si>
  <si>
    <t xml:space="preserve">   Dépôts </t>
  </si>
  <si>
    <t xml:space="preserve">   Créances sur </t>
  </si>
  <si>
    <t xml:space="preserve">  Créances </t>
  </si>
  <si>
    <t>Avances</t>
  </si>
  <si>
    <t>Trésor</t>
  </si>
  <si>
    <t xml:space="preserve">  Autres</t>
  </si>
  <si>
    <t xml:space="preserve">  d'agences</t>
  </si>
  <si>
    <t xml:space="preserve"> les sociétés à</t>
  </si>
  <si>
    <t xml:space="preserve">  sur le </t>
  </si>
  <si>
    <t xml:space="preserve">  Total</t>
  </si>
  <si>
    <t>du</t>
  </si>
  <si>
    <t>Créances</t>
  </si>
  <si>
    <t xml:space="preserve">  gouverne-</t>
  </si>
  <si>
    <t xml:space="preserve">  participation </t>
  </si>
  <si>
    <t xml:space="preserve">  secteur</t>
  </si>
  <si>
    <t xml:space="preserve">  mentales</t>
  </si>
  <si>
    <t xml:space="preserve">    publique</t>
  </si>
  <si>
    <t xml:space="preserve">   privé</t>
  </si>
  <si>
    <t>-</t>
  </si>
  <si>
    <t>(1): Non compris les données de la CAMOFI à partir de décembre 1996</t>
  </si>
  <si>
    <t>TOTAL</t>
  </si>
  <si>
    <t xml:space="preserve">           Rubriques</t>
  </si>
  <si>
    <t>Période</t>
  </si>
  <si>
    <t xml:space="preserve">     AVOIRS EXTERIEURS NETS</t>
  </si>
  <si>
    <t xml:space="preserve">                                        Créances nettes sur l'Etat</t>
  </si>
  <si>
    <t xml:space="preserve">          avril </t>
  </si>
  <si>
    <t xml:space="preserve"> Bons et  </t>
  </si>
  <si>
    <t>obligations du</t>
  </si>
  <si>
    <t xml:space="preserve">          juin </t>
  </si>
  <si>
    <t xml:space="preserve">          août </t>
  </si>
  <si>
    <t>2008 janvier</t>
  </si>
  <si>
    <t>2008 mars</t>
  </si>
  <si>
    <t>Certificats</t>
  </si>
  <si>
    <t>trésor</t>
  </si>
  <si>
    <t>2008</t>
  </si>
  <si>
    <t xml:space="preserve">2009 janvier </t>
  </si>
  <si>
    <t>2009 mars</t>
  </si>
  <si>
    <t xml:space="preserve">  Crédit </t>
  </si>
  <si>
    <t>spécial</t>
  </si>
  <si>
    <t xml:space="preserve">2010 janvier </t>
  </si>
  <si>
    <t>2009</t>
  </si>
  <si>
    <t>2008 février</t>
  </si>
  <si>
    <t>2008 avril</t>
  </si>
  <si>
    <t>Rééchelonnées</t>
  </si>
  <si>
    <t>2008 mai</t>
  </si>
  <si>
    <t>2010 mars</t>
  </si>
  <si>
    <t>2008 juin</t>
  </si>
  <si>
    <t>2008 juillet</t>
  </si>
  <si>
    <t>2008 août</t>
  </si>
  <si>
    <t>2008 septembre</t>
  </si>
  <si>
    <t>2008 octobre</t>
  </si>
  <si>
    <t xml:space="preserve">          juillet </t>
  </si>
  <si>
    <t>2008 novembre</t>
  </si>
  <si>
    <t>SITUATION MONETAIRE</t>
  </si>
  <si>
    <t>( en millions de BIF)</t>
  </si>
  <si>
    <t>2008 décembre</t>
  </si>
  <si>
    <t>2009 février</t>
  </si>
  <si>
    <t>2009 avril</t>
  </si>
  <si>
    <t xml:space="preserve">2011 janvier </t>
  </si>
  <si>
    <t>2010</t>
  </si>
  <si>
    <t>2009 mai</t>
  </si>
  <si>
    <t>2011 mars</t>
  </si>
  <si>
    <t>2009 juin</t>
  </si>
  <si>
    <t>2009 juillet</t>
  </si>
  <si>
    <t>2009 août</t>
  </si>
  <si>
    <t xml:space="preserve">          mai </t>
  </si>
  <si>
    <t>2009 septembre</t>
  </si>
  <si>
    <t>2009 octobre</t>
  </si>
  <si>
    <t>2009 novembre</t>
  </si>
  <si>
    <t xml:space="preserve">         septembre </t>
  </si>
  <si>
    <t>2009 décembre</t>
  </si>
  <si>
    <t xml:space="preserve">2010 février </t>
  </si>
  <si>
    <r>
      <t xml:space="preserve">          octobre</t>
    </r>
    <r>
      <rPr>
        <vertAlign val="superscript"/>
        <sz val="11"/>
        <rFont val="Helv"/>
      </rPr>
      <t xml:space="preserve"> </t>
    </r>
  </si>
  <si>
    <r>
      <t xml:space="preserve">          novembre </t>
    </r>
    <r>
      <rPr>
        <vertAlign val="superscript"/>
        <sz val="11"/>
        <rFont val="Helv"/>
      </rPr>
      <t xml:space="preserve"> </t>
    </r>
  </si>
  <si>
    <t>2010 avril</t>
  </si>
  <si>
    <t>2010 mai</t>
  </si>
  <si>
    <t>2010 juin</t>
  </si>
  <si>
    <t>2010 juillet</t>
  </si>
  <si>
    <r>
      <t xml:space="preserve">          décembre</t>
    </r>
    <r>
      <rPr>
        <vertAlign val="superscript"/>
        <sz val="11"/>
        <rFont val="Helv"/>
      </rPr>
      <t xml:space="preserve"> </t>
    </r>
  </si>
  <si>
    <r>
      <t>2012 janvier</t>
    </r>
    <r>
      <rPr>
        <vertAlign val="superscript"/>
        <sz val="11"/>
        <rFont val="Helv"/>
      </rPr>
      <t xml:space="preserve"> </t>
    </r>
  </si>
  <si>
    <t>2012 mars</t>
  </si>
  <si>
    <t>2011</t>
  </si>
  <si>
    <t>2010 août</t>
  </si>
  <si>
    <t>2010 septembre</t>
  </si>
  <si>
    <t>2010 octobre</t>
  </si>
  <si>
    <t>2010 novembre</t>
  </si>
  <si>
    <t>2010 décembre</t>
  </si>
  <si>
    <t>Total des</t>
  </si>
  <si>
    <t>créances</t>
  </si>
  <si>
    <t>2011 février</t>
  </si>
  <si>
    <t xml:space="preserve">  sur les</t>
  </si>
  <si>
    <t xml:space="preserve">  Administrations </t>
  </si>
  <si>
    <t xml:space="preserve">   locales</t>
  </si>
  <si>
    <t>2013 janvier</t>
  </si>
  <si>
    <t>2012</t>
  </si>
  <si>
    <t xml:space="preserve">             Centrale</t>
  </si>
  <si>
    <t xml:space="preserve">    Dépôts de l'</t>
  </si>
  <si>
    <t xml:space="preserve">  Administration</t>
  </si>
  <si>
    <t>CREDIT INTERIEUR</t>
  </si>
  <si>
    <t>2012 février</t>
  </si>
  <si>
    <t>2013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</si>
  <si>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</si>
  <si>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</si>
  <si>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</si>
  <si>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</si>
  <si>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</si>
  <si>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</si>
  <si>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</si>
  <si>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</si>
  <si>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</si>
  <si>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2013 février</t>
  </si>
  <si>
    <t>2014 Mars</t>
  </si>
  <si>
    <t xml:space="preserve">          Juin</t>
  </si>
  <si>
    <t xml:space="preserve">          Septembre</t>
  </si>
  <si>
    <t xml:space="preserve">          Décembre</t>
  </si>
  <si>
    <t>2014 Janvier</t>
  </si>
  <si>
    <t xml:space="preserve">          Février</t>
  </si>
  <si>
    <t>2013 Mars</t>
  </si>
  <si>
    <t>2013 Avril</t>
  </si>
  <si>
    <t>2013 Mai</t>
  </si>
  <si>
    <t>2013 juin</t>
  </si>
  <si>
    <t>2013 juillet</t>
  </si>
  <si>
    <t>2015 Janvier</t>
  </si>
  <si>
    <t xml:space="preserve">         Mars</t>
  </si>
  <si>
    <t>2015 Mars</t>
  </si>
  <si>
    <t>2014</t>
  </si>
  <si>
    <t>2013 Août</t>
  </si>
  <si>
    <t>2012 Septembre</t>
  </si>
  <si>
    <t>2013 Septembre</t>
  </si>
  <si>
    <t>2013 Octobre</t>
  </si>
  <si>
    <t>2013 Novembre</t>
  </si>
  <si>
    <t>2013 Décembre</t>
  </si>
  <si>
    <t>2012 Décembre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</si>
  <si>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</si>
  <si>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</si>
  <si>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</si>
  <si>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</si>
  <si>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</si>
  <si>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</si>
  <si>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</si>
  <si>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</si>
  <si>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</si>
  <si>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>2015</t>
  </si>
  <si>
    <t>2014 Février</t>
  </si>
  <si>
    <t>2014 Avril</t>
  </si>
  <si>
    <t>2014 Mai</t>
  </si>
  <si>
    <t xml:space="preserve"> 2014 Juin</t>
  </si>
  <si>
    <t>2013Juin</t>
  </si>
  <si>
    <r>
      <t xml:space="preserve">          Juillet</t>
    </r>
    <r>
      <rPr>
        <vertAlign val="superscript"/>
        <sz val="11"/>
        <rFont val="Helv"/>
      </rPr>
      <t>(p)</t>
    </r>
  </si>
  <si>
    <t>2014 Août</t>
  </si>
  <si>
    <t>Juillet</t>
  </si>
  <si>
    <r>
      <t xml:space="preserve">          Août</t>
    </r>
    <r>
      <rPr>
        <vertAlign val="superscript"/>
        <sz val="11"/>
        <rFont val="Helv"/>
      </rPr>
      <t>(p)</t>
    </r>
  </si>
  <si>
    <t>2016 Janvier</t>
  </si>
  <si>
    <t xml:space="preserve">          Mars</t>
  </si>
  <si>
    <t>2016 Mars</t>
  </si>
  <si>
    <t>2014 Septembre</t>
  </si>
  <si>
    <r>
      <t xml:space="preserve">          Septembre</t>
    </r>
    <r>
      <rPr>
        <vertAlign val="superscript"/>
        <sz val="11"/>
        <rFont val="Helv"/>
      </rPr>
      <t>(p)</t>
    </r>
  </si>
  <si>
    <r>
      <t xml:space="preserve">          Octobre</t>
    </r>
    <r>
      <rPr>
        <vertAlign val="superscript"/>
        <sz val="11"/>
        <rFont val="Helv"/>
      </rPr>
      <t>(p)</t>
    </r>
  </si>
  <si>
    <t>2014 Octobre</t>
  </si>
  <si>
    <t xml:space="preserve">          Avril</t>
  </si>
  <si>
    <t xml:space="preserve">          Mai</t>
  </si>
  <si>
    <r>
      <t xml:space="preserve">          Novembre</t>
    </r>
    <r>
      <rPr>
        <vertAlign val="superscript"/>
        <sz val="11"/>
        <rFont val="Helv"/>
      </rPr>
      <t>(p)</t>
    </r>
  </si>
  <si>
    <t>2014 Novembre</t>
  </si>
  <si>
    <r>
      <t xml:space="preserve">          Décembre</t>
    </r>
    <r>
      <rPr>
        <vertAlign val="superscript"/>
        <sz val="11"/>
        <rFont val="Helv"/>
      </rPr>
      <t>(p)</t>
    </r>
  </si>
  <si>
    <t>2014 Décembre</t>
  </si>
  <si>
    <t>Source: Compilé sur base des données des banques commerciales ,de la BRB et des CCP</t>
  </si>
  <si>
    <r>
      <t>2016</t>
    </r>
    <r>
      <rPr>
        <vertAlign val="superscript"/>
        <sz val="11"/>
        <rFont val="Helv"/>
      </rPr>
      <t>(p)</t>
    </r>
  </si>
  <si>
    <r>
      <t>2017 Janvier</t>
    </r>
    <r>
      <rPr>
        <vertAlign val="superscript"/>
        <sz val="11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</si>
</sst>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F_-;\-* #,##0.00\ _F_-;_-* &quot;-&quot;??\ _F_-;_-@_-"/>
    <numFmt numFmtId="165" formatCode="#,##0.0_);\(#,##0.0\)"/>
    <numFmt numFmtId="166" formatCode="0.0_)"/>
    <numFmt numFmtId="167" formatCode="#,##0.0"/>
  </numFmts>
  <fonts count="7" x14ac:knownFonts="1">
    <font>
      <sz val="12"/>
      <name val="Helv"/>
    </font>
    <font>
      <sz val="11"/>
      <name val="Courier New"/>
      <family val="3"/>
    </font>
    <font>
      <b/>
      <sz val="10"/>
      <name val="Helv"/>
    </font>
    <font>
      <sz val="10"/>
      <name val="Helv"/>
    </font>
    <font>
      <sz val="14"/>
      <name val="Helv"/>
    </font>
    <font>
      <sz val="11"/>
      <name val="Helv"/>
    </font>
    <font>
      <vertAlign val="superscript"/>
      <sz val="11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6" fontId="0" fillId="0" borderId="0"/>
    <xf numFmtId="164" fontId="1" fillId="0" borderId="0" applyFont="0" applyFill="0" applyBorder="0" applyAlignment="0" applyProtection="0"/>
  </cellStyleXfs>
  <cellXfs count="136">
    <xf numFmtId="166" fontId="0" fillId="0" borderId="0" xfId="0"/>
    <xf numFmtId="165" fontId="2" fillId="0" borderId="6" xfId="0" applyNumberFormat="1" applyFont="1" applyBorder="1" applyAlignment="1" applyProtection="1">
      <alignment horizontal="fill"/>
    </xf>
    <xf numFmtId="165" fontId="2" fillId="0" borderId="7" xfId="0" applyNumberFormat="1" applyFont="1" applyBorder="1" applyAlignment="1" applyProtection="1">
      <alignment horizontal="fill"/>
    </xf>
    <xf numFmtId="165" fontId="2" fillId="0" borderId="8" xfId="0" applyNumberFormat="1" applyFont="1" applyBorder="1" applyAlignment="1" applyProtection="1">
      <alignment horizontal="fill"/>
    </xf>
    <xf numFmtId="166" fontId="3" fillId="0" borderId="0" xfId="0" applyFont="1"/>
    <xf numFmtId="166" fontId="2" fillId="0" borderId="1" xfId="0" applyFont="1" applyBorder="1"/>
    <xf numFmtId="165" fontId="2" fillId="0" borderId="0" xfId="0" applyNumberFormat="1" applyFont="1" applyBorder="1" applyAlignment="1" applyProtection="1">
      <alignment horizontal="left"/>
    </xf>
    <xf numFmtId="166" fontId="2" fillId="0" borderId="0" xfId="0" applyFont="1" applyBorder="1"/>
    <xf numFmtId="166" fontId="2" fillId="0" borderId="2" xfId="0" applyFont="1" applyBorder="1"/>
    <xf numFmtId="165" fontId="2" fillId="0" borderId="2" xfId="0" applyNumberFormat="1" applyFont="1" applyBorder="1" applyAlignment="1" applyProtection="1">
      <alignment horizontal="left"/>
    </xf>
    <xf numFmtId="166" fontId="3" fillId="0" borderId="0" xfId="0" applyFont="1" applyAlignment="1">
      <alignment horizontal="center"/>
    </xf>
    <xf numFmtId="165" fontId="2" fillId="0" borderId="1" xfId="0" applyNumberFormat="1" applyFont="1" applyBorder="1" applyAlignment="1" applyProtection="1">
      <alignment horizontal="left"/>
    </xf>
    <xf numFmtId="165" fontId="2" fillId="0" borderId="0" xfId="0" applyNumberFormat="1" applyFont="1" applyBorder="1" applyProtection="1"/>
    <xf numFmtId="165" fontId="2" fillId="0" borderId="3" xfId="0" applyNumberFormat="1" applyFont="1" applyBorder="1" applyAlignment="1" applyProtection="1">
      <alignment horizontal="fill"/>
    </xf>
    <xf numFmtId="165" fontId="2" fillId="0" borderId="4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fill"/>
    </xf>
    <xf numFmtId="165" fontId="3" fillId="0" borderId="0" xfId="0" applyNumberFormat="1" applyFont="1" applyAlignment="1" applyProtection="1">
      <alignment horizontal="left"/>
    </xf>
    <xf numFmtId="166" fontId="3" fillId="0" borderId="10" xfId="0" applyFont="1" applyBorder="1"/>
    <xf numFmtId="166" fontId="3" fillId="0" borderId="0" xfId="0" applyFont="1" applyBorder="1"/>
    <xf numFmtId="166" fontId="3" fillId="0" borderId="2" xfId="0" applyFont="1" applyBorder="1"/>
    <xf numFmtId="166" fontId="3" fillId="0" borderId="1" xfId="0" applyFont="1" applyBorder="1"/>
    <xf numFmtId="165" fontId="3" fillId="0" borderId="0" xfId="0" applyNumberFormat="1" applyFont="1" applyBorder="1" applyAlignment="1" applyProtection="1">
      <alignment horizontal="left"/>
    </xf>
    <xf numFmtId="165" fontId="3" fillId="0" borderId="2" xfId="0" applyNumberFormat="1" applyFont="1" applyBorder="1" applyAlignment="1" applyProtection="1">
      <alignment horizontal="center"/>
    </xf>
    <xf numFmtId="165" fontId="3" fillId="0" borderId="10" xfId="0" applyNumberFormat="1" applyFont="1" applyBorder="1" applyAlignment="1" applyProtection="1">
      <alignment horizontal="fill"/>
    </xf>
    <xf numFmtId="165" fontId="3" fillId="0" borderId="4" xfId="0" applyNumberFormat="1" applyFont="1" applyBorder="1" applyAlignment="1" applyProtection="1">
      <alignment horizontal="fill"/>
    </xf>
    <xf numFmtId="165" fontId="3" fillId="0" borderId="5" xfId="0" applyNumberFormat="1" applyFont="1" applyBorder="1" applyAlignment="1" applyProtection="1">
      <alignment horizontal="fill"/>
    </xf>
    <xf numFmtId="165" fontId="3" fillId="0" borderId="3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5" fontId="3" fillId="0" borderId="9" xfId="0" applyNumberFormat="1" applyFont="1" applyBorder="1" applyAlignment="1" applyProtection="1">
      <alignment horizontal="left"/>
    </xf>
    <xf numFmtId="165" fontId="3" fillId="0" borderId="10" xfId="0" applyNumberFormat="1" applyFont="1" applyBorder="1" applyAlignment="1" applyProtection="1">
      <alignment horizontal="left"/>
    </xf>
    <xf numFmtId="165" fontId="3" fillId="0" borderId="10" xfId="0" applyNumberFormat="1" applyFont="1" applyBorder="1" applyAlignment="1" applyProtection="1">
      <alignment horizontal="center"/>
    </xf>
    <xf numFmtId="166" fontId="3" fillId="0" borderId="9" xfId="0" applyFont="1" applyBorder="1"/>
    <xf numFmtId="165" fontId="3" fillId="0" borderId="1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6" fontId="3" fillId="0" borderId="10" xfId="0" applyFont="1" applyBorder="1" applyAlignment="1">
      <alignment horizontal="center"/>
    </xf>
    <xf numFmtId="165" fontId="3" fillId="0" borderId="11" xfId="0" applyNumberFormat="1" applyFont="1" applyBorder="1" applyAlignment="1" applyProtection="1">
      <alignment horizontal="fill"/>
    </xf>
    <xf numFmtId="165" fontId="3" fillId="0" borderId="0" xfId="0" applyNumberFormat="1" applyFont="1" applyBorder="1" applyAlignment="1" applyProtection="1">
      <alignment horizontal="fill"/>
    </xf>
    <xf numFmtId="166" fontId="3" fillId="0" borderId="9" xfId="0" applyFont="1" applyBorder="1" applyAlignment="1">
      <alignment horizontal="center"/>
    </xf>
    <xf numFmtId="166" fontId="3" fillId="0" borderId="8" xfId="0" applyFont="1" applyBorder="1"/>
    <xf numFmtId="165" fontId="3" fillId="0" borderId="1" xfId="0" applyNumberFormat="1" applyFont="1" applyBorder="1" applyAlignment="1" applyProtection="1">
      <alignment horizontal="left"/>
    </xf>
    <xf numFmtId="166" fontId="3" fillId="0" borderId="0" xfId="0" applyNumberFormat="1" applyFont="1" applyProtection="1"/>
    <xf numFmtId="165" fontId="3" fillId="0" borderId="0" xfId="0" applyNumberFormat="1" applyFont="1" applyBorder="1" applyAlignment="1" applyProtection="1">
      <alignment horizontal="right"/>
    </xf>
    <xf numFmtId="167" fontId="3" fillId="0" borderId="1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167" fontId="3" fillId="0" borderId="2" xfId="0" applyNumberFormat="1" applyFont="1" applyFill="1" applyBorder="1" applyAlignment="1" applyProtection="1">
      <alignment horizontal="right"/>
    </xf>
    <xf numFmtId="167" fontId="3" fillId="0" borderId="2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 applyProtection="1">
      <alignment horizontal="right"/>
    </xf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7" fontId="3" fillId="0" borderId="11" xfId="0" applyNumberFormat="1" applyFont="1" applyFill="1" applyBorder="1" applyAlignment="1" applyProtection="1">
      <alignment horizontal="right"/>
    </xf>
    <xf numFmtId="167" fontId="3" fillId="0" borderId="4" xfId="0" applyNumberFormat="1" applyFont="1" applyFill="1" applyBorder="1" applyAlignment="1" applyProtection="1">
      <alignment horizontal="right"/>
    </xf>
    <xf numFmtId="167" fontId="3" fillId="0" borderId="5" xfId="0" applyNumberFormat="1" applyFont="1" applyFill="1" applyBorder="1" applyAlignment="1" applyProtection="1">
      <alignment horizontal="right"/>
    </xf>
    <xf numFmtId="167" fontId="3" fillId="0" borderId="4" xfId="0" applyNumberFormat="1" applyFont="1" applyFill="1" applyBorder="1" applyAlignment="1">
      <alignment horizontal="right"/>
    </xf>
    <xf numFmtId="166" fontId="3" fillId="0" borderId="0" xfId="0" applyFont="1" applyFill="1" applyBorder="1"/>
    <xf numFmtId="167" fontId="3" fillId="2" borderId="10" xfId="0" applyNumberFormat="1" applyFont="1" applyFill="1" applyBorder="1" applyAlignment="1" applyProtection="1">
      <alignment horizontal="right"/>
    </xf>
    <xf numFmtId="165" fontId="5" fillId="0" borderId="1" xfId="0" applyNumberFormat="1" applyFont="1" applyFill="1" applyBorder="1" applyAlignment="1" applyProtection="1">
      <alignment horizontal="left"/>
    </xf>
    <xf numFmtId="166" fontId="5" fillId="0" borderId="1" xfId="0" applyNumberFormat="1" applyFont="1" applyBorder="1" applyAlignment="1" applyProtection="1">
      <alignment horizontal="left"/>
    </xf>
    <xf numFmtId="165" fontId="5" fillId="0" borderId="1" xfId="0" quotePrefix="1" applyNumberFormat="1" applyFont="1" applyFill="1" applyBorder="1" applyAlignment="1" applyProtection="1">
      <alignment horizontal="left"/>
    </xf>
    <xf numFmtId="166" fontId="5" fillId="0" borderId="1" xfId="0" applyFont="1" applyBorder="1"/>
    <xf numFmtId="165" fontId="3" fillId="0" borderId="0" xfId="0" applyNumberFormat="1" applyFont="1" applyBorder="1" applyAlignment="1" applyProtection="1">
      <alignment horizontal="center"/>
    </xf>
    <xf numFmtId="167" fontId="3" fillId="3" borderId="2" xfId="0" applyNumberFormat="1" applyFont="1" applyFill="1" applyBorder="1" applyAlignment="1" applyProtection="1">
      <alignment horizontal="right"/>
    </xf>
    <xf numFmtId="167" fontId="3" fillId="2" borderId="11" xfId="0" applyNumberFormat="1" applyFont="1" applyFill="1" applyBorder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left"/>
    </xf>
    <xf numFmtId="165" fontId="5" fillId="0" borderId="3" xfId="0" applyNumberFormat="1" applyFont="1" applyFill="1" applyBorder="1" applyAlignment="1" applyProtection="1">
      <alignment horizontal="left"/>
    </xf>
    <xf numFmtId="165" fontId="2" fillId="2" borderId="7" xfId="0" applyNumberFormat="1" applyFont="1" applyFill="1" applyBorder="1" applyAlignment="1" applyProtection="1">
      <alignment horizontal="fill"/>
    </xf>
    <xf numFmtId="166" fontId="2" fillId="2" borderId="0" xfId="0" applyFont="1" applyFill="1" applyBorder="1"/>
    <xf numFmtId="165" fontId="2" fillId="2" borderId="0" xfId="0" applyNumberFormat="1" applyFont="1" applyFill="1" applyBorder="1" applyAlignment="1" applyProtection="1">
      <alignment horizontal="left"/>
    </xf>
    <xf numFmtId="165" fontId="2" fillId="2" borderId="4" xfId="0" applyNumberFormat="1" applyFont="1" applyFill="1" applyBorder="1" applyAlignment="1" applyProtection="1">
      <alignment horizontal="fill"/>
    </xf>
    <xf numFmtId="166" fontId="3" fillId="2" borderId="0" xfId="0" applyFont="1" applyFill="1" applyBorder="1"/>
    <xf numFmtId="165" fontId="3" fillId="2" borderId="4" xfId="0" applyNumberFormat="1" applyFont="1" applyFill="1" applyBorder="1" applyAlignment="1" applyProtection="1">
      <alignment horizontal="fill"/>
    </xf>
    <xf numFmtId="166" fontId="3" fillId="2" borderId="10" xfId="0" applyFont="1" applyFill="1" applyBorder="1"/>
    <xf numFmtId="165" fontId="3" fillId="2" borderId="10" xfId="0" applyNumberFormat="1" applyFont="1" applyFill="1" applyBorder="1" applyAlignment="1" applyProtection="1">
      <alignment horizontal="center"/>
    </xf>
    <xf numFmtId="165" fontId="3" fillId="2" borderId="11" xfId="0" applyNumberFormat="1" applyFont="1" applyFill="1" applyBorder="1" applyAlignment="1" applyProtection="1">
      <alignment horizontal="fill"/>
    </xf>
    <xf numFmtId="167" fontId="3" fillId="2" borderId="0" xfId="0" applyNumberFormat="1" applyFont="1" applyFill="1" applyBorder="1" applyAlignment="1" applyProtection="1">
      <alignment horizontal="right"/>
    </xf>
    <xf numFmtId="167" fontId="3" fillId="2" borderId="4" xfId="0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fill"/>
    </xf>
    <xf numFmtId="166" fontId="3" fillId="2" borderId="0" xfId="0" applyNumberFormat="1" applyFont="1" applyFill="1" applyProtection="1"/>
    <xf numFmtId="166" fontId="3" fillId="2" borderId="0" xfId="0" applyFont="1" applyFill="1"/>
    <xf numFmtId="167" fontId="3" fillId="0" borderId="10" xfId="0" quotePrefix="1" applyNumberFormat="1" applyFont="1" applyFill="1" applyBorder="1" applyAlignment="1" applyProtection="1">
      <alignment horizontal="right"/>
    </xf>
    <xf numFmtId="165" fontId="3" fillId="2" borderId="10" xfId="0" applyNumberFormat="1" applyFont="1" applyFill="1" applyBorder="1" applyAlignment="1" applyProtection="1">
      <alignment horizontal="right"/>
    </xf>
    <xf numFmtId="166" fontId="3" fillId="0" borderId="10" xfId="0" applyNumberFormat="1" applyFont="1" applyBorder="1" applyProtection="1"/>
    <xf numFmtId="166" fontId="3" fillId="0" borderId="6" xfId="0" applyFont="1" applyBorder="1"/>
    <xf numFmtId="167" fontId="3" fillId="0" borderId="3" xfId="0" applyNumberFormat="1" applyFont="1" applyFill="1" applyBorder="1" applyAlignment="1" applyProtection="1">
      <alignment horizontal="right"/>
    </xf>
    <xf numFmtId="165" fontId="3" fillId="0" borderId="1" xfId="0" applyNumberFormat="1" applyFont="1" applyBorder="1" applyAlignment="1" applyProtection="1">
      <alignment horizontal="fill"/>
    </xf>
    <xf numFmtId="166" fontId="3" fillId="0" borderId="7" xfId="0" applyNumberFormat="1" applyFont="1" applyBorder="1" applyProtection="1"/>
    <xf numFmtId="167" fontId="3" fillId="0" borderId="7" xfId="0" applyNumberFormat="1" applyFont="1" applyFill="1" applyBorder="1" applyAlignment="1" applyProtection="1">
      <alignment horizontal="right"/>
    </xf>
    <xf numFmtId="166" fontId="3" fillId="2" borderId="7" xfId="0" applyNumberFormat="1" applyFont="1" applyFill="1" applyBorder="1" applyProtection="1"/>
    <xf numFmtId="166" fontId="3" fillId="0" borderId="8" xfId="0" applyNumberFormat="1" applyFont="1" applyBorder="1" applyProtection="1"/>
    <xf numFmtId="166" fontId="3" fillId="0" borderId="4" xfId="0" applyNumberFormat="1" applyFont="1" applyBorder="1" applyProtection="1"/>
    <xf numFmtId="166" fontId="3" fillId="2" borderId="4" xfId="0" applyNumberFormat="1" applyFont="1" applyFill="1" applyBorder="1" applyProtection="1"/>
    <xf numFmtId="166" fontId="3" fillId="0" borderId="5" xfId="0" applyNumberFormat="1" applyFont="1" applyBorder="1" applyProtection="1"/>
    <xf numFmtId="167" fontId="3" fillId="0" borderId="0" xfId="0" quotePrefix="1" applyNumberFormat="1" applyFont="1" applyFill="1" applyBorder="1" applyAlignment="1" applyProtection="1">
      <alignment horizontal="right"/>
    </xf>
    <xf numFmtId="167" fontId="3" fillId="0" borderId="2" xfId="0" quotePrefix="1" applyNumberFormat="1" applyFont="1" applyFill="1" applyBorder="1" applyAlignment="1" applyProtection="1">
      <alignment horizontal="right"/>
    </xf>
    <xf numFmtId="166" fontId="3" fillId="0" borderId="0" xfId="0" applyNumberFormat="1" applyFont="1" applyProtection="1"/>
    <xf numFmtId="167" fontId="3" fillId="0" borderId="1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167" fontId="3" fillId="0" borderId="2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 applyProtection="1">
      <alignment horizontal="right"/>
    </xf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7" fontId="3" fillId="2" borderId="10" xfId="0" applyNumberFormat="1" applyFont="1" applyFill="1" applyBorder="1" applyAlignment="1" applyProtection="1">
      <alignment horizontal="right"/>
    </xf>
    <xf numFmtId="165" fontId="5" fillId="0" borderId="1" xfId="0" applyNumberFormat="1" applyFont="1" applyFill="1" applyBorder="1" applyAlignment="1" applyProtection="1">
      <alignment horizontal="left"/>
    </xf>
    <xf numFmtId="165" fontId="5" fillId="0" borderId="1" xfId="0" quotePrefix="1" applyNumberFormat="1" applyFont="1" applyFill="1" applyBorder="1" applyAlignment="1" applyProtection="1">
      <alignment horizontal="left"/>
    </xf>
    <xf numFmtId="167" fontId="3" fillId="2" borderId="0" xfId="0" applyNumberFormat="1" applyFont="1" applyFill="1" applyBorder="1" applyAlignment="1" applyProtection="1">
      <alignment horizontal="right"/>
    </xf>
    <xf numFmtId="167" fontId="3" fillId="0" borderId="10" xfId="0" quotePrefix="1" applyNumberFormat="1" applyFont="1" applyFill="1" applyBorder="1" applyAlignment="1" applyProtection="1">
      <alignment horizontal="right"/>
    </xf>
    <xf numFmtId="167" fontId="3" fillId="0" borderId="0" xfId="0" quotePrefix="1" applyNumberFormat="1" applyFont="1" applyFill="1" applyBorder="1" applyAlignment="1" applyProtection="1">
      <alignment horizontal="right"/>
    </xf>
    <xf numFmtId="167" fontId="3" fillId="0" borderId="2" xfId="0" quotePrefix="1" applyNumberFormat="1" applyFont="1" applyFill="1" applyBorder="1" applyAlignment="1" applyProtection="1">
      <alignment horizontal="right"/>
    </xf>
    <xf numFmtId="166" fontId="2" fillId="0" borderId="10" xfId="0" applyFont="1" applyBorder="1"/>
    <xf numFmtId="165" fontId="2" fillId="0" borderId="10" xfId="0" applyNumberFormat="1" applyFont="1" applyBorder="1" applyAlignment="1" applyProtection="1">
      <alignment horizontal="fill"/>
    </xf>
    <xf numFmtId="165" fontId="2" fillId="0" borderId="10" xfId="0" applyNumberFormat="1" applyFont="1" applyBorder="1" applyAlignment="1" applyProtection="1">
      <alignment horizontal="left"/>
    </xf>
    <xf numFmtId="166" fontId="2" fillId="0" borderId="3" xfId="0" applyFont="1" applyBorder="1"/>
    <xf numFmtId="165" fontId="2" fillId="0" borderId="2" xfId="0" applyNumberFormat="1" applyFont="1" applyBorder="1" applyAlignment="1" applyProtection="1">
      <alignment horizontal="center"/>
    </xf>
    <xf numFmtId="165" fontId="2" fillId="0" borderId="10" xfId="0" applyNumberFormat="1" applyFon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5" fontId="3" fillId="0" borderId="2" xfId="0" applyNumberFormat="1" applyFont="1" applyBorder="1" applyAlignment="1" applyProtection="1">
      <alignment horizontal="center"/>
    </xf>
    <xf numFmtId="165" fontId="2" fillId="0" borderId="1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2" xfId="0" applyNumberFormat="1" applyFont="1" applyBorder="1" applyAlignment="1" applyProtection="1">
      <alignment horizontal="center"/>
    </xf>
    <xf numFmtId="166" fontId="2" fillId="0" borderId="6" xfId="0" applyFont="1" applyBorder="1" applyAlignment="1">
      <alignment horizontal="center"/>
    </xf>
    <xf numFmtId="166" fontId="2" fillId="0" borderId="7" xfId="0" applyFont="1" applyBorder="1" applyAlignment="1">
      <alignment horizontal="center"/>
    </xf>
    <xf numFmtId="166" fontId="2" fillId="0" borderId="8" xfId="0" applyFont="1" applyBorder="1" applyAlignment="1">
      <alignment horizontal="center"/>
    </xf>
    <xf numFmtId="166" fontId="2" fillId="0" borderId="1" xfId="0" applyFont="1" applyBorder="1" applyAlignment="1">
      <alignment horizontal="center"/>
    </xf>
    <xf numFmtId="166" fontId="2" fillId="0" borderId="0" xfId="0" applyFont="1" applyBorder="1" applyAlignment="1">
      <alignment horizontal="center"/>
    </xf>
    <xf numFmtId="166" fontId="2" fillId="0" borderId="2" xfId="0" applyFont="1" applyBorder="1" applyAlignment="1">
      <alignment horizontal="center"/>
    </xf>
    <xf numFmtId="166" fontId="2" fillId="0" borderId="3" xfId="0" applyFont="1" applyBorder="1" applyAlignment="1">
      <alignment horizontal="center"/>
    </xf>
    <xf numFmtId="166" fontId="2" fillId="0" borderId="4" xfId="0" applyFont="1" applyBorder="1" applyAlignment="1">
      <alignment horizontal="center"/>
    </xf>
    <xf numFmtId="166" fontId="2" fillId="0" borderId="5" xfId="0" applyFont="1" applyBorder="1" applyAlignment="1">
      <alignment horizontal="center"/>
    </xf>
    <xf numFmtId="165" fontId="2" fillId="0" borderId="6" xfId="0" applyNumberFormat="1" applyFont="1" applyBorder="1" applyAlignment="1" applyProtection="1">
      <alignment horizontal="center"/>
    </xf>
    <xf numFmtId="165" fontId="2" fillId="0" borderId="7" xfId="0" applyNumberFormat="1" applyFont="1" applyBorder="1" applyAlignment="1" applyProtection="1">
      <alignment horizontal="center"/>
    </xf>
    <xf numFmtId="165" fontId="2" fillId="0" borderId="8" xfId="0" applyNumberFormat="1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5833333332966"/>
          <c:y val="4.0404040404040414E-2"/>
          <c:w val="0.87812500000002691"/>
          <c:h val="0.82828282828282829"/>
        </c:manualLayout>
      </c:layout>
      <c:lineChart>
        <c:grouping val="standard"/>
        <c:varyColors val="0"/>
        <c:ser>
          <c:idx val="0"/>
          <c:order val="0"/>
          <c:tx>
            <c:v>Avoirs extérieurs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val>
            <c:numRef>
              <c:f>'ii4-1sitmonétaire actif'!#REF!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'ii4-1sitmonétaire actif'!#REF!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v>Crédit intérieur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val>
            <c:numRef>
              <c:f>'ii4-1sitmonétaire actif'!#REF!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'ii4-1sitmonétaire actif'!#REF!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v>M2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val>
            <c:numRef>
              <c:f>'ii4-1sitmonétaire actif'!#REF!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'ii4-1sitmonétaire actif'!#REF!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'ii4-1sitmonétaire actif'!#REF!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'ii4-1sitmonétaire actif'!#REF!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'ii4-1sitmonétaire actif'!#REF!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'ii4-1sitmonétaire actif'!#REF!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090064"/>
        <c:axId val="722093328"/>
      </c:lineChart>
      <c:catAx>
        <c:axId val="722090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en-US"/>
          </a:p>
        </c:txPr>
        <c:crossAx val="722093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2093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en-US"/>
          </a:p>
        </c:txPr>
        <c:crossAx val="7220900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7500000000000004"/>
          <c:y val="0.95117845117847755"/>
          <c:w val="0.6489583333333655"/>
          <c:h val="4.37710437710437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ourier New"/>
              <a:ea typeface="Courier New"/>
              <a:cs typeface="Courier New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ourier New"/>
          <a:ea typeface="Courier New"/>
          <a:cs typeface="Courier New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152400</xdr:rowOff>
    </xdr:from>
    <xdr:to>
      <xdr:col>0</xdr:col>
      <xdr:colOff>1238250</xdr:colOff>
      <xdr:row>18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1123950"/>
          <a:ext cx="1238250" cy="194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179"/>
  <sheetViews>
    <sheetView showGridLines="0" tabSelected="1" view="pageBreakPreview" zoomScale="60" zoomScaleNormal="100" workbookViewId="0">
      <pane xSplit="1" ySplit="19" topLeftCell="B163" activePane="bottomRight" state="frozen"/>
      <selection pane="topRight" activeCell="B1" sqref="B1"/>
      <selection pane="bottomLeft" activeCell="A20" sqref="A20"/>
      <selection pane="bottomRight" activeCell="K166" sqref="K166"/>
    </sheetView>
  </sheetViews>
  <sheetFormatPr defaultColWidth="13.88671875" defaultRowHeight="12.75" x14ac:dyDescent="0.2"/>
  <cols>
    <col min="1" max="1" width="14.5546875" style="4" customWidth="1"/>
    <col min="2" max="2" width="9.5546875" style="4" customWidth="1"/>
    <col min="3" max="3" width="11.6640625" style="4" customWidth="1"/>
    <col min="4" max="4" width="11.21875" style="4" customWidth="1"/>
    <col min="5" max="5" width="10.6640625" style="4" customWidth="1"/>
    <col min="6" max="6" width="12" style="4" customWidth="1"/>
    <col min="7" max="7" width="12.6640625" style="4" hidden="1" customWidth="1"/>
    <col min="8" max="8" width="10.88671875" style="4" customWidth="1"/>
    <col min="9" max="9" width="10.33203125" style="4" customWidth="1"/>
    <col min="10" max="10" width="11.33203125" style="4" customWidth="1"/>
    <col min="11" max="11" width="10" style="4" customWidth="1"/>
    <col min="12" max="12" width="13.6640625" style="4" customWidth="1"/>
    <col min="13" max="13" width="10.77734375" style="4" customWidth="1"/>
    <col min="14" max="14" width="11.21875" style="4" customWidth="1"/>
    <col min="15" max="15" width="1.6640625" style="4" hidden="1" customWidth="1"/>
    <col min="16" max="16" width="10.6640625" style="4" customWidth="1"/>
    <col min="17" max="17" width="10.21875" style="4" customWidth="1"/>
    <col min="18" max="18" width="13" style="78" customWidth="1"/>
    <col min="19" max="19" width="10.5546875" style="4" customWidth="1"/>
    <col min="20" max="20" width="2.77734375" style="4" hidden="1" customWidth="1"/>
    <col min="21" max="21" width="10.109375" style="4" customWidth="1"/>
    <col min="22" max="22" width="10.5546875" style="4" customWidth="1"/>
    <col min="23" max="23" width="5.6640625" style="4" customWidth="1"/>
    <col min="24" max="24" width="18.5546875" style="4" customWidth="1"/>
    <col min="25" max="25" width="13.88671875" style="4"/>
    <col min="26" max="26" width="16.109375" style="4" customWidth="1"/>
    <col min="27" max="16384" width="13.88671875" style="4"/>
  </cols>
  <sheetData>
    <row r="1" spans="1:30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5"/>
      <c r="S1" s="2"/>
      <c r="T1" s="2"/>
      <c r="U1" s="2"/>
      <c r="V1" s="3"/>
    </row>
    <row r="2" spans="1:30" x14ac:dyDescent="0.2">
      <c r="A2" s="5"/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66"/>
      <c r="S2" s="7"/>
      <c r="T2" s="7"/>
      <c r="U2" s="7"/>
      <c r="V2" s="8"/>
    </row>
    <row r="3" spans="1:30" x14ac:dyDescent="0.2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66"/>
      <c r="S3" s="7"/>
      <c r="T3" s="7"/>
      <c r="U3" s="7"/>
      <c r="V3" s="9" t="s">
        <v>0</v>
      </c>
    </row>
    <row r="4" spans="1:30" s="10" customFormat="1" ht="15.75" customHeight="1" x14ac:dyDescent="0.2">
      <c r="A4" s="118" t="s">
        <v>63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20"/>
    </row>
    <row r="5" spans="1:30" x14ac:dyDescent="0.2">
      <c r="A5" s="118" t="s">
        <v>64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20"/>
    </row>
    <row r="6" spans="1:30" x14ac:dyDescent="0.2">
      <c r="A6" s="11" t="s">
        <v>1</v>
      </c>
      <c r="B6" s="6" t="s">
        <v>1</v>
      </c>
      <c r="C6" s="7"/>
      <c r="D6" s="7"/>
      <c r="E6" s="7"/>
      <c r="F6" s="12"/>
      <c r="G6" s="7"/>
      <c r="H6" s="7"/>
      <c r="I6" s="7"/>
      <c r="J6" s="7"/>
      <c r="K6" s="7"/>
      <c r="L6" s="6" t="s">
        <v>1</v>
      </c>
      <c r="M6" s="7"/>
      <c r="N6" s="6" t="s">
        <v>1</v>
      </c>
      <c r="O6" s="7"/>
      <c r="P6" s="6" t="s">
        <v>1</v>
      </c>
      <c r="Q6" s="6" t="s">
        <v>1</v>
      </c>
      <c r="R6" s="67"/>
      <c r="S6" s="6" t="s">
        <v>1</v>
      </c>
      <c r="T6" s="7"/>
      <c r="U6" s="7"/>
      <c r="V6" s="8"/>
    </row>
    <row r="7" spans="1:30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68"/>
      <c r="S7" s="14"/>
      <c r="T7" s="14"/>
      <c r="U7" s="14"/>
      <c r="V7" s="15"/>
      <c r="W7" s="16"/>
      <c r="X7" s="16"/>
      <c r="Y7" s="16"/>
      <c r="Z7" s="16"/>
      <c r="AA7" s="16"/>
      <c r="AB7" s="16"/>
      <c r="AC7" s="16"/>
      <c r="AD7" s="16"/>
    </row>
    <row r="8" spans="1:30" ht="15.75" customHeight="1" x14ac:dyDescent="0.2">
      <c r="A8" s="109"/>
      <c r="B8" s="130" t="s">
        <v>33</v>
      </c>
      <c r="C8" s="131"/>
      <c r="D8" s="132"/>
      <c r="E8" s="121" t="s">
        <v>108</v>
      </c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3"/>
      <c r="V8" s="19"/>
    </row>
    <row r="9" spans="1:30" x14ac:dyDescent="0.2">
      <c r="A9" s="109" t="s">
        <v>31</v>
      </c>
      <c r="B9" s="118"/>
      <c r="C9" s="119"/>
      <c r="D9" s="120"/>
      <c r="E9" s="124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6"/>
      <c r="V9" s="113" t="s">
        <v>3</v>
      </c>
    </row>
    <row r="10" spans="1:30" x14ac:dyDescent="0.2">
      <c r="A10" s="110"/>
      <c r="B10" s="133"/>
      <c r="C10" s="134"/>
      <c r="D10" s="135"/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9"/>
      <c r="V10" s="113" t="s">
        <v>4</v>
      </c>
    </row>
    <row r="11" spans="1:30" x14ac:dyDescent="0.2">
      <c r="A11" s="109"/>
      <c r="B11" s="19"/>
      <c r="C11" s="17"/>
      <c r="D11" s="17"/>
      <c r="E11" s="20"/>
      <c r="F11" s="18"/>
      <c r="G11" s="18"/>
      <c r="H11" s="18"/>
      <c r="I11" s="18"/>
      <c r="J11" s="18"/>
      <c r="K11" s="18"/>
      <c r="L11" s="18"/>
      <c r="M11" s="18"/>
      <c r="N11" s="19"/>
      <c r="O11" s="18"/>
      <c r="P11" s="20"/>
      <c r="Q11" s="18"/>
      <c r="R11" s="69"/>
      <c r="S11" s="19"/>
      <c r="T11" s="18"/>
      <c r="U11" s="28" t="s">
        <v>1</v>
      </c>
      <c r="V11" s="19"/>
    </row>
    <row r="12" spans="1:30" ht="15.75" customHeight="1" x14ac:dyDescent="0.2">
      <c r="A12" s="109"/>
      <c r="B12" s="22" t="s">
        <v>6</v>
      </c>
      <c r="C12" s="29" t="s">
        <v>5</v>
      </c>
      <c r="D12" s="30" t="s">
        <v>8</v>
      </c>
      <c r="E12" s="115" t="s">
        <v>34</v>
      </c>
      <c r="F12" s="116"/>
      <c r="G12" s="116"/>
      <c r="H12" s="116"/>
      <c r="I12" s="116"/>
      <c r="J12" s="116"/>
      <c r="K12" s="116"/>
      <c r="L12" s="116"/>
      <c r="M12" s="116"/>
      <c r="N12" s="117"/>
      <c r="O12" s="18"/>
      <c r="P12" s="115" t="s">
        <v>9</v>
      </c>
      <c r="Q12" s="116"/>
      <c r="R12" s="116"/>
      <c r="S12" s="117"/>
      <c r="T12" s="18"/>
      <c r="U12" s="114" t="s">
        <v>30</v>
      </c>
      <c r="V12" s="19"/>
    </row>
    <row r="13" spans="1:30" x14ac:dyDescent="0.2">
      <c r="A13" s="111" t="s">
        <v>1</v>
      </c>
      <c r="B13" s="22" t="s">
        <v>1</v>
      </c>
      <c r="C13" s="29" t="s">
        <v>7</v>
      </c>
      <c r="D13" s="30" t="s">
        <v>1</v>
      </c>
      <c r="E13" s="26"/>
      <c r="F13" s="24"/>
      <c r="G13" s="24"/>
      <c r="H13" s="24"/>
      <c r="I13" s="24"/>
      <c r="J13" s="24"/>
      <c r="K13" s="24"/>
      <c r="L13" s="24"/>
      <c r="M13" s="24"/>
      <c r="N13" s="25"/>
      <c r="O13" s="21"/>
      <c r="P13" s="26"/>
      <c r="Q13" s="24"/>
      <c r="R13" s="70"/>
      <c r="S13" s="25"/>
      <c r="T13" s="18"/>
      <c r="U13" s="23"/>
      <c r="V13" s="19"/>
    </row>
    <row r="14" spans="1:30" x14ac:dyDescent="0.2">
      <c r="A14" s="109"/>
      <c r="B14" s="19"/>
      <c r="C14" s="17"/>
      <c r="D14" s="17"/>
      <c r="E14" s="20"/>
      <c r="F14" s="17"/>
      <c r="G14" s="18"/>
      <c r="H14" s="20"/>
      <c r="I14" s="31"/>
      <c r="J14" s="31"/>
      <c r="K14" s="18"/>
      <c r="L14" s="31"/>
      <c r="M14" s="19"/>
      <c r="N14" s="17"/>
      <c r="O14" s="18"/>
      <c r="P14" s="17"/>
      <c r="Q14" s="17"/>
      <c r="R14" s="71"/>
      <c r="S14" s="17"/>
      <c r="T14" s="18"/>
      <c r="U14" s="17"/>
      <c r="V14" s="19"/>
    </row>
    <row r="15" spans="1:30" x14ac:dyDescent="0.2">
      <c r="A15" s="109"/>
      <c r="B15" s="19"/>
      <c r="C15" s="17"/>
      <c r="D15" s="17"/>
      <c r="E15" s="32" t="s">
        <v>13</v>
      </c>
      <c r="F15" s="30" t="s">
        <v>36</v>
      </c>
      <c r="G15" s="33" t="s">
        <v>42</v>
      </c>
      <c r="H15" s="20"/>
      <c r="I15" s="17"/>
      <c r="J15" s="17"/>
      <c r="K15" s="18"/>
      <c r="L15" s="30" t="s">
        <v>106</v>
      </c>
      <c r="M15" s="22" t="s">
        <v>10</v>
      </c>
      <c r="N15" s="30" t="s">
        <v>8</v>
      </c>
      <c r="O15" s="18"/>
      <c r="P15" s="30" t="s">
        <v>11</v>
      </c>
      <c r="Q15" s="30" t="s">
        <v>12</v>
      </c>
      <c r="R15" s="72" t="s">
        <v>12</v>
      </c>
      <c r="S15" s="30" t="s">
        <v>19</v>
      </c>
      <c r="T15" s="18"/>
      <c r="U15" s="17"/>
      <c r="V15" s="19"/>
    </row>
    <row r="16" spans="1:30" x14ac:dyDescent="0.2">
      <c r="A16" s="109"/>
      <c r="B16" s="19"/>
      <c r="C16" s="17"/>
      <c r="D16" s="17"/>
      <c r="E16" s="32"/>
      <c r="F16" s="30" t="s">
        <v>37</v>
      </c>
      <c r="G16" s="33" t="s">
        <v>20</v>
      </c>
      <c r="H16" s="32" t="s">
        <v>15</v>
      </c>
      <c r="I16" s="30" t="s">
        <v>47</v>
      </c>
      <c r="J16" s="30" t="s">
        <v>21</v>
      </c>
      <c r="K16" s="60" t="s">
        <v>97</v>
      </c>
      <c r="L16" s="30" t="s">
        <v>107</v>
      </c>
      <c r="M16" s="22" t="s">
        <v>16</v>
      </c>
      <c r="N16" s="17"/>
      <c r="O16" s="18"/>
      <c r="P16" s="30" t="s">
        <v>17</v>
      </c>
      <c r="Q16" s="30" t="s">
        <v>18</v>
      </c>
      <c r="R16" s="72" t="s">
        <v>100</v>
      </c>
      <c r="S16" s="17"/>
      <c r="T16" s="18"/>
      <c r="U16" s="17"/>
      <c r="V16" s="19"/>
    </row>
    <row r="17" spans="1:26" x14ac:dyDescent="0.2">
      <c r="A17" s="109"/>
      <c r="B17" s="19"/>
      <c r="C17" s="17" t="s">
        <v>1</v>
      </c>
      <c r="D17" s="17"/>
      <c r="E17" s="20"/>
      <c r="F17" s="34" t="s">
        <v>14</v>
      </c>
      <c r="G17" s="33" t="s">
        <v>43</v>
      </c>
      <c r="H17" s="32" t="s">
        <v>21</v>
      </c>
      <c r="I17" s="30" t="s">
        <v>48</v>
      </c>
      <c r="J17" s="30" t="s">
        <v>53</v>
      </c>
      <c r="K17" s="60" t="s">
        <v>98</v>
      </c>
      <c r="L17" s="17" t="s">
        <v>105</v>
      </c>
      <c r="M17" s="22" t="s">
        <v>22</v>
      </c>
      <c r="N17" s="17"/>
      <c r="O17" s="18"/>
      <c r="P17" s="30" t="s">
        <v>23</v>
      </c>
      <c r="Q17" s="30" t="s">
        <v>24</v>
      </c>
      <c r="R17" s="72" t="s">
        <v>101</v>
      </c>
      <c r="S17" s="17"/>
      <c r="T17" s="18"/>
      <c r="U17" s="17"/>
      <c r="V17" s="19"/>
    </row>
    <row r="18" spans="1:26" x14ac:dyDescent="0.2">
      <c r="A18" s="109" t="s">
        <v>32</v>
      </c>
      <c r="B18" s="19"/>
      <c r="C18" s="17"/>
      <c r="D18" s="17"/>
      <c r="E18" s="20"/>
      <c r="F18" s="17"/>
      <c r="G18" s="33"/>
      <c r="H18" s="20"/>
      <c r="I18" s="17"/>
      <c r="J18" s="17"/>
      <c r="K18" s="18"/>
      <c r="L18" s="17"/>
      <c r="M18" s="22" t="s">
        <v>25</v>
      </c>
      <c r="N18" s="17"/>
      <c r="O18" s="18"/>
      <c r="P18" s="30" t="s">
        <v>26</v>
      </c>
      <c r="Q18" s="30" t="s">
        <v>27</v>
      </c>
      <c r="R18" s="72" t="s">
        <v>102</v>
      </c>
      <c r="S18" s="17"/>
      <c r="T18" s="18"/>
      <c r="U18" s="17"/>
      <c r="V18" s="19"/>
    </row>
    <row r="19" spans="1:26" x14ac:dyDescent="0.2">
      <c r="A19" s="35"/>
      <c r="B19" s="25"/>
      <c r="C19" s="35"/>
      <c r="D19" s="35"/>
      <c r="E19" s="26"/>
      <c r="F19" s="35"/>
      <c r="G19" s="36"/>
      <c r="H19" s="26"/>
      <c r="I19" s="35"/>
      <c r="J19" s="35"/>
      <c r="K19" s="36"/>
      <c r="L19" s="35"/>
      <c r="M19" s="25"/>
      <c r="N19" s="35"/>
      <c r="O19" s="36"/>
      <c r="P19" s="35"/>
      <c r="Q19" s="35"/>
      <c r="R19" s="73"/>
      <c r="S19" s="35"/>
      <c r="T19" s="18"/>
      <c r="U19" s="35"/>
      <c r="V19" s="25"/>
    </row>
    <row r="20" spans="1:26" x14ac:dyDescent="0.2">
      <c r="A20" s="59"/>
      <c r="B20" s="31"/>
      <c r="C20" s="18"/>
      <c r="D20" s="31"/>
      <c r="E20" s="31"/>
      <c r="F20" s="37"/>
      <c r="G20" s="37"/>
      <c r="H20" s="18"/>
      <c r="I20" s="17"/>
      <c r="J20" s="18"/>
      <c r="K20" s="31"/>
      <c r="L20" s="38"/>
      <c r="M20" s="31"/>
      <c r="N20" s="31"/>
      <c r="O20" s="18"/>
      <c r="P20" s="82"/>
      <c r="Q20" s="31"/>
      <c r="R20" s="69"/>
      <c r="S20" s="31"/>
      <c r="T20" s="18"/>
      <c r="U20" s="20"/>
      <c r="V20" s="31"/>
    </row>
    <row r="21" spans="1:26" s="48" customFormat="1" ht="15" hidden="1" customHeight="1" x14ac:dyDescent="0.35">
      <c r="A21" s="58" t="s">
        <v>44</v>
      </c>
      <c r="B21" s="42">
        <v>159092.20000000007</v>
      </c>
      <c r="C21" s="43">
        <v>95759.5</v>
      </c>
      <c r="D21" s="42">
        <v>254851.70000000007</v>
      </c>
      <c r="E21" s="42">
        <v>170798.9</v>
      </c>
      <c r="F21" s="42">
        <v>58561</v>
      </c>
      <c r="G21" s="42" t="s">
        <v>28</v>
      </c>
      <c r="H21" s="43">
        <v>9544.5</v>
      </c>
      <c r="I21" s="79" t="s">
        <v>28</v>
      </c>
      <c r="J21" s="79" t="s">
        <v>28</v>
      </c>
      <c r="K21" s="55">
        <v>238904.4</v>
      </c>
      <c r="L21" s="45">
        <v>125831.59999999999</v>
      </c>
      <c r="M21" s="42">
        <v>11736.2</v>
      </c>
      <c r="N21" s="55">
        <v>101336.6</v>
      </c>
      <c r="O21" s="43"/>
      <c r="P21" s="47">
        <v>21927.199999999997</v>
      </c>
      <c r="Q21" s="42">
        <v>261749.50000000003</v>
      </c>
      <c r="R21" s="74">
        <v>120.8</v>
      </c>
      <c r="S21" s="42">
        <v>283797.5</v>
      </c>
      <c r="T21" s="46"/>
      <c r="U21" s="47">
        <v>385134.1</v>
      </c>
      <c r="V21" s="42">
        <v>639985.80000000005</v>
      </c>
      <c r="W21" s="41"/>
      <c r="X21" s="54"/>
      <c r="Z21" s="49"/>
    </row>
    <row r="22" spans="1:26" s="48" customFormat="1" ht="15" hidden="1" customHeight="1" x14ac:dyDescent="0.35">
      <c r="A22" s="58" t="s">
        <v>50</v>
      </c>
      <c r="B22" s="42">
        <v>144966.20000000007</v>
      </c>
      <c r="C22" s="43">
        <v>119531.40000000002</v>
      </c>
      <c r="D22" s="42">
        <v>264497.60000000009</v>
      </c>
      <c r="E22" s="42">
        <v>215622.30000000002</v>
      </c>
      <c r="F22" s="42">
        <v>100072.8</v>
      </c>
      <c r="G22" s="42" t="s">
        <v>28</v>
      </c>
      <c r="H22" s="43">
        <v>11255.3</v>
      </c>
      <c r="I22" s="79" t="s">
        <v>28</v>
      </c>
      <c r="J22" s="79" t="s">
        <v>28</v>
      </c>
      <c r="K22" s="55">
        <v>326950.40000000002</v>
      </c>
      <c r="L22" s="45">
        <v>133925.09999999998</v>
      </c>
      <c r="M22" s="42">
        <v>14842.5</v>
      </c>
      <c r="N22" s="55">
        <v>178182.80000000005</v>
      </c>
      <c r="O22" s="43"/>
      <c r="P22" s="47">
        <v>8440.7000000000007</v>
      </c>
      <c r="Q22" s="42">
        <v>321233.5</v>
      </c>
      <c r="R22" s="74">
        <v>497.1</v>
      </c>
      <c r="S22" s="42">
        <v>330171.3</v>
      </c>
      <c r="T22" s="46"/>
      <c r="U22" s="47">
        <v>508354.10000000003</v>
      </c>
      <c r="V22" s="42">
        <v>772851.70000000019</v>
      </c>
      <c r="W22" s="41"/>
      <c r="X22" s="54"/>
      <c r="Z22" s="49"/>
    </row>
    <row r="23" spans="1:26" s="48" customFormat="1" ht="17.25" hidden="1" customHeight="1" x14ac:dyDescent="0.35">
      <c r="A23" s="58" t="s">
        <v>69</v>
      </c>
      <c r="B23" s="42">
        <v>141613.59999999998</v>
      </c>
      <c r="C23" s="43">
        <v>112437.40000000001</v>
      </c>
      <c r="D23" s="42">
        <v>254051</v>
      </c>
      <c r="E23" s="42">
        <v>19134.2</v>
      </c>
      <c r="F23" s="42">
        <v>109104.5</v>
      </c>
      <c r="G23" s="42" t="s">
        <v>28</v>
      </c>
      <c r="H23" s="43">
        <v>14177.3</v>
      </c>
      <c r="I23" s="42">
        <v>88925</v>
      </c>
      <c r="J23" s="43">
        <v>145130.9</v>
      </c>
      <c r="K23" s="55">
        <v>376471.9</v>
      </c>
      <c r="L23" s="45">
        <v>153945.1</v>
      </c>
      <c r="M23" s="42">
        <v>11748.2</v>
      </c>
      <c r="N23" s="55">
        <v>210778.6</v>
      </c>
      <c r="O23" s="43"/>
      <c r="P23" s="47">
        <v>8682.2000000000007</v>
      </c>
      <c r="Q23" s="42">
        <v>421111.6</v>
      </c>
      <c r="R23" s="74">
        <v>599.4</v>
      </c>
      <c r="S23" s="42">
        <v>430393.2</v>
      </c>
      <c r="T23" s="46"/>
      <c r="U23" s="47">
        <v>641171.80000000005</v>
      </c>
      <c r="V23" s="55">
        <v>895222.8</v>
      </c>
      <c r="Z23" s="49"/>
    </row>
    <row r="24" spans="1:26" s="48" customFormat="1" ht="15.75" hidden="1" customHeight="1" x14ac:dyDescent="0.35">
      <c r="A24" s="58" t="s">
        <v>91</v>
      </c>
      <c r="B24" s="42">
        <v>82293.999999999942</v>
      </c>
      <c r="C24" s="43">
        <v>123231.6</v>
      </c>
      <c r="D24" s="42">
        <v>205525.59999999995</v>
      </c>
      <c r="E24" s="42">
        <v>86260.6</v>
      </c>
      <c r="F24" s="42">
        <v>84484.4</v>
      </c>
      <c r="G24" s="42" t="s">
        <v>28</v>
      </c>
      <c r="H24" s="43">
        <v>14746.9</v>
      </c>
      <c r="I24" s="42">
        <v>94325</v>
      </c>
      <c r="J24" s="43">
        <v>141433.29999999999</v>
      </c>
      <c r="K24" s="55">
        <v>421250.2</v>
      </c>
      <c r="L24" s="45">
        <v>174847.2</v>
      </c>
      <c r="M24" s="42">
        <v>14154.1</v>
      </c>
      <c r="N24" s="55">
        <v>232248.9</v>
      </c>
      <c r="O24" s="43"/>
      <c r="P24" s="47">
        <v>4009.9000000000005</v>
      </c>
      <c r="Q24" s="42">
        <v>561438.5</v>
      </c>
      <c r="R24" s="74">
        <v>1021.9000000000001</v>
      </c>
      <c r="S24" s="42">
        <v>566470.30000000005</v>
      </c>
      <c r="T24" s="46"/>
      <c r="U24" s="47">
        <v>798719.20000000007</v>
      </c>
      <c r="V24" s="42">
        <v>1004244.8</v>
      </c>
      <c r="Z24" s="49"/>
    </row>
    <row r="25" spans="1:26" s="48" customFormat="1" ht="19.5" x14ac:dyDescent="0.35">
      <c r="A25" s="58" t="s">
        <v>104</v>
      </c>
      <c r="B25" s="42">
        <v>66928.900000000023</v>
      </c>
      <c r="C25" s="43">
        <v>129708.8</v>
      </c>
      <c r="D25" s="42">
        <v>196637.7</v>
      </c>
      <c r="E25" s="42">
        <v>155251.9</v>
      </c>
      <c r="F25" s="42">
        <v>49024.3</v>
      </c>
      <c r="G25" s="42"/>
      <c r="H25" s="43">
        <v>17969.599999999999</v>
      </c>
      <c r="I25" s="42">
        <v>117037.4</v>
      </c>
      <c r="J25" s="43">
        <v>137735.70000000001</v>
      </c>
      <c r="K25" s="55">
        <v>477018.9</v>
      </c>
      <c r="L25" s="45">
        <v>181665.4</v>
      </c>
      <c r="M25" s="42">
        <v>18296</v>
      </c>
      <c r="N25" s="55">
        <v>277057.5</v>
      </c>
      <c r="O25" s="43"/>
      <c r="P25" s="47">
        <v>6850.8</v>
      </c>
      <c r="Q25" s="42">
        <v>635119.89999999991</v>
      </c>
      <c r="R25" s="74">
        <v>1057.9000000000001</v>
      </c>
      <c r="S25" s="42">
        <v>643028.6</v>
      </c>
      <c r="T25" s="46"/>
      <c r="U25" s="47">
        <v>920086.1</v>
      </c>
      <c r="V25" s="42">
        <v>1116723.8</v>
      </c>
      <c r="Z25" s="49"/>
    </row>
    <row r="26" spans="1:26" s="48" customFormat="1" ht="19.5" x14ac:dyDescent="0.35">
      <c r="A26" s="58" t="s">
        <v>110</v>
      </c>
      <c r="B26" s="42">
        <v>118133.79999999999</v>
      </c>
      <c r="C26" s="43">
        <v>111622.29999999997</v>
      </c>
      <c r="D26" s="42">
        <f t="shared" ref="D26:D29" si="0">SUM(B26,C26)</f>
        <v>229756.09999999998</v>
      </c>
      <c r="E26" s="79" t="s">
        <v>28</v>
      </c>
      <c r="F26" s="42">
        <v>109019.90000000001</v>
      </c>
      <c r="G26" s="42"/>
      <c r="H26" s="43">
        <f>17922.9+539.1</f>
        <v>18462</v>
      </c>
      <c r="I26" s="42">
        <v>107284.3</v>
      </c>
      <c r="J26" s="43">
        <v>289290</v>
      </c>
      <c r="K26" s="42">
        <f t="shared" ref="K26:K29" si="1">E26+F26+H26+I26+J26</f>
        <v>524056.2</v>
      </c>
      <c r="L26" s="45">
        <v>225517.10000000003</v>
      </c>
      <c r="M26" s="42">
        <v>23790.1</v>
      </c>
      <c r="N26" s="55">
        <f t="shared" ref="N26:N28" si="2">+K26-L26-M26</f>
        <v>274749</v>
      </c>
      <c r="O26" s="43"/>
      <c r="P26" s="47">
        <v>8530.4</v>
      </c>
      <c r="Q26" s="42">
        <v>686553.7</v>
      </c>
      <c r="R26" s="74">
        <v>2469.1999999999998</v>
      </c>
      <c r="S26" s="42">
        <f t="shared" ref="S26" si="3">SUM(P26:R26)</f>
        <v>697553.29999999993</v>
      </c>
      <c r="T26" s="46"/>
      <c r="U26" s="47">
        <f t="shared" ref="U26:U29" si="4">SUM(N26,S26)</f>
        <v>972302.29999999993</v>
      </c>
      <c r="V26" s="42">
        <f t="shared" ref="V26:V29" si="5">SUM(D26,U26)</f>
        <v>1202058.3999999999</v>
      </c>
      <c r="Z26" s="49"/>
    </row>
    <row r="27" spans="1:26" s="48" customFormat="1" ht="19.5" x14ac:dyDescent="0.35">
      <c r="A27" s="58" t="s">
        <v>135</v>
      </c>
      <c r="B27" s="81">
        <f>501214.7-372538.8</f>
        <v>128675.90000000002</v>
      </c>
      <c r="C27" s="40">
        <v>51849.4</v>
      </c>
      <c r="D27" s="42">
        <f t="shared" si="0"/>
        <v>180525.30000000002</v>
      </c>
      <c r="E27" s="79">
        <v>55186.9</v>
      </c>
      <c r="F27" s="81">
        <f>87718.9+59983.8</f>
        <v>147702.70000000001</v>
      </c>
      <c r="G27" s="42"/>
      <c r="H27" s="40">
        <f>14527.8+34633.2</f>
        <v>49161</v>
      </c>
      <c r="I27" s="42">
        <v>106976.2</v>
      </c>
      <c r="J27" s="43">
        <v>285900.5</v>
      </c>
      <c r="K27" s="42">
        <f t="shared" si="1"/>
        <v>644927.30000000005</v>
      </c>
      <c r="L27" s="45">
        <v>237225.9</v>
      </c>
      <c r="M27" s="42">
        <v>23004.400000000001</v>
      </c>
      <c r="N27" s="55">
        <f t="shared" si="2"/>
        <v>384697</v>
      </c>
      <c r="O27" s="43"/>
      <c r="P27" s="40">
        <f>10772.6+67.9</f>
        <v>10840.5</v>
      </c>
      <c r="Q27" s="81">
        <f>670650.7+64092.4+143.9+2000</f>
        <v>736887</v>
      </c>
      <c r="R27" s="74">
        <v>3449.3</v>
      </c>
      <c r="S27" s="42">
        <f t="shared" ref="S27" si="6">SUM(P27:R27)</f>
        <v>751176.8</v>
      </c>
      <c r="T27" s="46"/>
      <c r="U27" s="47">
        <f t="shared" si="4"/>
        <v>1135873.8</v>
      </c>
      <c r="V27" s="42">
        <f t="shared" si="5"/>
        <v>1316399.1000000001</v>
      </c>
      <c r="Z27" s="49"/>
    </row>
    <row r="28" spans="1:26" s="48" customFormat="1" ht="19.5" x14ac:dyDescent="0.35">
      <c r="A28" s="58" t="s">
        <v>152</v>
      </c>
      <c r="B28" s="79">
        <f>221829.6-354815.2</f>
        <v>-132985.60000000001</v>
      </c>
      <c r="C28" s="79">
        <f>206869.5-150034</f>
        <v>56835.5</v>
      </c>
      <c r="D28" s="42">
        <f t="shared" si="0"/>
        <v>-76150.100000000006</v>
      </c>
      <c r="E28" s="79">
        <v>273246</v>
      </c>
      <c r="F28" s="79">
        <f>175202.1+78586</f>
        <v>253788.1</v>
      </c>
      <c r="G28" s="79"/>
      <c r="H28" s="79">
        <f>14621.9+35319.3</f>
        <v>49941.200000000004</v>
      </c>
      <c r="I28" s="79">
        <v>90564.7</v>
      </c>
      <c r="J28" s="79">
        <v>277913.90000000002</v>
      </c>
      <c r="K28" s="79">
        <f t="shared" si="1"/>
        <v>945453.89999999991</v>
      </c>
      <c r="L28" s="79">
        <v>230592.8</v>
      </c>
      <c r="M28" s="42">
        <v>26313.599999999999</v>
      </c>
      <c r="N28" s="55">
        <f t="shared" si="2"/>
        <v>688547.49999999988</v>
      </c>
      <c r="O28" s="43"/>
      <c r="P28" s="40">
        <f>6400.1+132</f>
        <v>6532.1</v>
      </c>
      <c r="Q28" s="55">
        <f>673344.4+36700.1+143.9+2000</f>
        <v>712188.4</v>
      </c>
      <c r="R28" s="74">
        <v>27.1</v>
      </c>
      <c r="S28" s="42">
        <f t="shared" ref="S28" si="7">SUM(P28:R28)</f>
        <v>718747.6</v>
      </c>
      <c r="T28" s="46"/>
      <c r="U28" s="47">
        <f t="shared" si="4"/>
        <v>1407295.0999999999</v>
      </c>
      <c r="V28" s="42">
        <f t="shared" si="5"/>
        <v>1331144.9999999998</v>
      </c>
      <c r="Z28" s="49"/>
    </row>
    <row r="29" spans="1:26" s="100" customFormat="1" ht="19.5" x14ac:dyDescent="0.35">
      <c r="A29" s="63" t="s">
        <v>176</v>
      </c>
      <c r="B29" s="106">
        <f>166434.7-328508.5</f>
        <v>-162073.79999999999</v>
      </c>
      <c r="C29" s="107">
        <f>125486.1-139935.4</f>
        <v>-14449.299999999988</v>
      </c>
      <c r="D29" s="95">
        <f t="shared" si="0"/>
        <v>-176523.09999999998</v>
      </c>
      <c r="E29" s="106">
        <v>134973.1</v>
      </c>
      <c r="F29" s="106">
        <f>314364.2+123715.4</f>
        <v>438079.6</v>
      </c>
      <c r="G29" s="106"/>
      <c r="H29" s="106">
        <f>22418.9+16843.8</f>
        <v>39262.699999999997</v>
      </c>
      <c r="I29" s="106">
        <v>73845.100000000006</v>
      </c>
      <c r="J29" s="107">
        <v>543481.59999999998</v>
      </c>
      <c r="K29" s="106">
        <f t="shared" si="1"/>
        <v>1229642.0999999999</v>
      </c>
      <c r="L29" s="108">
        <v>288936.2</v>
      </c>
      <c r="M29" s="95">
        <v>30394.799999999999</v>
      </c>
      <c r="N29" s="102">
        <f>+K29-L29-M29</f>
        <v>910311.09999999986</v>
      </c>
      <c r="O29" s="96"/>
      <c r="P29" s="94">
        <f>7041.4+132</f>
        <v>7173.4</v>
      </c>
      <c r="Q29" s="102">
        <f>680726.4+42960.2+2143.9</f>
        <v>725830.5</v>
      </c>
      <c r="R29" s="105">
        <v>57.6</v>
      </c>
      <c r="S29" s="95">
        <f t="shared" ref="S29" si="8">SUM(P29:R29)</f>
        <v>733061.5</v>
      </c>
      <c r="T29" s="98"/>
      <c r="U29" s="96">
        <f t="shared" si="4"/>
        <v>1643372.5999999999</v>
      </c>
      <c r="V29" s="95">
        <f t="shared" si="5"/>
        <v>1466849.5</v>
      </c>
      <c r="Z29" s="101"/>
    </row>
    <row r="30" spans="1:26" s="100" customFormat="1" ht="19.5" x14ac:dyDescent="0.35">
      <c r="A30" s="104"/>
      <c r="B30" s="106"/>
      <c r="C30" s="107"/>
      <c r="D30" s="95"/>
      <c r="E30" s="106"/>
      <c r="F30" s="106"/>
      <c r="G30" s="106"/>
      <c r="H30" s="107"/>
      <c r="I30" s="106"/>
      <c r="J30" s="107"/>
      <c r="K30" s="106"/>
      <c r="L30" s="108"/>
      <c r="M30" s="95"/>
      <c r="N30" s="102"/>
      <c r="O30" s="96"/>
      <c r="P30" s="94"/>
      <c r="Q30" s="102"/>
      <c r="R30" s="105"/>
      <c r="S30" s="95"/>
      <c r="T30" s="98"/>
      <c r="U30" s="99"/>
      <c r="V30" s="95"/>
      <c r="Z30" s="101"/>
    </row>
    <row r="31" spans="1:26" s="48" customFormat="1" ht="19.5" hidden="1" x14ac:dyDescent="0.35">
      <c r="A31" s="57"/>
      <c r="B31" s="42"/>
      <c r="C31" s="43"/>
      <c r="D31" s="42"/>
      <c r="E31" s="42"/>
      <c r="F31" s="42"/>
      <c r="G31" s="42"/>
      <c r="H31" s="43"/>
      <c r="I31" s="42"/>
      <c r="J31" s="43"/>
      <c r="K31" s="55"/>
      <c r="L31" s="45"/>
      <c r="M31" s="42"/>
      <c r="N31" s="55"/>
      <c r="O31" s="43"/>
      <c r="P31" s="47"/>
      <c r="Q31" s="42"/>
      <c r="R31" s="74"/>
      <c r="S31" s="42"/>
      <c r="T31" s="46"/>
      <c r="U31" s="47"/>
      <c r="V31" s="42"/>
      <c r="Z31" s="49"/>
    </row>
    <row r="32" spans="1:26" s="48" customFormat="1" ht="19.5" hidden="1" x14ac:dyDescent="0.35">
      <c r="A32" s="56" t="s">
        <v>137</v>
      </c>
      <c r="B32" s="42">
        <v>55414.5</v>
      </c>
      <c r="C32" s="43">
        <v>105595.80000000003</v>
      </c>
      <c r="D32" s="42">
        <v>161010.30000000005</v>
      </c>
      <c r="E32" s="42">
        <v>51763.199999999997</v>
      </c>
      <c r="F32" s="42">
        <v>38166.800000000003</v>
      </c>
      <c r="G32" s="42" t="s">
        <v>28</v>
      </c>
      <c r="H32" s="43">
        <v>13864</v>
      </c>
      <c r="I32" s="42">
        <v>108925</v>
      </c>
      <c r="J32" s="43">
        <v>138968.29999999999</v>
      </c>
      <c r="K32" s="55">
        <v>351687.3</v>
      </c>
      <c r="L32" s="45">
        <v>132634</v>
      </c>
      <c r="M32" s="42">
        <v>15255.2</v>
      </c>
      <c r="N32" s="55">
        <v>203798.09999999998</v>
      </c>
      <c r="O32" s="43"/>
      <c r="P32" s="47">
        <v>11966.099999999999</v>
      </c>
      <c r="Q32" s="42">
        <v>635980.39999999991</v>
      </c>
      <c r="R32" s="74">
        <v>1059.5</v>
      </c>
      <c r="S32" s="42">
        <v>649005.99999999988</v>
      </c>
      <c r="T32" s="46"/>
      <c r="U32" s="47">
        <v>852804.09999999986</v>
      </c>
      <c r="V32" s="42">
        <v>1013814.3999999999</v>
      </c>
      <c r="Z32" s="49"/>
    </row>
    <row r="33" spans="1:27" s="48" customFormat="1" ht="19.5" hidden="1" x14ac:dyDescent="0.35">
      <c r="A33" s="56" t="s">
        <v>142</v>
      </c>
      <c r="B33" s="42">
        <v>66928.900000000023</v>
      </c>
      <c r="C33" s="43">
        <v>129708.8</v>
      </c>
      <c r="D33" s="42">
        <v>196637.7</v>
      </c>
      <c r="E33" s="42">
        <v>155251.9</v>
      </c>
      <c r="F33" s="42">
        <v>49024.3</v>
      </c>
      <c r="G33" s="42"/>
      <c r="H33" s="43">
        <v>17969.599999999999</v>
      </c>
      <c r="I33" s="42">
        <v>117037.4</v>
      </c>
      <c r="J33" s="43">
        <v>137735.70000000001</v>
      </c>
      <c r="K33" s="55">
        <v>477018.9</v>
      </c>
      <c r="L33" s="45">
        <v>181665.4</v>
      </c>
      <c r="M33" s="42">
        <v>18296</v>
      </c>
      <c r="N33" s="55">
        <v>277057.5</v>
      </c>
      <c r="O33" s="43"/>
      <c r="P33" s="47">
        <v>6850.8</v>
      </c>
      <c r="Q33" s="42">
        <v>635119.89999999991</v>
      </c>
      <c r="R33" s="74">
        <v>1057.9000000000001</v>
      </c>
      <c r="S33" s="42">
        <v>643028.6</v>
      </c>
      <c r="T33" s="46"/>
      <c r="U33" s="47">
        <v>920086.1</v>
      </c>
      <c r="V33" s="42">
        <v>1116723.8</v>
      </c>
      <c r="Z33" s="49"/>
    </row>
    <row r="34" spans="1:27" s="48" customFormat="1" ht="19.5" hidden="1" x14ac:dyDescent="0.35">
      <c r="A34" s="103" t="s">
        <v>127</v>
      </c>
      <c r="B34" s="95">
        <v>48746.900000000081</v>
      </c>
      <c r="C34" s="96">
        <v>149107.00000000003</v>
      </c>
      <c r="D34" s="95">
        <v>197853.90000000011</v>
      </c>
      <c r="E34" s="106" t="s">
        <v>28</v>
      </c>
      <c r="F34" s="95">
        <v>47334.399999999994</v>
      </c>
      <c r="G34" s="95"/>
      <c r="H34" s="96">
        <v>18892.3</v>
      </c>
      <c r="I34" s="95">
        <v>112857.5</v>
      </c>
      <c r="J34" s="96">
        <v>292063.09999999998</v>
      </c>
      <c r="K34" s="95">
        <v>471147.3</v>
      </c>
      <c r="L34" s="97">
        <v>205321.7</v>
      </c>
      <c r="M34" s="95">
        <v>23122.7</v>
      </c>
      <c r="N34" s="102">
        <v>242702.89999999997</v>
      </c>
      <c r="O34" s="96"/>
      <c r="P34" s="99">
        <v>6457.5999999999995</v>
      </c>
      <c r="Q34" s="95">
        <v>670401.39999999991</v>
      </c>
      <c r="R34" s="105">
        <v>1398.1999999999998</v>
      </c>
      <c r="S34" s="95">
        <v>678257.19999999984</v>
      </c>
      <c r="T34" s="98"/>
      <c r="U34" s="99">
        <v>920960.09999999986</v>
      </c>
      <c r="V34" s="95">
        <v>1118814</v>
      </c>
      <c r="W34" s="100"/>
      <c r="X34" s="100"/>
      <c r="Y34" s="100"/>
      <c r="Z34" s="101"/>
      <c r="AA34" s="100"/>
    </row>
    <row r="35" spans="1:27" s="48" customFormat="1" ht="19.5" hidden="1" x14ac:dyDescent="0.35">
      <c r="A35" s="63" t="s">
        <v>157</v>
      </c>
      <c r="B35" s="42">
        <v>56965.400000000081</v>
      </c>
      <c r="C35" s="43">
        <v>101928.40000000002</v>
      </c>
      <c r="D35" s="42">
        <f t="shared" ref="D35:D37" si="9">SUM(B35,C35)</f>
        <v>158893.8000000001</v>
      </c>
      <c r="E35" s="79" t="s">
        <v>28</v>
      </c>
      <c r="F35" s="42">
        <v>70934.600000000006</v>
      </c>
      <c r="G35" s="42"/>
      <c r="H35" s="43">
        <f>17430.8+1294.8</f>
        <v>18725.599999999999</v>
      </c>
      <c r="I35" s="42">
        <v>108677.6</v>
      </c>
      <c r="J35" s="43">
        <v>291138.8</v>
      </c>
      <c r="K35" s="42">
        <f t="shared" ref="K35:K37" si="10">E35+F35+H35+I35+J35</f>
        <v>489476.6</v>
      </c>
      <c r="L35" s="45">
        <v>188250.90000000002</v>
      </c>
      <c r="M35" s="42">
        <v>15910.9</v>
      </c>
      <c r="N35" s="55">
        <f t="shared" ref="N35:N37" si="11">+K35-L35-M35</f>
        <v>285314.79999999993</v>
      </c>
      <c r="O35" s="43"/>
      <c r="P35" s="47">
        <v>6595.4</v>
      </c>
      <c r="Q35" s="42">
        <v>674805.79999999993</v>
      </c>
      <c r="R35" s="74">
        <v>1401.7</v>
      </c>
      <c r="S35" s="42">
        <f t="shared" ref="S35:S37" si="12">SUM(P35:R35)</f>
        <v>682802.89999999991</v>
      </c>
      <c r="T35" s="46"/>
      <c r="U35" s="47">
        <f t="shared" ref="U35:U37" si="13">SUM(N35,S35)</f>
        <v>968117.69999999984</v>
      </c>
      <c r="V35" s="42">
        <f t="shared" ref="V35:V37" si="14">SUM(D35,U35)</f>
        <v>1127011.5</v>
      </c>
      <c r="Z35" s="49"/>
    </row>
    <row r="36" spans="1:27" s="48" customFormat="1" ht="19.5" hidden="1" x14ac:dyDescent="0.35">
      <c r="A36" s="57" t="s">
        <v>138</v>
      </c>
      <c r="B36" s="42">
        <v>78410.79999999993</v>
      </c>
      <c r="C36" s="43">
        <v>86375.500000000015</v>
      </c>
      <c r="D36" s="42">
        <f t="shared" si="9"/>
        <v>164786.29999999993</v>
      </c>
      <c r="E36" s="79" t="s">
        <v>28</v>
      </c>
      <c r="F36" s="42">
        <v>104499.4</v>
      </c>
      <c r="G36" s="42"/>
      <c r="H36" s="43">
        <f>21844.2+582.5</f>
        <v>22426.7</v>
      </c>
      <c r="I36" s="42">
        <v>107284.3</v>
      </c>
      <c r="J36" s="43">
        <v>290214.40000000002</v>
      </c>
      <c r="K36" s="42">
        <f t="shared" si="10"/>
        <v>524424.80000000005</v>
      </c>
      <c r="L36" s="45">
        <v>211354.80000000002</v>
      </c>
      <c r="M36" s="42">
        <v>21460.2</v>
      </c>
      <c r="N36" s="55">
        <f t="shared" si="11"/>
        <v>291609.8</v>
      </c>
      <c r="O36" s="43"/>
      <c r="P36" s="47">
        <v>10420.499999999998</v>
      </c>
      <c r="Q36" s="42">
        <v>705150.29999999981</v>
      </c>
      <c r="R36" s="74">
        <v>2197.5</v>
      </c>
      <c r="S36" s="42">
        <f t="shared" si="12"/>
        <v>717768.29999999981</v>
      </c>
      <c r="T36" s="46"/>
      <c r="U36" s="47">
        <f t="shared" si="13"/>
        <v>1009378.0999999999</v>
      </c>
      <c r="V36" s="42">
        <f t="shared" si="14"/>
        <v>1174164.3999999999</v>
      </c>
      <c r="Z36" s="49"/>
    </row>
    <row r="37" spans="1:27" s="48" customFormat="1" ht="19.5" hidden="1" x14ac:dyDescent="0.35">
      <c r="A37" s="57" t="s">
        <v>141</v>
      </c>
      <c r="B37" s="42">
        <v>118133.79999999999</v>
      </c>
      <c r="C37" s="43">
        <v>111622.29999999997</v>
      </c>
      <c r="D37" s="42">
        <f t="shared" si="9"/>
        <v>229756.09999999998</v>
      </c>
      <c r="E37" s="79" t="s">
        <v>28</v>
      </c>
      <c r="F37" s="42">
        <v>109019.90000000001</v>
      </c>
      <c r="G37" s="42"/>
      <c r="H37" s="43">
        <f>17922.9+539.1</f>
        <v>18462</v>
      </c>
      <c r="I37" s="42">
        <v>107284.3</v>
      </c>
      <c r="J37" s="43">
        <v>289290</v>
      </c>
      <c r="K37" s="42">
        <f t="shared" si="10"/>
        <v>524056.2</v>
      </c>
      <c r="L37" s="45">
        <v>225517.10000000003</v>
      </c>
      <c r="M37" s="42">
        <v>23790.1</v>
      </c>
      <c r="N37" s="55">
        <f t="shared" si="11"/>
        <v>274749</v>
      </c>
      <c r="O37" s="43"/>
      <c r="P37" s="47">
        <v>8530.4</v>
      </c>
      <c r="Q37" s="42">
        <v>686553.7</v>
      </c>
      <c r="R37" s="74">
        <v>2469.1999999999998</v>
      </c>
      <c r="S37" s="42">
        <f t="shared" si="12"/>
        <v>697553.29999999993</v>
      </c>
      <c r="T37" s="46"/>
      <c r="U37" s="47">
        <f t="shared" si="13"/>
        <v>972302.29999999993</v>
      </c>
      <c r="V37" s="42">
        <f t="shared" si="14"/>
        <v>1202058.3999999999</v>
      </c>
      <c r="Z37" s="49"/>
    </row>
    <row r="38" spans="1:27" s="48" customFormat="1" ht="19.5" hidden="1" x14ac:dyDescent="0.35">
      <c r="A38" s="63"/>
      <c r="B38" s="42"/>
      <c r="C38" s="43"/>
      <c r="D38" s="42"/>
      <c r="E38" s="79"/>
      <c r="F38" s="42"/>
      <c r="G38" s="42"/>
      <c r="H38" s="43"/>
      <c r="I38" s="42"/>
      <c r="J38" s="43"/>
      <c r="K38" s="42"/>
      <c r="L38" s="45"/>
      <c r="M38" s="42"/>
      <c r="N38" s="55"/>
      <c r="O38" s="43"/>
      <c r="P38" s="47"/>
      <c r="Q38" s="42"/>
      <c r="R38" s="74"/>
      <c r="S38" s="42"/>
      <c r="T38" s="46"/>
      <c r="U38" s="47"/>
      <c r="V38" s="42"/>
      <c r="Z38" s="49"/>
    </row>
    <row r="39" spans="1:27" s="48" customFormat="1" ht="19.5" x14ac:dyDescent="0.35">
      <c r="A39" s="56" t="s">
        <v>121</v>
      </c>
      <c r="B39" s="81">
        <f>491562.9-396544.3</f>
        <v>95018.600000000035</v>
      </c>
      <c r="C39" s="40">
        <f>216698.3-100768.8</f>
        <v>115929.49999999999</v>
      </c>
      <c r="D39" s="42">
        <f t="shared" ref="D39:D42" si="15">SUM(B39,C39)</f>
        <v>210948.10000000003</v>
      </c>
      <c r="E39" s="79">
        <v>8513</v>
      </c>
      <c r="F39" s="81">
        <f>76771.9+32000</f>
        <v>108771.9</v>
      </c>
      <c r="G39" s="42"/>
      <c r="H39" s="40">
        <f>12016.1+1314.8</f>
        <v>13330.9</v>
      </c>
      <c r="I39" s="42">
        <v>107284.3</v>
      </c>
      <c r="J39" s="43">
        <v>288673.7</v>
      </c>
      <c r="K39" s="42">
        <f t="shared" ref="K39:K42" si="16">E39+F39+H39+I39+J39</f>
        <v>526573.80000000005</v>
      </c>
      <c r="L39" s="45">
        <v>225063.2</v>
      </c>
      <c r="M39" s="42">
        <v>17505</v>
      </c>
      <c r="N39" s="55">
        <f t="shared" ref="N39:N42" si="17">+K39-L39-M39</f>
        <v>284005.60000000003</v>
      </c>
      <c r="O39" s="43"/>
      <c r="P39" s="40">
        <f>7159.2+61.8</f>
        <v>7221</v>
      </c>
      <c r="Q39" s="81">
        <f>620839.1+60122.5+143.8+1914.8</f>
        <v>683020.20000000007</v>
      </c>
      <c r="R39" s="74">
        <v>3128.7</v>
      </c>
      <c r="S39" s="42">
        <f t="shared" ref="S39" si="18">SUM(P39:R39)</f>
        <v>693369.9</v>
      </c>
      <c r="T39" s="46"/>
      <c r="U39" s="47">
        <f t="shared" ref="U39:U42" si="19">SUM(N39,S39)</f>
        <v>977375.5</v>
      </c>
      <c r="V39" s="42">
        <f t="shared" ref="V39:V42" si="20">SUM(D39,U39)</f>
        <v>1188323.6000000001</v>
      </c>
      <c r="Z39" s="49"/>
    </row>
    <row r="40" spans="1:27" s="48" customFormat="1" ht="19.5" x14ac:dyDescent="0.35">
      <c r="A40" s="63" t="s">
        <v>122</v>
      </c>
      <c r="B40" s="81">
        <f>486604.3-397532.8</f>
        <v>89071.5</v>
      </c>
      <c r="C40" s="40">
        <f>198408.8-102707.5</f>
        <v>95701.299999999988</v>
      </c>
      <c r="D40" s="42">
        <f t="shared" si="15"/>
        <v>184772.8</v>
      </c>
      <c r="E40" s="79">
        <v>39309.599999999999</v>
      </c>
      <c r="F40" s="81">
        <f>86709.1+47500</f>
        <v>134209.1</v>
      </c>
      <c r="G40" s="42"/>
      <c r="H40" s="40">
        <f>17808.9+1296.6</f>
        <v>19105.5</v>
      </c>
      <c r="I40" s="42">
        <v>107284.3</v>
      </c>
      <c r="J40" s="43">
        <v>287441.2</v>
      </c>
      <c r="K40" s="42">
        <f t="shared" si="16"/>
        <v>587349.69999999995</v>
      </c>
      <c r="L40" s="45">
        <v>209698.2</v>
      </c>
      <c r="M40" s="42">
        <v>17287.8</v>
      </c>
      <c r="N40" s="55">
        <f t="shared" si="17"/>
        <v>360363.69999999995</v>
      </c>
      <c r="O40" s="43"/>
      <c r="P40" s="40">
        <f>12611.8+67.9</f>
        <v>12679.699999999999</v>
      </c>
      <c r="Q40" s="81">
        <f>639717.9+61415+143.9+1914.8</f>
        <v>703191.60000000009</v>
      </c>
      <c r="R40" s="74">
        <v>3154.2</v>
      </c>
      <c r="S40" s="42">
        <f t="shared" ref="S40" si="21">SUM(P40:R40)</f>
        <v>719025.5</v>
      </c>
      <c r="T40" s="46"/>
      <c r="U40" s="47">
        <f t="shared" si="19"/>
        <v>1079389.2</v>
      </c>
      <c r="V40" s="42">
        <f t="shared" si="20"/>
        <v>1264162</v>
      </c>
      <c r="Z40" s="49"/>
    </row>
    <row r="41" spans="1:27" s="48" customFormat="1" ht="19.5" x14ac:dyDescent="0.35">
      <c r="A41" s="63" t="s">
        <v>123</v>
      </c>
      <c r="B41" s="81">
        <f>524904.8-382067.5</f>
        <v>142837.30000000005</v>
      </c>
      <c r="C41" s="40">
        <f>193925-123903.5</f>
        <v>70021.5</v>
      </c>
      <c r="D41" s="42">
        <f t="shared" si="15"/>
        <v>212858.80000000005</v>
      </c>
      <c r="E41" s="79">
        <v>27300.1</v>
      </c>
      <c r="F41" s="81">
        <f>84044.4+67472</f>
        <v>151516.4</v>
      </c>
      <c r="G41" s="42"/>
      <c r="H41" s="40">
        <f>21366.1+1373.1</f>
        <v>22739.199999999997</v>
      </c>
      <c r="I41" s="42">
        <v>107284.3</v>
      </c>
      <c r="J41" s="43">
        <v>286825</v>
      </c>
      <c r="K41" s="42">
        <f t="shared" si="16"/>
        <v>595665</v>
      </c>
      <c r="L41" s="45">
        <v>277270.7</v>
      </c>
      <c r="M41" s="42">
        <v>25072.2</v>
      </c>
      <c r="N41" s="55">
        <f t="shared" si="17"/>
        <v>293322.09999999998</v>
      </c>
      <c r="O41" s="43"/>
      <c r="P41" s="40">
        <f>14338.2+67.9</f>
        <v>14406.1</v>
      </c>
      <c r="Q41" s="81">
        <f>651228.2+61692.9+743.9+2000</f>
        <v>715665</v>
      </c>
      <c r="R41" s="74">
        <v>3642.9</v>
      </c>
      <c r="S41" s="42">
        <f t="shared" ref="S41" si="22">SUM(P41:R41)</f>
        <v>733714</v>
      </c>
      <c r="T41" s="46"/>
      <c r="U41" s="47">
        <f t="shared" si="19"/>
        <v>1027036.1</v>
      </c>
      <c r="V41" s="42">
        <f t="shared" si="20"/>
        <v>1239894.8999999999</v>
      </c>
      <c r="Z41" s="49"/>
    </row>
    <row r="42" spans="1:27" s="48" customFormat="1" ht="19.5" x14ac:dyDescent="0.35">
      <c r="A42" s="63" t="s">
        <v>124</v>
      </c>
      <c r="B42" s="81">
        <f>501214.7-372538.8</f>
        <v>128675.90000000002</v>
      </c>
      <c r="C42" s="40">
        <v>51849.4</v>
      </c>
      <c r="D42" s="42">
        <f t="shared" si="15"/>
        <v>180525.30000000002</v>
      </c>
      <c r="E42" s="79">
        <v>55186.9</v>
      </c>
      <c r="F42" s="81">
        <f>87718.9+59983.8</f>
        <v>147702.70000000001</v>
      </c>
      <c r="G42" s="42"/>
      <c r="H42" s="40">
        <f>14527.8+34633.2</f>
        <v>49161</v>
      </c>
      <c r="I42" s="42">
        <v>106976.2</v>
      </c>
      <c r="J42" s="43">
        <v>285900.5</v>
      </c>
      <c r="K42" s="42">
        <f t="shared" si="16"/>
        <v>644927.30000000005</v>
      </c>
      <c r="L42" s="45">
        <v>237225.9</v>
      </c>
      <c r="M42" s="42">
        <v>23004.400000000001</v>
      </c>
      <c r="N42" s="55">
        <f t="shared" si="17"/>
        <v>384697</v>
      </c>
      <c r="O42" s="43"/>
      <c r="P42" s="40">
        <f>10772.6+67.9</f>
        <v>10840.5</v>
      </c>
      <c r="Q42" s="81">
        <f>670650.7+64092.4+143.9+2000</f>
        <v>736887</v>
      </c>
      <c r="R42" s="74">
        <v>3449.3</v>
      </c>
      <c r="S42" s="42">
        <f t="shared" ref="S42" si="23">SUM(P42:R42)</f>
        <v>751176.8</v>
      </c>
      <c r="T42" s="46"/>
      <c r="U42" s="47">
        <f t="shared" si="19"/>
        <v>1135873.8</v>
      </c>
      <c r="V42" s="42">
        <f t="shared" si="20"/>
        <v>1316399.1000000001</v>
      </c>
      <c r="Z42" s="49"/>
    </row>
    <row r="43" spans="1:27" s="48" customFormat="1" ht="19.5" x14ac:dyDescent="0.35">
      <c r="A43" s="63"/>
      <c r="B43" s="81"/>
      <c r="C43" s="40"/>
      <c r="D43" s="42"/>
      <c r="E43" s="79"/>
      <c r="F43" s="81"/>
      <c r="G43" s="42"/>
      <c r="H43" s="40"/>
      <c r="I43" s="42"/>
      <c r="J43" s="43"/>
      <c r="K43" s="42"/>
      <c r="L43" s="45"/>
      <c r="M43" s="42"/>
      <c r="N43" s="55"/>
      <c r="O43" s="43"/>
      <c r="P43" s="40"/>
      <c r="Q43" s="81"/>
      <c r="R43" s="74"/>
      <c r="S43" s="42"/>
      <c r="T43" s="46"/>
      <c r="U43" s="47"/>
      <c r="V43" s="42"/>
      <c r="Z43" s="49"/>
    </row>
    <row r="44" spans="1:27" s="48" customFormat="1" ht="19.5" x14ac:dyDescent="0.35">
      <c r="A44" s="56" t="s">
        <v>134</v>
      </c>
      <c r="B44" s="79">
        <f>472511-356984.6</f>
        <v>115526.40000000002</v>
      </c>
      <c r="C44" s="79">
        <f>191610-146245.4</f>
        <v>45364.600000000006</v>
      </c>
      <c r="D44" s="42">
        <f t="shared" ref="D44:D46" si="24">SUM(B44,C44)</f>
        <v>160891.00000000003</v>
      </c>
      <c r="E44" s="79">
        <v>23590.1</v>
      </c>
      <c r="F44" s="79">
        <f>96138+60514.5</f>
        <v>156652.5</v>
      </c>
      <c r="G44" s="79"/>
      <c r="H44" s="79">
        <f>14327.6+37342.1</f>
        <v>51669.7</v>
      </c>
      <c r="I44" s="79">
        <v>104166</v>
      </c>
      <c r="J44" s="79">
        <v>284644.40000000002</v>
      </c>
      <c r="K44" s="79">
        <f t="shared" ref="K44:K46" si="25">E44+F44+H44+I44+J44</f>
        <v>620722.69999999995</v>
      </c>
      <c r="L44" s="79">
        <v>245717.2</v>
      </c>
      <c r="M44" s="42">
        <v>29000.6</v>
      </c>
      <c r="N44" s="55">
        <f t="shared" ref="N44:N46" si="26">+K44-L44-M44</f>
        <v>346004.89999999997</v>
      </c>
      <c r="O44" s="43"/>
      <c r="P44" s="40">
        <f>7825+67.9</f>
        <v>7892.9</v>
      </c>
      <c r="Q44" s="55">
        <f>667897.4+61346+143.9+2000</f>
        <v>731387.3</v>
      </c>
      <c r="R44" s="74">
        <v>3910.9</v>
      </c>
      <c r="S44" s="42">
        <f t="shared" ref="S44" si="27">SUM(P44:R44)</f>
        <v>743191.10000000009</v>
      </c>
      <c r="T44" s="46"/>
      <c r="U44" s="47">
        <f t="shared" ref="U44:U46" si="28">SUM(N44,S44)</f>
        <v>1089196</v>
      </c>
      <c r="V44" s="42">
        <f t="shared" ref="V44:V46" si="29">SUM(D44,U44)</f>
        <v>1250087</v>
      </c>
      <c r="Z44" s="49"/>
    </row>
    <row r="45" spans="1:27" s="48" customFormat="1" ht="19.5" x14ac:dyDescent="0.35">
      <c r="A45" s="63" t="s">
        <v>145</v>
      </c>
      <c r="B45" s="79">
        <f>373217.2-361289.7</f>
        <v>11927.5</v>
      </c>
      <c r="C45" s="79">
        <f>192773.6-139562.5</f>
        <v>53211.100000000006</v>
      </c>
      <c r="D45" s="42">
        <f t="shared" si="24"/>
        <v>65138.600000000006</v>
      </c>
      <c r="E45" s="79">
        <v>121700.8</v>
      </c>
      <c r="F45" s="79">
        <f>105680.9+61075.3</f>
        <v>166756.20000000001</v>
      </c>
      <c r="G45" s="79"/>
      <c r="H45" s="79">
        <f>15842.4+32993.1</f>
        <v>48835.5</v>
      </c>
      <c r="I45" s="79">
        <v>100317.8</v>
      </c>
      <c r="J45" s="79">
        <v>282393.09999999998</v>
      </c>
      <c r="K45" s="79">
        <f t="shared" si="25"/>
        <v>720003.39999999991</v>
      </c>
      <c r="L45" s="79">
        <v>227811.20000000001</v>
      </c>
      <c r="M45" s="42">
        <v>26258.9</v>
      </c>
      <c r="N45" s="55">
        <f t="shared" si="26"/>
        <v>465933.29999999987</v>
      </c>
      <c r="O45" s="43"/>
      <c r="P45" s="40">
        <f>9560.5+67.9</f>
        <v>9628.4</v>
      </c>
      <c r="Q45" s="55">
        <f>692198.6+62519.6+143.9+2000</f>
        <v>756862.1</v>
      </c>
      <c r="R45" s="74">
        <v>3822.2</v>
      </c>
      <c r="S45" s="42">
        <f t="shared" ref="S45" si="30">SUM(P45:R45)</f>
        <v>770312.7</v>
      </c>
      <c r="T45" s="46"/>
      <c r="U45" s="47">
        <f t="shared" si="28"/>
        <v>1236245.9999999998</v>
      </c>
      <c r="V45" s="42">
        <f t="shared" si="29"/>
        <v>1301384.5999999999</v>
      </c>
      <c r="Z45" s="49"/>
    </row>
    <row r="46" spans="1:27" s="48" customFormat="1" ht="19.5" x14ac:dyDescent="0.35">
      <c r="A46" s="63" t="s">
        <v>148</v>
      </c>
      <c r="B46" s="79">
        <f>274254.7-351304.8</f>
        <v>-77050.099999999977</v>
      </c>
      <c r="C46" s="79">
        <f>179072.1-135266.6</f>
        <v>43805.5</v>
      </c>
      <c r="D46" s="42">
        <f t="shared" si="24"/>
        <v>-33244.599999999977</v>
      </c>
      <c r="E46" s="79">
        <v>201450.1</v>
      </c>
      <c r="F46" s="79">
        <f>118944.2+58157.4</f>
        <v>177101.6</v>
      </c>
      <c r="G46" s="79"/>
      <c r="H46" s="79">
        <f>16617.4+33329.9</f>
        <v>49947.3</v>
      </c>
      <c r="I46" s="79">
        <v>96137.9</v>
      </c>
      <c r="J46" s="79">
        <v>280473.5</v>
      </c>
      <c r="K46" s="79">
        <f t="shared" si="25"/>
        <v>805110.4</v>
      </c>
      <c r="L46" s="79">
        <v>207695.2</v>
      </c>
      <c r="M46" s="42">
        <v>29497.3</v>
      </c>
      <c r="N46" s="55">
        <f t="shared" si="26"/>
        <v>567917.89999999991</v>
      </c>
      <c r="O46" s="43"/>
      <c r="P46" s="40">
        <f>14833.4+132</f>
        <v>14965.4</v>
      </c>
      <c r="Q46" s="55">
        <f>687643.2+69277.8+143.9+2000</f>
        <v>759064.9</v>
      </c>
      <c r="R46" s="74">
        <v>3755.9</v>
      </c>
      <c r="S46" s="42">
        <f t="shared" ref="S46" si="31">SUM(P46:R46)</f>
        <v>777786.20000000007</v>
      </c>
      <c r="T46" s="46"/>
      <c r="U46" s="47">
        <f t="shared" si="28"/>
        <v>1345704.1</v>
      </c>
      <c r="V46" s="42">
        <f t="shared" si="29"/>
        <v>1312459.5</v>
      </c>
      <c r="Z46" s="49"/>
    </row>
    <row r="47" spans="1:27" s="48" customFormat="1" ht="19.5" x14ac:dyDescent="0.35">
      <c r="A47" s="63" t="s">
        <v>151</v>
      </c>
      <c r="B47" s="79">
        <f>221829.6-354815.2</f>
        <v>-132985.60000000001</v>
      </c>
      <c r="C47" s="79">
        <f>206869.5-150034</f>
        <v>56835.5</v>
      </c>
      <c r="D47" s="42">
        <f t="shared" ref="D47" si="32">SUM(B47,C47)</f>
        <v>-76150.100000000006</v>
      </c>
      <c r="E47" s="79">
        <v>273246</v>
      </c>
      <c r="F47" s="79">
        <f>175202.1+78586</f>
        <v>253788.1</v>
      </c>
      <c r="G47" s="79"/>
      <c r="H47" s="79">
        <f>14621.9+35319.3</f>
        <v>49941.200000000004</v>
      </c>
      <c r="I47" s="79">
        <v>90564.7</v>
      </c>
      <c r="J47" s="79">
        <v>277913.90000000002</v>
      </c>
      <c r="K47" s="79">
        <f t="shared" ref="K47" si="33">E47+F47+H47+I47+J47</f>
        <v>945453.89999999991</v>
      </c>
      <c r="L47" s="79">
        <v>230592.8</v>
      </c>
      <c r="M47" s="42">
        <v>26313.599999999999</v>
      </c>
      <c r="N47" s="55">
        <f t="shared" ref="N47" si="34">+K47-L47-M47</f>
        <v>688547.49999999988</v>
      </c>
      <c r="O47" s="43"/>
      <c r="P47" s="40">
        <f>6400.1+132</f>
        <v>6532.1</v>
      </c>
      <c r="Q47" s="55">
        <f>673344.4+36700.1+143.9+2000</f>
        <v>712188.4</v>
      </c>
      <c r="R47" s="74">
        <v>27.1</v>
      </c>
      <c r="S47" s="42">
        <f t="shared" ref="S47" si="35">SUM(P47:R47)</f>
        <v>718747.6</v>
      </c>
      <c r="T47" s="46"/>
      <c r="U47" s="47">
        <f t="shared" ref="U47" si="36">SUM(N47,S47)</f>
        <v>1407295.0999999999</v>
      </c>
      <c r="V47" s="42">
        <f t="shared" ref="V47" si="37">SUM(D47,U47)</f>
        <v>1331144.9999999998</v>
      </c>
      <c r="Z47" s="49"/>
    </row>
    <row r="48" spans="1:27" s="48" customFormat="1" ht="19.5" x14ac:dyDescent="0.35">
      <c r="A48" s="63"/>
      <c r="B48" s="79"/>
      <c r="C48" s="79"/>
      <c r="D48" s="42"/>
      <c r="E48" s="79"/>
      <c r="F48" s="79"/>
      <c r="G48" s="79"/>
      <c r="H48" s="79"/>
      <c r="I48" s="79"/>
      <c r="J48" s="79"/>
      <c r="K48" s="79"/>
      <c r="L48" s="79"/>
      <c r="M48" s="42"/>
      <c r="N48" s="55"/>
      <c r="O48" s="43"/>
      <c r="P48" s="40"/>
      <c r="Q48" s="55"/>
      <c r="R48" s="74"/>
      <c r="S48" s="42"/>
      <c r="T48" s="46"/>
      <c r="U48" s="47"/>
      <c r="V48" s="42"/>
      <c r="Z48" s="49"/>
    </row>
    <row r="49" spans="1:27" s="100" customFormat="1" ht="19.5" x14ac:dyDescent="0.35">
      <c r="A49" s="63" t="s">
        <v>164</v>
      </c>
      <c r="B49" s="106">
        <v>-194954</v>
      </c>
      <c r="C49" s="106">
        <v>33930.200000000012</v>
      </c>
      <c r="D49" s="95">
        <v>-161023.79999999999</v>
      </c>
      <c r="E49" s="106">
        <v>273246</v>
      </c>
      <c r="F49" s="106">
        <v>296894.8</v>
      </c>
      <c r="G49" s="106"/>
      <c r="H49" s="106">
        <v>49274.400000000001</v>
      </c>
      <c r="I49" s="106">
        <v>86384.8</v>
      </c>
      <c r="J49" s="106">
        <v>275994.3</v>
      </c>
      <c r="K49" s="106">
        <v>981794.3</v>
      </c>
      <c r="L49" s="106">
        <v>229725.3</v>
      </c>
      <c r="M49" s="95">
        <v>25784.1</v>
      </c>
      <c r="N49" s="102">
        <v>726284.9</v>
      </c>
      <c r="O49" s="96"/>
      <c r="P49" s="94">
        <v>2767.5</v>
      </c>
      <c r="Q49" s="102">
        <v>722144.20000000007</v>
      </c>
      <c r="R49" s="105">
        <v>22.2</v>
      </c>
      <c r="S49" s="95">
        <v>724933.9</v>
      </c>
      <c r="T49" s="98"/>
      <c r="U49" s="99">
        <v>1451218.8</v>
      </c>
      <c r="V49" s="95">
        <v>1290195</v>
      </c>
      <c r="Z49" s="101"/>
    </row>
    <row r="50" spans="1:27" s="100" customFormat="1" ht="19.5" x14ac:dyDescent="0.35">
      <c r="A50" s="63" t="s">
        <v>122</v>
      </c>
      <c r="B50" s="106">
        <f>165835.4-351838.8</f>
        <v>-186003.4</v>
      </c>
      <c r="C50" s="107">
        <f>163223.7-143107</f>
        <v>20116.700000000012</v>
      </c>
      <c r="D50" s="95">
        <f t="shared" ref="D50" si="38">SUM(B50,C50)</f>
        <v>-165886.69999999998</v>
      </c>
      <c r="E50" s="106">
        <v>292750.7</v>
      </c>
      <c r="F50" s="106">
        <f>267467.3+81275.6</f>
        <v>348742.9</v>
      </c>
      <c r="G50" s="106"/>
      <c r="H50" s="106">
        <f>16843.8+36105</f>
        <v>52948.800000000003</v>
      </c>
      <c r="I50" s="106">
        <v>83598.2</v>
      </c>
      <c r="J50" s="107">
        <v>274074.7</v>
      </c>
      <c r="K50" s="106">
        <f t="shared" ref="K50" si="39">E50+F50+H50+I50+J50</f>
        <v>1052115.3</v>
      </c>
      <c r="L50" s="108">
        <v>219194.7</v>
      </c>
      <c r="M50" s="95">
        <v>41471.800000000003</v>
      </c>
      <c r="N50" s="102">
        <f t="shared" ref="N50" si="40">+K50-L50-M50</f>
        <v>791448.8</v>
      </c>
      <c r="O50" s="96"/>
      <c r="P50" s="94">
        <f>6295+132</f>
        <v>6427</v>
      </c>
      <c r="Q50" s="102">
        <f>691049.7+39825.7+143.9+2000</f>
        <v>733019.29999999993</v>
      </c>
      <c r="R50" s="105">
        <v>59.2</v>
      </c>
      <c r="S50" s="95">
        <f t="shared" ref="S50" si="41">SUM(P50:R50)</f>
        <v>739505.49999999988</v>
      </c>
      <c r="T50" s="98"/>
      <c r="U50" s="99">
        <f t="shared" ref="U50" si="42">SUM(N50,S50)</f>
        <v>1530954.2999999998</v>
      </c>
      <c r="V50" s="95">
        <f t="shared" ref="V50" si="43">SUM(D50,U50)</f>
        <v>1365067.5999999999</v>
      </c>
      <c r="Z50" s="101"/>
    </row>
    <row r="51" spans="1:27" s="48" customFormat="1" ht="18" hidden="1" customHeight="1" x14ac:dyDescent="0.35">
      <c r="A51" s="56" t="s">
        <v>40</v>
      </c>
      <c r="B51" s="42">
        <v>71000.099999999977</v>
      </c>
      <c r="C51" s="43">
        <v>72524.799999999988</v>
      </c>
      <c r="D51" s="42">
        <f t="shared" ref="D51:D83" si="44">SUM(B51,C51)</f>
        <v>143524.89999999997</v>
      </c>
      <c r="E51" s="42">
        <v>158139.70000000001</v>
      </c>
      <c r="F51" s="42">
        <v>40422.300000000003</v>
      </c>
      <c r="G51" s="42" t="s">
        <v>28</v>
      </c>
      <c r="H51" s="43">
        <v>5365.5</v>
      </c>
      <c r="I51" s="79" t="s">
        <v>28</v>
      </c>
      <c r="J51" s="79" t="s">
        <v>28</v>
      </c>
      <c r="K51" s="42">
        <f t="shared" ref="K51:K119" si="45">E51+F51+H51+I51+J51</f>
        <v>203927.5</v>
      </c>
      <c r="L51" s="45">
        <v>80610.600000000006</v>
      </c>
      <c r="M51" s="42">
        <v>9941.8999999999978</v>
      </c>
      <c r="N51" s="55">
        <f t="shared" ref="N51:N119" si="46">+K51-L51-M51</f>
        <v>113375</v>
      </c>
      <c r="O51" s="43"/>
      <c r="P51" s="47">
        <v>9503.2000000000007</v>
      </c>
      <c r="Q51" s="42">
        <v>218676.50000000003</v>
      </c>
      <c r="R51" s="74">
        <v>77.900000000000006</v>
      </c>
      <c r="S51" s="42">
        <f t="shared" ref="S51:S119" si="47">SUM(P51:R51)</f>
        <v>228257.60000000003</v>
      </c>
      <c r="T51" s="46"/>
      <c r="U51" s="47">
        <f t="shared" ref="U51:U119" si="48">SUM(N51,S51)</f>
        <v>341632.60000000003</v>
      </c>
      <c r="V51" s="42">
        <f>SUM(D51,U51)</f>
        <v>485157.5</v>
      </c>
      <c r="Z51" s="49">
        <v>214.6</v>
      </c>
      <c r="AA51" s="48">
        <f>Z51+Y51</f>
        <v>214.6</v>
      </c>
    </row>
    <row r="52" spans="1:27" s="48" customFormat="1" ht="15.75" hidden="1" customHeight="1" x14ac:dyDescent="0.35">
      <c r="A52" s="56" t="s">
        <v>51</v>
      </c>
      <c r="B52" s="42">
        <v>62812.299999999988</v>
      </c>
      <c r="C52" s="43">
        <v>81461.900000000009</v>
      </c>
      <c r="D52" s="42">
        <f t="shared" si="44"/>
        <v>144274.20000000001</v>
      </c>
      <c r="E52" s="42">
        <v>163802</v>
      </c>
      <c r="F52" s="42">
        <v>45396.9</v>
      </c>
      <c r="G52" s="42" t="s">
        <v>28</v>
      </c>
      <c r="H52" s="43">
        <v>6283.7000000000007</v>
      </c>
      <c r="I52" s="79" t="s">
        <v>28</v>
      </c>
      <c r="J52" s="79" t="s">
        <v>28</v>
      </c>
      <c r="K52" s="42">
        <f t="shared" si="45"/>
        <v>215482.6</v>
      </c>
      <c r="L52" s="45">
        <v>76125.5</v>
      </c>
      <c r="M52" s="42">
        <v>9334.5</v>
      </c>
      <c r="N52" s="55">
        <f t="shared" si="46"/>
        <v>130022.6</v>
      </c>
      <c r="O52" s="43"/>
      <c r="P52" s="47">
        <v>9111.2000000000007</v>
      </c>
      <c r="Q52" s="42">
        <v>217278.00000000003</v>
      </c>
      <c r="R52" s="74">
        <v>106.1</v>
      </c>
      <c r="S52" s="42">
        <f t="shared" si="47"/>
        <v>226495.30000000005</v>
      </c>
      <c r="T52" s="46"/>
      <c r="U52" s="47">
        <f t="shared" si="48"/>
        <v>356517.9</v>
      </c>
      <c r="V52" s="42">
        <f t="shared" ref="V52:V120" si="49">SUM(D52,U52)</f>
        <v>500792.10000000003</v>
      </c>
      <c r="Z52" s="49">
        <v>214.6</v>
      </c>
      <c r="AA52" s="48">
        <f>Z52+Y52</f>
        <v>214.6</v>
      </c>
    </row>
    <row r="53" spans="1:27" s="48" customFormat="1" ht="15" hidden="1" customHeight="1" x14ac:dyDescent="0.35">
      <c r="A53" s="56" t="s">
        <v>41</v>
      </c>
      <c r="B53" s="42">
        <v>60403.499999999942</v>
      </c>
      <c r="C53" s="43">
        <v>88180.9</v>
      </c>
      <c r="D53" s="42">
        <f t="shared" si="44"/>
        <v>148584.39999999994</v>
      </c>
      <c r="E53" s="42">
        <v>173616.9</v>
      </c>
      <c r="F53" s="42">
        <v>45326.400000000001</v>
      </c>
      <c r="G53" s="42" t="s">
        <v>28</v>
      </c>
      <c r="H53" s="43">
        <v>6220.2999999999993</v>
      </c>
      <c r="I53" s="79" t="s">
        <v>28</v>
      </c>
      <c r="J53" s="79" t="s">
        <v>28</v>
      </c>
      <c r="K53" s="42">
        <f t="shared" si="45"/>
        <v>225163.59999999998</v>
      </c>
      <c r="L53" s="45">
        <v>80768</v>
      </c>
      <c r="M53" s="42">
        <v>11101.600000000002</v>
      </c>
      <c r="N53" s="55">
        <f t="shared" si="46"/>
        <v>133293.99999999997</v>
      </c>
      <c r="O53" s="43"/>
      <c r="P53" s="47">
        <v>9802.6999999999989</v>
      </c>
      <c r="Q53" s="42">
        <v>220978.30000000005</v>
      </c>
      <c r="R53" s="74">
        <v>105.1</v>
      </c>
      <c r="S53" s="42">
        <f t="shared" si="47"/>
        <v>230886.10000000006</v>
      </c>
      <c r="T53" s="46"/>
      <c r="U53" s="47">
        <f t="shared" si="48"/>
        <v>364180.10000000003</v>
      </c>
      <c r="V53" s="42">
        <f t="shared" si="49"/>
        <v>512764.5</v>
      </c>
      <c r="Z53" s="49"/>
    </row>
    <row r="54" spans="1:27" s="48" customFormat="1" ht="15" hidden="1" customHeight="1" x14ac:dyDescent="0.35">
      <c r="A54" s="56" t="s">
        <v>52</v>
      </c>
      <c r="B54" s="42">
        <v>65629.399999999994</v>
      </c>
      <c r="C54" s="43">
        <v>84707.599999999977</v>
      </c>
      <c r="D54" s="42">
        <f t="shared" si="44"/>
        <v>150336.99999999997</v>
      </c>
      <c r="E54" s="42">
        <v>179672.1</v>
      </c>
      <c r="F54" s="42">
        <v>44626.400000000001</v>
      </c>
      <c r="G54" s="42" t="s">
        <v>28</v>
      </c>
      <c r="H54" s="43">
        <v>8569.1</v>
      </c>
      <c r="I54" s="79" t="s">
        <v>28</v>
      </c>
      <c r="J54" s="79" t="s">
        <v>28</v>
      </c>
      <c r="K54" s="42">
        <f t="shared" si="45"/>
        <v>232867.6</v>
      </c>
      <c r="L54" s="45">
        <v>91380.599999999991</v>
      </c>
      <c r="M54" s="42">
        <v>11534.699999999999</v>
      </c>
      <c r="N54" s="55">
        <f t="shared" si="46"/>
        <v>129952.3</v>
      </c>
      <c r="O54" s="43"/>
      <c r="P54" s="47">
        <v>9230.9999999999982</v>
      </c>
      <c r="Q54" s="42">
        <v>223510</v>
      </c>
      <c r="R54" s="74">
        <v>104.3</v>
      </c>
      <c r="S54" s="42">
        <f t="shared" si="47"/>
        <v>232845.3</v>
      </c>
      <c r="T54" s="46"/>
      <c r="U54" s="47">
        <f t="shared" si="48"/>
        <v>362797.6</v>
      </c>
      <c r="V54" s="42">
        <f t="shared" si="49"/>
        <v>513134.6</v>
      </c>
      <c r="Z54" s="49"/>
    </row>
    <row r="55" spans="1:27" s="48" customFormat="1" ht="15" hidden="1" customHeight="1" x14ac:dyDescent="0.35">
      <c r="A55" s="56" t="s">
        <v>54</v>
      </c>
      <c r="B55" s="42">
        <v>61488</v>
      </c>
      <c r="C55" s="43">
        <v>79298.499999999985</v>
      </c>
      <c r="D55" s="42">
        <f t="shared" si="44"/>
        <v>140786.5</v>
      </c>
      <c r="E55" s="42">
        <v>182582.3</v>
      </c>
      <c r="F55" s="42">
        <v>40822.200000000004</v>
      </c>
      <c r="G55" s="42" t="s">
        <v>28</v>
      </c>
      <c r="H55" s="43">
        <v>5414</v>
      </c>
      <c r="I55" s="79" t="s">
        <v>28</v>
      </c>
      <c r="J55" s="79" t="s">
        <v>28</v>
      </c>
      <c r="K55" s="42">
        <f t="shared" si="45"/>
        <v>228818.5</v>
      </c>
      <c r="L55" s="45">
        <v>89184.723000000013</v>
      </c>
      <c r="M55" s="42">
        <v>10026.699999999999</v>
      </c>
      <c r="N55" s="55">
        <f t="shared" si="46"/>
        <v>129607.077</v>
      </c>
      <c r="O55" s="43"/>
      <c r="P55" s="47">
        <v>9642.4</v>
      </c>
      <c r="Q55" s="42">
        <v>225959.4</v>
      </c>
      <c r="R55" s="74">
        <v>104.4</v>
      </c>
      <c r="S55" s="42">
        <f t="shared" si="47"/>
        <v>235706.19999999998</v>
      </c>
      <c r="T55" s="46"/>
      <c r="U55" s="47">
        <f t="shared" si="48"/>
        <v>365313.277</v>
      </c>
      <c r="V55" s="42">
        <f t="shared" si="49"/>
        <v>506099.777</v>
      </c>
      <c r="Z55" s="49"/>
    </row>
    <row r="56" spans="1:27" s="48" customFormat="1" ht="15" hidden="1" customHeight="1" x14ac:dyDescent="0.35">
      <c r="A56" s="56" t="s">
        <v>56</v>
      </c>
      <c r="B56" s="42">
        <v>56309.5</v>
      </c>
      <c r="C56" s="43">
        <v>82636.399999999994</v>
      </c>
      <c r="D56" s="42">
        <f t="shared" si="44"/>
        <v>138945.9</v>
      </c>
      <c r="E56" s="42">
        <v>185113.8</v>
      </c>
      <c r="F56" s="42">
        <v>41022.200000000004</v>
      </c>
      <c r="G56" s="42" t="s">
        <v>28</v>
      </c>
      <c r="H56" s="43">
        <v>8052.4</v>
      </c>
      <c r="I56" s="79" t="s">
        <v>28</v>
      </c>
      <c r="J56" s="79" t="s">
        <v>28</v>
      </c>
      <c r="K56" s="42">
        <f t="shared" si="45"/>
        <v>234188.4</v>
      </c>
      <c r="L56" s="44">
        <v>82103</v>
      </c>
      <c r="M56" s="42">
        <v>10096.199999999999</v>
      </c>
      <c r="N56" s="55">
        <f t="shared" si="46"/>
        <v>141989.19999999998</v>
      </c>
      <c r="O56" s="43"/>
      <c r="P56" s="47">
        <v>12850.8</v>
      </c>
      <c r="Q56" s="42">
        <v>237857.6</v>
      </c>
      <c r="R56" s="74">
        <v>101.8</v>
      </c>
      <c r="S56" s="42">
        <f t="shared" si="47"/>
        <v>250810.19999999998</v>
      </c>
      <c r="T56" s="46"/>
      <c r="U56" s="47">
        <f t="shared" si="48"/>
        <v>392799.39999999997</v>
      </c>
      <c r="V56" s="42">
        <f t="shared" si="49"/>
        <v>531745.29999999993</v>
      </c>
      <c r="W56" s="49"/>
      <c r="Z56" s="49"/>
    </row>
    <row r="57" spans="1:27" s="48" customFormat="1" ht="15.75" hidden="1" customHeight="1" x14ac:dyDescent="0.35">
      <c r="A57" s="56" t="s">
        <v>57</v>
      </c>
      <c r="B57" s="42">
        <v>70144.199999999953</v>
      </c>
      <c r="C57" s="43">
        <v>74558.799999999988</v>
      </c>
      <c r="D57" s="42">
        <f t="shared" si="44"/>
        <v>144702.99999999994</v>
      </c>
      <c r="E57" s="42">
        <v>177924.3</v>
      </c>
      <c r="F57" s="42">
        <v>36154.800000000003</v>
      </c>
      <c r="G57" s="42" t="s">
        <v>28</v>
      </c>
      <c r="H57" s="43">
        <v>7102.2999999999993</v>
      </c>
      <c r="I57" s="79" t="s">
        <v>28</v>
      </c>
      <c r="J57" s="79" t="s">
        <v>28</v>
      </c>
      <c r="K57" s="42">
        <f t="shared" si="45"/>
        <v>221181.39999999997</v>
      </c>
      <c r="L57" s="44">
        <v>79078.900000000009</v>
      </c>
      <c r="M57" s="42">
        <v>9264.6999999999989</v>
      </c>
      <c r="N57" s="55">
        <f t="shared" si="46"/>
        <v>132837.79999999993</v>
      </c>
      <c r="O57" s="43"/>
      <c r="P57" s="47">
        <v>23911.999999999996</v>
      </c>
      <c r="Q57" s="42">
        <v>245655.30000000002</v>
      </c>
      <c r="R57" s="74">
        <v>102.39999999999999</v>
      </c>
      <c r="S57" s="42">
        <f t="shared" si="47"/>
        <v>269669.7</v>
      </c>
      <c r="T57" s="46"/>
      <c r="U57" s="47">
        <f t="shared" si="48"/>
        <v>402507.49999999994</v>
      </c>
      <c r="V57" s="42">
        <f t="shared" si="49"/>
        <v>547210.49999999988</v>
      </c>
      <c r="W57" s="49"/>
      <c r="Z57" s="49"/>
    </row>
    <row r="58" spans="1:27" s="48" customFormat="1" ht="15" hidden="1" customHeight="1" x14ac:dyDescent="0.35">
      <c r="A58" s="56" t="s">
        <v>58</v>
      </c>
      <c r="B58" s="42">
        <v>79117.500000000029</v>
      </c>
      <c r="C58" s="43">
        <v>86599.4</v>
      </c>
      <c r="D58" s="42">
        <f t="shared" si="44"/>
        <v>165716.90000000002</v>
      </c>
      <c r="E58" s="42">
        <v>181494.5</v>
      </c>
      <c r="F58" s="42">
        <v>35951.5</v>
      </c>
      <c r="G58" s="42" t="s">
        <v>28</v>
      </c>
      <c r="H58" s="43">
        <v>6763.1</v>
      </c>
      <c r="I58" s="79" t="s">
        <v>28</v>
      </c>
      <c r="J58" s="79" t="s">
        <v>28</v>
      </c>
      <c r="K58" s="42">
        <f t="shared" si="45"/>
        <v>224209.1</v>
      </c>
      <c r="L58" s="44">
        <v>100261.9</v>
      </c>
      <c r="M58" s="42">
        <v>9613.6999999999989</v>
      </c>
      <c r="N58" s="55">
        <f t="shared" si="46"/>
        <v>114333.50000000001</v>
      </c>
      <c r="O58" s="43"/>
      <c r="P58" s="47">
        <v>30283.5</v>
      </c>
      <c r="Q58" s="42">
        <v>249193.1</v>
      </c>
      <c r="R58" s="74">
        <v>90.899999999999991</v>
      </c>
      <c r="S58" s="42">
        <f t="shared" si="47"/>
        <v>279567.5</v>
      </c>
      <c r="T58" s="46"/>
      <c r="U58" s="47">
        <f t="shared" si="48"/>
        <v>393901</v>
      </c>
      <c r="V58" s="42">
        <f t="shared" si="49"/>
        <v>559617.9</v>
      </c>
      <c r="W58" s="49"/>
      <c r="Z58" s="49"/>
    </row>
    <row r="59" spans="1:27" s="48" customFormat="1" ht="14.25" hidden="1" customHeight="1" x14ac:dyDescent="0.35">
      <c r="A59" s="56" t="s">
        <v>59</v>
      </c>
      <c r="B59" s="42">
        <v>75833.299999999959</v>
      </c>
      <c r="C59" s="43">
        <v>106593.50000000003</v>
      </c>
      <c r="D59" s="42">
        <f t="shared" si="44"/>
        <v>182426.8</v>
      </c>
      <c r="E59" s="42">
        <v>167686.39999999999</v>
      </c>
      <c r="F59" s="42">
        <v>44061</v>
      </c>
      <c r="G59" s="42" t="s">
        <v>28</v>
      </c>
      <c r="H59" s="43">
        <v>7787.3</v>
      </c>
      <c r="I59" s="79" t="s">
        <v>28</v>
      </c>
      <c r="J59" s="79" t="s">
        <v>28</v>
      </c>
      <c r="K59" s="42">
        <f t="shared" si="45"/>
        <v>219534.69999999998</v>
      </c>
      <c r="L59" s="44">
        <v>100053.9</v>
      </c>
      <c r="M59" s="42">
        <v>9456.2000000000007</v>
      </c>
      <c r="N59" s="55">
        <f t="shared" si="46"/>
        <v>110024.59999999999</v>
      </c>
      <c r="O59" s="43"/>
      <c r="P59" s="47">
        <v>31552.799999999999</v>
      </c>
      <c r="Q59" s="42">
        <v>254099.09999999998</v>
      </c>
      <c r="R59" s="74">
        <v>93</v>
      </c>
      <c r="S59" s="42">
        <f t="shared" si="47"/>
        <v>285744.89999999997</v>
      </c>
      <c r="T59" s="46"/>
      <c r="U59" s="47">
        <f t="shared" si="48"/>
        <v>395769.49999999994</v>
      </c>
      <c r="V59" s="42">
        <f t="shared" si="49"/>
        <v>578196.29999999993</v>
      </c>
      <c r="W59" s="49"/>
      <c r="Z59" s="49"/>
    </row>
    <row r="60" spans="1:27" s="48" customFormat="1" ht="15" hidden="1" customHeight="1" x14ac:dyDescent="0.35">
      <c r="A60" s="56" t="s">
        <v>60</v>
      </c>
      <c r="B60" s="42">
        <v>95303.6</v>
      </c>
      <c r="C60" s="43">
        <v>96499.799999999988</v>
      </c>
      <c r="D60" s="42">
        <f t="shared" si="44"/>
        <v>191803.4</v>
      </c>
      <c r="E60" s="42">
        <v>161646.39999999999</v>
      </c>
      <c r="F60" s="42">
        <v>43061</v>
      </c>
      <c r="G60" s="42" t="s">
        <v>28</v>
      </c>
      <c r="H60" s="43">
        <v>7537.4000000000005</v>
      </c>
      <c r="I60" s="79" t="s">
        <v>28</v>
      </c>
      <c r="J60" s="79" t="s">
        <v>28</v>
      </c>
      <c r="K60" s="42">
        <f t="shared" si="45"/>
        <v>212244.8</v>
      </c>
      <c r="L60" s="44">
        <v>101928.7</v>
      </c>
      <c r="M60" s="42">
        <v>11011.5</v>
      </c>
      <c r="N60" s="55">
        <f t="shared" si="46"/>
        <v>99304.599999999991</v>
      </c>
      <c r="O60" s="43"/>
      <c r="P60" s="47">
        <v>27717.1</v>
      </c>
      <c r="Q60" s="42">
        <v>268878.59999999998</v>
      </c>
      <c r="R60" s="74">
        <v>129.9</v>
      </c>
      <c r="S60" s="42">
        <f t="shared" si="47"/>
        <v>296725.59999999998</v>
      </c>
      <c r="T60" s="46"/>
      <c r="U60" s="47">
        <f t="shared" si="48"/>
        <v>396030.19999999995</v>
      </c>
      <c r="V60" s="42">
        <f t="shared" si="49"/>
        <v>587833.59999999998</v>
      </c>
      <c r="W60" s="49"/>
      <c r="Z60" s="49"/>
    </row>
    <row r="61" spans="1:27" s="48" customFormat="1" ht="12.75" hidden="1" customHeight="1" x14ac:dyDescent="0.35">
      <c r="A61" s="56" t="s">
        <v>62</v>
      </c>
      <c r="B61" s="42">
        <v>107336.39999999994</v>
      </c>
      <c r="C61" s="43">
        <v>99747.400000000023</v>
      </c>
      <c r="D61" s="42">
        <f t="shared" si="44"/>
        <v>207083.79999999996</v>
      </c>
      <c r="E61" s="42">
        <v>146839.90000000002</v>
      </c>
      <c r="F61" s="42">
        <v>49561</v>
      </c>
      <c r="G61" s="42" t="s">
        <v>28</v>
      </c>
      <c r="H61" s="43">
        <v>7407</v>
      </c>
      <c r="I61" s="79" t="s">
        <v>28</v>
      </c>
      <c r="J61" s="79" t="s">
        <v>28</v>
      </c>
      <c r="K61" s="42">
        <f t="shared" si="45"/>
        <v>203807.90000000002</v>
      </c>
      <c r="L61" s="44">
        <v>100314.5</v>
      </c>
      <c r="M61" s="42">
        <v>9960.7000000000007</v>
      </c>
      <c r="N61" s="55">
        <f t="shared" si="46"/>
        <v>93532.700000000026</v>
      </c>
      <c r="O61" s="43"/>
      <c r="P61" s="47">
        <v>24662.6</v>
      </c>
      <c r="Q61" s="42">
        <v>267453.30000000005</v>
      </c>
      <c r="R61" s="74">
        <v>126.60000000000001</v>
      </c>
      <c r="S61" s="42">
        <f t="shared" si="47"/>
        <v>292242.5</v>
      </c>
      <c r="T61" s="46"/>
      <c r="U61" s="47">
        <f t="shared" si="48"/>
        <v>385775.2</v>
      </c>
      <c r="V61" s="42">
        <f t="shared" si="49"/>
        <v>592859</v>
      </c>
      <c r="W61" s="49"/>
      <c r="Z61" s="49"/>
    </row>
    <row r="62" spans="1:27" s="48" customFormat="1" ht="15" hidden="1" customHeight="1" x14ac:dyDescent="0.35">
      <c r="A62" s="56" t="s">
        <v>65</v>
      </c>
      <c r="B62" s="42">
        <v>159092.20000000007</v>
      </c>
      <c r="C62" s="43">
        <v>95759.5</v>
      </c>
      <c r="D62" s="42">
        <f t="shared" si="44"/>
        <v>254851.70000000007</v>
      </c>
      <c r="E62" s="42">
        <v>170798.9</v>
      </c>
      <c r="F62" s="42">
        <v>58561</v>
      </c>
      <c r="G62" s="42" t="s">
        <v>28</v>
      </c>
      <c r="H62" s="43">
        <v>9544.5</v>
      </c>
      <c r="I62" s="79" t="s">
        <v>28</v>
      </c>
      <c r="J62" s="79" t="s">
        <v>28</v>
      </c>
      <c r="K62" s="42">
        <f t="shared" si="45"/>
        <v>238904.4</v>
      </c>
      <c r="L62" s="44">
        <v>125831.59999999999</v>
      </c>
      <c r="M62" s="42">
        <v>11736.2</v>
      </c>
      <c r="N62" s="55">
        <f t="shared" si="46"/>
        <v>101336.6</v>
      </c>
      <c r="O62" s="43"/>
      <c r="P62" s="47">
        <v>21927.199999999997</v>
      </c>
      <c r="Q62" s="42">
        <v>261749.50000000003</v>
      </c>
      <c r="R62" s="74">
        <v>120.8</v>
      </c>
      <c r="S62" s="42">
        <f t="shared" si="47"/>
        <v>283797.5</v>
      </c>
      <c r="T62" s="46"/>
      <c r="U62" s="47">
        <f t="shared" si="48"/>
        <v>385134.1</v>
      </c>
      <c r="V62" s="42">
        <f t="shared" si="49"/>
        <v>639985.80000000005</v>
      </c>
      <c r="W62" s="49"/>
      <c r="Z62" s="49"/>
    </row>
    <row r="63" spans="1:27" s="48" customFormat="1" ht="15" hidden="1" customHeight="1" x14ac:dyDescent="0.35">
      <c r="A63" s="56"/>
      <c r="B63" s="42"/>
      <c r="C63" s="43"/>
      <c r="D63" s="42"/>
      <c r="E63" s="42"/>
      <c r="F63" s="42"/>
      <c r="G63" s="42"/>
      <c r="H63" s="43"/>
      <c r="I63" s="42"/>
      <c r="J63" s="47"/>
      <c r="K63" s="42"/>
      <c r="L63" s="44"/>
      <c r="M63" s="42"/>
      <c r="N63" s="55"/>
      <c r="O63" s="43"/>
      <c r="P63" s="47"/>
      <c r="Q63" s="42"/>
      <c r="R63" s="74"/>
      <c r="S63" s="42"/>
      <c r="T63" s="46"/>
      <c r="U63" s="47"/>
      <c r="V63" s="42"/>
      <c r="W63" s="49"/>
      <c r="Z63" s="49"/>
    </row>
    <row r="64" spans="1:27" s="48" customFormat="1" ht="15.75" hidden="1" customHeight="1" x14ac:dyDescent="0.35">
      <c r="A64" s="56" t="s">
        <v>45</v>
      </c>
      <c r="B64" s="42">
        <v>141369.9</v>
      </c>
      <c r="C64" s="43">
        <v>88477.799999999988</v>
      </c>
      <c r="D64" s="42">
        <f t="shared" si="44"/>
        <v>229847.69999999998</v>
      </c>
      <c r="E64" s="42">
        <v>148190.5</v>
      </c>
      <c r="F64" s="42">
        <v>55061</v>
      </c>
      <c r="G64" s="42" t="s">
        <v>28</v>
      </c>
      <c r="H64" s="43">
        <v>7472.2</v>
      </c>
      <c r="I64" s="79" t="s">
        <v>28</v>
      </c>
      <c r="J64" s="79" t="s">
        <v>28</v>
      </c>
      <c r="K64" s="42">
        <f t="shared" si="45"/>
        <v>210723.7</v>
      </c>
      <c r="L64" s="44">
        <v>107241.29999999999</v>
      </c>
      <c r="M64" s="42">
        <v>11146.4</v>
      </c>
      <c r="N64" s="55">
        <f t="shared" si="46"/>
        <v>92336.000000000029</v>
      </c>
      <c r="O64" s="43"/>
      <c r="P64" s="47">
        <v>19781.399999999998</v>
      </c>
      <c r="Q64" s="42">
        <v>262133.40000000002</v>
      </c>
      <c r="R64" s="74">
        <v>116.7</v>
      </c>
      <c r="S64" s="42">
        <f t="shared" si="47"/>
        <v>282031.50000000006</v>
      </c>
      <c r="T64" s="46"/>
      <c r="U64" s="47">
        <f t="shared" si="48"/>
        <v>374367.50000000012</v>
      </c>
      <c r="V64" s="42">
        <f t="shared" si="49"/>
        <v>604215.20000000007</v>
      </c>
      <c r="W64" s="49"/>
      <c r="Z64" s="49"/>
    </row>
    <row r="65" spans="1:26" s="48" customFormat="1" ht="15" hidden="1" customHeight="1" x14ac:dyDescent="0.35">
      <c r="A65" s="56" t="s">
        <v>66</v>
      </c>
      <c r="B65" s="42">
        <v>125265.90000000002</v>
      </c>
      <c r="C65" s="43">
        <v>89948.099999999977</v>
      </c>
      <c r="D65" s="42">
        <f t="shared" si="44"/>
        <v>215214</v>
      </c>
      <c r="E65" s="42">
        <v>154147.90000000002</v>
      </c>
      <c r="F65" s="42">
        <v>62061</v>
      </c>
      <c r="G65" s="42" t="s">
        <v>28</v>
      </c>
      <c r="H65" s="43">
        <v>7189.7</v>
      </c>
      <c r="I65" s="79" t="s">
        <v>28</v>
      </c>
      <c r="J65" s="79" t="s">
        <v>28</v>
      </c>
      <c r="K65" s="42">
        <f t="shared" si="45"/>
        <v>223398.60000000003</v>
      </c>
      <c r="L65" s="44">
        <v>104477.63200000001</v>
      </c>
      <c r="M65" s="42">
        <v>13227.599999999999</v>
      </c>
      <c r="N65" s="55">
        <f t="shared" si="46"/>
        <v>105693.36800000002</v>
      </c>
      <c r="O65" s="43"/>
      <c r="P65" s="47">
        <v>15991.599999999999</v>
      </c>
      <c r="Q65" s="42">
        <v>265166.90000000002</v>
      </c>
      <c r="R65" s="74">
        <v>130.70000000000002</v>
      </c>
      <c r="S65" s="42">
        <f t="shared" si="47"/>
        <v>281289.2</v>
      </c>
      <c r="T65" s="46"/>
      <c r="U65" s="47">
        <f t="shared" si="48"/>
        <v>386982.56800000003</v>
      </c>
      <c r="V65" s="42">
        <f t="shared" si="49"/>
        <v>602196.56799999997</v>
      </c>
      <c r="W65" s="49"/>
      <c r="Z65" s="49"/>
    </row>
    <row r="66" spans="1:26" s="48" customFormat="1" ht="15" hidden="1" customHeight="1" x14ac:dyDescent="0.35">
      <c r="A66" s="56" t="s">
        <v>46</v>
      </c>
      <c r="B66" s="42">
        <v>105784.50000000003</v>
      </c>
      <c r="C66" s="43">
        <v>92328.9</v>
      </c>
      <c r="D66" s="42">
        <f t="shared" si="44"/>
        <v>198113.40000000002</v>
      </c>
      <c r="E66" s="42">
        <v>157525.1</v>
      </c>
      <c r="F66" s="42">
        <v>66253.7</v>
      </c>
      <c r="G66" s="42" t="s">
        <v>28</v>
      </c>
      <c r="H66" s="43">
        <v>6953.7</v>
      </c>
      <c r="I66" s="79" t="s">
        <v>28</v>
      </c>
      <c r="J66" s="79" t="s">
        <v>28</v>
      </c>
      <c r="K66" s="42">
        <f t="shared" si="45"/>
        <v>230732.5</v>
      </c>
      <c r="L66" s="44">
        <v>101779.5</v>
      </c>
      <c r="M66" s="42">
        <v>10745.9</v>
      </c>
      <c r="N66" s="55">
        <f t="shared" si="46"/>
        <v>118207.1</v>
      </c>
      <c r="O66" s="43"/>
      <c r="P66" s="47">
        <v>12695.3</v>
      </c>
      <c r="Q66" s="42">
        <v>273015.60000000003</v>
      </c>
      <c r="R66" s="74">
        <v>126.7</v>
      </c>
      <c r="S66" s="42">
        <f t="shared" si="47"/>
        <v>285837.60000000003</v>
      </c>
      <c r="T66" s="46"/>
      <c r="U66" s="47">
        <f t="shared" si="48"/>
        <v>404044.70000000007</v>
      </c>
      <c r="V66" s="42">
        <f t="shared" si="49"/>
        <v>602158.10000000009</v>
      </c>
      <c r="W66" s="49"/>
      <c r="Z66" s="49"/>
    </row>
    <row r="67" spans="1:26" s="48" customFormat="1" ht="16.5" hidden="1" customHeight="1" x14ac:dyDescent="0.35">
      <c r="A67" s="56" t="s">
        <v>67</v>
      </c>
      <c r="B67" s="42">
        <v>90877.500000000029</v>
      </c>
      <c r="C67" s="43">
        <v>89777.400000000023</v>
      </c>
      <c r="D67" s="42">
        <f t="shared" si="44"/>
        <v>180654.90000000005</v>
      </c>
      <c r="E67" s="42">
        <v>163693.70000000001</v>
      </c>
      <c r="F67" s="42">
        <v>66353.7</v>
      </c>
      <c r="G67" s="42" t="s">
        <v>28</v>
      </c>
      <c r="H67" s="43">
        <v>9039.1</v>
      </c>
      <c r="I67" s="79" t="s">
        <v>28</v>
      </c>
      <c r="J67" s="79" t="s">
        <v>28</v>
      </c>
      <c r="K67" s="42">
        <f t="shared" si="45"/>
        <v>239086.50000000003</v>
      </c>
      <c r="L67" s="44">
        <v>93895.6</v>
      </c>
      <c r="M67" s="42">
        <v>11639.400000000003</v>
      </c>
      <c r="N67" s="55">
        <f t="shared" si="46"/>
        <v>133551.50000000003</v>
      </c>
      <c r="O67" s="43"/>
      <c r="P67" s="47">
        <v>11258.4</v>
      </c>
      <c r="Q67" s="42">
        <v>275860</v>
      </c>
      <c r="R67" s="74">
        <v>152.1</v>
      </c>
      <c r="S67" s="42">
        <f t="shared" si="47"/>
        <v>287270.5</v>
      </c>
      <c r="T67" s="46"/>
      <c r="U67" s="47">
        <f t="shared" si="48"/>
        <v>420822</v>
      </c>
      <c r="V67" s="42">
        <f t="shared" si="49"/>
        <v>601476.9</v>
      </c>
      <c r="W67" s="49"/>
      <c r="Z67" s="49"/>
    </row>
    <row r="68" spans="1:26" s="48" customFormat="1" ht="15" hidden="1" customHeight="1" x14ac:dyDescent="0.35">
      <c r="A68" s="56" t="s">
        <v>70</v>
      </c>
      <c r="B68" s="42">
        <v>154336.40000000008</v>
      </c>
      <c r="C68" s="43">
        <v>89065.299999999988</v>
      </c>
      <c r="D68" s="42">
        <f t="shared" si="44"/>
        <v>243401.70000000007</v>
      </c>
      <c r="E68" s="42">
        <v>131037.20000000001</v>
      </c>
      <c r="F68" s="42">
        <v>103194.9</v>
      </c>
      <c r="G68" s="42" t="s">
        <v>28</v>
      </c>
      <c r="H68" s="43">
        <v>6620.5999999999995</v>
      </c>
      <c r="I68" s="79" t="s">
        <v>28</v>
      </c>
      <c r="J68" s="79" t="s">
        <v>28</v>
      </c>
      <c r="K68" s="42">
        <f t="shared" si="45"/>
        <v>240852.7</v>
      </c>
      <c r="L68" s="44">
        <v>127178.00000000001</v>
      </c>
      <c r="M68" s="42">
        <v>10597.9</v>
      </c>
      <c r="N68" s="55">
        <f t="shared" si="46"/>
        <v>103076.8</v>
      </c>
      <c r="O68" s="43"/>
      <c r="P68" s="47">
        <v>10002.6</v>
      </c>
      <c r="Q68" s="42">
        <v>280752.8</v>
      </c>
      <c r="R68" s="74">
        <v>146.30000000000001</v>
      </c>
      <c r="S68" s="42">
        <f t="shared" si="47"/>
        <v>290901.69999999995</v>
      </c>
      <c r="T68" s="46"/>
      <c r="U68" s="47">
        <f t="shared" si="48"/>
        <v>393978.49999999994</v>
      </c>
      <c r="V68" s="42">
        <f t="shared" si="49"/>
        <v>637380.19999999995</v>
      </c>
      <c r="W68" s="49"/>
      <c r="Z68" s="49"/>
    </row>
    <row r="69" spans="1:26" s="48" customFormat="1" ht="15" hidden="1" customHeight="1" x14ac:dyDescent="0.35">
      <c r="A69" s="56" t="s">
        <v>72</v>
      </c>
      <c r="B69" s="42">
        <v>148241.89999999997</v>
      </c>
      <c r="C69" s="43">
        <v>88724.5</v>
      </c>
      <c r="D69" s="42">
        <f t="shared" si="44"/>
        <v>236966.39999999997</v>
      </c>
      <c r="E69" s="42">
        <v>153145.30000000002</v>
      </c>
      <c r="F69" s="42">
        <v>100670</v>
      </c>
      <c r="G69" s="42" t="s">
        <v>28</v>
      </c>
      <c r="H69" s="43">
        <v>9624.6</v>
      </c>
      <c r="I69" s="79" t="s">
        <v>28</v>
      </c>
      <c r="J69" s="79" t="s">
        <v>28</v>
      </c>
      <c r="K69" s="42">
        <f t="shared" si="45"/>
        <v>263439.90000000002</v>
      </c>
      <c r="L69" s="44">
        <v>125026.4</v>
      </c>
      <c r="M69" s="42">
        <v>13685.099999999999</v>
      </c>
      <c r="N69" s="55">
        <f t="shared" si="46"/>
        <v>124728.40000000002</v>
      </c>
      <c r="O69" s="43"/>
      <c r="P69" s="47">
        <v>10443.4</v>
      </c>
      <c r="Q69" s="42">
        <v>285914.39999999997</v>
      </c>
      <c r="R69" s="74">
        <v>142.10000000000002</v>
      </c>
      <c r="S69" s="42">
        <f t="shared" si="47"/>
        <v>296499.89999999997</v>
      </c>
      <c r="T69" s="46"/>
      <c r="U69" s="47">
        <f t="shared" si="48"/>
        <v>421228.3</v>
      </c>
      <c r="V69" s="42">
        <f t="shared" si="49"/>
        <v>658194.69999999995</v>
      </c>
      <c r="W69" s="49"/>
      <c r="Z69" s="49"/>
    </row>
    <row r="70" spans="1:26" s="48" customFormat="1" ht="15" hidden="1" customHeight="1" x14ac:dyDescent="0.35">
      <c r="A70" s="56" t="s">
        <v>73</v>
      </c>
      <c r="B70" s="42">
        <v>132152.60000000003</v>
      </c>
      <c r="C70" s="43">
        <v>87512.499999999985</v>
      </c>
      <c r="D70" s="42">
        <f t="shared" si="44"/>
        <v>219665.10000000003</v>
      </c>
      <c r="E70" s="42">
        <v>147058</v>
      </c>
      <c r="F70" s="42">
        <v>106002.2</v>
      </c>
      <c r="G70" s="42" t="s">
        <v>28</v>
      </c>
      <c r="H70" s="43">
        <v>6644.5</v>
      </c>
      <c r="I70" s="79" t="s">
        <v>28</v>
      </c>
      <c r="J70" s="79" t="s">
        <v>28</v>
      </c>
      <c r="K70" s="42">
        <f t="shared" si="45"/>
        <v>259704.7</v>
      </c>
      <c r="L70" s="44">
        <v>115641</v>
      </c>
      <c r="M70" s="42">
        <v>12756.2</v>
      </c>
      <c r="N70" s="55">
        <f t="shared" si="46"/>
        <v>131307.5</v>
      </c>
      <c r="O70" s="43"/>
      <c r="P70" s="47">
        <v>14183.899999999998</v>
      </c>
      <c r="Q70" s="42">
        <v>290106.40000000002</v>
      </c>
      <c r="R70" s="74">
        <v>429.20000000000005</v>
      </c>
      <c r="S70" s="42">
        <f t="shared" si="47"/>
        <v>304719.50000000006</v>
      </c>
      <c r="T70" s="46"/>
      <c r="U70" s="47">
        <f t="shared" si="48"/>
        <v>436027.00000000006</v>
      </c>
      <c r="V70" s="42">
        <f t="shared" si="49"/>
        <v>655692.10000000009</v>
      </c>
      <c r="W70" s="49"/>
      <c r="Z70" s="49"/>
    </row>
    <row r="71" spans="1:26" s="48" customFormat="1" ht="15" hidden="1" customHeight="1" x14ac:dyDescent="0.35">
      <c r="A71" s="56" t="s">
        <v>74</v>
      </c>
      <c r="B71" s="42">
        <v>115750.00000000003</v>
      </c>
      <c r="C71" s="43">
        <v>92033.199999999983</v>
      </c>
      <c r="D71" s="42">
        <f t="shared" si="44"/>
        <v>207783.2</v>
      </c>
      <c r="E71" s="42">
        <v>156341.6</v>
      </c>
      <c r="F71" s="42">
        <v>105584.9</v>
      </c>
      <c r="G71" s="42" t="s">
        <v>28</v>
      </c>
      <c r="H71" s="43">
        <v>6352.8</v>
      </c>
      <c r="I71" s="79" t="s">
        <v>28</v>
      </c>
      <c r="J71" s="79" t="s">
        <v>28</v>
      </c>
      <c r="K71" s="42">
        <f t="shared" si="45"/>
        <v>268279.3</v>
      </c>
      <c r="L71" s="44">
        <v>110373.8</v>
      </c>
      <c r="M71" s="42">
        <v>11905</v>
      </c>
      <c r="N71" s="55">
        <f t="shared" si="46"/>
        <v>146000.5</v>
      </c>
      <c r="O71" s="43"/>
      <c r="P71" s="47">
        <v>16355.099999999999</v>
      </c>
      <c r="Q71" s="42">
        <v>291438.90000000002</v>
      </c>
      <c r="R71" s="74">
        <v>405.20000000000005</v>
      </c>
      <c r="S71" s="42">
        <f t="shared" si="47"/>
        <v>308199.2</v>
      </c>
      <c r="T71" s="46"/>
      <c r="U71" s="47">
        <f t="shared" si="48"/>
        <v>454199.7</v>
      </c>
      <c r="V71" s="42">
        <f t="shared" si="49"/>
        <v>661982.9</v>
      </c>
      <c r="W71" s="49"/>
      <c r="Z71" s="49"/>
    </row>
    <row r="72" spans="1:26" s="48" customFormat="1" ht="15" hidden="1" customHeight="1" x14ac:dyDescent="0.35">
      <c r="A72" s="56" t="s">
        <v>76</v>
      </c>
      <c r="B72" s="42">
        <v>133943.70000000004</v>
      </c>
      <c r="C72" s="43">
        <v>88222.400000000009</v>
      </c>
      <c r="D72" s="42">
        <f t="shared" si="44"/>
        <v>222166.10000000003</v>
      </c>
      <c r="E72" s="42">
        <v>138074.1</v>
      </c>
      <c r="F72" s="42">
        <v>111702.90000000001</v>
      </c>
      <c r="G72" s="42" t="s">
        <v>28</v>
      </c>
      <c r="H72" s="43">
        <v>6331.8</v>
      </c>
      <c r="I72" s="79" t="s">
        <v>28</v>
      </c>
      <c r="J72" s="79" t="s">
        <v>28</v>
      </c>
      <c r="K72" s="42">
        <f t="shared" si="45"/>
        <v>256108.79999999999</v>
      </c>
      <c r="L72" s="44">
        <v>103935.40000000001</v>
      </c>
      <c r="M72" s="42">
        <v>13697.7</v>
      </c>
      <c r="N72" s="55">
        <f t="shared" si="46"/>
        <v>138475.69999999995</v>
      </c>
      <c r="O72" s="43"/>
      <c r="P72" s="47">
        <v>13712.800000000001</v>
      </c>
      <c r="Q72" s="42">
        <v>303197.90000000002</v>
      </c>
      <c r="R72" s="74">
        <v>396.70000000000005</v>
      </c>
      <c r="S72" s="42">
        <f t="shared" si="47"/>
        <v>317307.40000000002</v>
      </c>
      <c r="T72" s="46"/>
      <c r="U72" s="47">
        <f t="shared" si="48"/>
        <v>455783.1</v>
      </c>
      <c r="V72" s="42">
        <f t="shared" si="49"/>
        <v>677949.2</v>
      </c>
      <c r="W72" s="49"/>
      <c r="Z72" s="49"/>
    </row>
    <row r="73" spans="1:26" s="48" customFormat="1" ht="15" hidden="1" customHeight="1" x14ac:dyDescent="0.35">
      <c r="A73" s="56" t="s">
        <v>77</v>
      </c>
      <c r="B73" s="42">
        <v>129014.59999999998</v>
      </c>
      <c r="C73" s="43">
        <v>87002.4</v>
      </c>
      <c r="D73" s="42">
        <f t="shared" si="44"/>
        <v>216016.99999999997</v>
      </c>
      <c r="E73" s="42">
        <v>148531</v>
      </c>
      <c r="F73" s="42">
        <v>113360.5</v>
      </c>
      <c r="G73" s="42" t="s">
        <v>28</v>
      </c>
      <c r="H73" s="43">
        <v>6576.2</v>
      </c>
      <c r="I73" s="79" t="s">
        <v>28</v>
      </c>
      <c r="J73" s="79" t="s">
        <v>28</v>
      </c>
      <c r="K73" s="42">
        <f t="shared" si="45"/>
        <v>268467.7</v>
      </c>
      <c r="L73" s="44">
        <v>104063.5</v>
      </c>
      <c r="M73" s="42">
        <v>15167.399999999998</v>
      </c>
      <c r="N73" s="55">
        <f t="shared" si="46"/>
        <v>149236.80000000002</v>
      </c>
      <c r="O73" s="43"/>
      <c r="P73" s="47">
        <v>12242.300000000001</v>
      </c>
      <c r="Q73" s="42">
        <v>310656.40000000008</v>
      </c>
      <c r="R73" s="74">
        <v>295.3</v>
      </c>
      <c r="S73" s="42">
        <f t="shared" si="47"/>
        <v>323194.00000000006</v>
      </c>
      <c r="T73" s="46"/>
      <c r="U73" s="47">
        <f t="shared" si="48"/>
        <v>472430.80000000005</v>
      </c>
      <c r="V73" s="42">
        <f t="shared" si="49"/>
        <v>688447.8</v>
      </c>
      <c r="W73" s="49"/>
      <c r="Z73" s="49"/>
    </row>
    <row r="74" spans="1:26" s="48" customFormat="1" ht="15" hidden="1" customHeight="1" x14ac:dyDescent="0.35">
      <c r="A74" s="56" t="s">
        <v>78</v>
      </c>
      <c r="B74" s="42">
        <v>120358.70000000001</v>
      </c>
      <c r="C74" s="43">
        <v>92642.1</v>
      </c>
      <c r="D74" s="42">
        <f t="shared" si="44"/>
        <v>213000.80000000002</v>
      </c>
      <c r="E74" s="42">
        <v>174575.8</v>
      </c>
      <c r="F74" s="42">
        <v>101650.3</v>
      </c>
      <c r="G74" s="42" t="s">
        <v>28</v>
      </c>
      <c r="H74" s="43">
        <v>6466</v>
      </c>
      <c r="I74" s="79" t="s">
        <v>28</v>
      </c>
      <c r="J74" s="79" t="s">
        <v>28</v>
      </c>
      <c r="K74" s="42">
        <f t="shared" si="45"/>
        <v>282692.09999999998</v>
      </c>
      <c r="L74" s="44">
        <v>123845.3</v>
      </c>
      <c r="M74" s="42">
        <v>15123.200000000003</v>
      </c>
      <c r="N74" s="55">
        <f t="shared" si="46"/>
        <v>143723.59999999998</v>
      </c>
      <c r="O74" s="43"/>
      <c r="P74" s="47">
        <v>9760.8999999999978</v>
      </c>
      <c r="Q74" s="42">
        <v>323284.70000000007</v>
      </c>
      <c r="R74" s="74">
        <v>277</v>
      </c>
      <c r="S74" s="42">
        <f t="shared" si="47"/>
        <v>333322.60000000009</v>
      </c>
      <c r="T74" s="46"/>
      <c r="U74" s="47">
        <f t="shared" si="48"/>
        <v>477046.20000000007</v>
      </c>
      <c r="V74" s="42">
        <f t="shared" si="49"/>
        <v>690047.00000000012</v>
      </c>
      <c r="W74" s="49"/>
      <c r="Z74" s="49"/>
    </row>
    <row r="75" spans="1:26" s="48" customFormat="1" ht="15" hidden="1" customHeight="1" x14ac:dyDescent="0.35">
      <c r="A75" s="56" t="s">
        <v>80</v>
      </c>
      <c r="B75" s="42">
        <v>144966.20000000007</v>
      </c>
      <c r="C75" s="43">
        <v>119531.40000000002</v>
      </c>
      <c r="D75" s="42">
        <f t="shared" si="44"/>
        <v>264497.60000000009</v>
      </c>
      <c r="E75" s="42">
        <v>215622.30000000002</v>
      </c>
      <c r="F75" s="42">
        <v>100072.8</v>
      </c>
      <c r="G75" s="42" t="s">
        <v>28</v>
      </c>
      <c r="H75" s="43">
        <v>11255.3</v>
      </c>
      <c r="I75" s="79" t="s">
        <v>28</v>
      </c>
      <c r="J75" s="79" t="s">
        <v>28</v>
      </c>
      <c r="K75" s="42">
        <f t="shared" si="45"/>
        <v>326950.40000000002</v>
      </c>
      <c r="L75" s="44">
        <v>133925.09999999998</v>
      </c>
      <c r="M75" s="42">
        <v>14842.5</v>
      </c>
      <c r="N75" s="55">
        <f t="shared" si="46"/>
        <v>178182.80000000005</v>
      </c>
      <c r="O75" s="43"/>
      <c r="P75" s="47">
        <v>8440.7000000000007</v>
      </c>
      <c r="Q75" s="42">
        <v>321233.5</v>
      </c>
      <c r="R75" s="74">
        <v>497.1</v>
      </c>
      <c r="S75" s="42">
        <f t="shared" si="47"/>
        <v>330171.3</v>
      </c>
      <c r="T75" s="46"/>
      <c r="U75" s="47">
        <f t="shared" si="48"/>
        <v>508354.10000000003</v>
      </c>
      <c r="V75" s="42">
        <f t="shared" si="49"/>
        <v>772851.70000000019</v>
      </c>
      <c r="W75" s="49"/>
      <c r="Z75" s="49"/>
    </row>
    <row r="76" spans="1:26" s="48" customFormat="1" ht="15" hidden="1" customHeight="1" x14ac:dyDescent="0.35">
      <c r="A76" s="56"/>
      <c r="B76" s="42"/>
      <c r="C76" s="43"/>
      <c r="D76" s="42"/>
      <c r="E76" s="42"/>
      <c r="F76" s="42"/>
      <c r="G76" s="42"/>
      <c r="H76" s="43"/>
      <c r="I76" s="42"/>
      <c r="J76" s="47"/>
      <c r="K76" s="42"/>
      <c r="L76" s="44"/>
      <c r="M76" s="42"/>
      <c r="N76" s="55"/>
      <c r="O76" s="43"/>
      <c r="P76" s="47"/>
      <c r="Q76" s="42"/>
      <c r="R76" s="74"/>
      <c r="S76" s="42"/>
      <c r="T76" s="46"/>
      <c r="U76" s="47"/>
      <c r="V76" s="42"/>
      <c r="W76" s="49"/>
      <c r="Z76" s="49"/>
    </row>
    <row r="77" spans="1:26" s="48" customFormat="1" ht="15" hidden="1" customHeight="1" x14ac:dyDescent="0.35">
      <c r="A77" s="56" t="s">
        <v>49</v>
      </c>
      <c r="B77" s="42">
        <v>153042.50000000006</v>
      </c>
      <c r="C77" s="43">
        <v>117804.09999999999</v>
      </c>
      <c r="D77" s="42">
        <f t="shared" si="44"/>
        <v>270846.60000000003</v>
      </c>
      <c r="E77" s="42">
        <v>161824.1</v>
      </c>
      <c r="F77" s="42">
        <v>99123.8</v>
      </c>
      <c r="G77" s="42" t="s">
        <v>28</v>
      </c>
      <c r="H77" s="43">
        <v>9359.6999999999989</v>
      </c>
      <c r="I77" s="42">
        <v>6525</v>
      </c>
      <c r="J77" s="79" t="s">
        <v>28</v>
      </c>
      <c r="K77" s="42">
        <f t="shared" si="45"/>
        <v>276832.60000000003</v>
      </c>
      <c r="L77" s="45">
        <v>135087.70000000001</v>
      </c>
      <c r="M77" s="42">
        <v>12646.6</v>
      </c>
      <c r="N77" s="55">
        <f t="shared" si="46"/>
        <v>129098.30000000002</v>
      </c>
      <c r="O77" s="43"/>
      <c r="P77" s="47">
        <v>6768.0999999999995</v>
      </c>
      <c r="Q77" s="42">
        <v>323617.89999999997</v>
      </c>
      <c r="R77" s="74">
        <v>363.6</v>
      </c>
      <c r="S77" s="42">
        <f t="shared" si="47"/>
        <v>330749.59999999992</v>
      </c>
      <c r="T77" s="46"/>
      <c r="U77" s="47">
        <f t="shared" si="48"/>
        <v>459847.89999999991</v>
      </c>
      <c r="V77" s="42">
        <f t="shared" si="49"/>
        <v>730694.5</v>
      </c>
      <c r="Z77" s="49"/>
    </row>
    <row r="78" spans="1:26" s="48" customFormat="1" ht="15" hidden="1" customHeight="1" x14ac:dyDescent="0.35">
      <c r="A78" s="56" t="s">
        <v>81</v>
      </c>
      <c r="B78" s="42">
        <v>150227.50000000003</v>
      </c>
      <c r="C78" s="43">
        <v>122034.5</v>
      </c>
      <c r="D78" s="42">
        <f t="shared" si="44"/>
        <v>272262</v>
      </c>
      <c r="E78" s="42">
        <v>171434.6</v>
      </c>
      <c r="F78" s="42">
        <v>99350.599999999991</v>
      </c>
      <c r="G78" s="42" t="s">
        <v>28</v>
      </c>
      <c r="H78" s="43">
        <v>9111</v>
      </c>
      <c r="I78" s="42">
        <v>6525</v>
      </c>
      <c r="J78" s="79" t="s">
        <v>28</v>
      </c>
      <c r="K78" s="42">
        <f t="shared" si="45"/>
        <v>286421.2</v>
      </c>
      <c r="L78" s="45">
        <v>145525.6</v>
      </c>
      <c r="M78" s="42">
        <v>14153.599999999999</v>
      </c>
      <c r="N78" s="55">
        <f t="shared" si="46"/>
        <v>126742</v>
      </c>
      <c r="O78" s="43"/>
      <c r="P78" s="47">
        <v>6538.1</v>
      </c>
      <c r="Q78" s="42">
        <v>334217.7</v>
      </c>
      <c r="R78" s="74">
        <v>457.29999999999995</v>
      </c>
      <c r="S78" s="42">
        <f t="shared" si="47"/>
        <v>341213.1</v>
      </c>
      <c r="T78" s="46"/>
      <c r="U78" s="47">
        <f t="shared" si="48"/>
        <v>467955.1</v>
      </c>
      <c r="V78" s="42">
        <f t="shared" si="49"/>
        <v>740217.1</v>
      </c>
      <c r="Z78" s="49"/>
    </row>
    <row r="79" spans="1:26" s="48" customFormat="1" ht="15" hidden="1" customHeight="1" x14ac:dyDescent="0.35">
      <c r="A79" s="56" t="s">
        <v>55</v>
      </c>
      <c r="B79" s="42">
        <v>136213.69999999992</v>
      </c>
      <c r="C79" s="43">
        <v>122176.10000000003</v>
      </c>
      <c r="D79" s="42">
        <f t="shared" si="44"/>
        <v>258389.79999999996</v>
      </c>
      <c r="E79" s="42">
        <v>154941.59999999998</v>
      </c>
      <c r="F79" s="42">
        <v>114821.4</v>
      </c>
      <c r="G79" s="42" t="s">
        <v>28</v>
      </c>
      <c r="H79" s="43">
        <v>8598.3000000000011</v>
      </c>
      <c r="I79" s="42">
        <v>18525</v>
      </c>
      <c r="J79" s="79" t="s">
        <v>28</v>
      </c>
      <c r="K79" s="42">
        <f t="shared" si="45"/>
        <v>296886.3</v>
      </c>
      <c r="L79" s="45">
        <v>137174.40000000002</v>
      </c>
      <c r="M79" s="42">
        <v>15411</v>
      </c>
      <c r="N79" s="55">
        <f t="shared" si="46"/>
        <v>144300.89999999997</v>
      </c>
      <c r="O79" s="43"/>
      <c r="P79" s="47">
        <v>6418.5000000000009</v>
      </c>
      <c r="Q79" s="42">
        <v>342239.60000000003</v>
      </c>
      <c r="R79" s="74">
        <v>462.8</v>
      </c>
      <c r="S79" s="42">
        <f t="shared" si="47"/>
        <v>349120.9</v>
      </c>
      <c r="T79" s="46"/>
      <c r="U79" s="47">
        <f t="shared" si="48"/>
        <v>493421.8</v>
      </c>
      <c r="V79" s="42">
        <f t="shared" si="49"/>
        <v>751811.6</v>
      </c>
      <c r="Z79" s="49"/>
    </row>
    <row r="80" spans="1:26" s="48" customFormat="1" ht="15" hidden="1" customHeight="1" x14ac:dyDescent="0.35">
      <c r="A80" s="56" t="s">
        <v>84</v>
      </c>
      <c r="B80" s="42">
        <v>124940.20000000007</v>
      </c>
      <c r="C80" s="43">
        <v>108840.40000000002</v>
      </c>
      <c r="D80" s="42">
        <f t="shared" si="44"/>
        <v>233780.60000000009</v>
      </c>
      <c r="E80" s="42">
        <v>45521.4</v>
      </c>
      <c r="F80" s="42">
        <v>73152.899999999994</v>
      </c>
      <c r="G80" s="42" t="s">
        <v>28</v>
      </c>
      <c r="H80" s="43">
        <v>8719.1</v>
      </c>
      <c r="I80" s="42">
        <v>18525</v>
      </c>
      <c r="J80" s="43">
        <v>147596</v>
      </c>
      <c r="K80" s="42">
        <f t="shared" si="45"/>
        <v>293514.40000000002</v>
      </c>
      <c r="L80" s="45">
        <v>121214.40000000002</v>
      </c>
      <c r="M80" s="42">
        <v>15187.500000000004</v>
      </c>
      <c r="N80" s="55">
        <f t="shared" si="46"/>
        <v>157112.5</v>
      </c>
      <c r="O80" s="43"/>
      <c r="P80" s="47">
        <v>6268.5</v>
      </c>
      <c r="Q80" s="42">
        <v>349366.80000000005</v>
      </c>
      <c r="R80" s="74">
        <v>429.1</v>
      </c>
      <c r="S80" s="42">
        <f t="shared" si="47"/>
        <v>356064.4</v>
      </c>
      <c r="T80" s="46"/>
      <c r="U80" s="47">
        <f t="shared" si="48"/>
        <v>513176.9</v>
      </c>
      <c r="V80" s="42">
        <f t="shared" si="49"/>
        <v>746957.50000000012</v>
      </c>
      <c r="Z80" s="49"/>
    </row>
    <row r="81" spans="1:26" s="48" customFormat="1" ht="15" hidden="1" customHeight="1" x14ac:dyDescent="0.35">
      <c r="A81" s="56" t="s">
        <v>85</v>
      </c>
      <c r="B81" s="42">
        <v>110538.00000000006</v>
      </c>
      <c r="C81" s="43">
        <v>100611.79999999999</v>
      </c>
      <c r="D81" s="42">
        <f t="shared" si="44"/>
        <v>211149.80000000005</v>
      </c>
      <c r="E81" s="42">
        <v>24665.8</v>
      </c>
      <c r="F81" s="42">
        <v>86658.5</v>
      </c>
      <c r="G81" s="42" t="s">
        <v>28</v>
      </c>
      <c r="H81" s="43">
        <v>7955.0999999999995</v>
      </c>
      <c r="I81" s="42">
        <v>18525</v>
      </c>
      <c r="J81" s="43">
        <v>147287.9</v>
      </c>
      <c r="K81" s="42">
        <f t="shared" si="45"/>
        <v>285092.30000000005</v>
      </c>
      <c r="L81" s="45">
        <v>109438.09999999999</v>
      </c>
      <c r="M81" s="42">
        <v>14048.7</v>
      </c>
      <c r="N81" s="55">
        <f t="shared" si="46"/>
        <v>161605.50000000006</v>
      </c>
      <c r="O81" s="43"/>
      <c r="P81" s="47">
        <v>8259.9</v>
      </c>
      <c r="Q81" s="42">
        <v>354485.49999999994</v>
      </c>
      <c r="R81" s="74">
        <v>595.79999999999995</v>
      </c>
      <c r="S81" s="42">
        <f t="shared" si="47"/>
        <v>363341.19999999995</v>
      </c>
      <c r="T81" s="46"/>
      <c r="U81" s="47">
        <f t="shared" si="48"/>
        <v>524946.69999999995</v>
      </c>
      <c r="V81" s="42">
        <f t="shared" si="49"/>
        <v>736096.5</v>
      </c>
      <c r="Z81" s="49"/>
    </row>
    <row r="82" spans="1:26" s="48" customFormat="1" ht="15" hidden="1" customHeight="1" x14ac:dyDescent="0.35">
      <c r="A82" s="56" t="s">
        <v>86</v>
      </c>
      <c r="B82" s="42">
        <v>94137.999999999971</v>
      </c>
      <c r="C82" s="43">
        <v>102210.99999999997</v>
      </c>
      <c r="D82" s="42">
        <f t="shared" si="44"/>
        <v>196348.99999999994</v>
      </c>
      <c r="E82" s="42">
        <v>33331.199999999997</v>
      </c>
      <c r="F82" s="42">
        <v>79001.5</v>
      </c>
      <c r="G82" s="42" t="s">
        <v>28</v>
      </c>
      <c r="H82" s="43">
        <v>9787.6999999999989</v>
      </c>
      <c r="I82" s="42">
        <v>40525</v>
      </c>
      <c r="J82" s="43">
        <v>146979.70000000001</v>
      </c>
      <c r="K82" s="42">
        <f t="shared" si="45"/>
        <v>309625.09999999998</v>
      </c>
      <c r="L82" s="45">
        <v>114248.4</v>
      </c>
      <c r="M82" s="42">
        <v>15094.000000000002</v>
      </c>
      <c r="N82" s="55">
        <f t="shared" si="46"/>
        <v>180282.69999999998</v>
      </c>
      <c r="O82" s="43"/>
      <c r="P82" s="47">
        <v>9789</v>
      </c>
      <c r="Q82" s="42">
        <v>378377.39999999997</v>
      </c>
      <c r="R82" s="74">
        <v>512.09999999999991</v>
      </c>
      <c r="S82" s="42">
        <f t="shared" si="47"/>
        <v>388678.49999999994</v>
      </c>
      <c r="T82" s="46"/>
      <c r="U82" s="47">
        <f t="shared" si="48"/>
        <v>568961.19999999995</v>
      </c>
      <c r="V82" s="42">
        <f t="shared" si="49"/>
        <v>765310.2</v>
      </c>
      <c r="Z82" s="49"/>
    </row>
    <row r="83" spans="1:26" s="48" customFormat="1" ht="15" hidden="1" customHeight="1" x14ac:dyDescent="0.35">
      <c r="A83" s="56" t="s">
        <v>87</v>
      </c>
      <c r="B83" s="42">
        <v>91739.900000000023</v>
      </c>
      <c r="C83" s="43">
        <v>109495.9</v>
      </c>
      <c r="D83" s="42">
        <f t="shared" si="44"/>
        <v>201235.80000000002</v>
      </c>
      <c r="E83" s="42">
        <v>30261.7</v>
      </c>
      <c r="F83" s="42">
        <v>76878.5</v>
      </c>
      <c r="G83" s="42" t="s">
        <v>28</v>
      </c>
      <c r="H83" s="43">
        <v>11007.6</v>
      </c>
      <c r="I83" s="42">
        <v>50525</v>
      </c>
      <c r="J83" s="43">
        <v>146671.6</v>
      </c>
      <c r="K83" s="42">
        <f t="shared" si="45"/>
        <v>315344.40000000002</v>
      </c>
      <c r="L83" s="45">
        <v>104308.1</v>
      </c>
      <c r="M83" s="42">
        <v>17832.2</v>
      </c>
      <c r="N83" s="55">
        <f t="shared" si="46"/>
        <v>193204.1</v>
      </c>
      <c r="O83" s="43"/>
      <c r="P83" s="47">
        <v>24237.7</v>
      </c>
      <c r="Q83" s="42">
        <v>380861.39999999997</v>
      </c>
      <c r="R83" s="74">
        <v>677.2</v>
      </c>
      <c r="S83" s="42">
        <f t="shared" si="47"/>
        <v>405776.3</v>
      </c>
      <c r="T83" s="46"/>
      <c r="U83" s="47">
        <f t="shared" si="48"/>
        <v>598980.4</v>
      </c>
      <c r="V83" s="42">
        <f t="shared" si="49"/>
        <v>800216.20000000007</v>
      </c>
      <c r="Z83" s="49"/>
    </row>
    <row r="84" spans="1:26" s="48" customFormat="1" ht="15" hidden="1" customHeight="1" x14ac:dyDescent="0.35">
      <c r="A84" s="56" t="s">
        <v>92</v>
      </c>
      <c r="B84" s="42">
        <v>83653</v>
      </c>
      <c r="C84" s="43">
        <v>101473.7</v>
      </c>
      <c r="D84" s="42">
        <f t="shared" ref="D84:D120" si="50">SUM(B84,C84)</f>
        <v>185126.7</v>
      </c>
      <c r="E84" s="42">
        <v>37841.9</v>
      </c>
      <c r="F84" s="42">
        <v>87243</v>
      </c>
      <c r="G84" s="42" t="s">
        <v>28</v>
      </c>
      <c r="H84" s="43">
        <v>10351.299999999999</v>
      </c>
      <c r="I84" s="42">
        <v>50525</v>
      </c>
      <c r="J84" s="43">
        <v>146363.5</v>
      </c>
      <c r="K84" s="42">
        <f t="shared" si="45"/>
        <v>332324.69999999995</v>
      </c>
      <c r="L84" s="45">
        <v>116344.12</v>
      </c>
      <c r="M84" s="42">
        <v>14284.900000000001</v>
      </c>
      <c r="N84" s="55">
        <f t="shared" si="46"/>
        <v>201695.67999999996</v>
      </c>
      <c r="O84" s="43"/>
      <c r="P84" s="47">
        <v>24172.199999999997</v>
      </c>
      <c r="Q84" s="42">
        <v>392829.59999999992</v>
      </c>
      <c r="R84" s="74">
        <v>678.59999999999991</v>
      </c>
      <c r="S84" s="42">
        <f t="shared" si="47"/>
        <v>417680.39999999991</v>
      </c>
      <c r="T84" s="46"/>
      <c r="U84" s="47">
        <f t="shared" si="48"/>
        <v>619376.07999999984</v>
      </c>
      <c r="V84" s="42">
        <f t="shared" si="49"/>
        <v>804502.7799999998</v>
      </c>
      <c r="Z84" s="49"/>
    </row>
    <row r="85" spans="1:26" s="48" customFormat="1" ht="15" hidden="1" customHeight="1" x14ac:dyDescent="0.35">
      <c r="A85" s="56" t="s">
        <v>93</v>
      </c>
      <c r="B85" s="42">
        <v>69547.100000000035</v>
      </c>
      <c r="C85" s="43">
        <v>98149.299999999988</v>
      </c>
      <c r="D85" s="42">
        <f t="shared" si="50"/>
        <v>167696.40000000002</v>
      </c>
      <c r="E85" s="42">
        <v>37014.199999999997</v>
      </c>
      <c r="F85" s="42">
        <v>97609.1</v>
      </c>
      <c r="G85" s="42" t="s">
        <v>28</v>
      </c>
      <c r="H85" s="43">
        <v>9655.2999999999993</v>
      </c>
      <c r="I85" s="42">
        <v>50525</v>
      </c>
      <c r="J85" s="43">
        <v>146055.29999999999</v>
      </c>
      <c r="K85" s="42">
        <f t="shared" si="45"/>
        <v>340858.89999999997</v>
      </c>
      <c r="L85" s="45">
        <v>108989</v>
      </c>
      <c r="M85" s="42">
        <v>13247.7</v>
      </c>
      <c r="N85" s="55">
        <f t="shared" si="46"/>
        <v>218622.19999999995</v>
      </c>
      <c r="O85" s="43"/>
      <c r="P85" s="47">
        <v>21154.600000000002</v>
      </c>
      <c r="Q85" s="42">
        <v>401374.89999999997</v>
      </c>
      <c r="R85" s="74">
        <v>647.79999999999995</v>
      </c>
      <c r="S85" s="42">
        <f t="shared" si="47"/>
        <v>423177.29999999993</v>
      </c>
      <c r="T85" s="46"/>
      <c r="U85" s="47">
        <f t="shared" si="48"/>
        <v>641799.49999999988</v>
      </c>
      <c r="V85" s="42">
        <f t="shared" si="49"/>
        <v>809495.89999999991</v>
      </c>
      <c r="Z85" s="49"/>
    </row>
    <row r="86" spans="1:26" s="48" customFormat="1" ht="15" hidden="1" customHeight="1" x14ac:dyDescent="0.35">
      <c r="A86" s="56" t="s">
        <v>94</v>
      </c>
      <c r="B86" s="42">
        <v>66483.800000000047</v>
      </c>
      <c r="C86" s="43">
        <v>108069.90000000001</v>
      </c>
      <c r="D86" s="42">
        <f t="shared" si="50"/>
        <v>174553.70000000007</v>
      </c>
      <c r="E86" s="42">
        <v>25932</v>
      </c>
      <c r="F86" s="42">
        <v>108265.2</v>
      </c>
      <c r="G86" s="42" t="s">
        <v>28</v>
      </c>
      <c r="H86" s="43">
        <v>9619.8000000000011</v>
      </c>
      <c r="I86" s="42">
        <v>50525</v>
      </c>
      <c r="J86" s="43">
        <v>145747.20000000001</v>
      </c>
      <c r="K86" s="42">
        <f t="shared" si="45"/>
        <v>340089.2</v>
      </c>
      <c r="L86" s="45">
        <v>122944.1</v>
      </c>
      <c r="M86" s="42">
        <v>12589.2</v>
      </c>
      <c r="N86" s="55">
        <f t="shared" si="46"/>
        <v>204555.9</v>
      </c>
      <c r="O86" s="43"/>
      <c r="P86" s="47">
        <v>17146</v>
      </c>
      <c r="Q86" s="42">
        <v>410459.6</v>
      </c>
      <c r="R86" s="74">
        <v>656.2</v>
      </c>
      <c r="S86" s="42">
        <f t="shared" si="47"/>
        <v>428261.8</v>
      </c>
      <c r="T86" s="46"/>
      <c r="U86" s="47">
        <f t="shared" si="48"/>
        <v>632817.69999999995</v>
      </c>
      <c r="V86" s="42">
        <f t="shared" si="49"/>
        <v>807371.4</v>
      </c>
      <c r="Z86" s="49"/>
    </row>
    <row r="87" spans="1:26" s="48" customFormat="1" ht="15" hidden="1" customHeight="1" x14ac:dyDescent="0.35">
      <c r="A87" s="56" t="s">
        <v>95</v>
      </c>
      <c r="B87" s="42">
        <v>74650.300000000047</v>
      </c>
      <c r="C87" s="43">
        <v>103346.49999999997</v>
      </c>
      <c r="D87" s="42">
        <f t="shared" si="50"/>
        <v>177996.80000000002</v>
      </c>
      <c r="E87" s="42">
        <v>35424.1</v>
      </c>
      <c r="F87" s="42">
        <v>107157.2</v>
      </c>
      <c r="G87" s="42" t="s">
        <v>28</v>
      </c>
      <c r="H87" s="43">
        <v>10363.699999999999</v>
      </c>
      <c r="I87" s="42">
        <v>50525</v>
      </c>
      <c r="J87" s="43">
        <v>145439.1</v>
      </c>
      <c r="K87" s="42">
        <f t="shared" si="45"/>
        <v>348909.1</v>
      </c>
      <c r="L87" s="45">
        <v>112932.1</v>
      </c>
      <c r="M87" s="42">
        <v>12494.599999999999</v>
      </c>
      <c r="N87" s="55">
        <f t="shared" si="46"/>
        <v>223482.39999999997</v>
      </c>
      <c r="O87" s="43"/>
      <c r="P87" s="47">
        <v>12787.9</v>
      </c>
      <c r="Q87" s="42">
        <v>412702.2</v>
      </c>
      <c r="R87" s="74">
        <v>620.79999999999995</v>
      </c>
      <c r="S87" s="42">
        <f t="shared" si="47"/>
        <v>426110.9</v>
      </c>
      <c r="T87" s="46"/>
      <c r="U87" s="47">
        <f t="shared" si="48"/>
        <v>649593.30000000005</v>
      </c>
      <c r="V87" s="42">
        <f t="shared" si="49"/>
        <v>827590.10000000009</v>
      </c>
      <c r="Z87" s="49"/>
    </row>
    <row r="88" spans="1:26" s="48" customFormat="1" ht="15" hidden="1" customHeight="1" x14ac:dyDescent="0.35">
      <c r="A88" s="56" t="s">
        <v>96</v>
      </c>
      <c r="B88" s="42">
        <v>141613.59999999998</v>
      </c>
      <c r="C88" s="43">
        <v>112437.40000000001</v>
      </c>
      <c r="D88" s="42">
        <f t="shared" si="50"/>
        <v>254051</v>
      </c>
      <c r="E88" s="42">
        <v>19134.2</v>
      </c>
      <c r="F88" s="42">
        <v>109104.5</v>
      </c>
      <c r="G88" s="42" t="s">
        <v>28</v>
      </c>
      <c r="H88" s="43">
        <v>14177.3</v>
      </c>
      <c r="I88" s="42">
        <v>88925</v>
      </c>
      <c r="J88" s="43">
        <v>145130.9</v>
      </c>
      <c r="K88" s="42">
        <f t="shared" si="45"/>
        <v>376471.9</v>
      </c>
      <c r="L88" s="45">
        <v>153945.1</v>
      </c>
      <c r="M88" s="42">
        <v>11748.2</v>
      </c>
      <c r="N88" s="55">
        <f t="shared" si="46"/>
        <v>210778.6</v>
      </c>
      <c r="O88" s="43"/>
      <c r="P88" s="47">
        <v>8682.2000000000007</v>
      </c>
      <c r="Q88" s="42">
        <v>421111.6</v>
      </c>
      <c r="R88" s="74">
        <v>599.4</v>
      </c>
      <c r="S88" s="42">
        <f t="shared" si="47"/>
        <v>430393.2</v>
      </c>
      <c r="T88" s="46"/>
      <c r="U88" s="47">
        <f t="shared" si="48"/>
        <v>641171.80000000005</v>
      </c>
      <c r="V88" s="42">
        <f t="shared" si="49"/>
        <v>895222.8</v>
      </c>
      <c r="Z88" s="49"/>
    </row>
    <row r="89" spans="1:26" s="48" customFormat="1" ht="15" hidden="1" customHeight="1" x14ac:dyDescent="0.35">
      <c r="A89" s="56"/>
      <c r="B89" s="42"/>
      <c r="C89" s="43"/>
      <c r="D89" s="42"/>
      <c r="E89" s="42"/>
      <c r="F89" s="42"/>
      <c r="G89" s="42"/>
      <c r="H89" s="43"/>
      <c r="I89" s="42"/>
      <c r="J89" s="43"/>
      <c r="K89" s="42"/>
      <c r="L89" s="45"/>
      <c r="M89" s="42"/>
      <c r="N89" s="55"/>
      <c r="O89" s="43"/>
      <c r="P89" s="47"/>
      <c r="Q89" s="42"/>
      <c r="R89" s="74"/>
      <c r="S89" s="42"/>
      <c r="T89" s="46"/>
      <c r="U89" s="47"/>
      <c r="V89" s="42"/>
      <c r="Z89" s="49"/>
    </row>
    <row r="90" spans="1:26" s="48" customFormat="1" ht="15" hidden="1" customHeight="1" x14ac:dyDescent="0.35">
      <c r="A90" s="56" t="s">
        <v>68</v>
      </c>
      <c r="B90" s="42">
        <v>131446.90000000002</v>
      </c>
      <c r="C90" s="43">
        <v>108031.50000000003</v>
      </c>
      <c r="D90" s="42">
        <f t="shared" si="50"/>
        <v>239478.40000000005</v>
      </c>
      <c r="E90" s="79" t="s">
        <v>28</v>
      </c>
      <c r="F90" s="42">
        <v>120122</v>
      </c>
      <c r="G90" s="42" t="s">
        <v>28</v>
      </c>
      <c r="H90" s="43">
        <v>11301.6</v>
      </c>
      <c r="I90" s="42">
        <v>88925</v>
      </c>
      <c r="J90" s="43">
        <v>144822.79999999999</v>
      </c>
      <c r="K90" s="42">
        <f t="shared" si="45"/>
        <v>365171.4</v>
      </c>
      <c r="L90" s="45">
        <v>177719.3</v>
      </c>
      <c r="M90" s="42">
        <v>9081.1</v>
      </c>
      <c r="N90" s="55">
        <f t="shared" si="46"/>
        <v>178371.00000000003</v>
      </c>
      <c r="O90" s="43"/>
      <c r="P90" s="47">
        <v>7606.4000000000005</v>
      </c>
      <c r="Q90" s="42">
        <v>426172.49999999994</v>
      </c>
      <c r="R90" s="74">
        <v>588.79999999999995</v>
      </c>
      <c r="S90" s="42">
        <f t="shared" si="47"/>
        <v>434367.69999999995</v>
      </c>
      <c r="T90" s="46"/>
      <c r="U90" s="47">
        <f t="shared" si="48"/>
        <v>612738.69999999995</v>
      </c>
      <c r="V90" s="42">
        <f t="shared" si="49"/>
        <v>852217.1</v>
      </c>
      <c r="Z90" s="49"/>
    </row>
    <row r="91" spans="1:26" s="48" customFormat="1" ht="15" hidden="1" customHeight="1" x14ac:dyDescent="0.35">
      <c r="A91" s="56" t="s">
        <v>99</v>
      </c>
      <c r="B91" s="42">
        <v>156264.40000000002</v>
      </c>
      <c r="C91" s="43">
        <v>100573.6</v>
      </c>
      <c r="D91" s="42">
        <f t="shared" si="50"/>
        <v>256838.00000000003</v>
      </c>
      <c r="E91" s="79" t="s">
        <v>28</v>
      </c>
      <c r="F91" s="42">
        <v>130026.7</v>
      </c>
      <c r="G91" s="42" t="s">
        <v>28</v>
      </c>
      <c r="H91" s="43">
        <v>10764.699999999999</v>
      </c>
      <c r="I91" s="42">
        <v>88925</v>
      </c>
      <c r="J91" s="43">
        <v>144514.70000000001</v>
      </c>
      <c r="K91" s="42">
        <f t="shared" si="45"/>
        <v>374231.1</v>
      </c>
      <c r="L91" s="45">
        <v>211115.69999999998</v>
      </c>
      <c r="M91" s="42">
        <v>11244.5</v>
      </c>
      <c r="N91" s="55">
        <f t="shared" si="46"/>
        <v>151870.9</v>
      </c>
      <c r="O91" s="43"/>
      <c r="P91" s="47">
        <v>7244.9000000000005</v>
      </c>
      <c r="Q91" s="42">
        <v>440757.8</v>
      </c>
      <c r="R91" s="74">
        <v>508.4</v>
      </c>
      <c r="S91" s="42">
        <f t="shared" si="47"/>
        <v>448511.10000000003</v>
      </c>
      <c r="T91" s="46"/>
      <c r="U91" s="47">
        <f t="shared" si="48"/>
        <v>600382</v>
      </c>
      <c r="V91" s="42">
        <f t="shared" si="49"/>
        <v>857220</v>
      </c>
      <c r="Z91" s="49"/>
    </row>
    <row r="92" spans="1:26" s="48" customFormat="1" ht="15" hidden="1" customHeight="1" x14ac:dyDescent="0.35">
      <c r="A92" s="56" t="s">
        <v>71</v>
      </c>
      <c r="B92" s="42">
        <v>143339.09999999998</v>
      </c>
      <c r="C92" s="43">
        <v>104483.19999999995</v>
      </c>
      <c r="D92" s="42">
        <f t="shared" si="50"/>
        <v>247822.29999999993</v>
      </c>
      <c r="E92" s="42">
        <v>2480.5</v>
      </c>
      <c r="F92" s="42">
        <v>119566.29999999999</v>
      </c>
      <c r="G92" s="42" t="s">
        <v>28</v>
      </c>
      <c r="H92" s="43">
        <v>12695.1</v>
      </c>
      <c r="I92" s="42">
        <v>74325</v>
      </c>
      <c r="J92" s="43">
        <v>144206.6</v>
      </c>
      <c r="K92" s="42">
        <f t="shared" si="45"/>
        <v>353273.5</v>
      </c>
      <c r="L92" s="45">
        <v>167581</v>
      </c>
      <c r="M92" s="42">
        <v>9395.7999999999993</v>
      </c>
      <c r="N92" s="55">
        <f t="shared" si="46"/>
        <v>176296.7</v>
      </c>
      <c r="O92" s="43"/>
      <c r="P92" s="47">
        <v>6471.0000000000009</v>
      </c>
      <c r="Q92" s="42">
        <v>449039.2</v>
      </c>
      <c r="R92" s="74">
        <v>599</v>
      </c>
      <c r="S92" s="42">
        <f t="shared" si="47"/>
        <v>456109.2</v>
      </c>
      <c r="T92" s="46"/>
      <c r="U92" s="47">
        <f t="shared" si="48"/>
        <v>632405.9</v>
      </c>
      <c r="V92" s="42">
        <f t="shared" si="49"/>
        <v>880228.2</v>
      </c>
      <c r="Z92" s="49"/>
    </row>
    <row r="93" spans="1:26" s="48" customFormat="1" ht="15" hidden="1" customHeight="1" x14ac:dyDescent="0.35">
      <c r="A93" s="56" t="s">
        <v>35</v>
      </c>
      <c r="B93" s="42">
        <v>151581.59999999998</v>
      </c>
      <c r="C93" s="43">
        <v>98502.399999999994</v>
      </c>
      <c r="D93" s="42">
        <f t="shared" si="50"/>
        <v>250083.99999999997</v>
      </c>
      <c r="E93" s="79" t="s">
        <v>28</v>
      </c>
      <c r="F93" s="42">
        <v>121966.1</v>
      </c>
      <c r="G93" s="42" t="s">
        <v>28</v>
      </c>
      <c r="H93" s="43">
        <v>15459.300000000001</v>
      </c>
      <c r="I93" s="42">
        <v>74325</v>
      </c>
      <c r="J93" s="43">
        <v>143898.4</v>
      </c>
      <c r="K93" s="42">
        <f t="shared" si="45"/>
        <v>355648.8</v>
      </c>
      <c r="L93" s="45">
        <v>172749.5</v>
      </c>
      <c r="M93" s="42">
        <v>11236.499999999998</v>
      </c>
      <c r="N93" s="55">
        <f t="shared" si="46"/>
        <v>171662.8</v>
      </c>
      <c r="O93" s="43"/>
      <c r="P93" s="47">
        <v>5060.1000000000013</v>
      </c>
      <c r="Q93" s="42">
        <v>456090.8</v>
      </c>
      <c r="R93" s="74">
        <v>583.6</v>
      </c>
      <c r="S93" s="42">
        <f t="shared" si="47"/>
        <v>461734.49999999994</v>
      </c>
      <c r="T93" s="46"/>
      <c r="U93" s="47">
        <f t="shared" si="48"/>
        <v>633397.29999999993</v>
      </c>
      <c r="V93" s="42">
        <f t="shared" si="49"/>
        <v>883481.29999999993</v>
      </c>
      <c r="Z93" s="49"/>
    </row>
    <row r="94" spans="1:26" s="48" customFormat="1" ht="15" hidden="1" customHeight="1" x14ac:dyDescent="0.35">
      <c r="A94" s="56" t="s">
        <v>75</v>
      </c>
      <c r="B94" s="42">
        <v>145435.50000000006</v>
      </c>
      <c r="C94" s="43">
        <v>94834.900000000038</v>
      </c>
      <c r="D94" s="42">
        <f t="shared" si="50"/>
        <v>240270.40000000008</v>
      </c>
      <c r="E94" s="42">
        <v>12986.3</v>
      </c>
      <c r="F94" s="42">
        <v>124240.19999999998</v>
      </c>
      <c r="G94" s="42" t="s">
        <v>28</v>
      </c>
      <c r="H94" s="43">
        <v>19313.400000000001</v>
      </c>
      <c r="I94" s="42">
        <v>74325</v>
      </c>
      <c r="J94" s="43">
        <v>143590.29999999999</v>
      </c>
      <c r="K94" s="42">
        <f t="shared" si="45"/>
        <v>374455.19999999995</v>
      </c>
      <c r="L94" s="45">
        <v>190382.5</v>
      </c>
      <c r="M94" s="42">
        <v>10405.5</v>
      </c>
      <c r="N94" s="55">
        <f t="shared" si="46"/>
        <v>173667.19999999995</v>
      </c>
      <c r="O94" s="43"/>
      <c r="P94" s="47">
        <v>4973.6000000000013</v>
      </c>
      <c r="Q94" s="42">
        <v>474627.49999999994</v>
      </c>
      <c r="R94" s="74">
        <v>631.5</v>
      </c>
      <c r="S94" s="42">
        <f t="shared" si="47"/>
        <v>480232.59999999992</v>
      </c>
      <c r="T94" s="46"/>
      <c r="U94" s="47">
        <f t="shared" si="48"/>
        <v>653899.79999999981</v>
      </c>
      <c r="V94" s="42">
        <f t="shared" si="49"/>
        <v>894170.2</v>
      </c>
      <c r="Z94" s="49"/>
    </row>
    <row r="95" spans="1:26" s="48" customFormat="1" ht="15" hidden="1" customHeight="1" x14ac:dyDescent="0.35">
      <c r="A95" s="56" t="s">
        <v>38</v>
      </c>
      <c r="B95" s="42">
        <v>133383.10000000003</v>
      </c>
      <c r="C95" s="43">
        <v>90655.799999999988</v>
      </c>
      <c r="D95" s="42">
        <f t="shared" si="50"/>
        <v>224038.90000000002</v>
      </c>
      <c r="E95" s="42">
        <v>24462.799999999999</v>
      </c>
      <c r="F95" s="42">
        <v>117440.9</v>
      </c>
      <c r="G95" s="42" t="s">
        <v>28</v>
      </c>
      <c r="H95" s="43">
        <v>17897.8</v>
      </c>
      <c r="I95" s="42">
        <v>74325</v>
      </c>
      <c r="J95" s="43">
        <v>143282.1</v>
      </c>
      <c r="K95" s="42">
        <f t="shared" si="45"/>
        <v>377408.6</v>
      </c>
      <c r="L95" s="45">
        <v>177782.6</v>
      </c>
      <c r="M95" s="42">
        <v>12941</v>
      </c>
      <c r="N95" s="55">
        <f t="shared" si="46"/>
        <v>186684.99999999997</v>
      </c>
      <c r="O95" s="43"/>
      <c r="P95" s="47">
        <v>5148.5000000000009</v>
      </c>
      <c r="Q95" s="42">
        <v>503523.7</v>
      </c>
      <c r="R95" s="74">
        <v>597.5</v>
      </c>
      <c r="S95" s="42">
        <f t="shared" si="47"/>
        <v>509269.7</v>
      </c>
      <c r="T95" s="46"/>
      <c r="U95" s="47">
        <f t="shared" si="48"/>
        <v>695954.7</v>
      </c>
      <c r="V95" s="42">
        <f t="shared" si="49"/>
        <v>919993.6</v>
      </c>
      <c r="Z95" s="49"/>
    </row>
    <row r="96" spans="1:26" s="48" customFormat="1" ht="15" hidden="1" customHeight="1" x14ac:dyDescent="0.35">
      <c r="A96" s="56" t="s">
        <v>61</v>
      </c>
      <c r="B96" s="42">
        <v>119995.09999999998</v>
      </c>
      <c r="C96" s="43">
        <v>94244.900000000023</v>
      </c>
      <c r="D96" s="42">
        <f t="shared" si="50"/>
        <v>214240</v>
      </c>
      <c r="E96" s="42">
        <v>31447.8</v>
      </c>
      <c r="F96" s="42">
        <v>119540.9</v>
      </c>
      <c r="G96" s="42" t="s">
        <v>28</v>
      </c>
      <c r="H96" s="43">
        <v>16240.1</v>
      </c>
      <c r="I96" s="42">
        <v>74325</v>
      </c>
      <c r="J96" s="43">
        <v>142974</v>
      </c>
      <c r="K96" s="42">
        <f t="shared" si="45"/>
        <v>384527.8</v>
      </c>
      <c r="L96" s="45">
        <v>158777.70000000001</v>
      </c>
      <c r="M96" s="42">
        <v>12144.3</v>
      </c>
      <c r="N96" s="55">
        <f t="shared" si="46"/>
        <v>213605.8</v>
      </c>
      <c r="O96" s="43"/>
      <c r="P96" s="47">
        <v>8163.5</v>
      </c>
      <c r="Q96" s="42">
        <v>518705.20000000007</v>
      </c>
      <c r="R96" s="74">
        <v>600</v>
      </c>
      <c r="S96" s="42">
        <f t="shared" si="47"/>
        <v>527468.70000000007</v>
      </c>
      <c r="T96" s="46"/>
      <c r="U96" s="47">
        <f t="shared" si="48"/>
        <v>741074.5</v>
      </c>
      <c r="V96" s="42">
        <f t="shared" si="49"/>
        <v>955314.5</v>
      </c>
      <c r="Z96" s="49"/>
    </row>
    <row r="97" spans="1:26" s="48" customFormat="1" ht="15" hidden="1" customHeight="1" x14ac:dyDescent="0.35">
      <c r="A97" s="56" t="s">
        <v>39</v>
      </c>
      <c r="B97" s="42">
        <v>101092.90000000002</v>
      </c>
      <c r="C97" s="43">
        <v>95644.100000000035</v>
      </c>
      <c r="D97" s="42">
        <f t="shared" si="50"/>
        <v>196737.00000000006</v>
      </c>
      <c r="E97" s="42">
        <v>35035.800000000003</v>
      </c>
      <c r="F97" s="42">
        <v>104184.4</v>
      </c>
      <c r="G97" s="42" t="s">
        <v>28</v>
      </c>
      <c r="H97" s="43">
        <v>13778.1</v>
      </c>
      <c r="I97" s="42">
        <v>74325</v>
      </c>
      <c r="J97" s="43">
        <v>142665.9</v>
      </c>
      <c r="K97" s="42">
        <f t="shared" si="45"/>
        <v>369989.2</v>
      </c>
      <c r="L97" s="45">
        <v>156664.79999999999</v>
      </c>
      <c r="M97" s="42">
        <v>13843.4</v>
      </c>
      <c r="N97" s="55">
        <f t="shared" si="46"/>
        <v>199481.00000000003</v>
      </c>
      <c r="O97" s="43"/>
      <c r="P97" s="47">
        <v>10457.799999999999</v>
      </c>
      <c r="Q97" s="42">
        <v>535651.20000000007</v>
      </c>
      <c r="R97" s="74">
        <v>573.40000000000009</v>
      </c>
      <c r="S97" s="42">
        <f t="shared" si="47"/>
        <v>546682.40000000014</v>
      </c>
      <c r="T97" s="46"/>
      <c r="U97" s="47">
        <f t="shared" si="48"/>
        <v>746163.40000000014</v>
      </c>
      <c r="V97" s="42">
        <f t="shared" si="49"/>
        <v>942900.40000000014</v>
      </c>
      <c r="Z97" s="49"/>
    </row>
    <row r="98" spans="1:26" s="48" customFormat="1" ht="15" hidden="1" customHeight="1" x14ac:dyDescent="0.35">
      <c r="A98" s="56" t="s">
        <v>79</v>
      </c>
      <c r="B98" s="42">
        <v>81241.400000000023</v>
      </c>
      <c r="C98" s="43">
        <v>88234.400000000023</v>
      </c>
      <c r="D98" s="42">
        <f t="shared" si="50"/>
        <v>169475.80000000005</v>
      </c>
      <c r="E98" s="42">
        <v>29256.3</v>
      </c>
      <c r="F98" s="42">
        <v>106984.4</v>
      </c>
      <c r="G98" s="42" t="s">
        <v>28</v>
      </c>
      <c r="H98" s="43">
        <v>12911.2</v>
      </c>
      <c r="I98" s="42">
        <v>74325</v>
      </c>
      <c r="J98" s="43">
        <v>142357.70000000001</v>
      </c>
      <c r="K98" s="42">
        <f t="shared" si="45"/>
        <v>365834.6</v>
      </c>
      <c r="L98" s="45">
        <v>152193.9</v>
      </c>
      <c r="M98" s="42">
        <v>13503.9</v>
      </c>
      <c r="N98" s="55">
        <f t="shared" si="46"/>
        <v>200136.8</v>
      </c>
      <c r="O98" s="43"/>
      <c r="P98" s="47">
        <v>8482.0999999999985</v>
      </c>
      <c r="Q98" s="42">
        <v>543070.39999999991</v>
      </c>
      <c r="R98" s="74">
        <v>1019.5999999999999</v>
      </c>
      <c r="S98" s="42">
        <f t="shared" si="47"/>
        <v>552572.09999999986</v>
      </c>
      <c r="T98" s="46"/>
      <c r="U98" s="47">
        <f t="shared" si="48"/>
        <v>752708.89999999991</v>
      </c>
      <c r="V98" s="42">
        <f t="shared" si="49"/>
        <v>922184.7</v>
      </c>
      <c r="Z98" s="49"/>
    </row>
    <row r="99" spans="1:26" s="48" customFormat="1" ht="19.5" hidden="1" customHeight="1" x14ac:dyDescent="0.35">
      <c r="A99" s="63" t="s">
        <v>82</v>
      </c>
      <c r="B99" s="42">
        <v>61605.000000000058</v>
      </c>
      <c r="C99" s="43">
        <v>91985.2</v>
      </c>
      <c r="D99" s="42">
        <f t="shared" si="50"/>
        <v>153590.20000000007</v>
      </c>
      <c r="E99" s="42">
        <v>29858.9</v>
      </c>
      <c r="F99" s="42">
        <v>105384.4</v>
      </c>
      <c r="G99" s="42" t="s">
        <v>28</v>
      </c>
      <c r="H99" s="43">
        <v>13872.2</v>
      </c>
      <c r="I99" s="42">
        <v>94325</v>
      </c>
      <c r="J99" s="43">
        <v>142049.60000000001</v>
      </c>
      <c r="K99" s="42">
        <f t="shared" si="45"/>
        <v>385490.1</v>
      </c>
      <c r="L99" s="45">
        <v>160446.20000000001</v>
      </c>
      <c r="M99" s="42">
        <v>14274.7</v>
      </c>
      <c r="N99" s="55">
        <f t="shared" si="46"/>
        <v>210769.19999999995</v>
      </c>
      <c r="O99" s="43"/>
      <c r="P99" s="47">
        <v>4975.6000000000013</v>
      </c>
      <c r="Q99" s="42">
        <v>562807.99999999988</v>
      </c>
      <c r="R99" s="74">
        <v>994.09999999999991</v>
      </c>
      <c r="S99" s="42">
        <f t="shared" si="47"/>
        <v>568777.69999999984</v>
      </c>
      <c r="T99" s="46"/>
      <c r="U99" s="47">
        <f t="shared" si="48"/>
        <v>779546.89999999979</v>
      </c>
      <c r="V99" s="42">
        <f t="shared" si="49"/>
        <v>933137.09999999986</v>
      </c>
      <c r="Z99" s="49"/>
    </row>
    <row r="100" spans="1:26" s="48" customFormat="1" ht="19.5" hidden="1" customHeight="1" x14ac:dyDescent="0.35">
      <c r="A100" s="63" t="s">
        <v>83</v>
      </c>
      <c r="B100" s="42">
        <v>59710.299999999988</v>
      </c>
      <c r="C100" s="43">
        <v>101477.99999999999</v>
      </c>
      <c r="D100" s="42">
        <f t="shared" si="50"/>
        <v>161188.29999999999</v>
      </c>
      <c r="E100" s="42">
        <v>13631.5</v>
      </c>
      <c r="F100" s="42">
        <v>94884.4</v>
      </c>
      <c r="G100" s="42" t="s">
        <v>28</v>
      </c>
      <c r="H100" s="43">
        <v>14068.5</v>
      </c>
      <c r="I100" s="42">
        <v>94325</v>
      </c>
      <c r="J100" s="43">
        <v>142049.60000000001</v>
      </c>
      <c r="K100" s="42">
        <f t="shared" si="45"/>
        <v>358959</v>
      </c>
      <c r="L100" s="45">
        <v>163287.89999999997</v>
      </c>
      <c r="M100" s="42">
        <v>14823.400000000001</v>
      </c>
      <c r="N100" s="55">
        <f t="shared" si="46"/>
        <v>180847.70000000004</v>
      </c>
      <c r="O100" s="43"/>
      <c r="P100" s="47">
        <v>6924.0000000000009</v>
      </c>
      <c r="Q100" s="42">
        <v>570244.19999999995</v>
      </c>
      <c r="R100" s="74">
        <v>1003.0999999999999</v>
      </c>
      <c r="S100" s="42">
        <f t="shared" si="47"/>
        <v>578171.29999999993</v>
      </c>
      <c r="T100" s="46"/>
      <c r="U100" s="47">
        <f t="shared" si="48"/>
        <v>759019</v>
      </c>
      <c r="V100" s="42">
        <f t="shared" si="49"/>
        <v>920207.3</v>
      </c>
      <c r="Z100" s="49"/>
    </row>
    <row r="101" spans="1:26" s="48" customFormat="1" ht="19.5" hidden="1" customHeight="1" x14ac:dyDescent="0.35">
      <c r="A101" s="63" t="s">
        <v>88</v>
      </c>
      <c r="B101" s="42">
        <v>82293.999999999942</v>
      </c>
      <c r="C101" s="43">
        <v>123231.6</v>
      </c>
      <c r="D101" s="42">
        <f t="shared" si="50"/>
        <v>205525.59999999995</v>
      </c>
      <c r="E101" s="42">
        <v>86260.6</v>
      </c>
      <c r="F101" s="42">
        <v>84484.4</v>
      </c>
      <c r="G101" s="42" t="s">
        <v>28</v>
      </c>
      <c r="H101" s="43">
        <v>14746.9</v>
      </c>
      <c r="I101" s="42">
        <v>94325</v>
      </c>
      <c r="J101" s="43">
        <v>141433.29999999999</v>
      </c>
      <c r="K101" s="42">
        <f t="shared" si="45"/>
        <v>421250.2</v>
      </c>
      <c r="L101" s="45">
        <v>174847.2</v>
      </c>
      <c r="M101" s="42">
        <v>14154.1</v>
      </c>
      <c r="N101" s="55">
        <f t="shared" si="46"/>
        <v>232248.9</v>
      </c>
      <c r="O101" s="43"/>
      <c r="P101" s="47">
        <v>4009.9000000000005</v>
      </c>
      <c r="Q101" s="42">
        <v>561438.5</v>
      </c>
      <c r="R101" s="74">
        <v>1021.9000000000001</v>
      </c>
      <c r="S101" s="42">
        <f t="shared" si="47"/>
        <v>566470.30000000005</v>
      </c>
      <c r="T101" s="46"/>
      <c r="U101" s="47">
        <f t="shared" si="48"/>
        <v>798719.20000000007</v>
      </c>
      <c r="V101" s="42">
        <f t="shared" si="49"/>
        <v>1004244.8</v>
      </c>
      <c r="Z101" s="49"/>
    </row>
    <row r="102" spans="1:26" s="48" customFormat="1" ht="19.5" hidden="1" customHeight="1" x14ac:dyDescent="0.35">
      <c r="A102" s="63"/>
      <c r="B102" s="42"/>
      <c r="C102" s="43"/>
      <c r="D102" s="42"/>
      <c r="E102" s="42"/>
      <c r="F102" s="42"/>
      <c r="G102" s="42"/>
      <c r="H102" s="43"/>
      <c r="I102" s="42"/>
      <c r="J102" s="43"/>
      <c r="K102" s="42"/>
      <c r="L102" s="45"/>
      <c r="M102" s="42"/>
      <c r="N102" s="55"/>
      <c r="O102" s="43"/>
      <c r="P102" s="47"/>
      <c r="Q102" s="42"/>
      <c r="R102" s="74"/>
      <c r="S102" s="42"/>
      <c r="T102" s="46"/>
      <c r="U102" s="47"/>
      <c r="V102" s="42"/>
      <c r="Z102" s="49"/>
    </row>
    <row r="103" spans="1:26" s="48" customFormat="1" ht="19.5" hidden="1" customHeight="1" x14ac:dyDescent="0.35">
      <c r="A103" s="63" t="s">
        <v>89</v>
      </c>
      <c r="B103" s="42">
        <v>112890.80000000016</v>
      </c>
      <c r="C103" s="43">
        <v>125509.49999999997</v>
      </c>
      <c r="D103" s="42">
        <f t="shared" si="50"/>
        <v>238400.30000000013</v>
      </c>
      <c r="E103" s="42">
        <v>23225.200000000001</v>
      </c>
      <c r="F103" s="42">
        <v>85407.4</v>
      </c>
      <c r="G103" s="42" t="s">
        <v>28</v>
      </c>
      <c r="H103" s="43">
        <v>15311.9</v>
      </c>
      <c r="I103" s="42">
        <v>94325</v>
      </c>
      <c r="J103" s="43">
        <v>141125.20000000001</v>
      </c>
      <c r="K103" s="42">
        <f t="shared" si="45"/>
        <v>359394.7</v>
      </c>
      <c r="L103" s="45">
        <v>186645.5</v>
      </c>
      <c r="M103" s="42">
        <v>16320.800000000001</v>
      </c>
      <c r="N103" s="55">
        <f t="shared" si="46"/>
        <v>156428.40000000002</v>
      </c>
      <c r="O103" s="43"/>
      <c r="P103" s="47">
        <v>3873</v>
      </c>
      <c r="Q103" s="42">
        <v>564934</v>
      </c>
      <c r="R103" s="74">
        <v>1011.8</v>
      </c>
      <c r="S103" s="42">
        <f t="shared" si="47"/>
        <v>569818.80000000005</v>
      </c>
      <c r="T103" s="46"/>
      <c r="U103" s="47">
        <f t="shared" si="48"/>
        <v>726247.20000000007</v>
      </c>
      <c r="V103" s="42">
        <f t="shared" si="49"/>
        <v>964647.50000000023</v>
      </c>
      <c r="Z103" s="49"/>
    </row>
    <row r="104" spans="1:26" s="48" customFormat="1" ht="19.5" hidden="1" customHeight="1" x14ac:dyDescent="0.35">
      <c r="A104" s="63" t="s">
        <v>109</v>
      </c>
      <c r="B104" s="42">
        <v>98423.899999999965</v>
      </c>
      <c r="C104" s="43">
        <v>123068.90000000004</v>
      </c>
      <c r="D104" s="42">
        <f t="shared" si="50"/>
        <v>221492.8</v>
      </c>
      <c r="E104" s="42">
        <v>19733.599999999999</v>
      </c>
      <c r="F104" s="42">
        <v>81551.099999999991</v>
      </c>
      <c r="G104" s="42" t="s">
        <v>28</v>
      </c>
      <c r="H104" s="43">
        <v>15168.9</v>
      </c>
      <c r="I104" s="42">
        <v>94325</v>
      </c>
      <c r="J104" s="43">
        <v>140817.1</v>
      </c>
      <c r="K104" s="42">
        <f t="shared" si="45"/>
        <v>351595.69999999995</v>
      </c>
      <c r="L104" s="45">
        <v>172343.1</v>
      </c>
      <c r="M104" s="42">
        <v>17114.3</v>
      </c>
      <c r="N104" s="55">
        <f t="shared" si="46"/>
        <v>162138.29999999996</v>
      </c>
      <c r="O104" s="43"/>
      <c r="P104" s="47">
        <v>8112.7000000000007</v>
      </c>
      <c r="Q104" s="42">
        <v>566172.19999999995</v>
      </c>
      <c r="R104" s="74">
        <v>953.59999999999991</v>
      </c>
      <c r="S104" s="42">
        <f t="shared" si="47"/>
        <v>575238.49999999988</v>
      </c>
      <c r="T104" s="46"/>
      <c r="U104" s="47">
        <f t="shared" si="48"/>
        <v>737376.79999999981</v>
      </c>
      <c r="V104" s="42">
        <f t="shared" si="49"/>
        <v>958869.59999999986</v>
      </c>
      <c r="Z104" s="49"/>
    </row>
    <row r="105" spans="1:26" s="48" customFormat="1" ht="19.5" hidden="1" customHeight="1" x14ac:dyDescent="0.35">
      <c r="A105" s="63" t="s">
        <v>90</v>
      </c>
      <c r="B105" s="42">
        <v>67729.100000000093</v>
      </c>
      <c r="C105" s="43">
        <v>118491.8</v>
      </c>
      <c r="D105" s="42">
        <f t="shared" si="50"/>
        <v>186220.90000000008</v>
      </c>
      <c r="E105" s="42">
        <v>41361.199999999997</v>
      </c>
      <c r="F105" s="42">
        <v>72751.099999999991</v>
      </c>
      <c r="G105" s="42" t="s">
        <v>28</v>
      </c>
      <c r="H105" s="43">
        <v>16271.5</v>
      </c>
      <c r="I105" s="42">
        <v>94325</v>
      </c>
      <c r="J105" s="43">
        <v>140508.9</v>
      </c>
      <c r="K105" s="42">
        <f t="shared" si="45"/>
        <v>365217.69999999995</v>
      </c>
      <c r="L105" s="45">
        <v>188675.20000000001</v>
      </c>
      <c r="M105" s="42">
        <v>16840.8</v>
      </c>
      <c r="N105" s="55">
        <f t="shared" si="46"/>
        <v>159701.69999999995</v>
      </c>
      <c r="O105" s="43"/>
      <c r="P105" s="47">
        <v>7070.4000000000005</v>
      </c>
      <c r="Q105" s="42">
        <v>575106.29999999993</v>
      </c>
      <c r="R105" s="74">
        <v>943.4</v>
      </c>
      <c r="S105" s="42">
        <f t="shared" si="47"/>
        <v>583120.1</v>
      </c>
      <c r="T105" s="46"/>
      <c r="U105" s="47">
        <f t="shared" si="48"/>
        <v>742821.79999999993</v>
      </c>
      <c r="V105" s="42">
        <f t="shared" si="49"/>
        <v>929042.7</v>
      </c>
      <c r="Z105" s="49"/>
    </row>
    <row r="106" spans="1:26" s="48" customFormat="1" ht="19.5" hidden="1" customHeight="1" x14ac:dyDescent="0.35">
      <c r="A106" s="63" t="s">
        <v>111</v>
      </c>
      <c r="B106" s="42">
        <v>57855.800000000047</v>
      </c>
      <c r="C106" s="43">
        <v>106035.70000000001</v>
      </c>
      <c r="D106" s="42">
        <f t="shared" si="50"/>
        <v>163891.50000000006</v>
      </c>
      <c r="E106" s="42">
        <v>51796.5</v>
      </c>
      <c r="F106" s="42">
        <v>68244.899999999994</v>
      </c>
      <c r="G106" s="42" t="s">
        <v>28</v>
      </c>
      <c r="H106" s="43">
        <v>17528.8</v>
      </c>
      <c r="I106" s="42">
        <v>94325</v>
      </c>
      <c r="J106" s="43">
        <v>140200.79999999999</v>
      </c>
      <c r="K106" s="42">
        <f t="shared" si="45"/>
        <v>372096</v>
      </c>
      <c r="L106" s="45">
        <v>166456</v>
      </c>
      <c r="M106" s="42">
        <v>19564.399999999994</v>
      </c>
      <c r="N106" s="55">
        <f t="shared" si="46"/>
        <v>186075.6</v>
      </c>
      <c r="O106" s="43"/>
      <c r="P106" s="47">
        <v>7628.4</v>
      </c>
      <c r="Q106" s="42">
        <v>580450.49999999988</v>
      </c>
      <c r="R106" s="74">
        <v>916.8</v>
      </c>
      <c r="S106" s="42">
        <f t="shared" si="47"/>
        <v>588995.69999999995</v>
      </c>
      <c r="T106" s="46"/>
      <c r="U106" s="47">
        <f t="shared" si="48"/>
        <v>775071.29999999993</v>
      </c>
      <c r="V106" s="42">
        <f t="shared" si="49"/>
        <v>938962.8</v>
      </c>
      <c r="Z106" s="49"/>
    </row>
    <row r="107" spans="1:26" s="48" customFormat="1" ht="19.5" hidden="1" customHeight="1" x14ac:dyDescent="0.35">
      <c r="A107" s="63" t="s">
        <v>112</v>
      </c>
      <c r="B107" s="42">
        <v>60535.400000000081</v>
      </c>
      <c r="C107" s="43">
        <v>83366.000000000015</v>
      </c>
      <c r="D107" s="42">
        <f t="shared" si="50"/>
        <v>143901.40000000008</v>
      </c>
      <c r="E107" s="42">
        <v>32561.9</v>
      </c>
      <c r="F107" s="42">
        <v>66801.100000000006</v>
      </c>
      <c r="G107" s="42" t="s">
        <v>28</v>
      </c>
      <c r="H107" s="43">
        <v>15899.2</v>
      </c>
      <c r="I107" s="42">
        <v>94325</v>
      </c>
      <c r="J107" s="43">
        <v>140200.79999999999</v>
      </c>
      <c r="K107" s="42">
        <f t="shared" si="45"/>
        <v>349788</v>
      </c>
      <c r="L107" s="45">
        <v>151330</v>
      </c>
      <c r="M107" s="42">
        <v>13236.300000000001</v>
      </c>
      <c r="N107" s="55">
        <f t="shared" si="46"/>
        <v>185221.7</v>
      </c>
      <c r="O107" s="43"/>
      <c r="P107" s="47">
        <v>7345.9999999999991</v>
      </c>
      <c r="Q107" s="42">
        <v>609217.9</v>
      </c>
      <c r="R107" s="74">
        <v>992.09999999999991</v>
      </c>
      <c r="S107" s="42">
        <f t="shared" si="47"/>
        <v>617556</v>
      </c>
      <c r="T107" s="46"/>
      <c r="U107" s="47">
        <f t="shared" si="48"/>
        <v>802777.7</v>
      </c>
      <c r="V107" s="42">
        <f t="shared" si="49"/>
        <v>946679.10000000009</v>
      </c>
      <c r="Z107" s="49"/>
    </row>
    <row r="108" spans="1:26" s="48" customFormat="1" ht="19.5" hidden="1" customHeight="1" x14ac:dyDescent="0.35">
      <c r="A108" s="63" t="s">
        <v>113</v>
      </c>
      <c r="B108" s="42">
        <v>49308</v>
      </c>
      <c r="C108" s="43">
        <v>78556.900000000023</v>
      </c>
      <c r="D108" s="42">
        <f t="shared" si="50"/>
        <v>127864.90000000002</v>
      </c>
      <c r="E108" s="42">
        <v>49375</v>
      </c>
      <c r="F108" s="42">
        <v>63101.1</v>
      </c>
      <c r="G108" s="42" t="s">
        <v>28</v>
      </c>
      <c r="H108" s="43">
        <v>18502.399999999998</v>
      </c>
      <c r="I108" s="42">
        <v>94325</v>
      </c>
      <c r="J108" s="43">
        <v>139584.5</v>
      </c>
      <c r="K108" s="42">
        <f t="shared" si="45"/>
        <v>364888</v>
      </c>
      <c r="L108" s="45">
        <v>145251.30000000002</v>
      </c>
      <c r="M108" s="42">
        <v>13565.2</v>
      </c>
      <c r="N108" s="55">
        <f t="shared" si="46"/>
        <v>206071.49999999997</v>
      </c>
      <c r="O108" s="43"/>
      <c r="P108" s="47">
        <v>7579.2000000000007</v>
      </c>
      <c r="Q108" s="42">
        <v>630985.59999999986</v>
      </c>
      <c r="R108" s="74">
        <v>1005.8</v>
      </c>
      <c r="S108" s="42">
        <f t="shared" si="47"/>
        <v>639570.59999999986</v>
      </c>
      <c r="T108" s="46"/>
      <c r="U108" s="47">
        <f t="shared" si="48"/>
        <v>845642.09999999986</v>
      </c>
      <c r="V108" s="42">
        <f t="shared" si="49"/>
        <v>973506.99999999988</v>
      </c>
      <c r="Z108" s="49"/>
    </row>
    <row r="109" spans="1:26" s="48" customFormat="1" ht="19.5" hidden="1" customHeight="1" x14ac:dyDescent="0.35">
      <c r="A109" s="63" t="s">
        <v>114</v>
      </c>
      <c r="B109" s="42">
        <v>46872.800000000047</v>
      </c>
      <c r="C109" s="43">
        <v>98136.900000000023</v>
      </c>
      <c r="D109" s="42">
        <f t="shared" si="50"/>
        <v>145009.70000000007</v>
      </c>
      <c r="E109" s="42">
        <v>53695.7</v>
      </c>
      <c r="F109" s="42">
        <v>52484.4</v>
      </c>
      <c r="G109" s="42" t="s">
        <v>28</v>
      </c>
      <c r="H109" s="43">
        <v>16646</v>
      </c>
      <c r="I109" s="42">
        <v>108925</v>
      </c>
      <c r="J109" s="43">
        <v>139276.4</v>
      </c>
      <c r="K109" s="42">
        <f t="shared" si="45"/>
        <v>371027.5</v>
      </c>
      <c r="L109" s="45">
        <v>142275.29999999999</v>
      </c>
      <c r="M109" s="42">
        <v>16513.699999999997</v>
      </c>
      <c r="N109" s="55">
        <f t="shared" si="46"/>
        <v>212238.5</v>
      </c>
      <c r="O109" s="43"/>
      <c r="P109" s="47">
        <v>7646.8000000000011</v>
      </c>
      <c r="Q109" s="42">
        <v>632771.9</v>
      </c>
      <c r="R109" s="74">
        <v>993.4</v>
      </c>
      <c r="S109" s="42">
        <f t="shared" si="47"/>
        <v>641412.10000000009</v>
      </c>
      <c r="T109" s="46"/>
      <c r="U109" s="47">
        <f t="shared" si="48"/>
        <v>853650.60000000009</v>
      </c>
      <c r="V109" s="42">
        <f t="shared" si="49"/>
        <v>998660.30000000016</v>
      </c>
      <c r="Z109" s="49"/>
    </row>
    <row r="110" spans="1:26" s="48" customFormat="1" ht="19.5" hidden="1" customHeight="1" x14ac:dyDescent="0.35">
      <c r="A110" s="63" t="s">
        <v>115</v>
      </c>
      <c r="B110" s="42">
        <v>39580.200000000012</v>
      </c>
      <c r="C110" s="43">
        <v>102097.4</v>
      </c>
      <c r="D110" s="42">
        <f t="shared" si="50"/>
        <v>141677.6</v>
      </c>
      <c r="E110" s="42">
        <v>65092</v>
      </c>
      <c r="F110" s="42">
        <v>44735.199999999997</v>
      </c>
      <c r="G110" s="42" t="s">
        <v>28</v>
      </c>
      <c r="H110" s="43">
        <v>14105.8</v>
      </c>
      <c r="I110" s="42">
        <v>108925</v>
      </c>
      <c r="J110" s="43">
        <v>138968.29999999999</v>
      </c>
      <c r="K110" s="42">
        <f t="shared" si="45"/>
        <v>371826.3</v>
      </c>
      <c r="L110" s="45">
        <v>129957.80000000002</v>
      </c>
      <c r="M110" s="42">
        <v>18916.900000000001</v>
      </c>
      <c r="N110" s="55">
        <f t="shared" si="46"/>
        <v>222951.59999999998</v>
      </c>
      <c r="O110" s="43"/>
      <c r="P110" s="47">
        <v>14785.099999999999</v>
      </c>
      <c r="Q110" s="42">
        <v>641607.1</v>
      </c>
      <c r="R110" s="74">
        <v>1013</v>
      </c>
      <c r="S110" s="42">
        <f t="shared" si="47"/>
        <v>657405.19999999995</v>
      </c>
      <c r="T110" s="46"/>
      <c r="U110" s="47">
        <f t="shared" si="48"/>
        <v>880356.79999999993</v>
      </c>
      <c r="V110" s="42">
        <f t="shared" si="49"/>
        <v>1022034.3999999999</v>
      </c>
      <c r="Z110" s="49"/>
    </row>
    <row r="111" spans="1:26" s="48" customFormat="1" ht="19.5" hidden="1" customHeight="1" x14ac:dyDescent="0.35">
      <c r="A111" s="63" t="s">
        <v>116</v>
      </c>
      <c r="B111" s="42">
        <v>55414.5</v>
      </c>
      <c r="C111" s="43">
        <v>105595.80000000003</v>
      </c>
      <c r="D111" s="42">
        <f t="shared" si="50"/>
        <v>161010.30000000005</v>
      </c>
      <c r="E111" s="42">
        <v>51763.199999999997</v>
      </c>
      <c r="F111" s="42">
        <v>38166.800000000003</v>
      </c>
      <c r="G111" s="42" t="s">
        <v>28</v>
      </c>
      <c r="H111" s="43">
        <v>13864</v>
      </c>
      <c r="I111" s="42">
        <v>108925</v>
      </c>
      <c r="J111" s="43">
        <v>138968.29999999999</v>
      </c>
      <c r="K111" s="42">
        <f t="shared" si="45"/>
        <v>351687.3</v>
      </c>
      <c r="L111" s="45">
        <v>132634</v>
      </c>
      <c r="M111" s="42">
        <v>15255.2</v>
      </c>
      <c r="N111" s="55">
        <f t="shared" si="46"/>
        <v>203798.09999999998</v>
      </c>
      <c r="O111" s="43"/>
      <c r="P111" s="47">
        <v>11966.099999999999</v>
      </c>
      <c r="Q111" s="42">
        <v>635980.39999999991</v>
      </c>
      <c r="R111" s="74">
        <v>1059.5</v>
      </c>
      <c r="S111" s="42">
        <f t="shared" si="47"/>
        <v>649005.99999999988</v>
      </c>
      <c r="T111" s="46"/>
      <c r="U111" s="47">
        <f t="shared" si="48"/>
        <v>852804.09999999986</v>
      </c>
      <c r="V111" s="42">
        <f t="shared" si="49"/>
        <v>1013814.3999999999</v>
      </c>
      <c r="Z111" s="49"/>
    </row>
    <row r="112" spans="1:26" s="48" customFormat="1" ht="19.5" hidden="1" customHeight="1" x14ac:dyDescent="0.35">
      <c r="A112" s="63" t="s">
        <v>117</v>
      </c>
      <c r="B112" s="42">
        <v>50733.300000000105</v>
      </c>
      <c r="C112" s="43">
        <v>99522.699999999968</v>
      </c>
      <c r="D112" s="42">
        <f t="shared" si="50"/>
        <v>150256.00000000006</v>
      </c>
      <c r="E112" s="42">
        <v>78836.5</v>
      </c>
      <c r="F112" s="42">
        <v>34235.199999999997</v>
      </c>
      <c r="G112" s="42" t="s">
        <v>28</v>
      </c>
      <c r="H112" s="43">
        <v>14071.5</v>
      </c>
      <c r="I112" s="42">
        <v>108925</v>
      </c>
      <c r="J112" s="43">
        <v>138352</v>
      </c>
      <c r="K112" s="42">
        <f t="shared" si="45"/>
        <v>374420.2</v>
      </c>
      <c r="L112" s="45">
        <v>151480.4</v>
      </c>
      <c r="M112" s="42">
        <v>14718.9</v>
      </c>
      <c r="N112" s="55">
        <f t="shared" si="46"/>
        <v>208220.90000000002</v>
      </c>
      <c r="O112" s="43"/>
      <c r="P112" s="47">
        <v>8738.2999999999993</v>
      </c>
      <c r="Q112" s="42">
        <v>647833.39999999991</v>
      </c>
      <c r="R112" s="74">
        <v>1087.2</v>
      </c>
      <c r="S112" s="42">
        <f t="shared" si="47"/>
        <v>657658.89999999991</v>
      </c>
      <c r="T112" s="46"/>
      <c r="U112" s="47">
        <f t="shared" si="48"/>
        <v>865879.79999999993</v>
      </c>
      <c r="V112" s="42">
        <f t="shared" si="49"/>
        <v>1016135.8</v>
      </c>
      <c r="Z112" s="49"/>
    </row>
    <row r="113" spans="1:26" s="48" customFormat="1" ht="19.5" hidden="1" customHeight="1" x14ac:dyDescent="0.35">
      <c r="A113" s="63" t="s">
        <v>118</v>
      </c>
      <c r="B113" s="42">
        <v>50395</v>
      </c>
      <c r="C113" s="43">
        <v>107039.20000000001</v>
      </c>
      <c r="D113" s="42">
        <f t="shared" si="50"/>
        <v>157434.20000000001</v>
      </c>
      <c r="E113" s="42">
        <v>104206.5</v>
      </c>
      <c r="F113" s="42">
        <v>35864.9</v>
      </c>
      <c r="G113" s="42"/>
      <c r="H113" s="43">
        <v>16158.400000000001</v>
      </c>
      <c r="I113" s="42">
        <v>108925</v>
      </c>
      <c r="J113" s="43">
        <v>138043.9</v>
      </c>
      <c r="K113" s="42">
        <f t="shared" si="45"/>
        <v>403198.69999999995</v>
      </c>
      <c r="L113" s="45">
        <v>153070.90000000002</v>
      </c>
      <c r="M113" s="42">
        <v>17782.100000000002</v>
      </c>
      <c r="N113" s="55">
        <f t="shared" si="46"/>
        <v>232345.69999999992</v>
      </c>
      <c r="O113" s="43"/>
      <c r="P113" s="47">
        <v>7531.3</v>
      </c>
      <c r="Q113" s="42">
        <v>650893.79999999993</v>
      </c>
      <c r="R113" s="74">
        <v>1050.5999999999999</v>
      </c>
      <c r="S113" s="42">
        <f t="shared" si="47"/>
        <v>659475.69999999995</v>
      </c>
      <c r="T113" s="46"/>
      <c r="U113" s="47">
        <f t="shared" si="48"/>
        <v>891821.39999999991</v>
      </c>
      <c r="V113" s="42">
        <f t="shared" si="49"/>
        <v>1049255.5999999999</v>
      </c>
      <c r="Z113" s="49"/>
    </row>
    <row r="114" spans="1:26" s="48" customFormat="1" ht="19.5" hidden="1" customHeight="1" x14ac:dyDescent="0.35">
      <c r="A114" s="63" t="s">
        <v>119</v>
      </c>
      <c r="B114" s="42">
        <v>66928.900000000023</v>
      </c>
      <c r="C114" s="43">
        <v>129708.8</v>
      </c>
      <c r="D114" s="42">
        <f t="shared" si="50"/>
        <v>196637.7</v>
      </c>
      <c r="E114" s="42">
        <v>155251.9</v>
      </c>
      <c r="F114" s="42">
        <v>49024.3</v>
      </c>
      <c r="G114" s="42"/>
      <c r="H114" s="43">
        <v>17969.599999999999</v>
      </c>
      <c r="I114" s="42">
        <v>117037.4</v>
      </c>
      <c r="J114" s="43">
        <v>137735.70000000001</v>
      </c>
      <c r="K114" s="42">
        <f t="shared" si="45"/>
        <v>477018.9</v>
      </c>
      <c r="L114" s="45">
        <v>181665.4</v>
      </c>
      <c r="M114" s="42">
        <v>18296</v>
      </c>
      <c r="N114" s="55">
        <f t="shared" si="46"/>
        <v>277057.5</v>
      </c>
      <c r="O114" s="43"/>
      <c r="P114" s="47">
        <v>6850.8</v>
      </c>
      <c r="Q114" s="42">
        <v>635119.89999999991</v>
      </c>
      <c r="R114" s="74">
        <v>1057.9000000000001</v>
      </c>
      <c r="S114" s="42">
        <f t="shared" si="47"/>
        <v>643028.6</v>
      </c>
      <c r="T114" s="46"/>
      <c r="U114" s="47">
        <f t="shared" si="48"/>
        <v>920086.1</v>
      </c>
      <c r="V114" s="42">
        <f t="shared" si="49"/>
        <v>1116723.8</v>
      </c>
      <c r="Z114" s="49"/>
    </row>
    <row r="115" spans="1:26" s="48" customFormat="1" ht="19.5" hidden="1" customHeight="1" x14ac:dyDescent="0.35">
      <c r="A115" s="63"/>
      <c r="B115" s="42"/>
      <c r="C115" s="43"/>
      <c r="D115" s="42"/>
      <c r="E115" s="42"/>
      <c r="F115" s="42"/>
      <c r="G115" s="42"/>
      <c r="H115" s="43"/>
      <c r="I115" s="42"/>
      <c r="J115" s="43"/>
      <c r="K115" s="42"/>
      <c r="L115" s="45"/>
      <c r="M115" s="42"/>
      <c r="N115" s="55"/>
      <c r="O115" s="43"/>
      <c r="P115" s="47"/>
      <c r="Q115" s="42"/>
      <c r="R115" s="74"/>
      <c r="S115" s="42"/>
      <c r="T115" s="46"/>
      <c r="U115" s="47"/>
      <c r="V115" s="42"/>
      <c r="Z115" s="49"/>
    </row>
    <row r="116" spans="1:26" s="48" customFormat="1" ht="19.5" hidden="1" customHeight="1" x14ac:dyDescent="0.35">
      <c r="A116" s="63" t="s">
        <v>103</v>
      </c>
      <c r="B116" s="42">
        <v>55782.700000000012</v>
      </c>
      <c r="C116" s="43">
        <v>140475.40000000002</v>
      </c>
      <c r="D116" s="42">
        <f t="shared" si="50"/>
        <v>196258.10000000003</v>
      </c>
      <c r="E116" s="79" t="s">
        <v>28</v>
      </c>
      <c r="F116" s="42">
        <v>53502.600000000006</v>
      </c>
      <c r="G116" s="42"/>
      <c r="H116" s="43">
        <v>14539.1</v>
      </c>
      <c r="I116" s="42">
        <v>115644.1</v>
      </c>
      <c r="J116" s="43">
        <v>292679.5</v>
      </c>
      <c r="K116" s="42">
        <f t="shared" si="45"/>
        <v>476365.30000000005</v>
      </c>
      <c r="L116" s="45">
        <v>219479.1</v>
      </c>
      <c r="M116" s="42">
        <v>21555.599999999999</v>
      </c>
      <c r="N116" s="55">
        <f t="shared" si="46"/>
        <v>235330.60000000003</v>
      </c>
      <c r="O116" s="43"/>
      <c r="P116" s="47">
        <v>6130.0000000000009</v>
      </c>
      <c r="Q116" s="42">
        <v>659086.69999999995</v>
      </c>
      <c r="R116" s="74">
        <v>1099.5999999999999</v>
      </c>
      <c r="S116" s="42">
        <f t="shared" si="47"/>
        <v>666316.29999999993</v>
      </c>
      <c r="T116" s="46"/>
      <c r="U116" s="47">
        <f t="shared" si="48"/>
        <v>901646.89999999991</v>
      </c>
      <c r="V116" s="42">
        <f t="shared" si="49"/>
        <v>1097905</v>
      </c>
      <c r="Z116" s="49"/>
    </row>
    <row r="117" spans="1:26" s="48" customFormat="1" ht="19.5" hidden="1" customHeight="1" x14ac:dyDescent="0.35">
      <c r="A117" s="63" t="s">
        <v>120</v>
      </c>
      <c r="B117" s="42">
        <v>97419.499999999884</v>
      </c>
      <c r="C117" s="43">
        <v>158351.6</v>
      </c>
      <c r="D117" s="42">
        <f t="shared" si="50"/>
        <v>255771.09999999989</v>
      </c>
      <c r="E117" s="79" t="s">
        <v>28</v>
      </c>
      <c r="F117" s="42">
        <v>50864</v>
      </c>
      <c r="G117" s="42"/>
      <c r="H117" s="43">
        <v>16112.8</v>
      </c>
      <c r="I117" s="42">
        <v>114250.8</v>
      </c>
      <c r="J117" s="43">
        <v>292371.40000000002</v>
      </c>
      <c r="K117" s="42">
        <f t="shared" si="45"/>
        <v>473599</v>
      </c>
      <c r="L117" s="45">
        <v>240480</v>
      </c>
      <c r="M117" s="42">
        <v>22934.400000000001</v>
      </c>
      <c r="N117" s="55">
        <f t="shared" si="46"/>
        <v>210184.6</v>
      </c>
      <c r="O117" s="43"/>
      <c r="P117" s="47">
        <v>5860.6000000000013</v>
      </c>
      <c r="Q117" s="42">
        <v>662497.30000000016</v>
      </c>
      <c r="R117" s="74">
        <v>1413.7</v>
      </c>
      <c r="S117" s="42">
        <f t="shared" si="47"/>
        <v>669771.60000000009</v>
      </c>
      <c r="T117" s="46"/>
      <c r="U117" s="47">
        <f t="shared" si="48"/>
        <v>879956.20000000007</v>
      </c>
      <c r="V117" s="42">
        <f t="shared" si="49"/>
        <v>1135727.3</v>
      </c>
      <c r="Z117" s="49"/>
    </row>
    <row r="118" spans="1:26" s="48" customFormat="1" ht="19.5" hidden="1" customHeight="1" x14ac:dyDescent="0.35">
      <c r="A118" s="63" t="s">
        <v>127</v>
      </c>
      <c r="B118" s="42">
        <v>48746.900000000081</v>
      </c>
      <c r="C118" s="43">
        <v>149107.00000000003</v>
      </c>
      <c r="D118" s="42">
        <f t="shared" si="50"/>
        <v>197853.90000000011</v>
      </c>
      <c r="E118" s="79" t="s">
        <v>28</v>
      </c>
      <c r="F118" s="42">
        <v>47334.399999999994</v>
      </c>
      <c r="G118" s="42"/>
      <c r="H118" s="43">
        <v>18892.3</v>
      </c>
      <c r="I118" s="42">
        <v>112857.5</v>
      </c>
      <c r="J118" s="43">
        <v>292063.09999999998</v>
      </c>
      <c r="K118" s="42">
        <f t="shared" si="45"/>
        <v>471147.3</v>
      </c>
      <c r="L118" s="45">
        <v>205321.7</v>
      </c>
      <c r="M118" s="42">
        <v>23122.7</v>
      </c>
      <c r="N118" s="55">
        <f t="shared" si="46"/>
        <v>242702.89999999997</v>
      </c>
      <c r="O118" s="43"/>
      <c r="P118" s="47">
        <v>6457.5999999999995</v>
      </c>
      <c r="Q118" s="42">
        <v>670401.39999999991</v>
      </c>
      <c r="R118" s="74">
        <v>1398.1999999999998</v>
      </c>
      <c r="S118" s="42">
        <f t="shared" si="47"/>
        <v>678257.19999999984</v>
      </c>
      <c r="T118" s="46"/>
      <c r="U118" s="47">
        <f t="shared" si="48"/>
        <v>920960.09999999986</v>
      </c>
      <c r="V118" s="42">
        <f t="shared" si="49"/>
        <v>1118814</v>
      </c>
      <c r="Z118" s="49"/>
    </row>
    <row r="119" spans="1:26" s="48" customFormat="1" ht="19.5" hidden="1" customHeight="1" x14ac:dyDescent="0.35">
      <c r="A119" s="63" t="s">
        <v>128</v>
      </c>
      <c r="B119" s="42">
        <v>44693.599999999977</v>
      </c>
      <c r="C119" s="43">
        <v>151956.90000000002</v>
      </c>
      <c r="D119" s="42">
        <f t="shared" si="50"/>
        <v>196650.5</v>
      </c>
      <c r="E119" s="42">
        <v>11186</v>
      </c>
      <c r="F119" s="42">
        <v>42558.399999999994</v>
      </c>
      <c r="G119" s="42"/>
      <c r="H119" s="43">
        <v>20620.899999999998</v>
      </c>
      <c r="I119" s="42">
        <v>111464.2</v>
      </c>
      <c r="J119" s="43">
        <v>291755.09999999998</v>
      </c>
      <c r="K119" s="42">
        <f t="shared" si="45"/>
        <v>477584.6</v>
      </c>
      <c r="L119" s="45">
        <v>180394.1</v>
      </c>
      <c r="M119" s="42">
        <v>21146.5</v>
      </c>
      <c r="N119" s="55">
        <f t="shared" si="46"/>
        <v>276044</v>
      </c>
      <c r="O119" s="43"/>
      <c r="P119" s="47">
        <v>5951.9000000000005</v>
      </c>
      <c r="Q119" s="42">
        <v>667476.49999999988</v>
      </c>
      <c r="R119" s="74">
        <v>1390.8</v>
      </c>
      <c r="S119" s="42">
        <f t="shared" si="47"/>
        <v>674819.2</v>
      </c>
      <c r="T119" s="46"/>
      <c r="U119" s="47">
        <f t="shared" si="48"/>
        <v>950863.2</v>
      </c>
      <c r="V119" s="42">
        <f t="shared" si="49"/>
        <v>1147513.7</v>
      </c>
      <c r="Z119" s="49"/>
    </row>
    <row r="120" spans="1:26" s="48" customFormat="1" ht="19.5" hidden="1" customHeight="1" x14ac:dyDescent="0.35">
      <c r="A120" s="63" t="s">
        <v>129</v>
      </c>
      <c r="B120" s="42">
        <v>64212.600000000035</v>
      </c>
      <c r="C120" s="43">
        <v>122148.50000000001</v>
      </c>
      <c r="D120" s="42">
        <f t="shared" si="50"/>
        <v>186361.10000000003</v>
      </c>
      <c r="E120" s="79" t="s">
        <v>28</v>
      </c>
      <c r="F120" s="42">
        <v>68342</v>
      </c>
      <c r="G120" s="42"/>
      <c r="H120" s="43">
        <f>15592.5+1350.2</f>
        <v>16942.7</v>
      </c>
      <c r="I120" s="42">
        <v>110070.9</v>
      </c>
      <c r="J120" s="43">
        <v>291446.90000000002</v>
      </c>
      <c r="K120" s="42">
        <f t="shared" ref="K120:K130" si="51">E120+F120+H120+I120+J120</f>
        <v>486802.5</v>
      </c>
      <c r="L120" s="45">
        <v>197075.69999999998</v>
      </c>
      <c r="M120" s="42">
        <v>19112.000000000004</v>
      </c>
      <c r="N120" s="55">
        <f t="shared" ref="N120:N130" si="52">+K120-L120-M120</f>
        <v>270614.80000000005</v>
      </c>
      <c r="O120" s="43"/>
      <c r="P120" s="47">
        <v>6228.8</v>
      </c>
      <c r="Q120" s="42">
        <v>671492.8</v>
      </c>
      <c r="R120" s="74">
        <v>1390.6999999999998</v>
      </c>
      <c r="S120" s="42">
        <f t="shared" ref="S120:S130" si="53">SUM(P120:R120)</f>
        <v>679112.3</v>
      </c>
      <c r="T120" s="46"/>
      <c r="U120" s="47">
        <f t="shared" ref="U120:U130" si="54">SUM(N120,S120)</f>
        <v>949727.10000000009</v>
      </c>
      <c r="V120" s="42">
        <f t="shared" si="49"/>
        <v>1136088.2000000002</v>
      </c>
      <c r="Z120" s="49"/>
    </row>
    <row r="121" spans="1:26" s="48" customFormat="1" ht="19.5" hidden="1" customHeight="1" x14ac:dyDescent="0.35">
      <c r="A121" s="63" t="s">
        <v>130</v>
      </c>
      <c r="B121" s="42">
        <v>56965.400000000081</v>
      </c>
      <c r="C121" s="43">
        <v>101928.40000000002</v>
      </c>
      <c r="D121" s="42">
        <f t="shared" ref="D121:D130" si="55">SUM(B121,C121)</f>
        <v>158893.8000000001</v>
      </c>
      <c r="E121" s="79" t="s">
        <v>28</v>
      </c>
      <c r="F121" s="42">
        <v>70934.600000000006</v>
      </c>
      <c r="G121" s="42"/>
      <c r="H121" s="43">
        <f>17430.8+1294.8</f>
        <v>18725.599999999999</v>
      </c>
      <c r="I121" s="42">
        <v>108677.6</v>
      </c>
      <c r="J121" s="43">
        <v>291138.8</v>
      </c>
      <c r="K121" s="42">
        <f t="shared" si="51"/>
        <v>489476.6</v>
      </c>
      <c r="L121" s="45">
        <v>188250.90000000002</v>
      </c>
      <c r="M121" s="42">
        <v>15910.9</v>
      </c>
      <c r="N121" s="55">
        <f t="shared" si="52"/>
        <v>285314.79999999993</v>
      </c>
      <c r="O121" s="43"/>
      <c r="P121" s="47">
        <v>6595.4</v>
      </c>
      <c r="Q121" s="42">
        <v>674805.79999999993</v>
      </c>
      <c r="R121" s="74">
        <v>1401.7</v>
      </c>
      <c r="S121" s="42">
        <f t="shared" si="53"/>
        <v>682802.89999999991</v>
      </c>
      <c r="T121" s="46"/>
      <c r="U121" s="47">
        <f t="shared" si="54"/>
        <v>968117.69999999984</v>
      </c>
      <c r="V121" s="42">
        <f t="shared" ref="V121:V130" si="56">SUM(D121,U121)</f>
        <v>1127011.5</v>
      </c>
      <c r="Z121" s="49"/>
    </row>
    <row r="122" spans="1:26" s="48" customFormat="1" ht="19.5" hidden="1" customHeight="1" x14ac:dyDescent="0.35">
      <c r="A122" s="63" t="s">
        <v>131</v>
      </c>
      <c r="B122" s="42">
        <v>88260.70000000007</v>
      </c>
      <c r="C122" s="43">
        <v>97529.599999999977</v>
      </c>
      <c r="D122" s="42">
        <f t="shared" si="55"/>
        <v>185790.30000000005</v>
      </c>
      <c r="E122" s="79" t="s">
        <v>28</v>
      </c>
      <c r="F122" s="42">
        <v>100965.3</v>
      </c>
      <c r="G122" s="42"/>
      <c r="H122" s="43">
        <f>16818+581.5</f>
        <v>17399.5</v>
      </c>
      <c r="I122" s="42">
        <v>107284.3</v>
      </c>
      <c r="J122" s="43">
        <v>290830.7</v>
      </c>
      <c r="K122" s="42">
        <f t="shared" si="51"/>
        <v>516479.80000000005</v>
      </c>
      <c r="L122" s="45">
        <v>243355.30000000002</v>
      </c>
      <c r="M122" s="42">
        <v>18379.300000000003</v>
      </c>
      <c r="N122" s="55">
        <f t="shared" si="52"/>
        <v>254745.2</v>
      </c>
      <c r="O122" s="43"/>
      <c r="P122" s="47">
        <v>5459.8</v>
      </c>
      <c r="Q122" s="42">
        <v>695121.19999999984</v>
      </c>
      <c r="R122" s="74">
        <v>1754.2</v>
      </c>
      <c r="S122" s="42">
        <f t="shared" si="53"/>
        <v>702335.19999999984</v>
      </c>
      <c r="T122" s="46"/>
      <c r="U122" s="47">
        <f t="shared" si="54"/>
        <v>957080.39999999991</v>
      </c>
      <c r="V122" s="42">
        <f t="shared" si="56"/>
        <v>1142870.7</v>
      </c>
      <c r="Z122" s="49"/>
    </row>
    <row r="123" spans="1:26" s="48" customFormat="1" ht="19.5" hidden="1" customHeight="1" x14ac:dyDescent="0.35">
      <c r="A123" s="63" t="s">
        <v>136</v>
      </c>
      <c r="B123" s="42">
        <v>79468.299999999988</v>
      </c>
      <c r="C123" s="43">
        <v>88537.200000000012</v>
      </c>
      <c r="D123" s="42">
        <f t="shared" si="55"/>
        <v>168005.5</v>
      </c>
      <c r="E123" s="79" t="s">
        <v>28</v>
      </c>
      <c r="F123" s="42">
        <v>96477.700000000012</v>
      </c>
      <c r="G123" s="42"/>
      <c r="H123" s="43">
        <f>23976.4+608.6</f>
        <v>24585</v>
      </c>
      <c r="I123" s="42">
        <v>107284.3</v>
      </c>
      <c r="J123" s="43">
        <v>290830.7</v>
      </c>
      <c r="K123" s="42">
        <f t="shared" si="51"/>
        <v>519177.7</v>
      </c>
      <c r="L123" s="45">
        <f>198226.6-2826.8</f>
        <v>195399.80000000002</v>
      </c>
      <c r="M123" s="42">
        <v>19610.8</v>
      </c>
      <c r="N123" s="55">
        <f t="shared" si="52"/>
        <v>304167.10000000003</v>
      </c>
      <c r="O123" s="43"/>
      <c r="P123" s="47">
        <v>6445.8</v>
      </c>
      <c r="Q123" s="42">
        <v>697137.1</v>
      </c>
      <c r="R123" s="74">
        <v>1758.2</v>
      </c>
      <c r="S123" s="42">
        <f t="shared" si="53"/>
        <v>705341.1</v>
      </c>
      <c r="T123" s="46"/>
      <c r="U123" s="47">
        <f t="shared" si="54"/>
        <v>1009508.2</v>
      </c>
      <c r="V123" s="42">
        <f t="shared" si="56"/>
        <v>1177513.7</v>
      </c>
      <c r="Z123" s="49"/>
    </row>
    <row r="124" spans="1:26" s="100" customFormat="1" ht="19.5" customHeight="1" x14ac:dyDescent="0.35">
      <c r="A124" s="63" t="s">
        <v>166</v>
      </c>
      <c r="B124" s="106">
        <f>157393.5-338994.5</f>
        <v>-181601</v>
      </c>
      <c r="C124" s="107">
        <f>129120.3-139965.1</f>
        <v>-10844.800000000003</v>
      </c>
      <c r="D124" s="95">
        <f t="shared" ref="D124:D125" si="57">SUM(B124,C124)</f>
        <v>-192445.8</v>
      </c>
      <c r="E124" s="106">
        <v>18971.7</v>
      </c>
      <c r="F124" s="106">
        <f>298096.4+92142</f>
        <v>390238.4</v>
      </c>
      <c r="G124" s="106"/>
      <c r="H124" s="106">
        <f>16843.8+31521.1</f>
        <v>48364.899999999994</v>
      </c>
      <c r="I124" s="106">
        <v>79418.3</v>
      </c>
      <c r="J124" s="107">
        <v>546041</v>
      </c>
      <c r="K124" s="106">
        <f t="shared" ref="K124:K125" si="58">E124+F124+H124+I124+J124</f>
        <v>1083034.3</v>
      </c>
      <c r="L124" s="108">
        <v>217623.1</v>
      </c>
      <c r="M124" s="95">
        <v>34600.5</v>
      </c>
      <c r="N124" s="102">
        <f>+K124-L124-M124</f>
        <v>830810.70000000007</v>
      </c>
      <c r="O124" s="96"/>
      <c r="P124" s="94">
        <f>132+11113.4</f>
        <v>11245.4</v>
      </c>
      <c r="Q124" s="102">
        <f>700440.1+2000+143.9+41064.7</f>
        <v>743648.7</v>
      </c>
      <c r="R124" s="105">
        <v>14.5</v>
      </c>
      <c r="S124" s="95">
        <f t="shared" ref="S124" si="59">SUM(P124:R124)</f>
        <v>754908.6</v>
      </c>
      <c r="T124" s="98"/>
      <c r="U124" s="96">
        <f t="shared" ref="U124:U125" si="60">SUM(N124,S124)</f>
        <v>1585719.3</v>
      </c>
      <c r="V124" s="95">
        <f t="shared" ref="V124:V125" si="61">SUM(D124,U124)</f>
        <v>1393273.5</v>
      </c>
      <c r="Z124" s="101"/>
    </row>
    <row r="125" spans="1:26" s="48" customFormat="1" ht="21" customHeight="1" x14ac:dyDescent="0.35">
      <c r="A125" s="63" t="s">
        <v>173</v>
      </c>
      <c r="B125" s="106">
        <f>166434.7-328508.5</f>
        <v>-162073.79999999999</v>
      </c>
      <c r="C125" s="107">
        <f>125486.1-139935.4</f>
        <v>-14449.299999999988</v>
      </c>
      <c r="D125" s="95">
        <f t="shared" si="57"/>
        <v>-176523.09999999998</v>
      </c>
      <c r="E125" s="106">
        <v>134973.1</v>
      </c>
      <c r="F125" s="106">
        <f>314364.2+123715.4</f>
        <v>438079.6</v>
      </c>
      <c r="G125" s="106"/>
      <c r="H125" s="106">
        <f>22418.9+16843.8</f>
        <v>39262.699999999997</v>
      </c>
      <c r="I125" s="106">
        <v>73845.100000000006</v>
      </c>
      <c r="J125" s="107">
        <v>543481.59999999998</v>
      </c>
      <c r="K125" s="106">
        <f t="shared" si="58"/>
        <v>1229642.0999999999</v>
      </c>
      <c r="L125" s="108">
        <v>288936.2</v>
      </c>
      <c r="M125" s="95">
        <v>30394.799999999999</v>
      </c>
      <c r="N125" s="102">
        <f>+K125-L125-M125</f>
        <v>910311.09999999986</v>
      </c>
      <c r="O125" s="96"/>
      <c r="P125" s="94">
        <f>7041.4+132</f>
        <v>7173.4</v>
      </c>
      <c r="Q125" s="102">
        <f>680726.4+42960.2+2143.9</f>
        <v>725830.5</v>
      </c>
      <c r="R125" s="105">
        <v>57.6</v>
      </c>
      <c r="S125" s="95">
        <f t="shared" ref="S125" si="62">SUM(P125:R125)</f>
        <v>733061.5</v>
      </c>
      <c r="T125" s="98"/>
      <c r="U125" s="96">
        <f t="shared" si="60"/>
        <v>1643372.5999999999</v>
      </c>
      <c r="V125" s="95">
        <f t="shared" si="61"/>
        <v>1466849.5</v>
      </c>
      <c r="Z125" s="49"/>
    </row>
    <row r="126" spans="1:26" s="48" customFormat="1" ht="19.5" hidden="1" x14ac:dyDescent="0.35">
      <c r="A126" s="63" t="s">
        <v>138</v>
      </c>
      <c r="B126" s="42">
        <v>78410.79999999993</v>
      </c>
      <c r="C126" s="43">
        <v>86375.500000000015</v>
      </c>
      <c r="D126" s="42">
        <f t="shared" si="55"/>
        <v>164786.29999999993</v>
      </c>
      <c r="E126" s="79" t="s">
        <v>28</v>
      </c>
      <c r="F126" s="42">
        <v>104499.4</v>
      </c>
      <c r="G126" s="42"/>
      <c r="H126" s="43">
        <f>21844.2+582.5</f>
        <v>22426.7</v>
      </c>
      <c r="I126" s="42">
        <v>107284.3</v>
      </c>
      <c r="J126" s="43">
        <v>290214.40000000002</v>
      </c>
      <c r="K126" s="42">
        <f t="shared" si="51"/>
        <v>524424.80000000005</v>
      </c>
      <c r="L126" s="45">
        <v>211354.80000000002</v>
      </c>
      <c r="M126" s="42">
        <v>21460.2</v>
      </c>
      <c r="N126" s="55">
        <f t="shared" si="52"/>
        <v>291609.8</v>
      </c>
      <c r="O126" s="43"/>
      <c r="P126" s="47">
        <v>10420.499999999998</v>
      </c>
      <c r="Q126" s="42">
        <v>705150.29999999981</v>
      </c>
      <c r="R126" s="74">
        <v>2197.5</v>
      </c>
      <c r="S126" s="42">
        <f t="shared" si="53"/>
        <v>717768.29999999981</v>
      </c>
      <c r="T126" s="46"/>
      <c r="U126" s="47">
        <f t="shared" si="54"/>
        <v>1009378.0999999999</v>
      </c>
      <c r="V126" s="42">
        <f t="shared" si="56"/>
        <v>1174164.3999999999</v>
      </c>
      <c r="Z126" s="49"/>
    </row>
    <row r="127" spans="1:26" s="48" customFormat="1" ht="19.5" hidden="1" x14ac:dyDescent="0.35">
      <c r="A127" s="63" t="s">
        <v>139</v>
      </c>
      <c r="B127" s="42">
        <v>98627.299999999988</v>
      </c>
      <c r="C127" s="43">
        <v>90134.000000000058</v>
      </c>
      <c r="D127" s="42">
        <f t="shared" si="55"/>
        <v>188761.30000000005</v>
      </c>
      <c r="E127" s="79">
        <v>6525.5</v>
      </c>
      <c r="F127" s="42">
        <v>108413.2</v>
      </c>
      <c r="G127" s="42"/>
      <c r="H127" s="43">
        <f>16870.9+620.8</f>
        <v>17491.7</v>
      </c>
      <c r="I127" s="42">
        <v>107284.3</v>
      </c>
      <c r="J127" s="43">
        <v>289906.3</v>
      </c>
      <c r="K127" s="42">
        <f t="shared" si="51"/>
        <v>529621</v>
      </c>
      <c r="L127" s="45">
        <v>213589.40000000002</v>
      </c>
      <c r="M127" s="42">
        <v>21130.1</v>
      </c>
      <c r="N127" s="55">
        <f t="shared" si="52"/>
        <v>294901.5</v>
      </c>
      <c r="O127" s="43"/>
      <c r="P127" s="47">
        <v>9532.7999999999993</v>
      </c>
      <c r="Q127" s="42">
        <v>698289.29999999993</v>
      </c>
      <c r="R127" s="74">
        <v>2357.1999999999998</v>
      </c>
      <c r="S127" s="42">
        <f t="shared" si="53"/>
        <v>710179.29999999993</v>
      </c>
      <c r="T127" s="46"/>
      <c r="U127" s="47">
        <f t="shared" si="54"/>
        <v>1005080.7999999999</v>
      </c>
      <c r="V127" s="42">
        <f t="shared" si="56"/>
        <v>1193842.1000000001</v>
      </c>
      <c r="Z127" s="49"/>
    </row>
    <row r="128" spans="1:26" s="48" customFormat="1" ht="19.5" hidden="1" x14ac:dyDescent="0.35">
      <c r="A128" s="63" t="s">
        <v>140</v>
      </c>
      <c r="B128" s="42">
        <v>81256.100000000035</v>
      </c>
      <c r="C128" s="43">
        <v>95735.2</v>
      </c>
      <c r="D128" s="42">
        <f t="shared" si="55"/>
        <v>176991.30000000005</v>
      </c>
      <c r="E128" s="79">
        <v>20947.400000000001</v>
      </c>
      <c r="F128" s="42">
        <v>107312.8</v>
      </c>
      <c r="G128" s="42"/>
      <c r="H128" s="43">
        <f>21499.7+606.1</f>
        <v>22105.8</v>
      </c>
      <c r="I128" s="42">
        <v>107284.3</v>
      </c>
      <c r="J128" s="43">
        <v>289906.3</v>
      </c>
      <c r="K128" s="42">
        <f t="shared" si="51"/>
        <v>547556.6</v>
      </c>
      <c r="L128" s="45">
        <v>217164.9</v>
      </c>
      <c r="M128" s="42">
        <v>24576.5</v>
      </c>
      <c r="N128" s="55">
        <f t="shared" si="52"/>
        <v>305815.19999999995</v>
      </c>
      <c r="O128" s="43"/>
      <c r="P128" s="47">
        <v>8999.5</v>
      </c>
      <c r="Q128" s="42">
        <v>693816.7</v>
      </c>
      <c r="R128" s="74">
        <v>2366.6</v>
      </c>
      <c r="S128" s="42">
        <f t="shared" si="53"/>
        <v>705182.79999999993</v>
      </c>
      <c r="T128" s="46"/>
      <c r="U128" s="47">
        <f t="shared" si="54"/>
        <v>1010997.9999999999</v>
      </c>
      <c r="V128" s="42">
        <f t="shared" si="56"/>
        <v>1187989.2999999998</v>
      </c>
      <c r="Z128" s="49"/>
    </row>
    <row r="129" spans="1:26" s="48" customFormat="1" ht="19.5" hidden="1" x14ac:dyDescent="0.35">
      <c r="A129" s="63" t="s">
        <v>141</v>
      </c>
      <c r="B129" s="42">
        <v>118133.79999999999</v>
      </c>
      <c r="C129" s="43">
        <v>111622.29999999997</v>
      </c>
      <c r="D129" s="42">
        <f t="shared" si="55"/>
        <v>229756.09999999998</v>
      </c>
      <c r="E129" s="79" t="s">
        <v>28</v>
      </c>
      <c r="F129" s="42">
        <v>109019.90000000001</v>
      </c>
      <c r="G129" s="42"/>
      <c r="H129" s="43">
        <f>17922.9+539.1</f>
        <v>18462</v>
      </c>
      <c r="I129" s="42">
        <v>107284.3</v>
      </c>
      <c r="J129" s="43">
        <v>289290</v>
      </c>
      <c r="K129" s="42">
        <f t="shared" si="51"/>
        <v>524056.2</v>
      </c>
      <c r="L129" s="45">
        <v>225517.10000000003</v>
      </c>
      <c r="M129" s="42">
        <v>23790.1</v>
      </c>
      <c r="N129" s="55">
        <f t="shared" si="52"/>
        <v>274749</v>
      </c>
      <c r="O129" s="43"/>
      <c r="P129" s="47">
        <v>8530.4</v>
      </c>
      <c r="Q129" s="42">
        <v>686553.7</v>
      </c>
      <c r="R129" s="74">
        <v>2469.1999999999998</v>
      </c>
      <c r="S129" s="42">
        <f t="shared" si="53"/>
        <v>697553.29999999993</v>
      </c>
      <c r="T129" s="46"/>
      <c r="U129" s="47">
        <f t="shared" si="54"/>
        <v>972302.29999999993</v>
      </c>
      <c r="V129" s="42">
        <f t="shared" si="56"/>
        <v>1202058.3999999999</v>
      </c>
      <c r="Z129" s="49"/>
    </row>
    <row r="130" spans="1:26" s="48" customFormat="1" ht="19.5" hidden="1" x14ac:dyDescent="0.35">
      <c r="A130" s="63" t="s">
        <v>125</v>
      </c>
      <c r="B130" s="80">
        <v>102196.30000000005</v>
      </c>
      <c r="C130" s="43">
        <v>112713.69999999998</v>
      </c>
      <c r="D130" s="42">
        <f t="shared" si="55"/>
        <v>214910.00000000003</v>
      </c>
      <c r="E130" s="79" t="s">
        <v>28</v>
      </c>
      <c r="F130" s="42">
        <v>108779.50000000001</v>
      </c>
      <c r="G130" s="42"/>
      <c r="H130" s="43">
        <f>14755.1+541.4</f>
        <v>15296.5</v>
      </c>
      <c r="I130" s="42">
        <v>107284.3</v>
      </c>
      <c r="J130" s="43">
        <v>289290</v>
      </c>
      <c r="K130" s="42">
        <f t="shared" si="51"/>
        <v>520650.30000000005</v>
      </c>
      <c r="L130" s="45">
        <v>235664.40000000002</v>
      </c>
      <c r="M130" s="42">
        <v>23611.000000000004</v>
      </c>
      <c r="N130" s="55">
        <f t="shared" si="52"/>
        <v>261374.90000000002</v>
      </c>
      <c r="O130" s="43"/>
      <c r="P130" s="47">
        <v>8205.9</v>
      </c>
      <c r="Q130" s="42">
        <v>692796.29999999993</v>
      </c>
      <c r="R130" s="74">
        <v>2774.6000000000004</v>
      </c>
      <c r="S130" s="42">
        <f t="shared" si="53"/>
        <v>703776.79999999993</v>
      </c>
      <c r="T130" s="46"/>
      <c r="U130" s="47">
        <f t="shared" si="54"/>
        <v>965151.7</v>
      </c>
      <c r="V130" s="42">
        <f t="shared" si="56"/>
        <v>1180061.7</v>
      </c>
      <c r="Z130" s="49"/>
    </row>
    <row r="131" spans="1:26" s="48" customFormat="1" ht="19.5" hidden="1" x14ac:dyDescent="0.35">
      <c r="A131" s="63" t="s">
        <v>153</v>
      </c>
      <c r="B131" s="81">
        <f>476946.1-385806.2</f>
        <v>91139.899999999965</v>
      </c>
      <c r="C131" s="40">
        <f>231189.1-92448.2</f>
        <v>138740.90000000002</v>
      </c>
      <c r="D131" s="42">
        <f t="shared" ref="D131" si="63">SUM(B131,C131)</f>
        <v>229880.8</v>
      </c>
      <c r="E131" s="79" t="s">
        <v>28</v>
      </c>
      <c r="F131" s="81">
        <f>80164+32000</f>
        <v>112164</v>
      </c>
      <c r="G131" s="42"/>
      <c r="H131" s="40">
        <f>16444.5+543.2</f>
        <v>16987.7</v>
      </c>
      <c r="I131" s="42">
        <v>107284.3</v>
      </c>
      <c r="J131" s="43">
        <v>288673.7</v>
      </c>
      <c r="K131" s="42">
        <f t="shared" ref="K131" si="64">E131+F131+H131+I131+J131</f>
        <v>525109.69999999995</v>
      </c>
      <c r="L131" s="45">
        <v>241231.9</v>
      </c>
      <c r="M131" s="42">
        <v>21791.599999999999</v>
      </c>
      <c r="N131" s="55">
        <f t="shared" ref="N131" si="65">+K131-L131-M131</f>
        <v>262086.19999999992</v>
      </c>
      <c r="O131" s="43"/>
      <c r="P131" s="40">
        <f>7775.5+61.8</f>
        <v>7837.3</v>
      </c>
      <c r="Q131" s="81">
        <f>621424+72594.5+143.8+1914.8</f>
        <v>696077.10000000009</v>
      </c>
      <c r="R131" s="74">
        <v>3027.3</v>
      </c>
      <c r="S131" s="42">
        <f t="shared" ref="S131" si="66">SUM(P131:R131)</f>
        <v>706941.70000000019</v>
      </c>
      <c r="T131" s="46"/>
      <c r="U131" s="47">
        <f t="shared" ref="U131" si="67">SUM(N131,S131)</f>
        <v>969027.90000000014</v>
      </c>
      <c r="V131" s="42">
        <f t="shared" ref="V131" si="68">SUM(D131,U131)</f>
        <v>1198908.7000000002</v>
      </c>
      <c r="Z131" s="49"/>
    </row>
    <row r="132" spans="1:26" s="48" customFormat="1" ht="19.5" hidden="1" x14ac:dyDescent="0.35">
      <c r="A132" s="63" t="s">
        <v>121</v>
      </c>
      <c r="B132" s="81">
        <f>491562.9-396544.3</f>
        <v>95018.600000000035</v>
      </c>
      <c r="C132" s="40">
        <f>216698.3-100768.8</f>
        <v>115929.49999999999</v>
      </c>
      <c r="D132" s="42">
        <f t="shared" ref="D132" si="69">SUM(B132,C132)</f>
        <v>210948.10000000003</v>
      </c>
      <c r="E132" s="79">
        <v>8513</v>
      </c>
      <c r="F132" s="81">
        <f>76771.9+32000</f>
        <v>108771.9</v>
      </c>
      <c r="G132" s="42"/>
      <c r="H132" s="40">
        <f>12016.1+1314.8</f>
        <v>13330.9</v>
      </c>
      <c r="I132" s="42">
        <v>107284.3</v>
      </c>
      <c r="J132" s="43">
        <v>288673.7</v>
      </c>
      <c r="K132" s="42">
        <f t="shared" ref="K132" si="70">E132+F132+H132+I132+J132</f>
        <v>526573.80000000005</v>
      </c>
      <c r="L132" s="45">
        <v>225063.2</v>
      </c>
      <c r="M132" s="42">
        <v>17505</v>
      </c>
      <c r="N132" s="55">
        <f t="shared" ref="N132" si="71">+K132-L132-M132</f>
        <v>284005.60000000003</v>
      </c>
      <c r="O132" s="43"/>
      <c r="P132" s="40">
        <f>7159.2+61.8</f>
        <v>7221</v>
      </c>
      <c r="Q132" s="81">
        <f>620839.1+60122.5+143.8+1914.8</f>
        <v>683020.20000000007</v>
      </c>
      <c r="R132" s="74">
        <v>3128.7</v>
      </c>
      <c r="S132" s="42">
        <f t="shared" ref="S132" si="72">SUM(P132:R132)</f>
        <v>693369.9</v>
      </c>
      <c r="T132" s="46"/>
      <c r="U132" s="47">
        <f t="shared" ref="U132" si="73">SUM(N132,S132)</f>
        <v>977375.5</v>
      </c>
      <c r="V132" s="42">
        <f t="shared" ref="V132" si="74">SUM(D132,U132)</f>
        <v>1188323.6000000001</v>
      </c>
      <c r="Z132" s="49"/>
    </row>
    <row r="133" spans="1:26" s="48" customFormat="1" ht="19.5" hidden="1" x14ac:dyDescent="0.35">
      <c r="A133" s="63" t="s">
        <v>154</v>
      </c>
      <c r="B133" s="81">
        <f>493629.5-398474</f>
        <v>95155.5</v>
      </c>
      <c r="C133" s="40">
        <f>226514.2-107327.7</f>
        <v>119186.50000000001</v>
      </c>
      <c r="D133" s="42">
        <f t="shared" ref="D133" si="75">SUM(B133,C133)</f>
        <v>214342</v>
      </c>
      <c r="E133" s="79">
        <v>14256.4</v>
      </c>
      <c r="F133" s="81">
        <f>90431.1+47500</f>
        <v>137931.1</v>
      </c>
      <c r="G133" s="42"/>
      <c r="H133" s="40">
        <f>15832.1+2342.1</f>
        <v>18174.2</v>
      </c>
      <c r="I133" s="42">
        <v>107284.3</v>
      </c>
      <c r="J133" s="43">
        <v>288365.59999999998</v>
      </c>
      <c r="K133" s="42">
        <f t="shared" ref="K133" si="76">E133+F133+H133+I133+J133</f>
        <v>566011.6</v>
      </c>
      <c r="L133" s="45">
        <v>215906.7</v>
      </c>
      <c r="M133" s="42">
        <v>16793.5</v>
      </c>
      <c r="N133" s="55">
        <f t="shared" ref="N133" si="77">+K133-L133-M133</f>
        <v>333311.39999999997</v>
      </c>
      <c r="O133" s="43"/>
      <c r="P133" s="40">
        <f>7075.6+61.8</f>
        <v>7137.4000000000005</v>
      </c>
      <c r="Q133" s="81">
        <f>619979.5+63262.6+143.8+1914.8</f>
        <v>685300.70000000007</v>
      </c>
      <c r="R133" s="74">
        <v>3057.1</v>
      </c>
      <c r="S133" s="42">
        <f t="shared" ref="S133" si="78">SUM(P133:R133)</f>
        <v>695495.20000000007</v>
      </c>
      <c r="T133" s="46"/>
      <c r="U133" s="47">
        <f t="shared" ref="U133" si="79">SUM(N133,S133)</f>
        <v>1028806.6000000001</v>
      </c>
      <c r="V133" s="42">
        <f t="shared" ref="V133" si="80">SUM(D133,U133)</f>
        <v>1243148.6000000001</v>
      </c>
      <c r="Z133" s="49"/>
    </row>
    <row r="134" spans="1:26" s="48" customFormat="1" ht="19.5" hidden="1" x14ac:dyDescent="0.35">
      <c r="A134" s="63" t="s">
        <v>155</v>
      </c>
      <c r="B134" s="81">
        <f>482440-396516</f>
        <v>85924</v>
      </c>
      <c r="C134" s="40">
        <f>199401.8-101540.2</f>
        <v>97861.599999999991</v>
      </c>
      <c r="D134" s="42">
        <f t="shared" ref="D134" si="81">SUM(B134,C134)</f>
        <v>183785.59999999998</v>
      </c>
      <c r="E134" s="79">
        <v>16076.5</v>
      </c>
      <c r="F134" s="81">
        <f>83583.8+47500</f>
        <v>131083.79999999999</v>
      </c>
      <c r="G134" s="42"/>
      <c r="H134" s="40">
        <f>14486.1+1330.6</f>
        <v>15816.7</v>
      </c>
      <c r="I134" s="42">
        <v>107284.3</v>
      </c>
      <c r="J134" s="43">
        <v>287749.3</v>
      </c>
      <c r="K134" s="42">
        <f t="shared" ref="K134" si="82">E134+F134+H134+I134+J134</f>
        <v>558010.6</v>
      </c>
      <c r="L134" s="45">
        <v>199383.1</v>
      </c>
      <c r="M134" s="42">
        <v>12657.7</v>
      </c>
      <c r="N134" s="55">
        <f t="shared" ref="N134" si="83">+K134-L134-M134</f>
        <v>345969.8</v>
      </c>
      <c r="O134" s="43"/>
      <c r="P134" s="40">
        <f>9264.9+61.8</f>
        <v>9326.6999999999989</v>
      </c>
      <c r="Q134" s="81">
        <f>620868.8+64302.2+143.8+1914.8</f>
        <v>687229.60000000009</v>
      </c>
      <c r="R134" s="74">
        <v>3066.6</v>
      </c>
      <c r="S134" s="42">
        <f t="shared" ref="S134" si="84">SUM(P134:R134)</f>
        <v>699622.9</v>
      </c>
      <c r="T134" s="46"/>
      <c r="U134" s="47">
        <f t="shared" ref="U134" si="85">SUM(N134,S134)</f>
        <v>1045592.7</v>
      </c>
      <c r="V134" s="42">
        <f t="shared" ref="V134" si="86">SUM(D134,U134)</f>
        <v>1229378.2999999998</v>
      </c>
      <c r="Z134" s="49"/>
    </row>
    <row r="135" spans="1:26" s="48" customFormat="1" ht="19.5" hidden="1" x14ac:dyDescent="0.35">
      <c r="A135" s="63" t="s">
        <v>156</v>
      </c>
      <c r="B135" s="81">
        <f>486604.3-397532.8</f>
        <v>89071.5</v>
      </c>
      <c r="C135" s="40">
        <f>198408.8-102707.5</f>
        <v>95701.299999999988</v>
      </c>
      <c r="D135" s="42">
        <f t="shared" ref="D135" si="87">SUM(B135,C135)</f>
        <v>184772.8</v>
      </c>
      <c r="E135" s="79">
        <v>39309.599999999999</v>
      </c>
      <c r="F135" s="81">
        <f>86709.1+47500</f>
        <v>134209.1</v>
      </c>
      <c r="G135" s="42"/>
      <c r="H135" s="40">
        <f>17808.9+1296.6</f>
        <v>19105.5</v>
      </c>
      <c r="I135" s="42">
        <v>107284.3</v>
      </c>
      <c r="J135" s="43">
        <v>287441.2</v>
      </c>
      <c r="K135" s="42">
        <f t="shared" ref="K135" si="88">E135+F135+H135+I135+J135</f>
        <v>587349.69999999995</v>
      </c>
      <c r="L135" s="45">
        <v>209698.2</v>
      </c>
      <c r="M135" s="42">
        <v>17287.8</v>
      </c>
      <c r="N135" s="55">
        <f t="shared" ref="N135" si="89">+K135-L135-M135</f>
        <v>360363.69999999995</v>
      </c>
      <c r="O135" s="43"/>
      <c r="P135" s="40">
        <f>12611.8+67.9</f>
        <v>12679.699999999999</v>
      </c>
      <c r="Q135" s="81">
        <f>639717.9+61415+143.9+1914.8</f>
        <v>703191.60000000009</v>
      </c>
      <c r="R135" s="74">
        <v>3154.2</v>
      </c>
      <c r="S135" s="42">
        <f t="shared" ref="S135" si="90">SUM(P135:R135)</f>
        <v>719025.5</v>
      </c>
      <c r="T135" s="46"/>
      <c r="U135" s="47">
        <f t="shared" ref="U135" si="91">SUM(N135,S135)</f>
        <v>1079389.2</v>
      </c>
      <c r="V135" s="42">
        <f t="shared" ref="V135" si="92">SUM(D135,U135)</f>
        <v>1264162</v>
      </c>
      <c r="Z135" s="49"/>
    </row>
    <row r="136" spans="1:26" s="48" customFormat="1" ht="19.5" hidden="1" x14ac:dyDescent="0.35">
      <c r="A136" s="63" t="s">
        <v>160</v>
      </c>
      <c r="B136" s="81">
        <f>456597.2-385996.8</f>
        <v>70600.400000000023</v>
      </c>
      <c r="C136" s="40">
        <f>230561-108565.8</f>
        <v>121995.2</v>
      </c>
      <c r="D136" s="42">
        <f t="shared" ref="D136" si="93">SUM(B136,C136)</f>
        <v>192595.60000000003</v>
      </c>
      <c r="E136" s="79">
        <v>52779.8</v>
      </c>
      <c r="F136" s="81">
        <f>89256.6+47500</f>
        <v>136756.6</v>
      </c>
      <c r="G136" s="42"/>
      <c r="H136" s="40">
        <f>19112.1+3306.9</f>
        <v>22419</v>
      </c>
      <c r="I136" s="42">
        <v>107284.3</v>
      </c>
      <c r="J136" s="43">
        <v>287441.2</v>
      </c>
      <c r="K136" s="42">
        <f t="shared" ref="K136" si="94">E136+F136+H136+I136+J136</f>
        <v>606680.9</v>
      </c>
      <c r="L136" s="45">
        <v>201997.2</v>
      </c>
      <c r="M136" s="42">
        <v>17393.5</v>
      </c>
      <c r="N136" s="55">
        <f t="shared" ref="N136" si="95">+K136-L136-M136</f>
        <v>387290.2</v>
      </c>
      <c r="O136" s="43"/>
      <c r="P136" s="40">
        <f>16899+67.9</f>
        <v>16966.900000000001</v>
      </c>
      <c r="Q136" s="81">
        <f>643810.8+62246.5+143.9+1914.8</f>
        <v>708116.00000000012</v>
      </c>
      <c r="R136" s="74">
        <v>3132.8</v>
      </c>
      <c r="S136" s="42">
        <f t="shared" ref="S136" si="96">SUM(P136:R136)</f>
        <v>728215.70000000019</v>
      </c>
      <c r="T136" s="46"/>
      <c r="U136" s="47">
        <f t="shared" ref="U136" si="97">SUM(N136,S136)</f>
        <v>1115505.9000000001</v>
      </c>
      <c r="V136" s="42">
        <f t="shared" ref="V136" si="98">SUM(D136,U136)</f>
        <v>1308101.5000000002</v>
      </c>
      <c r="Z136" s="49"/>
    </row>
    <row r="137" spans="1:26" s="48" customFormat="1" ht="19.5" hidden="1" x14ac:dyDescent="0.35">
      <c r="A137" s="63" t="s">
        <v>159</v>
      </c>
      <c r="B137" s="81">
        <f>461809.6-379199.7</f>
        <v>82609.899999999965</v>
      </c>
      <c r="C137" s="40">
        <f>193892.9-125445.1</f>
        <v>68447.799999999988</v>
      </c>
      <c r="D137" s="42">
        <f t="shared" ref="D137" si="99">SUM(B137,C137)</f>
        <v>151057.69999999995</v>
      </c>
      <c r="E137" s="79">
        <v>43358.6</v>
      </c>
      <c r="F137" s="81">
        <f>90001+67163.6</f>
        <v>157164.6</v>
      </c>
      <c r="G137" s="42"/>
      <c r="H137" s="40">
        <f>21214.4+1421.8</f>
        <v>22636.2</v>
      </c>
      <c r="I137" s="42">
        <v>107284.3</v>
      </c>
      <c r="J137" s="43">
        <v>286825</v>
      </c>
      <c r="K137" s="42">
        <f t="shared" ref="K137" si="100">E137+F137+H137+I137+J137</f>
        <v>617268.69999999995</v>
      </c>
      <c r="L137" s="45">
        <v>195972</v>
      </c>
      <c r="M137" s="42">
        <v>19854.8</v>
      </c>
      <c r="N137" s="55">
        <f t="shared" ref="N137" si="101">+K137-L137-M137</f>
        <v>401441.89999999997</v>
      </c>
      <c r="O137" s="43"/>
      <c r="P137" s="40">
        <f>16815.7+67.9</f>
        <v>16883.600000000002</v>
      </c>
      <c r="Q137" s="81">
        <f>657593.8+65288.4+743.9+2000</f>
        <v>725626.10000000009</v>
      </c>
      <c r="R137" s="74">
        <v>3150.3</v>
      </c>
      <c r="S137" s="42">
        <f>SUM(P137:R137)</f>
        <v>745660.00000000012</v>
      </c>
      <c r="T137" s="46"/>
      <c r="U137" s="47">
        <f t="shared" ref="U137" si="102">SUM(N137,S137)</f>
        <v>1147101.9000000001</v>
      </c>
      <c r="V137" s="42">
        <f t="shared" ref="V137" si="103">SUM(D137,U137)</f>
        <v>1298159.6000000001</v>
      </c>
      <c r="Z137" s="49"/>
    </row>
    <row r="138" spans="1:26" s="100" customFormat="1" ht="19.5" x14ac:dyDescent="0.35">
      <c r="A138" s="63"/>
      <c r="B138" s="81"/>
      <c r="C138" s="94"/>
      <c r="D138" s="95"/>
      <c r="E138" s="106"/>
      <c r="F138" s="81"/>
      <c r="G138" s="95"/>
      <c r="H138" s="94"/>
      <c r="I138" s="95"/>
      <c r="J138" s="96"/>
      <c r="K138" s="95"/>
      <c r="L138" s="97"/>
      <c r="M138" s="95"/>
      <c r="N138" s="102"/>
      <c r="O138" s="96"/>
      <c r="P138" s="94"/>
      <c r="Q138" s="81"/>
      <c r="R138" s="105"/>
      <c r="S138" s="95"/>
      <c r="T138" s="98"/>
      <c r="U138" s="99"/>
      <c r="V138" s="95"/>
      <c r="Z138" s="101"/>
    </row>
    <row r="139" spans="1:26" s="48" customFormat="1" ht="19.5" hidden="1" x14ac:dyDescent="0.35">
      <c r="A139" s="63" t="s">
        <v>165</v>
      </c>
      <c r="B139" s="81">
        <f>524904.8-382067.5</f>
        <v>142837.30000000005</v>
      </c>
      <c r="C139" s="40">
        <f>193925-123903.5</f>
        <v>70021.5</v>
      </c>
      <c r="D139" s="42">
        <f t="shared" ref="D139" si="104">SUM(B139,C139)</f>
        <v>212858.80000000005</v>
      </c>
      <c r="E139" s="79">
        <v>27300.1</v>
      </c>
      <c r="F139" s="81">
        <f>84044.4+67472</f>
        <v>151516.4</v>
      </c>
      <c r="G139" s="42"/>
      <c r="H139" s="40">
        <f>21366.1+1373.1</f>
        <v>22739.199999999997</v>
      </c>
      <c r="I139" s="42">
        <v>107284.3</v>
      </c>
      <c r="J139" s="43">
        <v>286825</v>
      </c>
      <c r="K139" s="42">
        <f t="shared" ref="K139" si="105">E139+F139+H139+I139+J139</f>
        <v>595665</v>
      </c>
      <c r="L139" s="45">
        <v>277270.7</v>
      </c>
      <c r="M139" s="42">
        <v>25072.2</v>
      </c>
      <c r="N139" s="55">
        <f t="shared" ref="N139" si="106">+K139-L139-M139</f>
        <v>293322.09999999998</v>
      </c>
      <c r="O139" s="43"/>
      <c r="P139" s="40">
        <f>14338.2+67.9</f>
        <v>14406.1</v>
      </c>
      <c r="Q139" s="81">
        <f>651228.2+61692.9+743.9+2000</f>
        <v>715665</v>
      </c>
      <c r="R139" s="74">
        <v>3642.9</v>
      </c>
      <c r="S139" s="42">
        <f>SUM(P139:R139)</f>
        <v>733714</v>
      </c>
      <c r="T139" s="46"/>
      <c r="U139" s="47">
        <f t="shared" ref="U139" si="107">SUM(N139,S139)</f>
        <v>1027036.1</v>
      </c>
      <c r="V139" s="42">
        <f t="shared" ref="V139" si="108">SUM(D139,U139)</f>
        <v>1239894.8999999999</v>
      </c>
      <c r="Z139" s="49"/>
    </row>
    <row r="140" spans="1:26" s="48" customFormat="1" ht="19.5" hidden="1" x14ac:dyDescent="0.35">
      <c r="A140" s="63" t="s">
        <v>168</v>
      </c>
      <c r="B140" s="81">
        <f>519131.1-380171.5</f>
        <v>138959.59999999998</v>
      </c>
      <c r="C140" s="40">
        <f>190465.2-126249.4</f>
        <v>64215.800000000017</v>
      </c>
      <c r="D140" s="42">
        <f t="shared" ref="D140" si="109">SUM(B140,C140)</f>
        <v>203175.4</v>
      </c>
      <c r="E140" s="79">
        <v>74347</v>
      </c>
      <c r="F140" s="81">
        <f>87147.5+59641.1</f>
        <v>146788.6</v>
      </c>
      <c r="G140" s="42"/>
      <c r="H140" s="40">
        <f>21075.3+1223.7</f>
        <v>22299</v>
      </c>
      <c r="I140" s="42">
        <v>107284.3</v>
      </c>
      <c r="J140" s="43">
        <v>286516.8</v>
      </c>
      <c r="K140" s="42">
        <f t="shared" ref="K140" si="110">E140+F140+H140+I140+J140</f>
        <v>637235.69999999995</v>
      </c>
      <c r="L140" s="45">
        <v>244551.5</v>
      </c>
      <c r="M140" s="42">
        <v>29509.200000000001</v>
      </c>
      <c r="N140" s="55">
        <f t="shared" ref="N140" si="111">+K140-L140-M140</f>
        <v>363174.99999999994</v>
      </c>
      <c r="O140" s="43"/>
      <c r="P140" s="40">
        <f>11808.9+67.9</f>
        <v>11876.8</v>
      </c>
      <c r="Q140" s="81">
        <f>654663.2+63021.7+143.9+2000</f>
        <v>719828.79999999993</v>
      </c>
      <c r="R140" s="74">
        <v>3691</v>
      </c>
      <c r="S140" s="42">
        <f t="shared" ref="S140" si="112">SUM(P140:R140)</f>
        <v>735396.6</v>
      </c>
      <c r="T140" s="46"/>
      <c r="U140" s="47">
        <f t="shared" ref="U140" si="113">SUM(N140,S140)</f>
        <v>1098571.5999999999</v>
      </c>
      <c r="V140" s="42">
        <f t="shared" ref="V140" si="114">SUM(D140,U140)</f>
        <v>1301746.9999999998</v>
      </c>
      <c r="Z140" s="49"/>
    </row>
    <row r="141" spans="1:26" s="48" customFormat="1" ht="19.5" hidden="1" x14ac:dyDescent="0.35">
      <c r="A141" s="63" t="s">
        <v>172</v>
      </c>
      <c r="B141" s="81">
        <f>510232.8-376171.7</f>
        <v>134061.09999999998</v>
      </c>
      <c r="C141" s="40">
        <f>177087.7-119264.9</f>
        <v>57822.800000000017</v>
      </c>
      <c r="D141" s="42">
        <f t="shared" ref="D141" si="115">SUM(B141,C141)</f>
        <v>191883.9</v>
      </c>
      <c r="E141" s="79">
        <v>41502.5</v>
      </c>
      <c r="F141" s="81">
        <f>94268.7+59813.8</f>
        <v>154082.5</v>
      </c>
      <c r="G141" s="42"/>
      <c r="H141" s="40">
        <f>17552.8+948.8</f>
        <v>18501.599999999999</v>
      </c>
      <c r="I141" s="42">
        <v>106976.2</v>
      </c>
      <c r="J141" s="43">
        <v>286208.59999999998</v>
      </c>
      <c r="K141" s="42">
        <f t="shared" ref="K141" si="116">E141+F141+H141+I141+J141</f>
        <v>607271.39999999991</v>
      </c>
      <c r="L141" s="45">
        <f>244901.8-100</f>
        <v>244801.8</v>
      </c>
      <c r="M141" s="42">
        <v>31987.8</v>
      </c>
      <c r="N141" s="55">
        <f t="shared" ref="N141" si="117">+K141-L141-M141</f>
        <v>330481.79999999993</v>
      </c>
      <c r="O141" s="43"/>
      <c r="P141" s="40">
        <f>10622.4+67.9</f>
        <v>10690.3</v>
      </c>
      <c r="Q141" s="81">
        <f>661537.2+63967.5+143.9+2000</f>
        <v>727648.6</v>
      </c>
      <c r="R141" s="74">
        <v>3607.1</v>
      </c>
      <c r="S141" s="42">
        <f t="shared" ref="S141" si="118">SUM(P141:R141)</f>
        <v>741946</v>
      </c>
      <c r="T141" s="46"/>
      <c r="U141" s="47">
        <f t="shared" ref="U141" si="119">SUM(N141,S141)</f>
        <v>1072427.7999999998</v>
      </c>
      <c r="V141" s="42">
        <f t="shared" ref="V141" si="120">SUM(D141,U141)</f>
        <v>1264311.6999999997</v>
      </c>
      <c r="Z141" s="49"/>
    </row>
    <row r="142" spans="1:26" s="48" customFormat="1" ht="19.5" x14ac:dyDescent="0.35">
      <c r="A142" s="63" t="s">
        <v>174</v>
      </c>
      <c r="B142" s="81">
        <f>501214.7-372538.8</f>
        <v>128675.90000000002</v>
      </c>
      <c r="C142" s="40">
        <v>51849.4</v>
      </c>
      <c r="D142" s="42">
        <f t="shared" ref="D142" si="121">SUM(B142,C142)</f>
        <v>180525.30000000002</v>
      </c>
      <c r="E142" s="79">
        <v>55186.9</v>
      </c>
      <c r="F142" s="81">
        <f>87718.9+59983.8</f>
        <v>147702.70000000001</v>
      </c>
      <c r="G142" s="42"/>
      <c r="H142" s="40">
        <f>14527.8+34633.2</f>
        <v>49161</v>
      </c>
      <c r="I142" s="42">
        <v>106976.2</v>
      </c>
      <c r="J142" s="43">
        <v>285900.5</v>
      </c>
      <c r="K142" s="42">
        <f t="shared" ref="K142" si="122">E142+F142+H142+I142+J142</f>
        <v>644927.30000000005</v>
      </c>
      <c r="L142" s="45">
        <v>237225.9</v>
      </c>
      <c r="M142" s="42">
        <v>23004.400000000001</v>
      </c>
      <c r="N142" s="55">
        <f t="shared" ref="N142" si="123">+K142-L142-M142</f>
        <v>384697</v>
      </c>
      <c r="O142" s="43"/>
      <c r="P142" s="40">
        <f>10772.6+67.9</f>
        <v>10840.5</v>
      </c>
      <c r="Q142" s="81">
        <f>670650.7+64092.4+143.9+2000</f>
        <v>736887</v>
      </c>
      <c r="R142" s="74">
        <v>3449.3</v>
      </c>
      <c r="S142" s="42">
        <f t="shared" ref="S142" si="124">SUM(P142:R142)</f>
        <v>751176.8</v>
      </c>
      <c r="T142" s="46"/>
      <c r="U142" s="47">
        <f t="shared" ref="U142" si="125">SUM(N142,S142)</f>
        <v>1135873.8</v>
      </c>
      <c r="V142" s="42">
        <f t="shared" ref="V142" si="126">SUM(D142,U142)</f>
        <v>1316399.1000000001</v>
      </c>
      <c r="Z142" s="49"/>
    </row>
    <row r="143" spans="1:26" s="48" customFormat="1" ht="19.5" x14ac:dyDescent="0.35">
      <c r="A143" s="63"/>
      <c r="B143" s="81"/>
      <c r="C143" s="40"/>
      <c r="D143" s="42"/>
      <c r="E143" s="79"/>
      <c r="F143" s="81"/>
      <c r="G143" s="42"/>
      <c r="H143" s="40"/>
      <c r="I143" s="42"/>
      <c r="J143" s="43"/>
      <c r="K143" s="42"/>
      <c r="L143" s="45"/>
      <c r="M143" s="42"/>
      <c r="N143" s="55"/>
      <c r="O143" s="43"/>
      <c r="P143" s="40"/>
      <c r="Q143" s="81"/>
      <c r="R143" s="74"/>
      <c r="S143" s="42"/>
      <c r="T143" s="46"/>
      <c r="U143" s="43"/>
      <c r="V143" s="42"/>
      <c r="Z143" s="49"/>
    </row>
    <row r="144" spans="1:26" s="48" customFormat="1" ht="19.5" x14ac:dyDescent="0.35">
      <c r="A144" s="63" t="s">
        <v>132</v>
      </c>
      <c r="B144" s="79">
        <f>484397.9-357331.8</f>
        <v>127066.10000000003</v>
      </c>
      <c r="C144" s="79">
        <f>189271.1-141157.4</f>
        <v>48113.700000000012</v>
      </c>
      <c r="D144" s="42">
        <f t="shared" ref="D144" si="127">SUM(B144,C144)</f>
        <v>175179.80000000005</v>
      </c>
      <c r="E144" s="79">
        <v>22472.2</v>
      </c>
      <c r="F144" s="79">
        <f>89081.9+68163.2</f>
        <v>157245.09999999998</v>
      </c>
      <c r="G144" s="79"/>
      <c r="H144" s="79">
        <f>15258.8+35319</f>
        <v>50577.8</v>
      </c>
      <c r="I144" s="79">
        <v>106976.2</v>
      </c>
      <c r="J144" s="79">
        <v>285900.5</v>
      </c>
      <c r="K144" s="79">
        <f t="shared" ref="K144" si="128">E144+F144+H144+I144+J144</f>
        <v>623171.80000000005</v>
      </c>
      <c r="L144" s="79">
        <v>235201.1</v>
      </c>
      <c r="M144" s="42">
        <v>23585.3</v>
      </c>
      <c r="N144" s="55">
        <f t="shared" ref="N144" si="129">+K144-L144-M144</f>
        <v>364385.40000000008</v>
      </c>
      <c r="O144" s="43"/>
      <c r="P144" s="40">
        <f>9815.3+67.9</f>
        <v>9883.1999999999989</v>
      </c>
      <c r="Q144" s="55">
        <f>663649.1+68832.4+143.9+2000</f>
        <v>734625.4</v>
      </c>
      <c r="R144" s="74">
        <v>3291.2</v>
      </c>
      <c r="S144" s="42">
        <f t="shared" ref="S144" si="130">SUM(P144:R144)</f>
        <v>747799.79999999993</v>
      </c>
      <c r="T144" s="46"/>
      <c r="U144" s="47">
        <f t="shared" ref="U144" si="131">SUM(N144,S144)</f>
        <v>1112185.2</v>
      </c>
      <c r="V144" s="42">
        <f t="shared" ref="V144" si="132">SUM(D144,U144)</f>
        <v>1287365</v>
      </c>
      <c r="Z144" s="49"/>
    </row>
    <row r="145" spans="1:26" s="48" customFormat="1" ht="19.5" x14ac:dyDescent="0.35">
      <c r="A145" s="63" t="s">
        <v>126</v>
      </c>
      <c r="B145" s="79">
        <f>476571.7-354020.7</f>
        <v>122551</v>
      </c>
      <c r="C145" s="79">
        <f>177732-147647.7</f>
        <v>30084.299999999988</v>
      </c>
      <c r="D145" s="42">
        <f t="shared" ref="D145" si="133">SUM(B145,C145)</f>
        <v>152635.29999999999</v>
      </c>
      <c r="E145" s="79">
        <v>72202.7</v>
      </c>
      <c r="F145" s="79">
        <f>80498.8+60328.4</f>
        <v>140827.20000000001</v>
      </c>
      <c r="G145" s="79"/>
      <c r="H145" s="79">
        <f>16307.5+37033.8</f>
        <v>53341.3</v>
      </c>
      <c r="I145" s="79">
        <v>105891</v>
      </c>
      <c r="J145" s="79">
        <v>284644.40000000002</v>
      </c>
      <c r="K145" s="79">
        <f t="shared" ref="K145" si="134">E145+F145+H145+I145+J145</f>
        <v>656906.60000000009</v>
      </c>
      <c r="L145" s="79">
        <v>233287.9</v>
      </c>
      <c r="M145" s="42">
        <v>26721.8</v>
      </c>
      <c r="N145" s="55">
        <f t="shared" ref="N145" si="135">+K145-L145-M145</f>
        <v>396896.90000000008</v>
      </c>
      <c r="O145" s="43"/>
      <c r="P145" s="40">
        <f>7509.6+67.9</f>
        <v>7577.5</v>
      </c>
      <c r="Q145" s="55">
        <f>659529.2+66686.4+143.9+2000</f>
        <v>728359.5</v>
      </c>
      <c r="R145" s="74">
        <v>3220</v>
      </c>
      <c r="S145" s="42">
        <f t="shared" ref="S145" si="136">SUM(P145:R145)</f>
        <v>739157</v>
      </c>
      <c r="T145" s="46"/>
      <c r="U145" s="47">
        <f t="shared" ref="U145" si="137">SUM(N145,S145)</f>
        <v>1136053.9000000001</v>
      </c>
      <c r="V145" s="42">
        <f t="shared" ref="V145" si="138">SUM(D145,U145)</f>
        <v>1288689.2000000002</v>
      </c>
      <c r="Z145" s="49"/>
    </row>
    <row r="146" spans="1:26" s="48" customFormat="1" ht="19.5" x14ac:dyDescent="0.35">
      <c r="A146" s="63" t="s">
        <v>133</v>
      </c>
      <c r="B146" s="79">
        <f>472511-356984.6</f>
        <v>115526.40000000002</v>
      </c>
      <c r="C146" s="79">
        <f>191610-146245.4</f>
        <v>45364.600000000006</v>
      </c>
      <c r="D146" s="42">
        <f t="shared" ref="D146" si="139">SUM(B146,C146)</f>
        <v>160891.00000000003</v>
      </c>
      <c r="E146" s="79">
        <v>23590.1</v>
      </c>
      <c r="F146" s="79">
        <f>96138+60514.5</f>
        <v>156652.5</v>
      </c>
      <c r="G146" s="79"/>
      <c r="H146" s="79">
        <f>14327.6+37342.1</f>
        <v>51669.7</v>
      </c>
      <c r="I146" s="79">
        <v>104166</v>
      </c>
      <c r="J146" s="79">
        <v>284644.40000000002</v>
      </c>
      <c r="K146" s="79">
        <f t="shared" ref="K146" si="140">E146+F146+H146+I146+J146</f>
        <v>620722.69999999995</v>
      </c>
      <c r="L146" s="79">
        <v>245717.2</v>
      </c>
      <c r="M146" s="42">
        <v>29000.6</v>
      </c>
      <c r="N146" s="55">
        <f t="shared" ref="N146" si="141">+K146-L146-M146</f>
        <v>346004.89999999997</v>
      </c>
      <c r="O146" s="43"/>
      <c r="P146" s="40">
        <f>7825+67.9</f>
        <v>7892.9</v>
      </c>
      <c r="Q146" s="55">
        <f>667897.4+61346+143.9+2000</f>
        <v>731387.3</v>
      </c>
      <c r="R146" s="74">
        <v>3910.9</v>
      </c>
      <c r="S146" s="42">
        <f t="shared" ref="S146" si="142">SUM(P146:R146)</f>
        <v>743191.10000000009</v>
      </c>
      <c r="T146" s="46"/>
      <c r="U146" s="47">
        <f t="shared" ref="U146" si="143">SUM(N146,S146)</f>
        <v>1089196</v>
      </c>
      <c r="V146" s="42">
        <f t="shared" ref="V146" si="144">SUM(D146,U146)</f>
        <v>1250087</v>
      </c>
      <c r="Z146" s="49"/>
    </row>
    <row r="147" spans="1:26" s="48" customFormat="1" ht="19.5" x14ac:dyDescent="0.35">
      <c r="A147" s="63" t="s">
        <v>143</v>
      </c>
      <c r="B147" s="79">
        <f>453607.9-360084.5</f>
        <v>93523.400000000023</v>
      </c>
      <c r="C147" s="79">
        <f>202405.6-147867.7</f>
        <v>54537.899999999994</v>
      </c>
      <c r="D147" s="42">
        <f t="shared" ref="D147" si="145">SUM(B147,C147)</f>
        <v>148061.30000000002</v>
      </c>
      <c r="E147" s="79">
        <v>54107.7</v>
      </c>
      <c r="F147" s="79">
        <f>100215.5+52716.1</f>
        <v>152931.6</v>
      </c>
      <c r="G147" s="79"/>
      <c r="H147" s="79">
        <f>11955.7+35613.2</f>
        <v>47568.899999999994</v>
      </c>
      <c r="I147" s="79">
        <v>102772.7</v>
      </c>
      <c r="J147" s="79">
        <v>284004.5</v>
      </c>
      <c r="K147" s="79">
        <f t="shared" ref="K147" si="146">E147+F147+H147+I147+J147</f>
        <v>641385.39999999991</v>
      </c>
      <c r="L147" s="79">
        <v>232826.9</v>
      </c>
      <c r="M147" s="42">
        <v>27853.4</v>
      </c>
      <c r="N147" s="55">
        <f t="shared" ref="N147" si="147">+K147-L147-M147</f>
        <v>380705.09999999986</v>
      </c>
      <c r="O147" s="43"/>
      <c r="P147" s="40">
        <f>10188.2+67.9</f>
        <v>10256.1</v>
      </c>
      <c r="Q147" s="55">
        <f>683947.2+61535.4+143.9+2000</f>
        <v>747626.5</v>
      </c>
      <c r="R147" s="74">
        <v>3961.3</v>
      </c>
      <c r="S147" s="42">
        <f t="shared" ref="S147" si="148">SUM(P147:R147)</f>
        <v>761843.9</v>
      </c>
      <c r="T147" s="46"/>
      <c r="U147" s="47">
        <f t="shared" ref="U147" si="149">SUM(N147,S147)</f>
        <v>1142549</v>
      </c>
      <c r="V147" s="42">
        <f t="shared" ref="V147" si="150">SUM(D147,U147)</f>
        <v>1290610.3</v>
      </c>
      <c r="Z147" s="49"/>
    </row>
    <row r="148" spans="1:26" s="48" customFormat="1" ht="19.5" x14ac:dyDescent="0.35">
      <c r="A148" s="63" t="s">
        <v>144</v>
      </c>
      <c r="B148" s="79">
        <f>453191.4-356222.3</f>
        <v>96969.100000000035</v>
      </c>
      <c r="C148" s="79">
        <f>178435.2-136901.4</f>
        <v>41533.800000000017</v>
      </c>
      <c r="D148" s="42">
        <f t="shared" ref="D148" si="151">SUM(B148,C148)</f>
        <v>138502.90000000005</v>
      </c>
      <c r="E148" s="79">
        <v>79625</v>
      </c>
      <c r="F148" s="79">
        <f>114578.6+57887.2</f>
        <v>172465.8</v>
      </c>
      <c r="G148" s="79"/>
      <c r="H148" s="79">
        <f>16601.7+34736.2</f>
        <v>51337.899999999994</v>
      </c>
      <c r="I148" s="79">
        <v>101379.3</v>
      </c>
      <c r="J148" s="79">
        <v>283364.7</v>
      </c>
      <c r="K148" s="79">
        <f t="shared" ref="K148" si="152">E148+F148+H148+I148+J148</f>
        <v>688172.7</v>
      </c>
      <c r="L148" s="79">
        <v>236160.4</v>
      </c>
      <c r="M148" s="42">
        <v>28395.4</v>
      </c>
      <c r="N148" s="55">
        <f t="shared" ref="N148" si="153">+K148-L148-M148</f>
        <v>423616.89999999991</v>
      </c>
      <c r="O148" s="43"/>
      <c r="P148" s="40">
        <f>11357.1+67.9</f>
        <v>11425</v>
      </c>
      <c r="Q148" s="55">
        <f>689883.7+62667.8+143.9+2000</f>
        <v>754695.4</v>
      </c>
      <c r="R148" s="74">
        <v>4189.7</v>
      </c>
      <c r="S148" s="42">
        <f t="shared" ref="S148" si="154">SUM(P148:R148)</f>
        <v>770310.1</v>
      </c>
      <c r="T148" s="46"/>
      <c r="U148" s="47">
        <f t="shared" ref="U148" si="155">SUM(N148,S148)</f>
        <v>1193927</v>
      </c>
      <c r="V148" s="42">
        <f t="shared" ref="V148" si="156">SUM(D148,U148)</f>
        <v>1332429.9000000001</v>
      </c>
      <c r="Z148" s="49"/>
    </row>
    <row r="149" spans="1:26" s="48" customFormat="1" ht="19.5" x14ac:dyDescent="0.35">
      <c r="A149" s="63" t="s">
        <v>145</v>
      </c>
      <c r="B149" s="79">
        <f>373217.2-361289.7</f>
        <v>11927.5</v>
      </c>
      <c r="C149" s="79">
        <f>192773.6-139562.5</f>
        <v>53211.100000000006</v>
      </c>
      <c r="D149" s="42">
        <f t="shared" ref="D149" si="157">SUM(B149,C149)</f>
        <v>65138.600000000006</v>
      </c>
      <c r="E149" s="79">
        <v>121700.8</v>
      </c>
      <c r="F149" s="79">
        <f>105680.9+61075.3</f>
        <v>166756.20000000001</v>
      </c>
      <c r="G149" s="79"/>
      <c r="H149" s="79">
        <f>15842.4+32993.1</f>
        <v>48835.5</v>
      </c>
      <c r="I149" s="79">
        <v>100317.8</v>
      </c>
      <c r="J149" s="79">
        <v>282393.09999999998</v>
      </c>
      <c r="K149" s="79">
        <f t="shared" ref="K149" si="158">E149+F149+H149+I149+J149</f>
        <v>720003.39999999991</v>
      </c>
      <c r="L149" s="79">
        <v>227811.20000000001</v>
      </c>
      <c r="M149" s="42">
        <v>26258.9</v>
      </c>
      <c r="N149" s="55">
        <f t="shared" ref="N149" si="159">+K149-L149-M149</f>
        <v>465933.29999999987</v>
      </c>
      <c r="O149" s="43"/>
      <c r="P149" s="40">
        <f>9560.5+67.9</f>
        <v>9628.4</v>
      </c>
      <c r="Q149" s="55">
        <f>692198.6+62519.6+143.9+2000</f>
        <v>756862.1</v>
      </c>
      <c r="R149" s="74">
        <v>3822.2</v>
      </c>
      <c r="S149" s="42">
        <f t="shared" ref="S149" si="160">SUM(P149:R149)</f>
        <v>770312.7</v>
      </c>
      <c r="T149" s="46"/>
      <c r="U149" s="47">
        <f t="shared" ref="U149" si="161">SUM(N149,S149)</f>
        <v>1236245.9999999998</v>
      </c>
      <c r="V149" s="42">
        <f t="shared" ref="V149" si="162">SUM(D149,U149)</f>
        <v>1301384.5999999999</v>
      </c>
      <c r="Z149" s="49"/>
    </row>
    <row r="150" spans="1:26" s="48" customFormat="1" ht="19.5" x14ac:dyDescent="0.35">
      <c r="A150" s="63" t="s">
        <v>146</v>
      </c>
      <c r="B150" s="79">
        <f>353943.7-356249.3</f>
        <v>-2305.5999999999767</v>
      </c>
      <c r="C150" s="79">
        <f>167511-135310.6</f>
        <v>32200.399999999994</v>
      </c>
      <c r="D150" s="42">
        <f t="shared" ref="D150" si="163">SUM(B150,C150)</f>
        <v>29894.800000000017</v>
      </c>
      <c r="E150" s="79">
        <v>124466.2</v>
      </c>
      <c r="F150" s="79">
        <f>112827.4+57754.6</f>
        <v>170582</v>
      </c>
      <c r="G150" s="79"/>
      <c r="H150" s="79">
        <f>13954.7+34184.1</f>
        <v>48138.8</v>
      </c>
      <c r="I150" s="79">
        <v>98924.5</v>
      </c>
      <c r="J150" s="79">
        <v>281753.2</v>
      </c>
      <c r="K150" s="79">
        <f t="shared" ref="K150" si="164">E150+F150+H150+I150+J150</f>
        <v>723864.7</v>
      </c>
      <c r="L150" s="79">
        <v>202438.7</v>
      </c>
      <c r="M150" s="42">
        <v>26401.599999999999</v>
      </c>
      <c r="N150" s="55">
        <f t="shared" ref="N150" si="165">+K150-L150-M150</f>
        <v>495024.39999999997</v>
      </c>
      <c r="O150" s="43"/>
      <c r="P150" s="40">
        <f>13178.2+132</f>
        <v>13310.2</v>
      </c>
      <c r="Q150" s="55">
        <f>690116.7+71689.5+143.9+2000</f>
        <v>763950.1</v>
      </c>
      <c r="R150" s="74">
        <v>3822.1</v>
      </c>
      <c r="S150" s="42">
        <f t="shared" ref="S150" si="166">SUM(P150:R150)</f>
        <v>781082.39999999991</v>
      </c>
      <c r="T150" s="46"/>
      <c r="U150" s="47">
        <f t="shared" ref="U150" si="167">SUM(N150,S150)</f>
        <v>1276106.7999999998</v>
      </c>
      <c r="V150" s="42">
        <f t="shared" ref="V150" si="168">SUM(D150,U150)</f>
        <v>1306001.5999999999</v>
      </c>
      <c r="Z150" s="49"/>
    </row>
    <row r="151" spans="1:26" s="48" customFormat="1" ht="19.5" x14ac:dyDescent="0.35">
      <c r="A151" s="63" t="s">
        <v>147</v>
      </c>
      <c r="B151" s="79">
        <f>312523.9-355556.2</f>
        <v>-43032.299999999988</v>
      </c>
      <c r="C151" s="79">
        <f>188311.7-142073</f>
        <v>46238.700000000012</v>
      </c>
      <c r="D151" s="42">
        <f t="shared" ref="D151" si="169">SUM(B151,C151)</f>
        <v>3206.4000000000233</v>
      </c>
      <c r="E151" s="79">
        <v>162684.9</v>
      </c>
      <c r="F151" s="79">
        <f>112931+57957.3</f>
        <v>170888.3</v>
      </c>
      <c r="G151" s="79"/>
      <c r="H151" s="79">
        <f>13926.8+33864.5</f>
        <v>47791.3</v>
      </c>
      <c r="I151" s="79">
        <v>97531.199999999997</v>
      </c>
      <c r="J151" s="79">
        <v>281113.3</v>
      </c>
      <c r="K151" s="79">
        <f t="shared" ref="K151" si="170">E151+F151+H151+I151+J151</f>
        <v>760009</v>
      </c>
      <c r="L151" s="79">
        <v>190793.5</v>
      </c>
      <c r="M151" s="42">
        <v>34152.400000000001</v>
      </c>
      <c r="N151" s="55">
        <f t="shared" ref="N151" si="171">+K151-L151-M151</f>
        <v>535063.1</v>
      </c>
      <c r="O151" s="43"/>
      <c r="P151" s="40">
        <f>12973+132</f>
        <v>13105</v>
      </c>
      <c r="Q151" s="55">
        <f>690115.3+70872.4+143.9+2000</f>
        <v>763131.60000000009</v>
      </c>
      <c r="R151" s="74">
        <v>3846.9</v>
      </c>
      <c r="S151" s="42">
        <f t="shared" ref="S151" si="172">SUM(P151:R151)</f>
        <v>780083.50000000012</v>
      </c>
      <c r="T151" s="46"/>
      <c r="U151" s="47">
        <f t="shared" ref="U151" si="173">SUM(N151,S151)</f>
        <v>1315146.6000000001</v>
      </c>
      <c r="V151" s="42">
        <f t="shared" ref="V151" si="174">SUM(D151,U151)</f>
        <v>1318353</v>
      </c>
      <c r="Z151" s="49"/>
    </row>
    <row r="152" spans="1:26" s="48" customFormat="1" ht="19.5" x14ac:dyDescent="0.35">
      <c r="A152" s="63" t="s">
        <v>148</v>
      </c>
      <c r="B152" s="79">
        <f>274254.7-351304.8</f>
        <v>-77050.099999999977</v>
      </c>
      <c r="C152" s="79">
        <f>179072.1-135266.6</f>
        <v>43805.5</v>
      </c>
      <c r="D152" s="42">
        <f t="shared" ref="D152" si="175">SUM(B152,C152)</f>
        <v>-33244.599999999977</v>
      </c>
      <c r="E152" s="79">
        <v>201450.1</v>
      </c>
      <c r="F152" s="79">
        <f>118944.2+58157.4</f>
        <v>177101.6</v>
      </c>
      <c r="G152" s="79"/>
      <c r="H152" s="79">
        <f>16617.4+33329.9</f>
        <v>49947.3</v>
      </c>
      <c r="I152" s="79">
        <v>96137.9</v>
      </c>
      <c r="J152" s="79">
        <v>280473.5</v>
      </c>
      <c r="K152" s="79">
        <f t="shared" ref="K152" si="176">E152+F152+H152+I152+J152</f>
        <v>805110.4</v>
      </c>
      <c r="L152" s="79">
        <v>207695.2</v>
      </c>
      <c r="M152" s="42">
        <v>29497.3</v>
      </c>
      <c r="N152" s="55">
        <f t="shared" ref="N152" si="177">+K152-L152-M152</f>
        <v>567917.89999999991</v>
      </c>
      <c r="O152" s="43"/>
      <c r="P152" s="40">
        <f>14833.4+132</f>
        <v>14965.4</v>
      </c>
      <c r="Q152" s="55">
        <f>687643.2+69277.8+143.9+2000</f>
        <v>759064.9</v>
      </c>
      <c r="R152" s="74">
        <v>3755.9</v>
      </c>
      <c r="S152" s="42">
        <f>SUM(P152:R152)</f>
        <v>777786.20000000007</v>
      </c>
      <c r="T152" s="46"/>
      <c r="U152" s="47">
        <f t="shared" ref="U152" si="178">SUM(N152,S152)</f>
        <v>1345704.1</v>
      </c>
      <c r="V152" s="42">
        <f t="shared" ref="V152" si="179">SUM(D152,U152)</f>
        <v>1312459.5</v>
      </c>
      <c r="Z152" s="49"/>
    </row>
    <row r="153" spans="1:26" s="48" customFormat="1" ht="19.5" x14ac:dyDescent="0.35">
      <c r="A153" s="63" t="s">
        <v>149</v>
      </c>
      <c r="B153" s="79">
        <f>290627.4-349041.3</f>
        <v>-58413.899999999965</v>
      </c>
      <c r="C153" s="79">
        <f>167200.7-132616.1</f>
        <v>34584.600000000006</v>
      </c>
      <c r="D153" s="42">
        <f t="shared" ref="D153" si="180">SUM(B153,C153)</f>
        <v>-23829.299999999959</v>
      </c>
      <c r="E153" s="79">
        <v>227827.20000000001</v>
      </c>
      <c r="F153" s="79">
        <f>135892.3+58368.8</f>
        <v>194261.09999999998</v>
      </c>
      <c r="G153" s="79"/>
      <c r="H153" s="79">
        <f>19836.1+34898.8</f>
        <v>54734.9</v>
      </c>
      <c r="I153" s="79">
        <v>95660.7</v>
      </c>
      <c r="J153" s="79">
        <v>279193.7</v>
      </c>
      <c r="K153" s="79">
        <f t="shared" ref="K153" si="181">E153+F153+H153+I153+J153</f>
        <v>851677.60000000009</v>
      </c>
      <c r="L153" s="79">
        <v>189328.2</v>
      </c>
      <c r="M153" s="42">
        <v>33496</v>
      </c>
      <c r="N153" s="55">
        <f t="shared" ref="N153" si="182">+K153-L153-M153</f>
        <v>628853.40000000014</v>
      </c>
      <c r="O153" s="43"/>
      <c r="P153" s="40">
        <f>29205.4+132</f>
        <v>29337.4</v>
      </c>
      <c r="Q153" s="55">
        <f>661292.9+71105.2+143.9+2000</f>
        <v>734542</v>
      </c>
      <c r="R153" s="74">
        <v>4663.1000000000004</v>
      </c>
      <c r="S153" s="42">
        <f t="shared" ref="S153" si="183">SUM(P153:R153)</f>
        <v>768542.5</v>
      </c>
      <c r="T153" s="46"/>
      <c r="U153" s="47">
        <f t="shared" ref="U153" si="184">SUM(N153,S153)</f>
        <v>1397395.9000000001</v>
      </c>
      <c r="V153" s="42">
        <f t="shared" ref="V153" si="185">SUM(D153,U153)</f>
        <v>1373566.6</v>
      </c>
      <c r="Z153" s="49"/>
    </row>
    <row r="154" spans="1:26" s="48" customFormat="1" ht="19.5" x14ac:dyDescent="0.35">
      <c r="A154" s="63" t="s">
        <v>150</v>
      </c>
      <c r="B154" s="79">
        <f>237497.1-350334.2</f>
        <v>-112837.1</v>
      </c>
      <c r="C154" s="79">
        <f>182736.6-154302.8</f>
        <v>28433.800000000017</v>
      </c>
      <c r="D154" s="42">
        <f t="shared" ref="D154" si="186">SUM(B154,C154)</f>
        <v>-84403.299999999988</v>
      </c>
      <c r="E154" s="79">
        <v>236897.9</v>
      </c>
      <c r="F154" s="79">
        <f>151945+70789.2</f>
        <v>222734.2</v>
      </c>
      <c r="G154" s="79"/>
      <c r="H154" s="79">
        <f>14859.9+41431.2</f>
        <v>56291.1</v>
      </c>
      <c r="I154" s="79">
        <v>94267.4</v>
      </c>
      <c r="J154" s="79">
        <v>278553.90000000002</v>
      </c>
      <c r="K154" s="79">
        <f t="shared" ref="K154" si="187">E154+F154+H154+I154+J154</f>
        <v>888744.5</v>
      </c>
      <c r="L154" s="79">
        <v>196404.5</v>
      </c>
      <c r="M154" s="42">
        <v>34078.9</v>
      </c>
      <c r="N154" s="55">
        <f t="shared" ref="N154" si="188">+K154-L154-M154</f>
        <v>658261.1</v>
      </c>
      <c r="O154" s="43"/>
      <c r="P154" s="40">
        <f>9995.1+132</f>
        <v>10127.1</v>
      </c>
      <c r="Q154" s="55">
        <f>692906.6+41550.5+143.9+2000</f>
        <v>736601</v>
      </c>
      <c r="R154" s="74">
        <v>8.3000000000000007</v>
      </c>
      <c r="S154" s="42">
        <f t="shared" ref="S154" si="189">SUM(P154:R154)</f>
        <v>746736.4</v>
      </c>
      <c r="T154" s="46"/>
      <c r="U154" s="47">
        <f t="shared" ref="U154" si="190">SUM(N154,S154)</f>
        <v>1404997.5</v>
      </c>
      <c r="V154" s="42">
        <f t="shared" ref="V154" si="191">SUM(D154,U154)</f>
        <v>1320594.2</v>
      </c>
      <c r="Z154" s="49"/>
    </row>
    <row r="155" spans="1:26" s="48" customFormat="1" ht="19.5" x14ac:dyDescent="0.35">
      <c r="A155" s="63" t="s">
        <v>151</v>
      </c>
      <c r="B155" s="79">
        <f>221829.6-354815.2</f>
        <v>-132985.60000000001</v>
      </c>
      <c r="C155" s="79">
        <f>206869.5-150034</f>
        <v>56835.5</v>
      </c>
      <c r="D155" s="42">
        <f t="shared" ref="D155" si="192">SUM(B155,C155)</f>
        <v>-76150.100000000006</v>
      </c>
      <c r="E155" s="79">
        <v>273246</v>
      </c>
      <c r="F155" s="79">
        <f>175202.1+78586</f>
        <v>253788.1</v>
      </c>
      <c r="G155" s="79"/>
      <c r="H155" s="79">
        <f>14621.9+35319.3</f>
        <v>49941.200000000004</v>
      </c>
      <c r="I155" s="79">
        <v>90564.7</v>
      </c>
      <c r="J155" s="79">
        <v>277913.90000000002</v>
      </c>
      <c r="K155" s="79">
        <f t="shared" ref="K155" si="193">E155+F155+H155+I155+J155</f>
        <v>945453.89999999991</v>
      </c>
      <c r="L155" s="79">
        <v>230592.8</v>
      </c>
      <c r="M155" s="42">
        <v>26313.599999999999</v>
      </c>
      <c r="N155" s="55">
        <f t="shared" ref="N155" si="194">+K155-L155-M155</f>
        <v>688547.49999999988</v>
      </c>
      <c r="O155" s="43"/>
      <c r="P155" s="40">
        <f>6400.1+132</f>
        <v>6532.1</v>
      </c>
      <c r="Q155" s="55">
        <f>673344.4+36700.1+143.9+2000</f>
        <v>712188.4</v>
      </c>
      <c r="R155" s="74">
        <v>27.1</v>
      </c>
      <c r="S155" s="42">
        <f t="shared" ref="S155" si="195">SUM(P155:R155)</f>
        <v>718747.6</v>
      </c>
      <c r="T155" s="46"/>
      <c r="U155" s="47">
        <f t="shared" ref="U155" si="196">SUM(N155,S155)</f>
        <v>1407295.0999999999</v>
      </c>
      <c r="V155" s="42">
        <f t="shared" ref="V155" si="197">SUM(D155,U155)</f>
        <v>1331144.9999999998</v>
      </c>
      <c r="Z155" s="49"/>
    </row>
    <row r="156" spans="1:26" s="48" customFormat="1" ht="19.5" x14ac:dyDescent="0.35">
      <c r="A156" s="63"/>
      <c r="B156" s="79"/>
      <c r="C156" s="92"/>
      <c r="D156" s="42"/>
      <c r="E156" s="79"/>
      <c r="F156" s="79"/>
      <c r="G156" s="79"/>
      <c r="H156" s="79"/>
      <c r="I156" s="79"/>
      <c r="J156" s="92"/>
      <c r="K156" s="79"/>
      <c r="L156" s="93"/>
      <c r="M156" s="42"/>
      <c r="N156" s="55"/>
      <c r="O156" s="43"/>
      <c r="P156" s="40"/>
      <c r="Q156" s="55"/>
      <c r="R156" s="74"/>
      <c r="S156" s="42"/>
      <c r="T156" s="46"/>
      <c r="U156" s="43"/>
      <c r="V156" s="42"/>
      <c r="Z156" s="49"/>
    </row>
    <row r="157" spans="1:26" s="48" customFormat="1" ht="19.5" x14ac:dyDescent="0.35">
      <c r="A157" s="63" t="s">
        <v>162</v>
      </c>
      <c r="B157" s="79">
        <f>215273.1-351129.1</f>
        <v>-135855.99999999997</v>
      </c>
      <c r="C157" s="79">
        <f>163636.7-147014.7</f>
        <v>16622</v>
      </c>
      <c r="D157" s="42">
        <f t="shared" ref="D157" si="198">SUM(B157,C157)</f>
        <v>-119233.99999999997</v>
      </c>
      <c r="E157" s="79">
        <v>230233.5</v>
      </c>
      <c r="F157" s="79">
        <f>189318.8+77215.2</f>
        <v>266534</v>
      </c>
      <c r="G157" s="79"/>
      <c r="H157" s="79">
        <f>14586.2+34968.7</f>
        <v>49554.899999999994</v>
      </c>
      <c r="I157" s="79">
        <v>90564.7</v>
      </c>
      <c r="J157" s="79">
        <v>277913.90000000002</v>
      </c>
      <c r="K157" s="79">
        <f t="shared" ref="K157" si="199">E157+F157+H157+I157+J157</f>
        <v>914801</v>
      </c>
      <c r="L157" s="79">
        <v>193446.39999999999</v>
      </c>
      <c r="M157" s="42">
        <v>27271.8</v>
      </c>
      <c r="N157" s="55">
        <f t="shared" ref="N157" si="200">+K157-L157-M157</f>
        <v>694082.79999999993</v>
      </c>
      <c r="O157" s="43"/>
      <c r="P157" s="40">
        <f>2850.7+132</f>
        <v>2982.7</v>
      </c>
      <c r="Q157" s="55">
        <f>687422.4+39408+143.9+2000</f>
        <v>728974.3</v>
      </c>
      <c r="R157" s="74">
        <v>67.400000000000006</v>
      </c>
      <c r="S157" s="42">
        <f t="shared" ref="S157" si="201">SUM(P157:R157)</f>
        <v>732024.4</v>
      </c>
      <c r="T157" s="46"/>
      <c r="U157" s="47">
        <f t="shared" ref="U157" si="202">SUM(N157,S157)</f>
        <v>1426107.2</v>
      </c>
      <c r="V157" s="42">
        <f t="shared" ref="V157" si="203">SUM(D157,U157)</f>
        <v>1306873.2</v>
      </c>
      <c r="Z157" s="49"/>
    </row>
    <row r="158" spans="1:26" s="48" customFormat="1" ht="19.5" x14ac:dyDescent="0.35">
      <c r="A158" s="63" t="s">
        <v>126</v>
      </c>
      <c r="B158" s="79">
        <f>178145.6-344743.7</f>
        <v>-166598.1</v>
      </c>
      <c r="C158" s="79">
        <f>178520.4-144711</f>
        <v>33809.399999999994</v>
      </c>
      <c r="D158" s="42">
        <f t="shared" ref="D158" si="204">SUM(B158,C158)</f>
        <v>-132788.70000000001</v>
      </c>
      <c r="E158" s="79">
        <v>260394.9</v>
      </c>
      <c r="F158" s="79">
        <f>203350.4+79380.5</f>
        <v>282730.90000000002</v>
      </c>
      <c r="G158" s="79"/>
      <c r="H158" s="79">
        <f>19175+33693</f>
        <v>52868</v>
      </c>
      <c r="I158" s="79">
        <v>89171.4</v>
      </c>
      <c r="J158" s="79">
        <v>277274.09999999998</v>
      </c>
      <c r="K158" s="79">
        <f t="shared" ref="K158" si="205">E158+F158+H158+I158+J158</f>
        <v>962439.3</v>
      </c>
      <c r="L158" s="79">
        <v>199629.2</v>
      </c>
      <c r="M158" s="42">
        <v>26561.599999999999</v>
      </c>
      <c r="N158" s="55">
        <f t="shared" ref="N158" si="206">+K158-L158-M158</f>
        <v>736248.50000000012</v>
      </c>
      <c r="O158" s="43"/>
      <c r="P158" s="40">
        <f>3335.3+132</f>
        <v>3467.3</v>
      </c>
      <c r="Q158" s="55">
        <f>682643.6+41511.7+143.9+2000</f>
        <v>726299.2</v>
      </c>
      <c r="R158" s="74">
        <v>24.4</v>
      </c>
      <c r="S158" s="42">
        <f t="shared" ref="S158" si="207">SUM(P158:R158)</f>
        <v>729790.9</v>
      </c>
      <c r="T158" s="46"/>
      <c r="U158" s="47">
        <f t="shared" ref="U158" si="208">SUM(N158,S158)</f>
        <v>1466039.4000000001</v>
      </c>
      <c r="V158" s="42">
        <f t="shared" ref="V158" si="209">SUM(D158,U158)</f>
        <v>1333250.7000000002</v>
      </c>
      <c r="Z158" s="49"/>
    </row>
    <row r="159" spans="1:26" s="48" customFormat="1" ht="19.5" x14ac:dyDescent="0.35">
      <c r="A159" s="63" t="s">
        <v>163</v>
      </c>
      <c r="B159" s="79">
        <f>155219.8-350173.8</f>
        <v>-194954</v>
      </c>
      <c r="C159" s="79">
        <f>182809.7-148879.5</f>
        <v>33930.200000000012</v>
      </c>
      <c r="D159" s="42">
        <f t="shared" ref="D159" si="210">SUM(B159,C159)</f>
        <v>-161023.79999999999</v>
      </c>
      <c r="E159" s="79">
        <v>273246</v>
      </c>
      <c r="F159" s="79">
        <f>216514.6+80380.2</f>
        <v>296894.8</v>
      </c>
      <c r="G159" s="79"/>
      <c r="H159" s="79">
        <f>14402.5+34871.9</f>
        <v>49274.400000000001</v>
      </c>
      <c r="I159" s="79">
        <v>86384.8</v>
      </c>
      <c r="J159" s="79">
        <v>275994.3</v>
      </c>
      <c r="K159" s="79">
        <f t="shared" ref="K159" si="211">E159+F159+H159+I159+J159</f>
        <v>981794.3</v>
      </c>
      <c r="L159" s="79">
        <v>229725.3</v>
      </c>
      <c r="M159" s="42">
        <v>25784.1</v>
      </c>
      <c r="N159" s="55">
        <f t="shared" ref="N159" si="212">+K159-L159-M159</f>
        <v>726284.9</v>
      </c>
      <c r="O159" s="43"/>
      <c r="P159" s="40">
        <f>2635.5+132</f>
        <v>2767.5</v>
      </c>
      <c r="Q159" s="55">
        <f>680912+39088.3+143.9+2000</f>
        <v>722144.20000000007</v>
      </c>
      <c r="R159" s="74">
        <v>22.2</v>
      </c>
      <c r="S159" s="42">
        <f t="shared" ref="S159" si="213">SUM(P159:R159)</f>
        <v>724933.9</v>
      </c>
      <c r="T159" s="46"/>
      <c r="U159" s="47">
        <f t="shared" ref="U159" si="214">SUM(N159,S159)</f>
        <v>1451218.8</v>
      </c>
      <c r="V159" s="42">
        <f t="shared" ref="V159" si="215">SUM(D159,U159)</f>
        <v>1290195</v>
      </c>
      <c r="Z159" s="49"/>
    </row>
    <row r="160" spans="1:26" s="100" customFormat="1" ht="19.5" x14ac:dyDescent="0.35">
      <c r="A160" s="63" t="s">
        <v>169</v>
      </c>
      <c r="B160" s="106">
        <f>179533.4-355049.6</f>
        <v>-175516.19999999998</v>
      </c>
      <c r="C160" s="106">
        <f>157788.6-151565.2</f>
        <v>6223.3999999999942</v>
      </c>
      <c r="D160" s="95">
        <f t="shared" ref="D160" si="216">SUM(B160,C160)</f>
        <v>-169292.79999999999</v>
      </c>
      <c r="E160" s="106">
        <v>278026.09999999998</v>
      </c>
      <c r="F160" s="106">
        <f>237046.4+82538.3</f>
        <v>319584.7</v>
      </c>
      <c r="G160" s="106"/>
      <c r="H160" s="106">
        <f>16326.8+38504</f>
        <v>54830.8</v>
      </c>
      <c r="I160" s="106">
        <v>86384.8</v>
      </c>
      <c r="J160" s="106">
        <v>275994.3</v>
      </c>
      <c r="K160" s="106">
        <f t="shared" ref="K160" si="217">E160+F160+H160+I160+J160</f>
        <v>1014820.7000000002</v>
      </c>
      <c r="L160" s="106">
        <v>211495</v>
      </c>
      <c r="M160" s="95">
        <v>31710.3</v>
      </c>
      <c r="N160" s="102">
        <f t="shared" ref="N160" si="218">+K160-L160-M160</f>
        <v>771615.40000000014</v>
      </c>
      <c r="O160" s="96"/>
      <c r="P160" s="94">
        <f>6453.9+132</f>
        <v>6585.9</v>
      </c>
      <c r="Q160" s="102">
        <f>670394.2+37972+143.9+2000</f>
        <v>710510.1</v>
      </c>
      <c r="R160" s="105">
        <v>46.2</v>
      </c>
      <c r="S160" s="95">
        <f t="shared" ref="S160" si="219">SUM(P160:R160)</f>
        <v>717142.2</v>
      </c>
      <c r="T160" s="98"/>
      <c r="U160" s="99">
        <f t="shared" ref="U160" si="220">SUM(N160,S160)</f>
        <v>1488757.6</v>
      </c>
      <c r="V160" s="95">
        <f t="shared" ref="V160" si="221">SUM(D160,U160)</f>
        <v>1319464.8</v>
      </c>
      <c r="Z160" s="101"/>
    </row>
    <row r="161" spans="1:26" s="100" customFormat="1" ht="19.5" x14ac:dyDescent="0.35">
      <c r="A161" s="63" t="s">
        <v>170</v>
      </c>
      <c r="B161" s="106">
        <f>156712.9-352456.3</f>
        <v>-195743.4</v>
      </c>
      <c r="C161" s="106">
        <f>155604.4-155149.9</f>
        <v>454.5</v>
      </c>
      <c r="D161" s="95">
        <f t="shared" ref="D161:D168" si="222">SUM(B161,C161)</f>
        <v>-195288.9</v>
      </c>
      <c r="E161" s="106">
        <v>294898.3</v>
      </c>
      <c r="F161" s="106">
        <f>241098.8+81282.9</f>
        <v>322381.69999999995</v>
      </c>
      <c r="G161" s="106"/>
      <c r="H161" s="106">
        <f>13361.9+40862.7</f>
        <v>54224.6</v>
      </c>
      <c r="I161" s="106">
        <v>84991.5</v>
      </c>
      <c r="J161" s="106">
        <v>275354.5</v>
      </c>
      <c r="K161" s="106">
        <f t="shared" ref="K161:K168" si="223">E161+F161+H161+I161+J161</f>
        <v>1031850.6</v>
      </c>
      <c r="L161" s="106">
        <v>213370.4</v>
      </c>
      <c r="M161" s="95">
        <v>33788.199999999997</v>
      </c>
      <c r="N161" s="102">
        <f t="shared" ref="N161:N164" si="224">+K161-L161-M161</f>
        <v>784692</v>
      </c>
      <c r="O161" s="96"/>
      <c r="P161" s="94">
        <f>7171.9+132</f>
        <v>7303.9</v>
      </c>
      <c r="Q161" s="102">
        <f>678865.9+38637.9+143.9+2000</f>
        <v>719647.70000000007</v>
      </c>
      <c r="R161" s="105">
        <v>56.4</v>
      </c>
      <c r="S161" s="95">
        <f t="shared" ref="S161:S168" si="225">SUM(P161:R161)</f>
        <v>727008.00000000012</v>
      </c>
      <c r="T161" s="98"/>
      <c r="U161" s="99">
        <f t="shared" ref="U161:U168" si="226">SUM(N161,S161)</f>
        <v>1511700</v>
      </c>
      <c r="V161" s="95">
        <f t="shared" ref="V161:V168" si="227">SUM(D161,U161)</f>
        <v>1316411.1000000001</v>
      </c>
      <c r="Z161" s="101"/>
    </row>
    <row r="162" spans="1:26" s="100" customFormat="1" ht="19.5" x14ac:dyDescent="0.35">
      <c r="A162" s="63" t="s">
        <v>122</v>
      </c>
      <c r="B162" s="106">
        <f>165835.4-351838.8</f>
        <v>-186003.4</v>
      </c>
      <c r="C162" s="107">
        <f>163223.7-143107</f>
        <v>20116.700000000012</v>
      </c>
      <c r="D162" s="95">
        <f t="shared" si="222"/>
        <v>-165886.69999999998</v>
      </c>
      <c r="E162" s="106">
        <v>292750.7</v>
      </c>
      <c r="F162" s="106">
        <f>267467.3+81275.6</f>
        <v>348742.9</v>
      </c>
      <c r="G162" s="106"/>
      <c r="H162" s="106">
        <f>16843.8+36105</f>
        <v>52948.800000000003</v>
      </c>
      <c r="I162" s="106">
        <v>83598.2</v>
      </c>
      <c r="J162" s="107">
        <v>274074.7</v>
      </c>
      <c r="K162" s="106">
        <f t="shared" si="223"/>
        <v>1052115.3</v>
      </c>
      <c r="L162" s="108">
        <v>219194.7</v>
      </c>
      <c r="M162" s="95">
        <v>41471.800000000003</v>
      </c>
      <c r="N162" s="102">
        <f t="shared" si="224"/>
        <v>791448.8</v>
      </c>
      <c r="O162" s="96"/>
      <c r="P162" s="94">
        <f>6295+132</f>
        <v>6427</v>
      </c>
      <c r="Q162" s="102">
        <f>691049.7+39825.7+143.9+2000</f>
        <v>733019.29999999993</v>
      </c>
      <c r="R162" s="105">
        <v>59.2</v>
      </c>
      <c r="S162" s="95">
        <f t="shared" si="225"/>
        <v>739505.49999999988</v>
      </c>
      <c r="T162" s="98"/>
      <c r="U162" s="99">
        <f t="shared" si="226"/>
        <v>1530954.2999999998</v>
      </c>
      <c r="V162" s="95">
        <f t="shared" si="227"/>
        <v>1365067.5999999999</v>
      </c>
      <c r="Z162" s="101"/>
    </row>
    <row r="163" spans="1:26" s="100" customFormat="1" ht="19.5" x14ac:dyDescent="0.35">
      <c r="A163" s="63" t="s">
        <v>158</v>
      </c>
      <c r="B163" s="106">
        <f>160561.3-346787.6</f>
        <v>-186226.3</v>
      </c>
      <c r="C163" s="107">
        <f>141680.7-143986.8</f>
        <v>-2306.0999999999767</v>
      </c>
      <c r="D163" s="95">
        <f t="shared" si="222"/>
        <v>-188532.39999999997</v>
      </c>
      <c r="E163" s="106">
        <v>290649.2</v>
      </c>
      <c r="F163" s="106">
        <f>277335.3+88634.5</f>
        <v>365969.8</v>
      </c>
      <c r="G163" s="106"/>
      <c r="H163" s="106">
        <f>16843.8+36494.9</f>
        <v>53338.7</v>
      </c>
      <c r="I163" s="106">
        <v>82204.899999999994</v>
      </c>
      <c r="J163" s="107">
        <v>273434.90000000002</v>
      </c>
      <c r="K163" s="106">
        <f t="shared" si="223"/>
        <v>1065597.5</v>
      </c>
      <c r="L163" s="108">
        <v>215989.1</v>
      </c>
      <c r="M163" s="95">
        <v>39586.400000000001</v>
      </c>
      <c r="N163" s="102">
        <f t="shared" si="224"/>
        <v>810022</v>
      </c>
      <c r="O163" s="96"/>
      <c r="P163" s="94">
        <f>11207+132</f>
        <v>11339</v>
      </c>
      <c r="Q163" s="102">
        <f>38473.9+683778.5+143.9+2000</f>
        <v>724396.3</v>
      </c>
      <c r="R163" s="105">
        <v>35</v>
      </c>
      <c r="S163" s="95">
        <f t="shared" si="225"/>
        <v>735770.3</v>
      </c>
      <c r="T163" s="98"/>
      <c r="U163" s="99">
        <f t="shared" si="226"/>
        <v>1545792.3</v>
      </c>
      <c r="V163" s="95">
        <f t="shared" si="227"/>
        <v>1357259.9000000001</v>
      </c>
      <c r="Z163" s="101"/>
    </row>
    <row r="164" spans="1:26" s="100" customFormat="1" ht="19.5" x14ac:dyDescent="0.35">
      <c r="A164" s="63" t="s">
        <v>161</v>
      </c>
      <c r="B164" s="106">
        <f>147801.7-340352.3</f>
        <v>-192550.59999999998</v>
      </c>
      <c r="C164" s="107">
        <f>127492.8-137165.5</f>
        <v>-9672.6999999999971</v>
      </c>
      <c r="D164" s="95">
        <f t="shared" si="222"/>
        <v>-202223.3</v>
      </c>
      <c r="E164" s="106">
        <v>10113</v>
      </c>
      <c r="F164" s="106">
        <f>280601.3+88999.1</f>
        <v>369600.4</v>
      </c>
      <c r="G164" s="106"/>
      <c r="H164" s="106">
        <f>16843.8+31396.8</f>
        <v>48240.6</v>
      </c>
      <c r="I164" s="106">
        <v>80811.600000000006</v>
      </c>
      <c r="J164" s="107">
        <v>546041</v>
      </c>
      <c r="K164" s="106">
        <f t="shared" si="223"/>
        <v>1054806.6000000001</v>
      </c>
      <c r="L164" s="108">
        <v>209031.3</v>
      </c>
      <c r="M164" s="95">
        <v>29870.1</v>
      </c>
      <c r="N164" s="102">
        <f t="shared" si="224"/>
        <v>815905.20000000007</v>
      </c>
      <c r="O164" s="96"/>
      <c r="P164" s="94">
        <f>132+10171.2</f>
        <v>10303.200000000001</v>
      </c>
      <c r="Q164" s="102">
        <f>707466.9+41537.3+2000+143.9</f>
        <v>751148.10000000009</v>
      </c>
      <c r="R164" s="105">
        <v>26.9</v>
      </c>
      <c r="S164" s="95">
        <f t="shared" si="225"/>
        <v>761478.20000000007</v>
      </c>
      <c r="T164" s="98"/>
      <c r="U164" s="99">
        <f t="shared" si="226"/>
        <v>1577383.4000000001</v>
      </c>
      <c r="V164" s="95">
        <f t="shared" si="227"/>
        <v>1375160.1</v>
      </c>
      <c r="Z164" s="101"/>
    </row>
    <row r="165" spans="1:26" s="100" customFormat="1" ht="19.5" x14ac:dyDescent="0.35">
      <c r="A165" s="63" t="s">
        <v>166</v>
      </c>
      <c r="B165" s="106">
        <f>157393.5-338994.5</f>
        <v>-181601</v>
      </c>
      <c r="C165" s="107">
        <f>129120.3-139965.1</f>
        <v>-10844.800000000003</v>
      </c>
      <c r="D165" s="95">
        <f t="shared" si="222"/>
        <v>-192445.8</v>
      </c>
      <c r="E165" s="106">
        <v>18972.7</v>
      </c>
      <c r="F165" s="106">
        <f>298096.4+92142</f>
        <v>390238.4</v>
      </c>
      <c r="G165" s="106"/>
      <c r="H165" s="106">
        <f>16843.8+31521.1</f>
        <v>48364.899999999994</v>
      </c>
      <c r="I165" s="106">
        <v>79418.3</v>
      </c>
      <c r="J165" s="107">
        <v>546041</v>
      </c>
      <c r="K165" s="106">
        <f t="shared" si="223"/>
        <v>1083035.3</v>
      </c>
      <c r="L165" s="108">
        <v>217623.1</v>
      </c>
      <c r="M165" s="95">
        <v>34600.5</v>
      </c>
      <c r="N165" s="102">
        <f>+K165-L165-M165</f>
        <v>830811.70000000007</v>
      </c>
      <c r="O165" s="96"/>
      <c r="P165" s="94">
        <f>132+11113.4</f>
        <v>11245.4</v>
      </c>
      <c r="Q165" s="102">
        <f>700440.1+2000+143.9+41064.7</f>
        <v>743648.7</v>
      </c>
      <c r="R165" s="105">
        <v>15.5</v>
      </c>
      <c r="S165" s="95">
        <f t="shared" si="225"/>
        <v>754909.6</v>
      </c>
      <c r="T165" s="98"/>
      <c r="U165" s="96">
        <f t="shared" si="226"/>
        <v>1585721.3</v>
      </c>
      <c r="V165" s="95">
        <f t="shared" si="227"/>
        <v>1393275.5</v>
      </c>
      <c r="Z165" s="101"/>
    </row>
    <row r="166" spans="1:26" s="100" customFormat="1" ht="19.5" x14ac:dyDescent="0.35">
      <c r="A166" s="63" t="s">
        <v>167</v>
      </c>
      <c r="B166" s="106">
        <f>154471.7-336106.5</f>
        <v>-181634.8</v>
      </c>
      <c r="C166" s="107">
        <f>127832.1-142544.6</f>
        <v>-14712.5</v>
      </c>
      <c r="D166" s="95">
        <f t="shared" si="222"/>
        <v>-196347.3</v>
      </c>
      <c r="E166" s="106">
        <v>37280.9</v>
      </c>
      <c r="F166" s="106">
        <f>293040.5+98106.9</f>
        <v>391147.4</v>
      </c>
      <c r="G166" s="106"/>
      <c r="H166" s="106">
        <f>16843.8+31803.6</f>
        <v>48647.399999999994</v>
      </c>
      <c r="I166" s="106">
        <v>78024.899999999994</v>
      </c>
      <c r="J166" s="107">
        <v>545401.19999999995</v>
      </c>
      <c r="K166" s="106">
        <f t="shared" si="223"/>
        <v>1100501.8</v>
      </c>
      <c r="L166" s="108">
        <v>221369.1</v>
      </c>
      <c r="M166" s="95">
        <v>29570.2</v>
      </c>
      <c r="N166" s="102">
        <f>+K166-L166-M166</f>
        <v>849562.50000000012</v>
      </c>
      <c r="O166" s="96"/>
      <c r="P166" s="94">
        <f>8983.3+132</f>
        <v>9115.2999999999993</v>
      </c>
      <c r="Q166" s="102">
        <f>695856.7+2143.9+44003</f>
        <v>742003.6</v>
      </c>
      <c r="R166" s="105">
        <v>21</v>
      </c>
      <c r="S166" s="95">
        <f t="shared" si="225"/>
        <v>751139.9</v>
      </c>
      <c r="T166" s="98"/>
      <c r="U166" s="96">
        <f t="shared" si="226"/>
        <v>1600702.4000000001</v>
      </c>
      <c r="V166" s="95">
        <f t="shared" si="227"/>
        <v>1404355.1</v>
      </c>
      <c r="Z166" s="101"/>
    </row>
    <row r="167" spans="1:26" s="100" customFormat="1" ht="19.5" x14ac:dyDescent="0.35">
      <c r="A167" s="63" t="s">
        <v>171</v>
      </c>
      <c r="B167" s="106">
        <f>156467.8-330545.8</f>
        <v>-174078</v>
      </c>
      <c r="C167" s="107">
        <f>143745.9-150685.4</f>
        <v>-6939.5</v>
      </c>
      <c r="D167" s="95">
        <f t="shared" si="222"/>
        <v>-181017.5</v>
      </c>
      <c r="E167" s="106">
        <v>69788.2</v>
      </c>
      <c r="F167" s="106">
        <f>293755.1+110568.9</f>
        <v>404324</v>
      </c>
      <c r="G167" s="106"/>
      <c r="H167" s="106">
        <f>16843.8+32075.6</f>
        <v>48919.399999999994</v>
      </c>
      <c r="I167" s="106">
        <v>75238.3</v>
      </c>
      <c r="J167" s="107">
        <v>544121.5</v>
      </c>
      <c r="K167" s="106">
        <f t="shared" si="223"/>
        <v>1142391.3999999999</v>
      </c>
      <c r="L167" s="108">
        <v>230593.3</v>
      </c>
      <c r="M167" s="95">
        <v>29497.7</v>
      </c>
      <c r="N167" s="102">
        <f>+K167-L167-M167</f>
        <v>882300.39999999991</v>
      </c>
      <c r="O167" s="96"/>
      <c r="P167" s="94">
        <f>6857.3+132</f>
        <v>6989.3</v>
      </c>
      <c r="Q167" s="102">
        <f>42549.6+690802.8+2143.9</f>
        <v>735496.3</v>
      </c>
      <c r="R167" s="105">
        <v>13.3</v>
      </c>
      <c r="S167" s="95">
        <f t="shared" si="225"/>
        <v>742498.90000000014</v>
      </c>
      <c r="T167" s="98"/>
      <c r="U167" s="96">
        <f t="shared" si="226"/>
        <v>1624799.3</v>
      </c>
      <c r="V167" s="95">
        <f t="shared" si="227"/>
        <v>1443781.8</v>
      </c>
      <c r="Z167" s="101"/>
    </row>
    <row r="168" spans="1:26" s="100" customFormat="1" ht="19.5" x14ac:dyDescent="0.35">
      <c r="A168" s="63" t="s">
        <v>173</v>
      </c>
      <c r="B168" s="106">
        <f>166434.7-328508.5</f>
        <v>-162073.79999999999</v>
      </c>
      <c r="C168" s="107">
        <f>125486.1-139935.4</f>
        <v>-14449.299999999988</v>
      </c>
      <c r="D168" s="95">
        <f t="shared" si="222"/>
        <v>-176523.09999999998</v>
      </c>
      <c r="E168" s="106">
        <v>134973.1</v>
      </c>
      <c r="F168" s="106">
        <f>314364.2+123715.4</f>
        <v>438079.6</v>
      </c>
      <c r="G168" s="106"/>
      <c r="H168" s="106">
        <f>22418.9+16843.8</f>
        <v>39262.699999999997</v>
      </c>
      <c r="I168" s="106">
        <v>73845.100000000006</v>
      </c>
      <c r="J168" s="107">
        <v>543481.59999999998</v>
      </c>
      <c r="K168" s="106">
        <f t="shared" si="223"/>
        <v>1229642.0999999999</v>
      </c>
      <c r="L168" s="108">
        <v>288936.2</v>
      </c>
      <c r="M168" s="95">
        <v>30394.799999999999</v>
      </c>
      <c r="N168" s="102">
        <f>+K168-L168-M168</f>
        <v>910311.09999999986</v>
      </c>
      <c r="O168" s="96"/>
      <c r="P168" s="94">
        <f>7041.4+132</f>
        <v>7173.4</v>
      </c>
      <c r="Q168" s="102">
        <f>680726.4+42960.2+2143.9</f>
        <v>725830.5</v>
      </c>
      <c r="R168" s="105">
        <v>57.6</v>
      </c>
      <c r="S168" s="95">
        <f t="shared" si="225"/>
        <v>733061.5</v>
      </c>
      <c r="T168" s="98"/>
      <c r="U168" s="96">
        <f t="shared" si="226"/>
        <v>1643372.5999999999</v>
      </c>
      <c r="V168" s="95">
        <f t="shared" si="227"/>
        <v>1466849.5</v>
      </c>
      <c r="Z168" s="101"/>
    </row>
    <row r="169" spans="1:26" s="100" customFormat="1" ht="19.5" x14ac:dyDescent="0.35">
      <c r="A169" s="63"/>
      <c r="B169" s="106"/>
      <c r="C169" s="107"/>
      <c r="D169" s="95"/>
      <c r="E169" s="106"/>
      <c r="F169" s="106"/>
      <c r="G169" s="106"/>
      <c r="H169" s="106"/>
      <c r="I169" s="106"/>
      <c r="J169" s="107"/>
      <c r="K169" s="106"/>
      <c r="L169" s="108"/>
      <c r="M169" s="95"/>
      <c r="N169" s="102"/>
      <c r="O169" s="96"/>
      <c r="P169" s="94"/>
      <c r="Q169" s="102"/>
      <c r="R169" s="105"/>
      <c r="S169" s="95"/>
      <c r="T169" s="98"/>
      <c r="U169" s="96"/>
      <c r="V169" s="95"/>
      <c r="Z169" s="101"/>
    </row>
    <row r="170" spans="1:26" s="100" customFormat="1" ht="19.5" x14ac:dyDescent="0.35">
      <c r="A170" s="63" t="s">
        <v>177</v>
      </c>
      <c r="B170" s="106">
        <f>189855.9+1198.4-326730.1</f>
        <v>-135675.79999999999</v>
      </c>
      <c r="C170" s="107">
        <f>119719.5-145736.8</f>
        <v>-26017.299999999988</v>
      </c>
      <c r="D170" s="95">
        <f t="shared" ref="D170" si="228">SUM(B170,C170)</f>
        <v>-161693.09999999998</v>
      </c>
      <c r="E170" s="106">
        <v>91642.3</v>
      </c>
      <c r="F170" s="106">
        <f>316719.6+118107.4</f>
        <v>434827</v>
      </c>
      <c r="G170" s="106"/>
      <c r="H170" s="106">
        <f>22950.1+16843.8</f>
        <v>39793.899999999994</v>
      </c>
      <c r="I170" s="106">
        <v>73845</v>
      </c>
      <c r="J170" s="107">
        <v>543481.59999999998</v>
      </c>
      <c r="K170" s="106">
        <f t="shared" ref="K170" si="229">E170+F170+H170+I170+J170</f>
        <v>1183589.8</v>
      </c>
      <c r="L170" s="108">
        <v>255722.6</v>
      </c>
      <c r="M170" s="95">
        <v>34824.300000000003</v>
      </c>
      <c r="N170" s="102">
        <f>+K170-L170-M170</f>
        <v>893042.9</v>
      </c>
      <c r="O170" s="96"/>
      <c r="P170" s="94">
        <f>5183+132</f>
        <v>5315</v>
      </c>
      <c r="Q170" s="102">
        <f>43994.6+674430.6+1143.9</f>
        <v>719569.1</v>
      </c>
      <c r="R170" s="105">
        <v>38.9</v>
      </c>
      <c r="S170" s="95">
        <f t="shared" ref="S170" si="230">SUM(P170:R170)</f>
        <v>724923</v>
      </c>
      <c r="T170" s="98"/>
      <c r="U170" s="96">
        <f t="shared" ref="U170" si="231">SUM(N170,S170)</f>
        <v>1617965.9</v>
      </c>
      <c r="V170" s="95">
        <f t="shared" ref="V170" si="232">SUM(D170,U170)</f>
        <v>1456272.7999999998</v>
      </c>
      <c r="Z170" s="101"/>
    </row>
    <row r="171" spans="1:26" s="54" customFormat="1" ht="12.95" customHeight="1" x14ac:dyDescent="0.2">
      <c r="A171" s="64"/>
      <c r="B171" s="50" t="s">
        <v>1</v>
      </c>
      <c r="C171" s="51"/>
      <c r="D171" s="50"/>
      <c r="E171" s="50"/>
      <c r="F171" s="50"/>
      <c r="G171" s="50"/>
      <c r="H171" s="50"/>
      <c r="I171" s="50"/>
      <c r="J171" s="51"/>
      <c r="K171" s="50"/>
      <c r="L171" s="52"/>
      <c r="M171" s="50"/>
      <c r="N171" s="62"/>
      <c r="O171" s="51"/>
      <c r="P171" s="83"/>
      <c r="Q171" s="50"/>
      <c r="R171" s="75"/>
      <c r="S171" s="50"/>
      <c r="T171" s="53"/>
      <c r="U171" s="51"/>
      <c r="V171" s="50"/>
      <c r="X171" s="48"/>
      <c r="Y171" s="48"/>
    </row>
    <row r="172" spans="1:26" ht="12.95" hidden="1" customHeight="1" x14ac:dyDescent="0.2">
      <c r="A172" s="39" t="s">
        <v>29</v>
      </c>
      <c r="B172" s="18"/>
      <c r="C172" s="18"/>
      <c r="D172" s="18"/>
      <c r="E172" s="36"/>
      <c r="F172" s="36"/>
      <c r="G172" s="36"/>
      <c r="H172" s="43">
        <v>1005.3</v>
      </c>
      <c r="I172" s="36"/>
      <c r="J172" s="36"/>
      <c r="K172" s="61">
        <f t="shared" ref="K172:K173" si="233">E172+F172+H172+I172+J172</f>
        <v>1005.3</v>
      </c>
      <c r="L172" s="36"/>
      <c r="M172" s="36"/>
      <c r="N172" s="36"/>
      <c r="O172" s="36"/>
      <c r="P172" s="36"/>
      <c r="Q172" s="36"/>
      <c r="R172" s="76"/>
      <c r="S172" s="36"/>
      <c r="T172" s="18"/>
      <c r="U172" s="36"/>
      <c r="V172" s="27"/>
    </row>
    <row r="173" spans="1:26" ht="12.95" hidden="1" customHeight="1" x14ac:dyDescent="0.2">
      <c r="A173" s="84"/>
      <c r="B173" s="36"/>
      <c r="C173" s="36"/>
      <c r="D173" s="36"/>
      <c r="E173" s="36"/>
      <c r="F173" s="36"/>
      <c r="G173" s="36"/>
      <c r="H173" s="43">
        <v>1005.3</v>
      </c>
      <c r="I173" s="36"/>
      <c r="J173" s="36"/>
      <c r="K173" s="61">
        <f t="shared" si="233"/>
        <v>1005.3</v>
      </c>
      <c r="L173" s="36"/>
      <c r="M173" s="36"/>
      <c r="N173" s="36"/>
      <c r="O173" s="36"/>
      <c r="P173" s="36"/>
      <c r="Q173" s="36"/>
      <c r="R173" s="76"/>
      <c r="S173" s="36"/>
      <c r="T173" s="18"/>
      <c r="U173" s="36"/>
      <c r="V173" s="27"/>
    </row>
    <row r="174" spans="1:26" ht="12.95" customHeight="1" x14ac:dyDescent="0.2">
      <c r="A174" s="82"/>
      <c r="B174" s="85"/>
      <c r="C174" s="85"/>
      <c r="D174" s="85"/>
      <c r="E174" s="85"/>
      <c r="F174" s="85"/>
      <c r="G174" s="85"/>
      <c r="H174" s="86"/>
      <c r="I174" s="85"/>
      <c r="J174" s="85"/>
      <c r="K174" s="85"/>
      <c r="L174" s="85"/>
      <c r="M174" s="85"/>
      <c r="N174" s="85"/>
      <c r="O174" s="85"/>
      <c r="P174" s="85"/>
      <c r="Q174" s="85"/>
      <c r="R174" s="87"/>
      <c r="S174" s="85"/>
      <c r="T174" s="85"/>
      <c r="U174" s="85"/>
      <c r="V174" s="88"/>
      <c r="W174" s="40"/>
      <c r="X174" s="40"/>
    </row>
    <row r="175" spans="1:26" ht="12.95" customHeight="1" x14ac:dyDescent="0.2">
      <c r="A175" s="112" t="s">
        <v>175</v>
      </c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90"/>
      <c r="S175" s="89"/>
      <c r="T175" s="89"/>
      <c r="U175" s="89"/>
      <c r="V175" s="91"/>
      <c r="W175" s="40"/>
      <c r="X175" s="40"/>
    </row>
    <row r="176" spans="1:26" ht="12.95" customHeight="1" x14ac:dyDescent="0.2"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77"/>
      <c r="S176" s="40"/>
      <c r="T176" s="40"/>
      <c r="U176" s="40"/>
      <c r="V176" s="40"/>
      <c r="W176" s="40"/>
      <c r="X176" s="40"/>
    </row>
    <row r="177" ht="12.95" customHeight="1" x14ac:dyDescent="0.2"/>
    <row r="178" ht="12.95" customHeight="1" x14ac:dyDescent="0.2"/>
    <row r="179" ht="12.95" customHeight="1" x14ac:dyDescent="0.2"/>
  </sheetData>
  <mergeCells count="6">
    <mergeCell ref="E12:N12"/>
    <mergeCell ref="P12:S12"/>
    <mergeCell ref="A4:V4"/>
    <mergeCell ref="A5:V5"/>
    <mergeCell ref="E8:U10"/>
    <mergeCell ref="B8:D10"/>
  </mergeCells>
  <phoneticPr fontId="0" type="noConversion"/>
  <printOptions horizontalCentered="1" verticalCentered="1" gridLinesSet="0"/>
  <pageMargins left="1.1023622047244099" right="0.511811023622047" top="0.511811023622047" bottom="0.55118110236220497" header="0.511811023622047" footer="0.511811023622047"/>
  <pageSetup paperSize="9" scale="40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4"/>
  <sheetViews>
    <sheetView workbookViewId="0">
      <selection activeCell="F14" sqref="F14"/>
    </sheetView>
  </sheetViews>
  <sheetFormatPr defaultColWidth="11.5546875" defaultRowHeight="15.75" x14ac:dyDescent="0.25"/>
  <sheetData>
    <row r="14" spans="6:6" x14ac:dyDescent="0.25">
      <c r="F14">
        <f>105000*1.4</f>
        <v>147000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ii4-1sitmonétaire actif</vt:lpstr>
      <vt:lpstr>Feuil1</vt:lpstr>
      <vt:lpstr>Actuel</vt:lpstr>
      <vt:lpstr>'ii4-1sitmonétaire actif'!Print_Area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MPAWENAYO Jean Claude</cp:lastModifiedBy>
  <cp:lastPrinted>2016-11-30T12:34:59Z</cp:lastPrinted>
  <dcterms:created xsi:type="dcterms:W3CDTF">2000-10-18T12:42:23Z</dcterms:created>
  <dcterms:modified xsi:type="dcterms:W3CDTF">2017-03-31T06:27:14Z</dcterms:modified>
</cp:coreProperties>
</file>