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2640" yWindow="2370" windowWidth="6705" windowHeight="2160"/>
  </bookViews>
  <sheets>
    <sheet name="ii5-2sitconso des etsfinapassif" sheetId="1" r:id="rId1"/>
  </sheets>
  <definedNames>
    <definedName name="_xlnm.Print_Area" localSheetId="0">'ii5-2sitconso des etsfinapassif'!$A$1:$I$255</definedName>
    <definedName name="Zone_impres_MI">'ii5-2sitconso des etsfinapassif'!$A$1:$I$252</definedName>
  </definedNames>
  <calcPr calcId="152511"/>
</workbook>
</file>

<file path=xl/calcChain.xml><?xml version="1.0" encoding="utf-8"?>
<calcChain xmlns="http://schemas.openxmlformats.org/spreadsheetml/2006/main">
  <c r="H249" i="1" l="1"/>
  <c r="G249" i="1"/>
  <c r="E249" i="1"/>
  <c r="D249" i="1"/>
  <c r="B249" i="1"/>
  <c r="I249" i="1" l="1"/>
  <c r="I28" i="1" l="1"/>
  <c r="H28" i="1"/>
  <c r="G28" i="1"/>
  <c r="E28" i="1"/>
  <c r="D28" i="1"/>
  <c r="B28" i="1"/>
  <c r="H145" i="1"/>
  <c r="G145" i="1"/>
  <c r="E145" i="1"/>
  <c r="D145" i="1"/>
  <c r="B145" i="1"/>
  <c r="I145" i="1" s="1"/>
  <c r="I247" i="1"/>
  <c r="H247" i="1"/>
  <c r="G247" i="1"/>
  <c r="E247" i="1"/>
  <c r="D247" i="1"/>
  <c r="B247" i="1"/>
  <c r="I246" i="1" l="1"/>
  <c r="H246" i="1"/>
  <c r="G246" i="1"/>
  <c r="E246" i="1"/>
  <c r="D246" i="1"/>
  <c r="I245" i="1" l="1"/>
  <c r="H245" i="1"/>
  <c r="G245" i="1"/>
  <c r="E245" i="1"/>
  <c r="D245" i="1"/>
  <c r="H144" i="1" l="1"/>
  <c r="G144" i="1"/>
  <c r="E144" i="1"/>
  <c r="D144" i="1"/>
  <c r="I144" i="1" s="1"/>
  <c r="I244" i="1" l="1"/>
  <c r="H244" i="1"/>
  <c r="G244" i="1"/>
  <c r="E244" i="1"/>
  <c r="D244" i="1"/>
  <c r="H243" i="1" l="1"/>
  <c r="G243" i="1"/>
  <c r="E243" i="1"/>
  <c r="D243" i="1"/>
  <c r="I243" i="1" s="1"/>
  <c r="I242" i="1" l="1"/>
  <c r="H242" i="1"/>
  <c r="G242" i="1"/>
  <c r="E242" i="1"/>
  <c r="D242" i="1"/>
  <c r="H49" i="1" l="1"/>
  <c r="G49" i="1"/>
  <c r="E49" i="1"/>
  <c r="D49" i="1"/>
  <c r="H48" i="1"/>
  <c r="G48" i="1"/>
  <c r="E48" i="1"/>
  <c r="D48" i="1"/>
  <c r="I48" i="1" s="1"/>
  <c r="I49" i="1" l="1"/>
  <c r="H241" i="1"/>
  <c r="G241" i="1"/>
  <c r="E241" i="1"/>
  <c r="D241" i="1"/>
  <c r="I241" i="1" l="1"/>
  <c r="I239" i="1"/>
  <c r="H240" i="1" l="1"/>
  <c r="G240" i="1"/>
  <c r="E240" i="1"/>
  <c r="D240" i="1"/>
  <c r="I240" i="1" l="1"/>
  <c r="H238" i="1" l="1"/>
  <c r="G238" i="1"/>
  <c r="E238" i="1"/>
  <c r="D238" i="1"/>
  <c r="I238" i="1" l="1"/>
  <c r="H46" i="1" l="1"/>
  <c r="G46" i="1"/>
  <c r="E46" i="1"/>
  <c r="D46" i="1"/>
  <c r="B46" i="1"/>
  <c r="I46" i="1" l="1"/>
  <c r="H237" i="1"/>
  <c r="G237" i="1"/>
  <c r="E237" i="1"/>
  <c r="D237" i="1"/>
  <c r="I237" i="1" l="1"/>
  <c r="H236" i="1" l="1"/>
  <c r="G236" i="1"/>
  <c r="E236" i="1"/>
  <c r="D236" i="1"/>
  <c r="H27" i="1" l="1"/>
  <c r="G27" i="1"/>
  <c r="E27" i="1"/>
  <c r="D27" i="1"/>
  <c r="B27" i="1"/>
  <c r="I27" i="1" l="1"/>
  <c r="I236" i="1"/>
  <c r="H45" i="1" l="1"/>
  <c r="G45" i="1"/>
  <c r="E45" i="1"/>
  <c r="D45" i="1"/>
  <c r="B45" i="1"/>
  <c r="I45" i="1" l="1"/>
  <c r="H234" i="1"/>
  <c r="G234" i="1"/>
  <c r="E234" i="1"/>
  <c r="D234" i="1"/>
  <c r="B234" i="1"/>
  <c r="I234" i="1" l="1"/>
  <c r="E233" i="1" l="1"/>
  <c r="D233" i="1" l="1"/>
  <c r="H233" i="1"/>
  <c r="B233" i="1" l="1"/>
  <c r="I233" i="1"/>
  <c r="G233" i="1"/>
  <c r="H232" i="1" l="1"/>
  <c r="G232" i="1"/>
  <c r="E232" i="1"/>
  <c r="D232" i="1"/>
  <c r="B232" i="1" l="1"/>
  <c r="I232" i="1" s="1"/>
  <c r="H44" i="1" l="1"/>
  <c r="G44" i="1"/>
  <c r="E44" i="1"/>
  <c r="D44" i="1"/>
  <c r="B44" i="1"/>
  <c r="G231" i="1"/>
  <c r="H231" i="1"/>
  <c r="I44" i="1" l="1"/>
  <c r="E231" i="1" l="1"/>
  <c r="D231" i="1"/>
  <c r="B231" i="1"/>
  <c r="I231" i="1" l="1"/>
  <c r="H230" i="1"/>
  <c r="G230" i="1"/>
  <c r="E230" i="1"/>
  <c r="D230" i="1" l="1"/>
  <c r="B230" i="1"/>
  <c r="I230" i="1" l="1"/>
  <c r="H229" i="1"/>
  <c r="G229" i="1"/>
  <c r="E229" i="1"/>
  <c r="D229" i="1" l="1"/>
  <c r="B229" i="1"/>
  <c r="I229" i="1" s="1"/>
  <c r="H228" i="1" l="1"/>
  <c r="G228" i="1"/>
  <c r="E228" i="1"/>
  <c r="H43" i="1" l="1"/>
  <c r="G43" i="1"/>
  <c r="E43" i="1"/>
  <c r="D43" i="1"/>
  <c r="B43" i="1"/>
  <c r="I43" i="1" l="1"/>
  <c r="D228" i="1"/>
  <c r="B228" i="1"/>
  <c r="I228" i="1" l="1"/>
  <c r="H227" i="1"/>
  <c r="G227" i="1"/>
  <c r="E227" i="1"/>
  <c r="D227" i="1"/>
  <c r="B227" i="1"/>
  <c r="I227" i="1" l="1"/>
  <c r="H226" i="1"/>
  <c r="G226" i="1"/>
  <c r="E226" i="1"/>
  <c r="D226" i="1"/>
  <c r="B226" i="1"/>
  <c r="I226" i="1" l="1"/>
  <c r="H225" i="1"/>
  <c r="G225" i="1"/>
  <c r="E225" i="1"/>
  <c r="E224" i="1"/>
  <c r="H41" i="1" l="1"/>
  <c r="G41" i="1"/>
  <c r="E41" i="1"/>
  <c r="D41" i="1"/>
  <c r="B41" i="1"/>
  <c r="D225" i="1"/>
  <c r="B225" i="1"/>
  <c r="I225" i="1" l="1"/>
  <c r="I41" i="1"/>
  <c r="H224" i="1"/>
  <c r="G224" i="1"/>
  <c r="D224" i="1" l="1"/>
  <c r="B224" i="1"/>
  <c r="I224" i="1" l="1"/>
  <c r="H223" i="1"/>
  <c r="G223" i="1"/>
  <c r="E223" i="1"/>
  <c r="D223" i="1"/>
  <c r="B223" i="1" l="1"/>
  <c r="I223" i="1" s="1"/>
  <c r="H26" i="1" l="1"/>
  <c r="G26" i="1"/>
  <c r="E26" i="1"/>
  <c r="D26" i="1"/>
  <c r="B26" i="1"/>
  <c r="D196" i="1"/>
  <c r="E196" i="1"/>
  <c r="F196" i="1"/>
  <c r="G196" i="1"/>
  <c r="H196" i="1"/>
  <c r="H40" i="1"/>
  <c r="G40" i="1"/>
  <c r="E40" i="1"/>
  <c r="D40" i="1"/>
  <c r="I196" i="1" l="1"/>
  <c r="I26" i="1"/>
  <c r="I40" i="1"/>
  <c r="H221" i="1"/>
  <c r="G221" i="1"/>
  <c r="E221" i="1"/>
  <c r="B221" i="1"/>
  <c r="D221" i="1"/>
  <c r="I221" i="1" l="1"/>
  <c r="H220" i="1"/>
  <c r="G220" i="1"/>
  <c r="E220" i="1"/>
  <c r="B220" i="1"/>
  <c r="D220" i="1"/>
  <c r="I220" i="1" l="1"/>
  <c r="B219" i="1"/>
  <c r="H219" i="1"/>
  <c r="G219" i="1"/>
  <c r="E219" i="1"/>
  <c r="D219" i="1"/>
  <c r="E218" i="1"/>
  <c r="I219" i="1" l="1"/>
  <c r="H39" i="1" l="1"/>
  <c r="G39" i="1"/>
  <c r="E39" i="1"/>
  <c r="D39" i="1"/>
  <c r="I39" i="1" l="1"/>
  <c r="H218" i="1"/>
  <c r="G218" i="1"/>
  <c r="D218" i="1"/>
  <c r="I218" i="1" l="1"/>
  <c r="H217" i="1" l="1"/>
  <c r="G217" i="1"/>
  <c r="E217" i="1"/>
  <c r="D217" i="1" l="1"/>
  <c r="I217" i="1" s="1"/>
  <c r="H216" i="1" l="1"/>
  <c r="G216" i="1"/>
  <c r="E216" i="1"/>
  <c r="D216" i="1"/>
  <c r="G215" i="1"/>
  <c r="I216" i="1" l="1"/>
  <c r="H215" i="1" l="1"/>
  <c r="E215" i="1"/>
  <c r="D215" i="1"/>
  <c r="H38" i="1" l="1"/>
  <c r="G38" i="1"/>
  <c r="E38" i="1"/>
  <c r="D38" i="1"/>
  <c r="I215" i="1"/>
  <c r="I38" i="1" l="1"/>
  <c r="H214" i="1"/>
  <c r="G214" i="1"/>
  <c r="E214" i="1"/>
  <c r="D214" i="1"/>
  <c r="I214" i="1" l="1"/>
  <c r="H213" i="1"/>
  <c r="G213" i="1"/>
  <c r="E213" i="1"/>
  <c r="D213" i="1"/>
  <c r="I213" i="1" l="1"/>
  <c r="H212" i="1"/>
  <c r="G212" i="1"/>
  <c r="E212" i="1"/>
  <c r="I35" i="1"/>
  <c r="H34" i="1"/>
  <c r="G34" i="1"/>
  <c r="F34" i="1"/>
  <c r="E34" i="1"/>
  <c r="D34" i="1"/>
  <c r="D212" i="1"/>
  <c r="I212" i="1" l="1"/>
  <c r="I34" i="1"/>
  <c r="G211" i="1"/>
  <c r="H211" i="1"/>
  <c r="E211" i="1"/>
  <c r="D211" i="1"/>
  <c r="I211" i="1" l="1"/>
  <c r="I25" i="1"/>
  <c r="I207" i="1"/>
  <c r="I208" i="1"/>
  <c r="I209" i="1"/>
  <c r="I210" i="1"/>
  <c r="H206" i="1" l="1"/>
  <c r="G206" i="1"/>
  <c r="F206" i="1"/>
  <c r="E206" i="1"/>
  <c r="D206" i="1"/>
  <c r="H33" i="1" l="1"/>
  <c r="G33" i="1"/>
  <c r="F33" i="1"/>
  <c r="E33" i="1"/>
  <c r="D33" i="1"/>
  <c r="I206" i="1"/>
  <c r="I33" i="1" l="1"/>
  <c r="H205" i="1"/>
  <c r="G205" i="1"/>
  <c r="E205" i="1"/>
  <c r="F205" i="1" l="1"/>
  <c r="D205" i="1"/>
  <c r="I205" i="1" l="1"/>
  <c r="H204" i="1"/>
  <c r="G204" i="1"/>
  <c r="E204" i="1"/>
  <c r="F204" i="1" l="1"/>
  <c r="D204" i="1"/>
  <c r="I204" i="1" l="1"/>
  <c r="H203" i="1"/>
  <c r="G203" i="1"/>
  <c r="F203" i="1"/>
  <c r="E203" i="1"/>
  <c r="D203" i="1" l="1"/>
  <c r="I203" i="1" s="1"/>
  <c r="H202" i="1" l="1"/>
  <c r="G202" i="1"/>
  <c r="E202" i="1"/>
  <c r="F202" i="1"/>
  <c r="D202" i="1"/>
  <c r="I202" i="1" l="1"/>
  <c r="H201" i="1"/>
  <c r="G201" i="1"/>
  <c r="E201" i="1"/>
  <c r="D201" i="1"/>
  <c r="F201" i="1"/>
  <c r="I201" i="1" l="1"/>
  <c r="G200" i="1"/>
  <c r="H200" i="1"/>
  <c r="E200" i="1"/>
  <c r="D200" i="1"/>
  <c r="F200" i="1"/>
  <c r="H31" i="1"/>
  <c r="G31" i="1"/>
  <c r="F31" i="1"/>
  <c r="E31" i="1"/>
  <c r="D31" i="1"/>
  <c r="I31" i="1" l="1"/>
  <c r="I200" i="1"/>
  <c r="G199" i="1" l="1"/>
  <c r="H199" i="1"/>
  <c r="E199" i="1"/>
  <c r="D199" i="1"/>
  <c r="F199" i="1" l="1"/>
  <c r="I199" i="1" s="1"/>
  <c r="H198" i="1" l="1"/>
  <c r="G198" i="1"/>
  <c r="E198" i="1"/>
  <c r="D198" i="1"/>
  <c r="H23" i="1" l="1"/>
  <c r="G23" i="1"/>
  <c r="F23" i="1"/>
  <c r="E23" i="1"/>
  <c r="D23" i="1"/>
  <c r="I23" i="1" l="1"/>
  <c r="F198" i="1"/>
  <c r="I198" i="1" s="1"/>
  <c r="H197" i="1" l="1"/>
  <c r="G197" i="1"/>
  <c r="F197" i="1"/>
  <c r="E197" i="1"/>
  <c r="D197" i="1"/>
  <c r="I197" i="1" l="1"/>
  <c r="E195" i="1" l="1"/>
  <c r="H195" i="1"/>
  <c r="G195" i="1"/>
  <c r="F195" i="1"/>
  <c r="D195" i="1"/>
  <c r="I195" i="1" l="1"/>
  <c r="H194" i="1" l="1"/>
  <c r="G194" i="1"/>
  <c r="E194" i="1"/>
  <c r="F194" i="1"/>
  <c r="D194" i="1"/>
  <c r="I194" i="1" l="1"/>
  <c r="E193" i="1"/>
  <c r="G193" i="1"/>
  <c r="H193" i="1"/>
  <c r="F193" i="1" l="1"/>
  <c r="D193" i="1"/>
  <c r="I193" i="1" l="1"/>
  <c r="H192" i="1"/>
  <c r="G192" i="1"/>
  <c r="E192" i="1"/>
  <c r="F192" i="1"/>
  <c r="D192" i="1"/>
  <c r="I192" i="1" l="1"/>
  <c r="H191" i="1"/>
  <c r="G191" i="1"/>
  <c r="E191" i="1"/>
  <c r="F191" i="1"/>
  <c r="D191" i="1"/>
  <c r="I191" i="1" l="1"/>
  <c r="H190" i="1" l="1"/>
  <c r="G190" i="1"/>
  <c r="E190" i="1"/>
  <c r="D190" i="1"/>
  <c r="F190" i="1" l="1"/>
  <c r="I190" i="1" s="1"/>
  <c r="H189" i="1" l="1"/>
  <c r="G189" i="1"/>
  <c r="E189" i="1"/>
  <c r="D189" i="1"/>
  <c r="F189" i="1"/>
  <c r="I189" i="1" l="1"/>
  <c r="G188" i="1" l="1"/>
  <c r="H188" i="1"/>
  <c r="F188" i="1"/>
  <c r="E188" i="1"/>
  <c r="D188" i="1"/>
  <c r="I188" i="1" l="1"/>
  <c r="D187" i="1" l="1"/>
  <c r="H187" i="1"/>
  <c r="G187" i="1"/>
  <c r="E187" i="1"/>
  <c r="F187" i="1"/>
  <c r="I187" i="1" l="1"/>
  <c r="H186" i="1"/>
  <c r="G186" i="1"/>
  <c r="E186" i="1"/>
  <c r="D186" i="1"/>
  <c r="H20" i="1" l="1"/>
  <c r="G20" i="1"/>
  <c r="F20" i="1"/>
  <c r="E20" i="1"/>
  <c r="D20" i="1"/>
  <c r="F186" i="1"/>
  <c r="I186" i="1" s="1"/>
  <c r="H185" i="1"/>
  <c r="G185" i="1"/>
  <c r="F185" i="1"/>
  <c r="E185" i="1"/>
  <c r="D185" i="1"/>
  <c r="I185" i="1" l="1"/>
  <c r="I20" i="1"/>
  <c r="H184" i="1"/>
  <c r="G184" i="1"/>
  <c r="E184" i="1"/>
  <c r="D184" i="1"/>
  <c r="F184" i="1"/>
  <c r="I184" i="1" l="1"/>
  <c r="H183" i="1"/>
  <c r="G183" i="1"/>
  <c r="F183" i="1"/>
  <c r="E183" i="1"/>
  <c r="D183" i="1"/>
  <c r="I183" i="1" l="1"/>
  <c r="H182" i="1"/>
  <c r="G182" i="1"/>
  <c r="F182" i="1"/>
  <c r="E182" i="1"/>
  <c r="D182" i="1"/>
  <c r="I182" i="1" l="1"/>
  <c r="H181" i="1"/>
  <c r="G181" i="1"/>
  <c r="E181" i="1"/>
  <c r="D181" i="1"/>
  <c r="F181" i="1" l="1"/>
  <c r="I181" i="1" s="1"/>
  <c r="H180" i="1" l="1"/>
  <c r="G180" i="1"/>
  <c r="F180" i="1"/>
  <c r="E180" i="1"/>
  <c r="D180" i="1"/>
  <c r="I180" i="1" l="1"/>
  <c r="D179" i="1" l="1"/>
  <c r="H179" i="1"/>
  <c r="G179" i="1"/>
  <c r="E179" i="1"/>
  <c r="F179" i="1"/>
  <c r="I179" i="1" l="1"/>
  <c r="H178" i="1" l="1"/>
  <c r="G178" i="1"/>
  <c r="E178" i="1"/>
  <c r="D178" i="1"/>
  <c r="F178" i="1" l="1"/>
  <c r="I178" i="1" s="1"/>
  <c r="H177" i="1" l="1"/>
  <c r="G177" i="1"/>
  <c r="E177" i="1"/>
  <c r="D177" i="1"/>
  <c r="F177" i="1"/>
  <c r="I177" i="1" l="1"/>
  <c r="H176" i="1" l="1"/>
  <c r="G176" i="1"/>
  <c r="E176" i="1"/>
  <c r="F176" i="1" l="1"/>
  <c r="D176" i="1"/>
  <c r="I176" i="1" l="1"/>
  <c r="H175" i="1" l="1"/>
  <c r="G175" i="1"/>
  <c r="E175" i="1"/>
  <c r="D175" i="1"/>
  <c r="F175" i="1" l="1"/>
  <c r="I175" i="1" s="1"/>
  <c r="H174" i="1" l="1"/>
  <c r="G174" i="1"/>
  <c r="E174" i="1"/>
  <c r="D174" i="1"/>
  <c r="F174" i="1"/>
  <c r="I174" i="1" l="1"/>
  <c r="H19" i="1" l="1"/>
  <c r="G19" i="1"/>
  <c r="F19" i="1"/>
  <c r="E19" i="1"/>
  <c r="D19" i="1"/>
  <c r="I19" i="1" l="1"/>
  <c r="H173" i="1"/>
  <c r="G173" i="1"/>
  <c r="F173" i="1"/>
  <c r="E173" i="1"/>
  <c r="D173" i="1"/>
  <c r="I173" i="1" l="1"/>
  <c r="H172" i="1"/>
  <c r="G172" i="1"/>
  <c r="E172" i="1"/>
  <c r="D172" i="1"/>
  <c r="F172" i="1"/>
  <c r="I172" i="1" l="1"/>
  <c r="H171" i="1"/>
  <c r="G171" i="1"/>
  <c r="F171" i="1"/>
  <c r="E171" i="1"/>
  <c r="D171" i="1"/>
  <c r="H170" i="1"/>
  <c r="G170" i="1"/>
  <c r="E170" i="1"/>
  <c r="D170" i="1"/>
  <c r="B170" i="1"/>
  <c r="F170" i="1"/>
  <c r="B169" i="1"/>
  <c r="H169" i="1"/>
  <c r="G169" i="1"/>
  <c r="F169" i="1"/>
  <c r="E169" i="1"/>
  <c r="D169" i="1"/>
  <c r="D168" i="1"/>
  <c r="H168" i="1"/>
  <c r="G168" i="1"/>
  <c r="E168" i="1"/>
  <c r="F168" i="1"/>
  <c r="H167" i="1"/>
  <c r="G167" i="1"/>
  <c r="F167" i="1"/>
  <c r="E167" i="1"/>
  <c r="D167" i="1"/>
  <c r="H166" i="1"/>
  <c r="D166" i="1"/>
  <c r="E166" i="1"/>
  <c r="F166" i="1"/>
  <c r="G166" i="1"/>
  <c r="E165" i="1"/>
  <c r="H165" i="1"/>
  <c r="G165" i="1"/>
  <c r="F165" i="1"/>
  <c r="D165" i="1"/>
  <c r="D118" i="1"/>
  <c r="E118" i="1"/>
  <c r="F118" i="1"/>
  <c r="G118" i="1"/>
  <c r="H118" i="1"/>
  <c r="H164" i="1"/>
  <c r="G164" i="1"/>
  <c r="F164" i="1"/>
  <c r="E164" i="1"/>
  <c r="D164" i="1"/>
  <c r="H163" i="1"/>
  <c r="G163" i="1"/>
  <c r="E163" i="1"/>
  <c r="D163" i="1"/>
  <c r="F163" i="1"/>
  <c r="D18" i="1"/>
  <c r="E18" i="1"/>
  <c r="F18" i="1"/>
  <c r="G18" i="1"/>
  <c r="H18" i="1"/>
  <c r="H162" i="1"/>
  <c r="G162" i="1"/>
  <c r="E162" i="1"/>
  <c r="D162" i="1"/>
  <c r="F162" i="1"/>
  <c r="H160" i="1"/>
  <c r="G160" i="1"/>
  <c r="F160" i="1"/>
  <c r="E160" i="1"/>
  <c r="D160" i="1"/>
  <c r="H159" i="1"/>
  <c r="G159" i="1"/>
  <c r="E159" i="1"/>
  <c r="D159" i="1"/>
  <c r="F159" i="1"/>
  <c r="G158" i="1"/>
  <c r="H158" i="1"/>
  <c r="E158" i="1"/>
  <c r="D158" i="1"/>
  <c r="F158" i="1"/>
  <c r="E157" i="1"/>
  <c r="H157" i="1"/>
  <c r="G157" i="1"/>
  <c r="F157" i="1"/>
  <c r="D157" i="1"/>
  <c r="H156" i="1"/>
  <c r="G156" i="1"/>
  <c r="F156" i="1"/>
  <c r="E156" i="1"/>
  <c r="D156" i="1"/>
  <c r="H155" i="1"/>
  <c r="G155" i="1"/>
  <c r="F155" i="1"/>
  <c r="E155" i="1"/>
  <c r="D155" i="1"/>
  <c r="D24" i="1"/>
  <c r="E24" i="1"/>
  <c r="F24" i="1"/>
  <c r="G24" i="1"/>
  <c r="H24" i="1"/>
  <c r="H154" i="1"/>
  <c r="G154" i="1"/>
  <c r="F154" i="1"/>
  <c r="E154" i="1"/>
  <c r="D154" i="1"/>
  <c r="H153" i="1"/>
  <c r="G153" i="1"/>
  <c r="E153" i="1"/>
  <c r="D153" i="1"/>
  <c r="F153" i="1"/>
  <c r="H152" i="1"/>
  <c r="G152" i="1"/>
  <c r="E152" i="1"/>
  <c r="D152" i="1"/>
  <c r="F152" i="1"/>
  <c r="H151" i="1"/>
  <c r="G151" i="1"/>
  <c r="E151" i="1"/>
  <c r="D151" i="1"/>
  <c r="F151" i="1"/>
  <c r="E150" i="1"/>
  <c r="H150" i="1"/>
  <c r="G150" i="1"/>
  <c r="F150" i="1"/>
  <c r="D150" i="1"/>
  <c r="H149" i="1"/>
  <c r="G149" i="1"/>
  <c r="E149" i="1"/>
  <c r="D149" i="1"/>
  <c r="F149" i="1"/>
  <c r="D17" i="1"/>
  <c r="E17" i="1"/>
  <c r="F17" i="1"/>
  <c r="G17" i="1"/>
  <c r="H17" i="1"/>
  <c r="H143" i="1"/>
  <c r="G143" i="1"/>
  <c r="F143" i="1"/>
  <c r="E143" i="1"/>
  <c r="D143" i="1"/>
  <c r="H142" i="1"/>
  <c r="G142" i="1"/>
  <c r="F142" i="1"/>
  <c r="E142" i="1"/>
  <c r="D142" i="1"/>
  <c r="B51" i="1"/>
  <c r="C51" i="1"/>
  <c r="D51" i="1"/>
  <c r="E51" i="1"/>
  <c r="F51" i="1"/>
  <c r="G51" i="1"/>
  <c r="H51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I137" i="1"/>
  <c r="H136" i="1"/>
  <c r="G136" i="1"/>
  <c r="E136" i="1"/>
  <c r="D136" i="1"/>
  <c r="F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E133" i="1"/>
  <c r="D133" i="1"/>
  <c r="F133" i="1"/>
  <c r="H132" i="1"/>
  <c r="G132" i="1"/>
  <c r="E132" i="1"/>
  <c r="D132" i="1"/>
  <c r="F132" i="1"/>
  <c r="H130" i="1"/>
  <c r="G130" i="1"/>
  <c r="F130" i="1"/>
  <c r="E130" i="1"/>
  <c r="D130" i="1"/>
  <c r="H129" i="1"/>
  <c r="G129" i="1"/>
  <c r="E129" i="1"/>
  <c r="D129" i="1"/>
  <c r="F129" i="1"/>
  <c r="H128" i="1"/>
  <c r="G128" i="1"/>
  <c r="E128" i="1"/>
  <c r="D128" i="1"/>
  <c r="F128" i="1"/>
  <c r="G127" i="1"/>
  <c r="D127" i="1"/>
  <c r="H127" i="1"/>
  <c r="F127" i="1"/>
  <c r="E127" i="1"/>
  <c r="H126" i="1"/>
  <c r="G126" i="1"/>
  <c r="E126" i="1"/>
  <c r="D126" i="1"/>
  <c r="F126" i="1"/>
  <c r="H125" i="1"/>
  <c r="G125" i="1"/>
  <c r="E125" i="1"/>
  <c r="D125" i="1"/>
  <c r="F125" i="1"/>
  <c r="H124" i="1"/>
  <c r="G124" i="1"/>
  <c r="F124" i="1"/>
  <c r="E124" i="1"/>
  <c r="D124" i="1"/>
  <c r="B95" i="1"/>
  <c r="D95" i="1"/>
  <c r="E95" i="1"/>
  <c r="F95" i="1"/>
  <c r="G95" i="1"/>
  <c r="H95" i="1"/>
  <c r="F123" i="1"/>
  <c r="I123" i="1" s="1"/>
  <c r="H122" i="1"/>
  <c r="G122" i="1"/>
  <c r="E122" i="1"/>
  <c r="D122" i="1"/>
  <c r="F122" i="1"/>
  <c r="H121" i="1"/>
  <c r="G121" i="1"/>
  <c r="F121" i="1"/>
  <c r="E121" i="1"/>
  <c r="D121" i="1"/>
  <c r="D120" i="1"/>
  <c r="E120" i="1"/>
  <c r="F120" i="1"/>
  <c r="G120" i="1"/>
  <c r="H120" i="1"/>
  <c r="F119" i="1"/>
  <c r="I119" i="1" s="1"/>
  <c r="H116" i="1"/>
  <c r="G116" i="1"/>
  <c r="F116" i="1"/>
  <c r="E116" i="1"/>
  <c r="D116" i="1"/>
  <c r="H115" i="1"/>
  <c r="G115" i="1"/>
  <c r="E115" i="1"/>
  <c r="D115" i="1"/>
  <c r="F115" i="1"/>
  <c r="H114" i="1"/>
  <c r="G114" i="1"/>
  <c r="E114" i="1"/>
  <c r="D114" i="1"/>
  <c r="F114" i="1"/>
  <c r="H113" i="1"/>
  <c r="G113" i="1"/>
  <c r="E113" i="1"/>
  <c r="D113" i="1"/>
  <c r="F113" i="1"/>
  <c r="H112" i="1"/>
  <c r="G112" i="1"/>
  <c r="F112" i="1"/>
  <c r="E112" i="1"/>
  <c r="D112" i="1"/>
  <c r="H111" i="1"/>
  <c r="G111" i="1"/>
  <c r="E111" i="1"/>
  <c r="D111" i="1"/>
  <c r="F111" i="1"/>
  <c r="H110" i="1"/>
  <c r="G110" i="1"/>
  <c r="E110" i="1"/>
  <c r="D110" i="1"/>
  <c r="F110" i="1"/>
  <c r="H109" i="1"/>
  <c r="G109" i="1"/>
  <c r="F109" i="1"/>
  <c r="E109" i="1"/>
  <c r="D109" i="1"/>
  <c r="H108" i="1"/>
  <c r="G108" i="1"/>
  <c r="E108" i="1"/>
  <c r="D108" i="1"/>
  <c r="F108" i="1"/>
  <c r="H107" i="1"/>
  <c r="G107" i="1"/>
  <c r="F107" i="1"/>
  <c r="E107" i="1"/>
  <c r="D107" i="1"/>
  <c r="H106" i="1"/>
  <c r="G106" i="1"/>
  <c r="E106" i="1"/>
  <c r="D106" i="1"/>
  <c r="F106" i="1"/>
  <c r="H105" i="1"/>
  <c r="G105" i="1"/>
  <c r="F105" i="1"/>
  <c r="E105" i="1"/>
  <c r="D105" i="1"/>
  <c r="H102" i="1"/>
  <c r="G102" i="1"/>
  <c r="E102" i="1"/>
  <c r="D102" i="1"/>
  <c r="F102" i="1"/>
  <c r="H101" i="1"/>
  <c r="G101" i="1"/>
  <c r="E101" i="1"/>
  <c r="D101" i="1"/>
  <c r="F101" i="1"/>
  <c r="H100" i="1"/>
  <c r="G100" i="1"/>
  <c r="E100" i="1"/>
  <c r="D100" i="1"/>
  <c r="F100" i="1"/>
  <c r="G99" i="1"/>
  <c r="H99" i="1"/>
  <c r="F99" i="1"/>
  <c r="E99" i="1"/>
  <c r="D99" i="1"/>
  <c r="H98" i="1"/>
  <c r="G98" i="1"/>
  <c r="D98" i="1"/>
  <c r="E98" i="1"/>
  <c r="F98" i="1"/>
  <c r="H97" i="1"/>
  <c r="G97" i="1"/>
  <c r="F97" i="1"/>
  <c r="E97" i="1"/>
  <c r="D97" i="1"/>
  <c r="H96" i="1"/>
  <c r="G96" i="1"/>
  <c r="F96" i="1"/>
  <c r="E96" i="1"/>
  <c r="D96" i="1"/>
  <c r="H94" i="1"/>
  <c r="G94" i="1"/>
  <c r="E94" i="1"/>
  <c r="D94" i="1"/>
  <c r="F94" i="1"/>
  <c r="H93" i="1"/>
  <c r="G93" i="1"/>
  <c r="E93" i="1"/>
  <c r="B93" i="1"/>
  <c r="F93" i="1"/>
  <c r="D93" i="1"/>
  <c r="H92" i="1"/>
  <c r="G92" i="1"/>
  <c r="E92" i="1"/>
  <c r="B92" i="1"/>
  <c r="D92" i="1"/>
  <c r="F92" i="1"/>
  <c r="H91" i="1"/>
  <c r="G91" i="1"/>
  <c r="F91" i="1"/>
  <c r="E91" i="1"/>
  <c r="D91" i="1"/>
  <c r="B91" i="1"/>
  <c r="H89" i="1"/>
  <c r="G89" i="1"/>
  <c r="F89" i="1"/>
  <c r="E89" i="1"/>
  <c r="D89" i="1"/>
  <c r="B89" i="1"/>
  <c r="H88" i="1"/>
  <c r="G88" i="1"/>
  <c r="F88" i="1"/>
  <c r="E88" i="1"/>
  <c r="D88" i="1"/>
  <c r="B88" i="1"/>
  <c r="H87" i="1"/>
  <c r="G87" i="1"/>
  <c r="B87" i="1"/>
  <c r="F87" i="1"/>
  <c r="E87" i="1"/>
  <c r="D87" i="1"/>
  <c r="H86" i="1"/>
  <c r="G86" i="1"/>
  <c r="F86" i="1"/>
  <c r="E86" i="1"/>
  <c r="D86" i="1"/>
  <c r="B86" i="1"/>
  <c r="H85" i="1"/>
  <c r="G85" i="1"/>
  <c r="E85" i="1"/>
  <c r="D85" i="1"/>
  <c r="B85" i="1"/>
  <c r="F85" i="1"/>
  <c r="G84" i="1"/>
  <c r="H84" i="1"/>
  <c r="B84" i="1"/>
  <c r="E84" i="1"/>
  <c r="D84" i="1"/>
  <c r="F84" i="1"/>
  <c r="H83" i="1"/>
  <c r="G83" i="1"/>
  <c r="F83" i="1"/>
  <c r="E83" i="1"/>
  <c r="D83" i="1"/>
  <c r="B83" i="1"/>
  <c r="H82" i="1"/>
  <c r="G82" i="1"/>
  <c r="E82" i="1"/>
  <c r="D82" i="1"/>
  <c r="B82" i="1"/>
  <c r="F82" i="1"/>
  <c r="H81" i="1"/>
  <c r="G81" i="1"/>
  <c r="E81" i="1"/>
  <c r="B81" i="1"/>
  <c r="F81" i="1"/>
  <c r="D81" i="1"/>
  <c r="H80" i="1"/>
  <c r="G80" i="1"/>
  <c r="B80" i="1"/>
  <c r="E80" i="1"/>
  <c r="F80" i="1"/>
  <c r="D80" i="1"/>
  <c r="H79" i="1"/>
  <c r="G79" i="1"/>
  <c r="E79" i="1"/>
  <c r="D79" i="1"/>
  <c r="B79" i="1"/>
  <c r="F79" i="1"/>
  <c r="H78" i="1"/>
  <c r="G78" i="1"/>
  <c r="F78" i="1"/>
  <c r="E78" i="1"/>
  <c r="B78" i="1"/>
  <c r="D78" i="1"/>
  <c r="F76" i="1"/>
  <c r="B76" i="1"/>
  <c r="D76" i="1"/>
  <c r="E76" i="1"/>
  <c r="G76" i="1"/>
  <c r="H76" i="1"/>
  <c r="H75" i="1"/>
  <c r="G75" i="1"/>
  <c r="D75" i="1"/>
  <c r="B75" i="1"/>
  <c r="E75" i="1"/>
  <c r="F75" i="1"/>
  <c r="H74" i="1"/>
  <c r="G74" i="1"/>
  <c r="E74" i="1"/>
  <c r="B74" i="1"/>
  <c r="D74" i="1"/>
  <c r="F74" i="1"/>
  <c r="H73" i="1"/>
  <c r="G73" i="1"/>
  <c r="E73" i="1"/>
  <c r="B73" i="1"/>
  <c r="F73" i="1"/>
  <c r="D73" i="1"/>
  <c r="I72" i="1"/>
  <c r="H71" i="1"/>
  <c r="G71" i="1"/>
  <c r="E71" i="1"/>
  <c r="B71" i="1"/>
  <c r="D71" i="1"/>
  <c r="F71" i="1"/>
  <c r="H70" i="1"/>
  <c r="G70" i="1"/>
  <c r="E70" i="1"/>
  <c r="B70" i="1"/>
  <c r="F70" i="1"/>
  <c r="D70" i="1"/>
  <c r="H69" i="1"/>
  <c r="G69" i="1"/>
  <c r="E69" i="1"/>
  <c r="D69" i="1"/>
  <c r="B69" i="1"/>
  <c r="H68" i="1"/>
  <c r="F69" i="1"/>
  <c r="H67" i="1"/>
  <c r="H66" i="1"/>
  <c r="H65" i="1"/>
  <c r="G68" i="1"/>
  <c r="G67" i="1"/>
  <c r="G66" i="1"/>
  <c r="G65" i="1"/>
  <c r="F65" i="1"/>
  <c r="E68" i="1"/>
  <c r="E67" i="1"/>
  <c r="E66" i="1"/>
  <c r="E65" i="1"/>
  <c r="D68" i="1"/>
  <c r="D67" i="1"/>
  <c r="D66" i="1"/>
  <c r="D65" i="1"/>
  <c r="B68" i="1"/>
  <c r="B67" i="1"/>
  <c r="B66" i="1"/>
  <c r="B65" i="1"/>
  <c r="F68" i="1"/>
  <c r="F67" i="1"/>
  <c r="F66" i="1"/>
  <c r="G62" i="1"/>
  <c r="H62" i="1"/>
  <c r="F62" i="1"/>
  <c r="E62" i="1"/>
  <c r="B62" i="1"/>
  <c r="D62" i="1"/>
  <c r="H61" i="1"/>
  <c r="G61" i="1"/>
  <c r="E61" i="1"/>
  <c r="B61" i="1"/>
  <c r="F61" i="1"/>
  <c r="D61" i="1"/>
  <c r="H60" i="1"/>
  <c r="G60" i="1"/>
  <c r="E60" i="1"/>
  <c r="B60" i="1"/>
  <c r="F60" i="1"/>
  <c r="D60" i="1"/>
  <c r="H59" i="1"/>
  <c r="G59" i="1"/>
  <c r="F59" i="1"/>
  <c r="E59" i="1"/>
  <c r="D59" i="1"/>
  <c r="B59" i="1"/>
  <c r="H58" i="1"/>
  <c r="G58" i="1"/>
  <c r="F58" i="1"/>
  <c r="E58" i="1"/>
  <c r="D58" i="1"/>
  <c r="B58" i="1"/>
  <c r="C58" i="1"/>
  <c r="H57" i="1"/>
  <c r="G57" i="1"/>
  <c r="F57" i="1"/>
  <c r="E57" i="1"/>
  <c r="D57" i="1"/>
  <c r="B57" i="1"/>
  <c r="C57" i="1"/>
  <c r="G56" i="1"/>
  <c r="B56" i="1"/>
  <c r="H56" i="1"/>
  <c r="F56" i="1"/>
  <c r="E56" i="1"/>
  <c r="D56" i="1"/>
  <c r="C56" i="1"/>
  <c r="H55" i="1"/>
  <c r="G55" i="1"/>
  <c r="E55" i="1"/>
  <c r="D55" i="1"/>
  <c r="B55" i="1"/>
  <c r="C55" i="1"/>
  <c r="F55" i="1"/>
  <c r="H54" i="1"/>
  <c r="G54" i="1"/>
  <c r="E54" i="1"/>
  <c r="D54" i="1"/>
  <c r="B54" i="1"/>
  <c r="C54" i="1"/>
  <c r="F54" i="1"/>
  <c r="G53" i="1"/>
  <c r="B53" i="1"/>
  <c r="C53" i="1"/>
  <c r="D53" i="1"/>
  <c r="E53" i="1"/>
  <c r="F53" i="1"/>
  <c r="H53" i="1"/>
  <c r="H52" i="1"/>
  <c r="G52" i="1"/>
  <c r="E52" i="1"/>
  <c r="D52" i="1"/>
  <c r="B52" i="1"/>
  <c r="C52" i="1"/>
  <c r="F52" i="1"/>
  <c r="I96" i="1" l="1"/>
  <c r="I112" i="1"/>
  <c r="I116" i="1"/>
  <c r="I139" i="1"/>
  <c r="I141" i="1"/>
  <c r="I142" i="1"/>
  <c r="I150" i="1"/>
  <c r="I154" i="1"/>
  <c r="I155" i="1"/>
  <c r="I157" i="1"/>
  <c r="I167" i="1"/>
  <c r="I94" i="1"/>
  <c r="I97" i="1"/>
  <c r="I99" i="1"/>
  <c r="I101" i="1"/>
  <c r="I105" i="1"/>
  <c r="I107" i="1"/>
  <c r="I109" i="1"/>
  <c r="I111" i="1"/>
  <c r="I113" i="1"/>
  <c r="I115" i="1"/>
  <c r="I121" i="1"/>
  <c r="I138" i="1"/>
  <c r="I140" i="1"/>
  <c r="I51" i="1"/>
  <c r="I143" i="1"/>
  <c r="I149" i="1"/>
  <c r="I151" i="1"/>
  <c r="I153" i="1"/>
  <c r="I24" i="1"/>
  <c r="I156" i="1"/>
  <c r="I158" i="1"/>
  <c r="I160" i="1"/>
  <c r="I18" i="1"/>
  <c r="I164" i="1"/>
  <c r="I165" i="1"/>
  <c r="I98" i="1"/>
  <c r="I100" i="1"/>
  <c r="I102" i="1"/>
  <c r="I106" i="1"/>
  <c r="I108" i="1"/>
  <c r="I110" i="1"/>
  <c r="I114" i="1"/>
  <c r="I120" i="1"/>
  <c r="I122" i="1"/>
  <c r="I95" i="1"/>
  <c r="I17" i="1"/>
  <c r="I152" i="1"/>
  <c r="I159" i="1"/>
  <c r="I162" i="1"/>
  <c r="I163" i="1"/>
  <c r="I118" i="1"/>
  <c r="I166" i="1"/>
  <c r="I86" i="1"/>
  <c r="I127" i="1"/>
  <c r="I134" i="1"/>
  <c r="I78" i="1"/>
  <c r="I168" i="1"/>
  <c r="I57" i="1"/>
  <c r="I59" i="1"/>
  <c r="I62" i="1"/>
  <c r="I52" i="1"/>
  <c r="I54" i="1"/>
  <c r="I56" i="1"/>
  <c r="I58" i="1"/>
  <c r="I68" i="1"/>
  <c r="I70" i="1"/>
  <c r="I82" i="1"/>
  <c r="I53" i="1"/>
  <c r="I55" i="1"/>
  <c r="I69" i="1"/>
  <c r="I74" i="1"/>
  <c r="I169" i="1"/>
  <c r="I61" i="1"/>
  <c r="I76" i="1"/>
  <c r="I84" i="1"/>
  <c r="I92" i="1"/>
  <c r="I65" i="1"/>
  <c r="I66" i="1"/>
  <c r="I80" i="1"/>
  <c r="I88" i="1"/>
  <c r="I89" i="1"/>
  <c r="I170" i="1"/>
  <c r="I171" i="1"/>
  <c r="I60" i="1"/>
  <c r="I71" i="1"/>
  <c r="I75" i="1"/>
  <c r="I79" i="1"/>
  <c r="I83" i="1"/>
  <c r="I87" i="1"/>
  <c r="I91" i="1"/>
  <c r="I124" i="1"/>
  <c r="I126" i="1"/>
  <c r="I128" i="1"/>
  <c r="I130" i="1"/>
  <c r="I133" i="1"/>
  <c r="I135" i="1"/>
  <c r="I67" i="1"/>
  <c r="I73" i="1"/>
  <c r="I81" i="1"/>
  <c r="I85" i="1"/>
  <c r="I93" i="1"/>
  <c r="I125" i="1"/>
  <c r="I129" i="1"/>
  <c r="I132" i="1"/>
  <c r="I136" i="1"/>
</calcChain>
</file>

<file path=xl/sharedStrings.xml><?xml version="1.0" encoding="utf-8"?>
<sst xmlns="http://schemas.openxmlformats.org/spreadsheetml/2006/main" count="424" uniqueCount="203">
  <si>
    <t>PASSIF</t>
  </si>
  <si>
    <t xml:space="preserve"> 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</si>
  <si>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</si>
  <si>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</si>
  <si>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</si>
  <si>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</si>
  <si>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</si>
  <si>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</si>
  <si>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 xml:space="preserve">      envers le</t>
  </si>
  <si>
    <t xml:space="preserve">       envers les</t>
  </si>
  <si>
    <t>affectés aux</t>
  </si>
  <si>
    <t xml:space="preserve">     et</t>
  </si>
  <si>
    <t xml:space="preserve">        extérieurs</t>
  </si>
  <si>
    <t>propres</t>
  </si>
  <si>
    <t>passifs</t>
  </si>
  <si>
    <t xml:space="preserve">      secteur</t>
  </si>
  <si>
    <t>autres</t>
  </si>
  <si>
    <t>prêts</t>
  </si>
  <si>
    <t xml:space="preserve">    emprunts</t>
  </si>
  <si>
    <t xml:space="preserve">      bancaire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</si>
  <si>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</si>
  <si>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</si>
  <si>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</si>
  <si>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</si>
  <si>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</si>
  <si>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</si>
  <si>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</si>
  <si>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</si>
  <si>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</si>
  <si>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</si>
  <si>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</si>
  <si>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</si>
  <si>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</si>
  <si>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</si>
  <si>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</si>
  <si>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</si>
  <si>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</si>
  <si>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</si>
  <si>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</si>
  <si>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</si>
  <si>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</si>
  <si>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</si>
  <si>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</si>
  <si>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</si>
  <si>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</si>
  <si>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</si>
  <si>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</si>
  <si>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</si>
  <si>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</si>
  <si>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</si>
  <si>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</si>
  <si>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</si>
  <si>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</si>
  <si>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</si>
  <si>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</si>
  <si>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II.6.2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</si>
  <si>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</si>
  <si>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</si>
  <si>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</si>
  <si>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</si>
  <si>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</si>
  <si>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</si>
  <si>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</si>
  <si>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</si>
  <si>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</si>
  <si>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</si>
  <si>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</si>
  <si>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</si>
  <si>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</si>
  <si>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</si>
  <si>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</si>
  <si>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</si>
  <si>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</si>
  <si>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</si>
  <si>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</si>
  <si>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</si>
  <si>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</si>
  <si>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</si>
  <si>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</si>
  <si>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</si>
  <si>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</si>
  <si>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</si>
  <si>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</si>
  <si>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</si>
  <si>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</si>
  <si>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</si>
  <si>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</si>
  <si>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</si>
  <si>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</si>
  <si>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</si>
  <si>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</si>
  <si>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</si>
  <si>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</si>
  <si>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</si>
  <si>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</si>
  <si>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</si>
  <si>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</si>
  <si>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</si>
  <si>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</si>
  <si>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</si>
  <si>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</si>
  <si>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</si>
  <si>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</si>
  <si>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</si>
  <si>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</si>
  <si>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</si>
  <si>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</si>
  <si>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</si>
  <si>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</si>
  <si>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</si>
  <si>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</si>
  <si>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</si>
  <si>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</si>
  <si>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</si>
  <si>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</si>
  <si>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</si>
  <si>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</si>
  <si>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</si>
  <si>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</si>
  <si>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</si>
  <si>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</si>
  <si>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</si>
  <si>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</si>
  <si>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</si>
  <si>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</si>
  <si>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</si>
  <si>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</si>
  <si>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</si>
  <si>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</si>
  <si>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</si>
  <si>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</si>
  <si>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</si>
  <si>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</si>
  <si>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</si>
  <si>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</si>
  <si>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</si>
  <si>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</si>
  <si>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</si>
  <si>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</si>
  <si>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</si>
  <si>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</si>
  <si>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</si>
  <si>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</si>
  <si>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</si>
  <si>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</si>
  <si>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</si>
  <si>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2013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</si>
  <si>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</si>
  <si>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</si>
  <si>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</si>
  <si>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</si>
  <si>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</si>
  <si>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</si>
  <si>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</si>
  <si>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</si>
  <si>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</si>
  <si>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</si>
  <si>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</si>
  <si>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</si>
  <si>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</si>
  <si>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</si>
  <si>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</si>
  <si>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</si>
  <si>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</si>
  <si>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</si>
  <si>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</si>
  <si>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</si>
  <si>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</si>
  <si>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</si>
  <si>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</si>
  <si>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</si>
  <si>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</si>
  <si>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</si>
  <si>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</si>
  <si>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</si>
  <si>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</si>
  <si>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</si>
  <si>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</si>
  <si>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</si>
  <si>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</si>
  <si>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</si>
  <si>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</si>
  <si>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</si>
  <si>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</si>
  <si>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</si>
  <si>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</si>
  <si>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</si>
  <si>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</si>
  <si>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</si>
  <si>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</si>
  <si>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</si>
  <si>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</si>
  <si>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 xml:space="preserve"> 2013 Juin</t>
  </si>
  <si>
    <t>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</si>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</sst>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0" xfId="0" applyFont="1" applyAlignment="1"/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Font="1" applyBorder="1"/>
    <xf numFmtId="164" fontId="1" fillId="0" borderId="6" xfId="0" applyNumberFormat="1" applyFont="1" applyBorder="1" applyAlignment="1" applyProtection="1">
      <alignment horizontal="right"/>
    </xf>
    <xf numFmtId="165" fontId="1" fillId="0" borderId="6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fill"/>
    </xf>
    <xf numFmtId="165" fontId="1" fillId="0" borderId="0" xfId="0" applyNumberFormat="1" applyFont="1" applyAlignment="1" applyProtection="1">
      <alignment horizontal="right"/>
    </xf>
    <xf numFmtId="164" fontId="1" fillId="0" borderId="5" xfId="0" applyNumberFormat="1" applyFont="1" applyBorder="1" applyAlignment="1" applyProtection="1"/>
    <xf numFmtId="164" fontId="1" fillId="0" borderId="8" xfId="0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4" fontId="2" fillId="0" borderId="5" xfId="0" applyFont="1" applyBorder="1"/>
    <xf numFmtId="164" fontId="2" fillId="0" borderId="3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64"/>
  <sheetViews>
    <sheetView showGridLines="0" tabSelected="1" view="pageBreakPreview" zoomScale="60" zoomScaleNormal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A20" sqref="A20:XFD20"/>
    </sheetView>
  </sheetViews>
  <sheetFormatPr defaultColWidth="12.6640625" defaultRowHeight="12.75" x14ac:dyDescent="0.2"/>
  <cols>
    <col min="1" max="1" width="20.88671875" style="4" customWidth="1"/>
    <col min="2" max="2" width="11.33203125" style="27" customWidth="1"/>
    <col min="3" max="3" width="12.21875" style="27" hidden="1" customWidth="1"/>
    <col min="4" max="4" width="12" style="27" customWidth="1"/>
    <col min="5" max="5" width="10.44140625" style="27" customWidth="1"/>
    <col min="6" max="6" width="10.6640625" style="27" customWidth="1"/>
    <col min="7" max="7" width="10.33203125" style="27" customWidth="1"/>
    <col min="8" max="8" width="10.44140625" style="27" customWidth="1"/>
    <col min="9" max="9" width="11" style="39" customWidth="1"/>
    <col min="10" max="10" width="5.109375" style="4" customWidth="1"/>
    <col min="11" max="11" width="19" style="4" customWidth="1"/>
    <col min="12" max="16384" width="12.664062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8" t="s">
        <v>0</v>
      </c>
      <c r="B4" s="9"/>
      <c r="C4" s="9"/>
      <c r="D4" s="9"/>
      <c r="E4" s="9"/>
      <c r="F4" s="9"/>
      <c r="G4" s="9"/>
      <c r="H4" s="9"/>
      <c r="I4" s="10" t="s">
        <v>55</v>
      </c>
    </row>
    <row r="5" spans="1:9" ht="15.75" customHeight="1" x14ac:dyDescent="0.2">
      <c r="A5" s="53" t="s">
        <v>193</v>
      </c>
      <c r="B5" s="54"/>
      <c r="C5" s="54"/>
      <c r="D5" s="54"/>
      <c r="E5" s="54"/>
      <c r="F5" s="54"/>
      <c r="G5" s="54"/>
      <c r="H5" s="54"/>
      <c r="I5" s="55"/>
    </row>
    <row r="6" spans="1:9" s="11" customFormat="1" ht="15.75" customHeight="1" x14ac:dyDescent="0.2">
      <c r="A6" s="56" t="s">
        <v>118</v>
      </c>
      <c r="B6" s="57"/>
      <c r="C6" s="57"/>
      <c r="D6" s="57"/>
      <c r="E6" s="57"/>
      <c r="F6" s="57"/>
      <c r="G6" s="57"/>
      <c r="H6" s="57"/>
      <c r="I6" s="58"/>
    </row>
    <row r="7" spans="1:9" ht="15.75" customHeight="1" x14ac:dyDescent="0.2">
      <c r="A7" s="59"/>
      <c r="B7" s="60"/>
      <c r="C7" s="60"/>
      <c r="D7" s="60"/>
      <c r="E7" s="60"/>
      <c r="F7" s="60"/>
      <c r="G7" s="60"/>
      <c r="H7" s="60"/>
      <c r="I7" s="61"/>
    </row>
    <row r="8" spans="1:9" s="15" customFormat="1" x14ac:dyDescent="0.2">
      <c r="A8" s="12"/>
      <c r="B8" s="13"/>
      <c r="C8" s="13"/>
      <c r="D8" s="13"/>
      <c r="E8" s="13"/>
      <c r="F8" s="13"/>
      <c r="G8" s="13"/>
      <c r="H8" s="13"/>
      <c r="I8" s="14"/>
    </row>
    <row r="9" spans="1:9" x14ac:dyDescent="0.2">
      <c r="A9" s="16"/>
      <c r="B9" s="17"/>
      <c r="C9" s="9"/>
      <c r="D9" s="18"/>
      <c r="E9" s="17"/>
      <c r="F9" s="17"/>
      <c r="G9" s="9"/>
      <c r="H9" s="17"/>
      <c r="I9" s="19"/>
    </row>
    <row r="10" spans="1:9" x14ac:dyDescent="0.2">
      <c r="A10" s="50" t="s">
        <v>24</v>
      </c>
      <c r="B10" s="21" t="s">
        <v>2</v>
      </c>
      <c r="C10" s="6" t="s">
        <v>2</v>
      </c>
      <c r="D10" s="21" t="s">
        <v>3</v>
      </c>
      <c r="E10" s="21" t="s">
        <v>4</v>
      </c>
      <c r="F10" s="21" t="s">
        <v>2</v>
      </c>
      <c r="G10" s="22" t="s">
        <v>5</v>
      </c>
      <c r="H10" s="21" t="s">
        <v>6</v>
      </c>
      <c r="I10" s="52" t="s">
        <v>7</v>
      </c>
    </row>
    <row r="11" spans="1:9" x14ac:dyDescent="0.2">
      <c r="A11" s="50"/>
      <c r="B11" s="43" t="s">
        <v>8</v>
      </c>
      <c r="C11" s="6" t="s">
        <v>9</v>
      </c>
      <c r="D11" s="21" t="s">
        <v>10</v>
      </c>
      <c r="E11" s="21" t="s">
        <v>11</v>
      </c>
      <c r="F11" s="28" t="s">
        <v>12</v>
      </c>
      <c r="G11" s="22" t="s">
        <v>13</v>
      </c>
      <c r="H11" s="21" t="s">
        <v>14</v>
      </c>
      <c r="I11" s="52" t="s">
        <v>0</v>
      </c>
    </row>
    <row r="12" spans="1:9" x14ac:dyDescent="0.2">
      <c r="A12" s="50"/>
      <c r="B12" s="43" t="s">
        <v>15</v>
      </c>
      <c r="C12" s="6" t="s">
        <v>16</v>
      </c>
      <c r="D12" s="21" t="s">
        <v>17</v>
      </c>
      <c r="E12" s="21" t="s">
        <v>18</v>
      </c>
      <c r="F12" s="21"/>
      <c r="G12" s="9"/>
      <c r="H12" s="17"/>
      <c r="I12" s="19"/>
    </row>
    <row r="13" spans="1:9" x14ac:dyDescent="0.2">
      <c r="A13" s="50"/>
      <c r="B13" s="43" t="s">
        <v>19</v>
      </c>
      <c r="C13" s="6" t="s">
        <v>20</v>
      </c>
      <c r="D13" s="17"/>
      <c r="E13" s="17"/>
      <c r="F13" s="23"/>
      <c r="G13" s="9"/>
      <c r="H13" s="17"/>
      <c r="I13" s="19"/>
    </row>
    <row r="14" spans="1:9" x14ac:dyDescent="0.2">
      <c r="A14" s="50" t="s">
        <v>25</v>
      </c>
      <c r="B14" s="23"/>
      <c r="C14" s="6" t="s">
        <v>21</v>
      </c>
      <c r="D14" s="17"/>
      <c r="E14" s="17"/>
      <c r="F14" s="23"/>
      <c r="G14" s="9"/>
      <c r="H14" s="17"/>
      <c r="I14" s="19"/>
    </row>
    <row r="15" spans="1:9" x14ac:dyDescent="0.2">
      <c r="A15" s="24"/>
      <c r="B15" s="25"/>
      <c r="C15" s="13"/>
      <c r="D15" s="25"/>
      <c r="E15" s="25"/>
      <c r="F15" s="25"/>
      <c r="G15" s="13"/>
      <c r="H15" s="25"/>
      <c r="I15" s="26"/>
    </row>
    <row r="16" spans="1:9" x14ac:dyDescent="0.2">
      <c r="A16" s="20"/>
      <c r="B16" s="17"/>
      <c r="D16" s="17"/>
      <c r="E16" s="17"/>
      <c r="F16" s="17"/>
      <c r="H16" s="17"/>
      <c r="I16" s="19"/>
    </row>
    <row r="17" spans="1:9" hidden="1" x14ac:dyDescent="0.2">
      <c r="A17" s="32">
        <v>2008</v>
      </c>
      <c r="B17" s="23" t="s">
        <v>41</v>
      </c>
      <c r="C17" s="23" t="s">
        <v>41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:I18" si="0">SUM(B17:H17)</f>
        <v>37177.499999999993</v>
      </c>
    </row>
    <row r="18" spans="1:9" hidden="1" x14ac:dyDescent="0.2">
      <c r="A18" s="32">
        <v>2009</v>
      </c>
      <c r="B18" s="30" t="s">
        <v>41</v>
      </c>
      <c r="C18" s="30" t="s">
        <v>41</v>
      </c>
      <c r="D18" s="30">
        <f>2939+8844.1</f>
        <v>11783.1</v>
      </c>
      <c r="E18" s="30">
        <f>7340.3+1675.2</f>
        <v>9015.5</v>
      </c>
      <c r="F18" s="30">
        <f>367.7+1397.1</f>
        <v>1764.8</v>
      </c>
      <c r="G18" s="42">
        <f>7027.8+962.7+9408+723.8</f>
        <v>18122.3</v>
      </c>
      <c r="H18" s="30">
        <f>1319.7+1525.8</f>
        <v>2845.5</v>
      </c>
      <c r="I18" s="30">
        <f t="shared" si="0"/>
        <v>43531.199999999997</v>
      </c>
    </row>
    <row r="19" spans="1:9" hidden="1" x14ac:dyDescent="0.2">
      <c r="A19" s="32">
        <v>2010</v>
      </c>
      <c r="B19" s="30">
        <v>68.599999999999994</v>
      </c>
      <c r="C19" s="30" t="s">
        <v>41</v>
      </c>
      <c r="D19" s="30">
        <f>3226.2+14354.8</f>
        <v>17581</v>
      </c>
      <c r="E19" s="30">
        <f>11975.3+1376</f>
        <v>13351.3</v>
      </c>
      <c r="F19" s="30">
        <f>360.5+989.7</f>
        <v>1350.2</v>
      </c>
      <c r="G19" s="42">
        <f>7994.6+1079.1+10907.5-149</f>
        <v>19832.2</v>
      </c>
      <c r="H19" s="30">
        <f>1902.5+2241.4</f>
        <v>4143.8999999999996</v>
      </c>
      <c r="I19" s="30">
        <f t="shared" ref="I19:I20" si="1">SUM(B19:H19)</f>
        <v>56327.200000000004</v>
      </c>
    </row>
    <row r="20" spans="1:9" hidden="1" x14ac:dyDescent="0.2">
      <c r="A20" s="32">
        <v>2011</v>
      </c>
      <c r="B20" s="30">
        <v>5.7</v>
      </c>
      <c r="C20" s="38"/>
      <c r="D20" s="30">
        <f>11655.4+2812.9</f>
        <v>14468.3</v>
      </c>
      <c r="E20" s="30">
        <f>3942.8+16465.4</f>
        <v>20408.2</v>
      </c>
      <c r="F20" s="30">
        <f>734.6+353.3</f>
        <v>1087.9000000000001</v>
      </c>
      <c r="G20" s="42">
        <f>9227.5+1377.4+12594.1+945.2</f>
        <v>24144.2</v>
      </c>
      <c r="H20" s="30">
        <f>2460.7+2254.7</f>
        <v>4715.3999999999996</v>
      </c>
      <c r="I20" s="30">
        <f t="shared" si="1"/>
        <v>64829.700000000004</v>
      </c>
    </row>
    <row r="21" spans="1:9" hidden="1" x14ac:dyDescent="0.2">
      <c r="A21" s="32">
        <v>2011</v>
      </c>
      <c r="B21" s="30" t="s">
        <v>41</v>
      </c>
      <c r="C21" s="30" t="s">
        <v>41</v>
      </c>
      <c r="D21" s="30">
        <v>6970.2</v>
      </c>
      <c r="E21" s="30">
        <v>6510.5</v>
      </c>
      <c r="F21" s="30">
        <v>2557.4</v>
      </c>
      <c r="G21" s="42">
        <v>15304.4</v>
      </c>
      <c r="H21" s="30">
        <v>2304</v>
      </c>
      <c r="I21" s="30">
        <v>33646.5</v>
      </c>
    </row>
    <row r="22" spans="1:9" hidden="1" x14ac:dyDescent="0.2">
      <c r="A22" s="32">
        <v>2011</v>
      </c>
      <c r="B22" s="30" t="s">
        <v>41</v>
      </c>
      <c r="C22" s="30" t="s">
        <v>41</v>
      </c>
      <c r="D22" s="30">
        <v>7739.8</v>
      </c>
      <c r="E22" s="30">
        <v>6537.9</v>
      </c>
      <c r="F22" s="30">
        <v>2576.5</v>
      </c>
      <c r="G22" s="42">
        <v>15817</v>
      </c>
      <c r="H22" s="30">
        <v>2630.6</v>
      </c>
      <c r="I22" s="30">
        <v>35301.800000000003</v>
      </c>
    </row>
    <row r="23" spans="1:9" x14ac:dyDescent="0.2">
      <c r="A23" s="32">
        <v>2012</v>
      </c>
      <c r="B23" s="30" t="s">
        <v>41</v>
      </c>
      <c r="C23" s="38"/>
      <c r="D23" s="30">
        <f>3471.2+12670.3</f>
        <v>16141.5</v>
      </c>
      <c r="E23" s="30">
        <f>3733.7+19024</f>
        <v>22757.7</v>
      </c>
      <c r="F23" s="30">
        <f>466.8+346</f>
        <v>812.8</v>
      </c>
      <c r="G23" s="42">
        <f>14709.8+581.8+10764.6+1427.1</f>
        <v>27483.299999999996</v>
      </c>
      <c r="H23" s="30">
        <f>2576.1+2461</f>
        <v>5037.1000000000004</v>
      </c>
      <c r="I23" s="30">
        <f t="shared" ref="I23" si="2">SUM(B23:H23)</f>
        <v>72232.399999999994</v>
      </c>
    </row>
    <row r="24" spans="1:9" hidden="1" x14ac:dyDescent="0.2">
      <c r="A24" s="28" t="s">
        <v>92</v>
      </c>
      <c r="B24" s="30" t="s">
        <v>41</v>
      </c>
      <c r="C24" s="30" t="s">
        <v>41</v>
      </c>
      <c r="D24" s="30">
        <f>1673.9+7225.5</f>
        <v>8899.4</v>
      </c>
      <c r="E24" s="30">
        <f>6489.9+1174</f>
        <v>7663.9</v>
      </c>
      <c r="F24" s="30">
        <f>374.8+1596.4</f>
        <v>1971.2</v>
      </c>
      <c r="G24" s="42">
        <f>6965.1+225.2+9010.5+877.8</f>
        <v>17078.599999999999</v>
      </c>
      <c r="H24" s="30">
        <f>1131.1+1307.8</f>
        <v>2438.8999999999996</v>
      </c>
      <c r="I24" s="30">
        <f>SUM(B24:H24)</f>
        <v>38052</v>
      </c>
    </row>
    <row r="25" spans="1:9" x14ac:dyDescent="0.2">
      <c r="A25" s="31" t="s">
        <v>146</v>
      </c>
      <c r="B25" s="30" t="s">
        <v>41</v>
      </c>
      <c r="C25" s="38"/>
      <c r="D25" s="30">
        <v>16345.6</v>
      </c>
      <c r="E25" s="30">
        <v>28440.7</v>
      </c>
      <c r="F25" s="30">
        <v>331.2</v>
      </c>
      <c r="G25" s="42">
        <v>32945.599999999999</v>
      </c>
      <c r="H25" s="30">
        <v>5045.5</v>
      </c>
      <c r="I25" s="30">
        <f t="shared" ref="I25" si="3">SUM(B25:H25)</f>
        <v>83108.600000000006</v>
      </c>
    </row>
    <row r="26" spans="1:9" x14ac:dyDescent="0.2">
      <c r="A26" s="31" t="s">
        <v>157</v>
      </c>
      <c r="B26" s="30">
        <f>2000+500</f>
        <v>2500</v>
      </c>
      <c r="C26" s="38"/>
      <c r="D26" s="30">
        <f>12832.6+5500.8</f>
        <v>18333.400000000001</v>
      </c>
      <c r="E26" s="30">
        <f>4709.8+31618.6</f>
        <v>36328.400000000001</v>
      </c>
      <c r="F26" s="30">
        <v>331.2</v>
      </c>
      <c r="G26" s="27">
        <f>20549.9+200.6+16488.1+1003.6</f>
        <v>38242.199999999997</v>
      </c>
      <c r="H26" s="30">
        <f>3322.2+2875.6</f>
        <v>6197.7999999999993</v>
      </c>
      <c r="I26" s="30">
        <f t="shared" ref="I26" si="4">SUM(B26:H26)</f>
        <v>101933</v>
      </c>
    </row>
    <row r="27" spans="1:9" x14ac:dyDescent="0.2">
      <c r="A27" s="31" t="s">
        <v>186</v>
      </c>
      <c r="B27" s="30">
        <f>2022.8</f>
        <v>2022.8</v>
      </c>
      <c r="C27" s="38"/>
      <c r="D27" s="30">
        <f>7908.9+765.1</f>
        <v>8674</v>
      </c>
      <c r="E27" s="30">
        <f>44276.9+7702.2</f>
        <v>51979.1</v>
      </c>
      <c r="F27" s="30">
        <v>331.2</v>
      </c>
      <c r="G27" s="27">
        <f>22032+1336.5+22139.5+1210.2</f>
        <v>46718.2</v>
      </c>
      <c r="H27" s="30">
        <f>2787.6+4291.7+1419.5+1237.9</f>
        <v>9736.6999999999989</v>
      </c>
      <c r="I27" s="30">
        <f t="shared" ref="I27" si="5">SUM(B27:H27)</f>
        <v>119461.99999999999</v>
      </c>
    </row>
    <row r="28" spans="1:9" x14ac:dyDescent="0.2">
      <c r="A28" s="31" t="s">
        <v>200</v>
      </c>
      <c r="B28" s="47">
        <f>2020.6</f>
        <v>2020.6</v>
      </c>
      <c r="C28" s="48"/>
      <c r="D28" s="47">
        <f>8333.5+4147.5</f>
        <v>12481</v>
      </c>
      <c r="E28" s="47">
        <f>43825.5+11571.1</f>
        <v>55396.6</v>
      </c>
      <c r="F28" s="47">
        <v>331.2</v>
      </c>
      <c r="G28" s="27">
        <f>27344.4+1883.3+26602.1+595.6</f>
        <v>56425.4</v>
      </c>
      <c r="H28" s="47">
        <f>1589.1+3272.6+4519.3+2170</f>
        <v>11551</v>
      </c>
      <c r="I28" s="47">
        <f t="shared" ref="I28" si="6">SUM(B28:H28)</f>
        <v>138205.79999999999</v>
      </c>
    </row>
    <row r="29" spans="1:9" x14ac:dyDescent="0.2">
      <c r="A29" s="28"/>
      <c r="B29" s="30"/>
      <c r="C29" s="30"/>
      <c r="D29" s="30"/>
      <c r="E29" s="30"/>
      <c r="F29" s="30"/>
      <c r="G29" s="42"/>
      <c r="H29" s="30"/>
      <c r="I29" s="30"/>
    </row>
    <row r="30" spans="1:9" hidden="1" x14ac:dyDescent="0.2">
      <c r="A30" s="28"/>
      <c r="B30" s="30"/>
      <c r="C30" s="30"/>
      <c r="D30" s="30"/>
      <c r="E30" s="30"/>
      <c r="F30" s="30"/>
      <c r="G30" s="42"/>
      <c r="H30" s="30"/>
      <c r="I30" s="30"/>
    </row>
    <row r="31" spans="1:9" hidden="1" x14ac:dyDescent="0.2">
      <c r="A31" s="28" t="s">
        <v>184</v>
      </c>
      <c r="B31" s="30" t="s">
        <v>41</v>
      </c>
      <c r="C31" s="38"/>
      <c r="D31" s="30">
        <f>3471.2+12670.3</f>
        <v>16141.5</v>
      </c>
      <c r="E31" s="30">
        <f>3733.7+19024</f>
        <v>22757.7</v>
      </c>
      <c r="F31" s="30">
        <f>466.8+346</f>
        <v>812.8</v>
      </c>
      <c r="G31" s="42">
        <f>14709.8+581.8+10764.6+1427.1</f>
        <v>27483.299999999996</v>
      </c>
      <c r="H31" s="30">
        <f>2576.1+2461</f>
        <v>5037.1000000000004</v>
      </c>
      <c r="I31" s="30">
        <f t="shared" ref="I31" si="7">SUM(B31:H31)</f>
        <v>72232.399999999994</v>
      </c>
    </row>
    <row r="32" spans="1:9" hidden="1" x14ac:dyDescent="0.2">
      <c r="A32" s="46" t="s">
        <v>162</v>
      </c>
      <c r="B32" s="47" t="s">
        <v>41</v>
      </c>
      <c r="C32" s="48"/>
      <c r="D32" s="47">
        <v>15329.599999999999</v>
      </c>
      <c r="E32" s="47">
        <v>24303.9</v>
      </c>
      <c r="F32" s="47">
        <v>806.9</v>
      </c>
      <c r="G32" s="49">
        <v>27810.9</v>
      </c>
      <c r="H32" s="47">
        <v>4721.2999999999993</v>
      </c>
      <c r="I32" s="47">
        <v>72972.600000000006</v>
      </c>
    </row>
    <row r="33" spans="1:9" hidden="1" x14ac:dyDescent="0.2">
      <c r="A33" s="46" t="s">
        <v>192</v>
      </c>
      <c r="B33" s="30" t="s">
        <v>41</v>
      </c>
      <c r="C33" s="38"/>
      <c r="D33" s="30">
        <f>3759.3+11770.3</f>
        <v>15529.599999999999</v>
      </c>
      <c r="E33" s="30">
        <f>3899.6+21292.3</f>
        <v>25191.899999999998</v>
      </c>
      <c r="F33" s="30">
        <f>459.1+346</f>
        <v>805.1</v>
      </c>
      <c r="G33" s="42">
        <f>16074.6-45.5+12234.4+622.5</f>
        <v>28886</v>
      </c>
      <c r="H33" s="30">
        <f>2154.1+2600.7</f>
        <v>4754.7999999999993</v>
      </c>
      <c r="I33" s="30">
        <f t="shared" ref="I33" si="8">SUM(B33:H33)</f>
        <v>75167.400000000009</v>
      </c>
    </row>
    <row r="34" spans="1:9" hidden="1" x14ac:dyDescent="0.2">
      <c r="A34" s="28" t="s">
        <v>179</v>
      </c>
      <c r="B34" s="30" t="s">
        <v>41</v>
      </c>
      <c r="C34" s="38"/>
      <c r="D34" s="30">
        <f>3812.2+11770.3</f>
        <v>15582.5</v>
      </c>
      <c r="E34" s="30">
        <f>3813.4+22455.4</f>
        <v>26268.800000000003</v>
      </c>
      <c r="F34" s="30">
        <f>346</f>
        <v>346</v>
      </c>
      <c r="G34" s="42">
        <f>17059.8+12450.8+1055.1</f>
        <v>30565.699999999997</v>
      </c>
      <c r="H34" s="30">
        <f>3041.3+2911.3</f>
        <v>5952.6</v>
      </c>
      <c r="I34" s="30">
        <f t="shared" ref="I34" si="9">SUM(B34:H34)</f>
        <v>78715.600000000006</v>
      </c>
    </row>
    <row r="35" spans="1:9" hidden="1" x14ac:dyDescent="0.2">
      <c r="A35" s="28" t="s">
        <v>183</v>
      </c>
      <c r="B35" s="30" t="s">
        <v>41</v>
      </c>
      <c r="C35" s="38"/>
      <c r="D35" s="30">
        <v>16345.6</v>
      </c>
      <c r="E35" s="30">
        <v>28440.7</v>
      </c>
      <c r="F35" s="30">
        <v>331.2</v>
      </c>
      <c r="G35" s="42">
        <v>32945.599999999999</v>
      </c>
      <c r="H35" s="30">
        <v>5045.5</v>
      </c>
      <c r="I35" s="30">
        <f t="shared" ref="I35" si="10">SUM(B35:H35)</f>
        <v>83108.600000000006</v>
      </c>
    </row>
    <row r="36" spans="1:9" hidden="1" x14ac:dyDescent="0.2">
      <c r="A36" s="28"/>
      <c r="B36" s="30"/>
      <c r="C36" s="38"/>
      <c r="D36" s="30"/>
      <c r="E36" s="30"/>
      <c r="F36" s="30"/>
      <c r="G36" s="42"/>
      <c r="H36" s="30"/>
      <c r="I36" s="30"/>
    </row>
    <row r="37" spans="1:9" hidden="1" x14ac:dyDescent="0.2">
      <c r="A37" s="28"/>
      <c r="B37" s="30"/>
      <c r="C37" s="38"/>
      <c r="D37" s="30"/>
      <c r="E37" s="30"/>
      <c r="F37" s="30"/>
      <c r="G37" s="42"/>
      <c r="H37" s="30"/>
      <c r="I37" s="30"/>
    </row>
    <row r="38" spans="1:9" x14ac:dyDescent="0.2">
      <c r="A38" s="28" t="s">
        <v>163</v>
      </c>
      <c r="B38" s="30">
        <v>1914.8</v>
      </c>
      <c r="C38" s="38"/>
      <c r="D38" s="30">
        <f>12509+3919.9</f>
        <v>16428.900000000001</v>
      </c>
      <c r="E38" s="30">
        <f>3922.9+25542.3</f>
        <v>29465.200000000001</v>
      </c>
      <c r="F38" s="30">
        <v>331.2</v>
      </c>
      <c r="G38" s="27">
        <f>17534.9+60.3+15188.8+136</f>
        <v>32920</v>
      </c>
      <c r="H38" s="30">
        <f>2813.6+1881.4</f>
        <v>4695</v>
      </c>
      <c r="I38" s="30">
        <f t="shared" ref="I38" si="11">SUM(B38:H38)</f>
        <v>85755.1</v>
      </c>
    </row>
    <row r="39" spans="1:9" x14ac:dyDescent="0.2">
      <c r="A39" s="28" t="s">
        <v>159</v>
      </c>
      <c r="B39" s="30">
        <v>1914.8</v>
      </c>
      <c r="C39" s="38"/>
      <c r="D39" s="30">
        <f>12509+5125.8</f>
        <v>17634.8</v>
      </c>
      <c r="E39" s="30">
        <f>5062.1+26985</f>
        <v>32047.1</v>
      </c>
      <c r="F39" s="30">
        <v>331.2</v>
      </c>
      <c r="G39" s="27">
        <f>18043.6+68.7+16127.1-251.7</f>
        <v>33987.700000000004</v>
      </c>
      <c r="H39" s="30">
        <f>3037.3+2103.5</f>
        <v>5140.8</v>
      </c>
      <c r="I39" s="30">
        <f t="shared" ref="I39" si="12">SUM(B39:H39)</f>
        <v>91056.400000000009</v>
      </c>
    </row>
    <row r="40" spans="1:9" x14ac:dyDescent="0.2">
      <c r="A40" s="28" t="s">
        <v>160</v>
      </c>
      <c r="B40" s="30">
        <v>2000</v>
      </c>
      <c r="C40" s="38"/>
      <c r="D40" s="30">
        <f>12509+5499.5</f>
        <v>18008.5</v>
      </c>
      <c r="E40" s="30">
        <f>4816.6+29394.528424</f>
        <v>34211.128424000002</v>
      </c>
      <c r="F40" s="30">
        <v>331.2</v>
      </c>
      <c r="G40" s="27">
        <f>19511.4-676.8+16290+576.4</f>
        <v>35701.000000000007</v>
      </c>
      <c r="H40" s="30">
        <f>3204.3+2490.4</f>
        <v>5694.7000000000007</v>
      </c>
      <c r="I40" s="30">
        <f t="shared" ref="I40" si="13">SUM(B40:H40)</f>
        <v>95946.528424000004</v>
      </c>
    </row>
    <row r="41" spans="1:9" x14ac:dyDescent="0.2">
      <c r="A41" s="28" t="s">
        <v>161</v>
      </c>
      <c r="B41" s="30">
        <f>2000+500</f>
        <v>2500</v>
      </c>
      <c r="C41" s="38"/>
      <c r="D41" s="30">
        <f>12832.6+5500.8</f>
        <v>18333.400000000001</v>
      </c>
      <c r="E41" s="30">
        <f>4709.8+31618.6</f>
        <v>36328.400000000001</v>
      </c>
      <c r="F41" s="30">
        <v>331.2</v>
      </c>
      <c r="G41" s="27">
        <f>20549.9+200.6+16488.1+1003.6</f>
        <v>38242.199999999997</v>
      </c>
      <c r="H41" s="30">
        <f>3322.2+2875.6</f>
        <v>6197.7999999999993</v>
      </c>
      <c r="I41" s="30">
        <f t="shared" ref="I41" si="14">SUM(B41:H41)</f>
        <v>101933</v>
      </c>
    </row>
    <row r="42" spans="1:9" x14ac:dyDescent="0.2">
      <c r="A42" s="28"/>
      <c r="B42" s="30"/>
      <c r="C42" s="38"/>
      <c r="D42" s="30"/>
      <c r="E42" s="30"/>
      <c r="F42" s="30"/>
      <c r="H42" s="30"/>
      <c r="I42" s="30"/>
    </row>
    <row r="43" spans="1:9" x14ac:dyDescent="0.2">
      <c r="A43" s="28" t="s">
        <v>164</v>
      </c>
      <c r="B43" s="30">
        <f>2000+500</f>
        <v>2500</v>
      </c>
      <c r="C43" s="38"/>
      <c r="D43" s="30">
        <f>12832.6+5377.7</f>
        <v>18210.3</v>
      </c>
      <c r="E43" s="30">
        <f>4258.4+32809.9</f>
        <v>37068.300000000003</v>
      </c>
      <c r="F43" s="30">
        <v>331.2</v>
      </c>
      <c r="G43" s="27">
        <f>21203.5+11.4+17783.7+74.6</f>
        <v>39073.200000000004</v>
      </c>
      <c r="H43" s="30">
        <f>3835.9+1870</f>
        <v>5705.9</v>
      </c>
      <c r="I43" s="30">
        <f t="shared" ref="I43" si="15">SUM(B43:H43)</f>
        <v>102888.9</v>
      </c>
    </row>
    <row r="44" spans="1:9" x14ac:dyDescent="0.2">
      <c r="A44" s="28" t="s">
        <v>159</v>
      </c>
      <c r="B44" s="30">
        <f>2000</f>
        <v>2000</v>
      </c>
      <c r="C44" s="38"/>
      <c r="D44" s="30">
        <f>12832.6+3592.7</f>
        <v>16425.3</v>
      </c>
      <c r="E44" s="30">
        <f>3711.1+36145.2</f>
        <v>39856.299999999996</v>
      </c>
      <c r="F44" s="30">
        <v>331.2</v>
      </c>
      <c r="G44" s="27">
        <f>21645.5-350.3+19912.6+607.2</f>
        <v>41815</v>
      </c>
      <c r="H44" s="30">
        <f>3876.9+2951.6</f>
        <v>6828.5</v>
      </c>
      <c r="I44" s="30">
        <f t="shared" ref="I44" si="16">SUM(B44:H44)</f>
        <v>107256.29999999999</v>
      </c>
    </row>
    <row r="45" spans="1:9" x14ac:dyDescent="0.2">
      <c r="A45" s="28" t="s">
        <v>160</v>
      </c>
      <c r="B45" s="30">
        <f>2000</f>
        <v>2000</v>
      </c>
      <c r="C45" s="38"/>
      <c r="D45" s="30">
        <f>12832.6+3599.5</f>
        <v>16432.099999999999</v>
      </c>
      <c r="E45" s="30">
        <f>3560.2+37197.8</f>
        <v>40758</v>
      </c>
      <c r="F45" s="30">
        <v>331.2</v>
      </c>
      <c r="G45" s="27">
        <f>21877.1+257.9+21731+974.4</f>
        <v>44840.4</v>
      </c>
      <c r="H45" s="30">
        <f>4511.7+3675.7</f>
        <v>8187.4</v>
      </c>
      <c r="I45" s="30">
        <f t="shared" ref="I45" si="17">SUM(B45:H45)</f>
        <v>112549.09999999999</v>
      </c>
    </row>
    <row r="46" spans="1:9" x14ac:dyDescent="0.2">
      <c r="A46" s="28" t="s">
        <v>161</v>
      </c>
      <c r="B46" s="30">
        <f>2022.8</f>
        <v>2022.8</v>
      </c>
      <c r="C46" s="38"/>
      <c r="D46" s="30">
        <f>7908.9+765.1</f>
        <v>8674</v>
      </c>
      <c r="E46" s="30">
        <f>44276.9+7702.2</f>
        <v>51979.1</v>
      </c>
      <c r="F46" s="30">
        <v>331.2</v>
      </c>
      <c r="G46" s="27">
        <f>22032+1336.5+22139.5+1210.2</f>
        <v>46718.2</v>
      </c>
      <c r="H46" s="30">
        <f>2787.6+4291.7+1419.5+1237.9</f>
        <v>9736.6999999999989</v>
      </c>
      <c r="I46" s="30">
        <f t="shared" ref="I46" si="18">SUM(B46:H46)</f>
        <v>119461.99999999999</v>
      </c>
    </row>
    <row r="47" spans="1:9" x14ac:dyDescent="0.2">
      <c r="A47" s="28"/>
      <c r="B47" s="30"/>
      <c r="C47" s="38"/>
      <c r="D47" s="30"/>
      <c r="E47" s="30"/>
      <c r="F47" s="30"/>
      <c r="H47" s="30"/>
      <c r="I47" s="30"/>
    </row>
    <row r="48" spans="1:9" x14ac:dyDescent="0.2">
      <c r="A48" s="46" t="s">
        <v>188</v>
      </c>
      <c r="B48" s="47">
        <v>2019.7</v>
      </c>
      <c r="C48" s="48"/>
      <c r="D48" s="47">
        <f>7908.9+838.1</f>
        <v>8747</v>
      </c>
      <c r="E48" s="47">
        <f>45379.4+10415.3</f>
        <v>55794.7</v>
      </c>
      <c r="F48" s="47">
        <v>331.2</v>
      </c>
      <c r="G48" s="27">
        <f>23741.6+319.4+25213.4+54</f>
        <v>49328.4</v>
      </c>
      <c r="H48" s="47">
        <f>3323.7+5141+921.9+1263.5</f>
        <v>10650.1</v>
      </c>
      <c r="I48" s="47">
        <f t="shared" ref="I48" si="19">SUM(B48:H48)</f>
        <v>126871.1</v>
      </c>
    </row>
    <row r="49" spans="1:9" x14ac:dyDescent="0.2">
      <c r="A49" s="46" t="s">
        <v>159</v>
      </c>
      <c r="B49" s="47">
        <v>2020.3</v>
      </c>
      <c r="C49" s="48"/>
      <c r="D49" s="47">
        <f>7908.9+3285.2</f>
        <v>11194.099999999999</v>
      </c>
      <c r="E49" s="47">
        <f>11102.8+41886.1</f>
        <v>52988.899999999994</v>
      </c>
      <c r="F49" s="47">
        <v>331.2</v>
      </c>
      <c r="G49" s="27">
        <f>24347+577.1+25773.5+714.8</f>
        <v>51412.4</v>
      </c>
      <c r="H49" s="47">
        <f>3066+4456.5+622.5+1537.9</f>
        <v>9682.9</v>
      </c>
      <c r="I49" s="47">
        <f t="shared" ref="I49" si="20">SUM(B49:H49)</f>
        <v>127629.79999999999</v>
      </c>
    </row>
    <row r="50" spans="1:9" hidden="1" x14ac:dyDescent="0.2">
      <c r="A50" s="28"/>
      <c r="B50" s="30"/>
      <c r="C50" s="38"/>
      <c r="D50" s="30"/>
      <c r="E50" s="30"/>
      <c r="F50" s="30"/>
      <c r="G50" s="42"/>
      <c r="H50" s="30"/>
      <c r="I50" s="30"/>
    </row>
    <row r="51" spans="1:9" hidden="1" x14ac:dyDescent="0.2">
      <c r="A51" s="28" t="s">
        <v>28</v>
      </c>
      <c r="B51" s="30">
        <f>1081.3+1325.5+1813.7+575.7</f>
        <v>4796.2</v>
      </c>
      <c r="C51" s="42">
        <f>151+10+318.9</f>
        <v>479.9</v>
      </c>
      <c r="D51" s="30">
        <f>1053+1796.7+83.9+997.2</f>
        <v>3930.8</v>
      </c>
      <c r="E51" s="30">
        <f>229.6+15.8+1479.5+968.9+458.3</f>
        <v>3152.1000000000004</v>
      </c>
      <c r="F51" s="30">
        <f>7267.5+454.5+200</f>
        <v>7922</v>
      </c>
      <c r="G51" s="42">
        <f>676.3+122.3+4737.3+599.4+3509+543.1+1650+388.5+669.9-202.8</f>
        <v>12693</v>
      </c>
      <c r="H51" s="30">
        <f>321.9+626.2+598.2+2128.2+192.4</f>
        <v>3866.9</v>
      </c>
      <c r="I51" s="30">
        <f t="shared" ref="I51:I56" si="21">SUM(B51:H51)</f>
        <v>36840.9</v>
      </c>
    </row>
    <row r="52" spans="1:9" hidden="1" x14ac:dyDescent="0.2">
      <c r="A52" s="28" t="s">
        <v>43</v>
      </c>
      <c r="B52" s="30">
        <f>1081.3+1325.5+1813.7+575.7-1325.5+1134.6-1813.7+1519.5-575.7+540-1081.3+1082.5</f>
        <v>4276.5999999999995</v>
      </c>
      <c r="C52" s="42">
        <f>151+10+318.9</f>
        <v>479.9</v>
      </c>
      <c r="D52" s="30">
        <f>1053+1796.7+83.9+997.2-1796.7+1814.2-997.2+949.9-1053+1128</f>
        <v>3976.0000000000005</v>
      </c>
      <c r="E52" s="30">
        <f>229.6+15.8+1479.5+968.9+458.3-1479.5+1484.3-968.9+938.9-458.3+488.4-229.6+249.5</f>
        <v>3176.9000000000005</v>
      </c>
      <c r="F52" s="30">
        <f>7267.5+454.5+200</f>
        <v>7922</v>
      </c>
      <c r="G52" s="42">
        <f>676.3+122.3+4737.3+599.4+3509+543.1+1650+388.5+669.9-202.8-4737.3+4769.7-599.4+634-3509+3512.9-543.1+574-1650+1649.6-388.5+349.9-669.9+670+202.8-217.1-676.3+675.3-122.3+128.9</f>
        <v>12747.199999999999</v>
      </c>
      <c r="H52" s="30">
        <f>321.9+626.2+598.2+2128.2+192.4-626.2+627.4-598.2+577.4-2128.2+2204.7-192.4+131.8-321.9+275</f>
        <v>3816.2999999999997</v>
      </c>
      <c r="I52" s="30">
        <f t="shared" si="21"/>
        <v>36394.9</v>
      </c>
    </row>
    <row r="53" spans="1:9" hidden="1" x14ac:dyDescent="0.2">
      <c r="A53" s="28" t="s">
        <v>44</v>
      </c>
      <c r="B53" s="30">
        <f>1081.3+1325.5+1813.7+575.7-1325.5+1134.6-1813.7+1519.5-575.7+540-1081.3+1082.5-540+657.3-1134.6+1334.1-1519.5+1674.5-1082.5+1152.5</f>
        <v>4818.3999999999996</v>
      </c>
      <c r="C53" s="42">
        <f>151+10+318.9</f>
        <v>479.9</v>
      </c>
      <c r="D53" s="30">
        <f>1053+1796.7+83.9+997.2-1796.7+1814.2-997.2+949.9-1053+1128-1814.2+1812.9-1128+958</f>
        <v>3804.7000000000003</v>
      </c>
      <c r="E53" s="30">
        <f>229.6+15.8+1479.5+968.9+458.3-1479.5+1484.3-968.9+938.9-458.3+488.4-229.6+249.5-488.4+488.5-15.8+16.7-938.9+902.1-1484.3+1487-249.5+191.3</f>
        <v>3085.6000000000004</v>
      </c>
      <c r="F53" s="30">
        <f>7267.5+454.5+200-7267.5+6445.5</f>
        <v>7100</v>
      </c>
      <c r="G53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3" s="30">
        <f>321.9+626.2+598.2+2128.2+192.4-626.2+627.4-598.2+577.4-2128.2+2204.7-192.4+131.8-321.9+275-131.8+121.6-627.4+690.2-2204.7+2426.1-577.4+799.2-275+291.5</f>
        <v>4328.5999999999995</v>
      </c>
      <c r="I53" s="30">
        <f t="shared" si="21"/>
        <v>36249.300000000003</v>
      </c>
    </row>
    <row r="54" spans="1:9" hidden="1" x14ac:dyDescent="0.2">
      <c r="A54" s="28" t="s">
        <v>45</v>
      </c>
      <c r="B54" s="30">
        <f>1081.3+1325.5+1813.7+575.7-1325.5+1134.6-1813.7+1519.5-575.7+540-1081.3+1082.5-540+657.3-1134.6+1334.1-1519.5+1674.5-1082.5+1152.5-1334.1+1472.7-1152.5+1229.6-657.3+795.4-1674.5+1944-1229.6</f>
        <v>4212.1000000000004</v>
      </c>
      <c r="C54" s="42">
        <f>151+10+318.9-151</f>
        <v>328.9</v>
      </c>
      <c r="D54" s="30">
        <f>1053+1796.7+83.9+997.2-1796.7+1814.2-997.2+949.9-1053+1128-1814.2+1812.9-1128+958-1812.9+1804.3-958+1088-1088</f>
        <v>2838.1000000000004</v>
      </c>
      <c r="E54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4" s="30">
        <f>7267.5+454.5+200-7267.5+6445.5-6445.5+7233.5</f>
        <v>7888</v>
      </c>
      <c r="G54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4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4" s="30">
        <f t="shared" si="21"/>
        <v>33990.400000000001</v>
      </c>
    </row>
    <row r="55" spans="1:9" hidden="1" x14ac:dyDescent="0.2">
      <c r="A55" s="28" t="s">
        <v>46</v>
      </c>
      <c r="B55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5" s="42">
        <f>151+10+318.9-151-10</f>
        <v>318.89999999999998</v>
      </c>
      <c r="D55" s="30">
        <f>1053+1796.7+83.9+997.2-1796.7+1814.2-997.2+949.9-1053+1128-1814.2+1812.9-1128+958-1812.9+1804.3-958+1088-1088-1804.3+1928.7-949.9+1052.7</f>
        <v>3065.3</v>
      </c>
      <c r="E55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5" s="30">
        <f>7267.5+454.5+200-7267.5+6445.5-6445.5+7233.5</f>
        <v>7888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5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5" s="30">
        <f t="shared" si="21"/>
        <v>36024.000000000007</v>
      </c>
    </row>
    <row r="56" spans="1:9" hidden="1" x14ac:dyDescent="0.2">
      <c r="A56" s="28" t="s">
        <v>35</v>
      </c>
      <c r="B56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6" s="42">
        <f>151+10+318.9-151-10</f>
        <v>318.89999999999998</v>
      </c>
      <c r="D56" s="30">
        <f>1053+1796.7+83.9+997.2-1796.7+1814.2-997.2+949.9-1053+1128-1814.2+1812.9-1128+958-1812.9+1804.3-958+1088-1088-1804.3+1928.7-949.9+1052.7-1928.7+1975.1</f>
        <v>3111.7</v>
      </c>
      <c r="E56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6" s="30">
        <f>7267.5+454.5+200-7267.5+6445.5-6445.5+7233.5-7233.5+7294.3</f>
        <v>7948.8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6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6" s="30">
        <f t="shared" si="21"/>
        <v>38021.400000000009</v>
      </c>
    </row>
    <row r="57" spans="1:9" hidden="1" x14ac:dyDescent="0.2">
      <c r="A57" s="28" t="s">
        <v>47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7" s="42">
        <f>151+10+318.9-151-10-318.9+328.9</f>
        <v>328.9</v>
      </c>
      <c r="D57" s="30">
        <f>1053+1796.7+83.9+997.2-1796.7+1814.2-997.2+949.9-1053+1128-1814.2+1812.9-1128+958-1812.9+1804.3-958+1088-1088-1804.3+1928.7-949.9+1052.7-1928.7+1975.1-1975.1+2077.7</f>
        <v>3214.2999999999997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7" s="30">
        <f>7267.5+454.5+200-7267.5+6445.5-6445.5+7233.5-7233.5+7294.3-7294.3+7294.3</f>
        <v>7948.8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7" s="30">
        <f t="shared" ref="I57:I62" si="22">SUM(B57:H57)</f>
        <v>39955.900000000009</v>
      </c>
    </row>
    <row r="58" spans="1:9" hidden="1" x14ac:dyDescent="0.2">
      <c r="A58" s="28" t="s">
        <v>26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8" s="42">
        <f>151+10+318.9-151-10-318.9+328.9-328.9+368.9</f>
        <v>368.9</v>
      </c>
      <c r="D58" s="30">
        <f>1053+1796.7+83.9+997.2-1796.7+1814.2-997.2+949.9-1053+1128-1814.2+1812.9-1128+958-1812.9+1804.3-958+1088-1088-1804.3+1928.7-949.9+1052.7-1928.7+1975.1-1975.1+2077.7-1052.7+1155.6-2077.7+2149.4</f>
        <v>3388.8999999999996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8" s="30">
        <f>7267.5+454.5+200-7267.5+6445.5-6445.5+7233.5-7233.5+7294.3-7294.3+7294.3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8" s="30">
        <f t="shared" si="22"/>
        <v>41895.4</v>
      </c>
    </row>
    <row r="59" spans="1:9" hidden="1" x14ac:dyDescent="0.2">
      <c r="A59" s="28" t="s">
        <v>27</v>
      </c>
      <c r="B59" s="30">
        <f>2747+3114.6+4687.5</f>
        <v>10549.1</v>
      </c>
      <c r="C59" s="42">
        <v>268.89999999999998</v>
      </c>
      <c r="D59" s="30">
        <f>83.9+1315.6+2170.9</f>
        <v>3570.4</v>
      </c>
      <c r="E59" s="30">
        <f>496.5+1572.9+863.7+171.5</f>
        <v>3104.6000000000004</v>
      </c>
      <c r="F59" s="30">
        <f>200+454.5+9883.8</f>
        <v>10538.3</v>
      </c>
      <c r="G59" s="42">
        <f>-297+672.8+3720.6+373.2+2195.5+45.7+5240.8+574.6</f>
        <v>12526.199999999999</v>
      </c>
      <c r="H59" s="30">
        <f>139.2+591.2+2604.2+617.2</f>
        <v>3951.8</v>
      </c>
      <c r="I59" s="30">
        <f t="shared" si="22"/>
        <v>44509.3</v>
      </c>
    </row>
    <row r="60" spans="1:9" hidden="1" x14ac:dyDescent="0.2">
      <c r="A60" s="28" t="s">
        <v>48</v>
      </c>
      <c r="B60" s="30">
        <f>2743.7+3004.9+4346.7+120.9</f>
        <v>10216.199999999999</v>
      </c>
      <c r="C60" s="42">
        <v>268.89999999999998</v>
      </c>
      <c r="D60" s="30">
        <f>83.9+1379.3+2225.4</f>
        <v>3688.6000000000004</v>
      </c>
      <c r="E60" s="30">
        <f>450.1+1578.4+867.2+171.3</f>
        <v>3067</v>
      </c>
      <c r="F60" s="30">
        <f>200+454.5+9883.8</f>
        <v>10538.3</v>
      </c>
      <c r="G60" s="42">
        <f>-276.3+623+49.8+3723.3+419.4+2194.5+52.8+5234.4+653.6</f>
        <v>12674.5</v>
      </c>
      <c r="H60" s="30">
        <f>387.1+628.4+2664.6+566.2</f>
        <v>4246.3</v>
      </c>
      <c r="I60" s="30">
        <f t="shared" si="22"/>
        <v>44699.8</v>
      </c>
    </row>
    <row r="61" spans="1:9" hidden="1" x14ac:dyDescent="0.2">
      <c r="A61" s="28" t="s">
        <v>49</v>
      </c>
      <c r="B61" s="30">
        <f>2575.1+2997.5+4059.1+387.2</f>
        <v>10018.900000000001</v>
      </c>
      <c r="C61" s="42">
        <v>268.89999999999998</v>
      </c>
      <c r="D61" s="30">
        <f>83.9+1229.4+2172.4</f>
        <v>3485.7000000000003</v>
      </c>
      <c r="E61" s="30">
        <f>455.3+1575+924.1+171.2</f>
        <v>3125.6</v>
      </c>
      <c r="F61" s="30">
        <f>200+454.5+9785.5</f>
        <v>10440</v>
      </c>
      <c r="G61" s="42">
        <f>-292.9+623+49.8+3901.3+448.1+2194.2+75.8+5188.1+707.1</f>
        <v>12894.500000000002</v>
      </c>
      <c r="H61" s="30">
        <f>143.7+591.4+2778.9+601.6</f>
        <v>4115.6000000000004</v>
      </c>
      <c r="I61" s="30">
        <f t="shared" si="22"/>
        <v>44349.200000000004</v>
      </c>
    </row>
    <row r="62" spans="1:9" hidden="1" x14ac:dyDescent="0.2">
      <c r="A62" s="28" t="s">
        <v>23</v>
      </c>
      <c r="B62" s="30">
        <f>2454+3245+3400+88.5</f>
        <v>9187.5</v>
      </c>
      <c r="C62" s="42">
        <v>268.89999999999998</v>
      </c>
      <c r="D62" s="30">
        <f>83.9+1192.4+2218.3</f>
        <v>3494.6000000000004</v>
      </c>
      <c r="E62" s="30">
        <f>467.9+1581.8+873.7+172</f>
        <v>3095.3999999999996</v>
      </c>
      <c r="F62" s="30">
        <f>200+454.5+10159.3</f>
        <v>10813.8</v>
      </c>
      <c r="G62" s="42">
        <f>-423.8+708+157.6+3928.9+446.1+2200.4+346.4+5194.2+701.5</f>
        <v>13259.3</v>
      </c>
      <c r="H62" s="30">
        <f>160.3+689.2+2216.5+635.8</f>
        <v>3701.8</v>
      </c>
      <c r="I62" s="30">
        <f t="shared" si="22"/>
        <v>43821.3</v>
      </c>
    </row>
    <row r="63" spans="1:9" hidden="1" x14ac:dyDescent="0.2">
      <c r="A63" s="28"/>
      <c r="B63" s="30"/>
      <c r="C63" s="42"/>
      <c r="D63" s="30"/>
      <c r="E63" s="30"/>
      <c r="F63" s="30"/>
      <c r="G63" s="42"/>
      <c r="H63" s="30"/>
      <c r="I63" s="30"/>
    </row>
    <row r="64" spans="1:9" hidden="1" x14ac:dyDescent="0.2">
      <c r="A64" s="28"/>
      <c r="B64" s="30"/>
      <c r="C64" s="42"/>
      <c r="D64" s="30"/>
      <c r="E64" s="30"/>
      <c r="F64" s="30"/>
      <c r="G64" s="42"/>
      <c r="H64" s="30"/>
      <c r="I64" s="30"/>
    </row>
    <row r="65" spans="1:9" hidden="1" x14ac:dyDescent="0.2">
      <c r="A65" s="28" t="s">
        <v>29</v>
      </c>
      <c r="B65" s="30">
        <f>24.4+2379.8+2086.8+2681.8</f>
        <v>7172.8</v>
      </c>
      <c r="C65" s="42">
        <v>268.89999999999998</v>
      </c>
      <c r="D65" s="30">
        <f>83.9+2250.5+1208.5</f>
        <v>3542.9</v>
      </c>
      <c r="E65" s="30">
        <f>1681.7+171.5+456.3+874.4</f>
        <v>3183.9</v>
      </c>
      <c r="F65" s="30">
        <f>415.6+10159.3+200</f>
        <v>10774.9</v>
      </c>
      <c r="G65" s="42">
        <f>4059.6+375.5+846.6-198+5205.3+786.5+790.6-430.5+2221.9+338.2</f>
        <v>13995.7</v>
      </c>
      <c r="H65" s="30">
        <f>551.1+71.1+601.8+178.5+2239.3</f>
        <v>3641.8</v>
      </c>
      <c r="I65" s="30">
        <f t="shared" ref="I65:I70" si="23">SUM(B65:H65)</f>
        <v>42580.900000000009</v>
      </c>
    </row>
    <row r="66" spans="1:9" hidden="1" x14ac:dyDescent="0.2">
      <c r="A66" s="28" t="s">
        <v>30</v>
      </c>
      <c r="B66" s="30">
        <f>200.5+2139.7+1893.1+2426.1</f>
        <v>6659.4</v>
      </c>
      <c r="C66" s="42">
        <v>268.89999999999998</v>
      </c>
      <c r="D66" s="30">
        <f>83.9+2256.7+1016.3</f>
        <v>3356.8999999999996</v>
      </c>
      <c r="E66" s="30">
        <f>1688.5+101.6+448.8+931.2</f>
        <v>3170.1000000000004</v>
      </c>
      <c r="F66" s="30">
        <f>415.6+10159.3+200</f>
        <v>10774.9</v>
      </c>
      <c r="G66" s="42">
        <f>4107+369.1+956.3-310.3+5280.2+793.9+840.6-440.4+2236.6+316.3</f>
        <v>14149.3</v>
      </c>
      <c r="H66" s="30">
        <f>550.5+65.2+622+185.5+2542.9</f>
        <v>3966.1000000000004</v>
      </c>
      <c r="I66" s="30">
        <f t="shared" si="23"/>
        <v>42345.599999999999</v>
      </c>
    </row>
    <row r="67" spans="1:9" hidden="1" x14ac:dyDescent="0.2">
      <c r="A67" s="28" t="s">
        <v>31</v>
      </c>
      <c r="B67" s="30">
        <f>0.2+2178.4+1725.3+2704.8</f>
        <v>6608.7</v>
      </c>
      <c r="C67" s="42">
        <v>268.89999999999998</v>
      </c>
      <c r="D67" s="30">
        <f>83.9+2251.1+816.3</f>
        <v>3151.3</v>
      </c>
      <c r="E67" s="30">
        <f>1700.2+101.7+430.5+829.4</f>
        <v>3061.8</v>
      </c>
      <c r="F67" s="30">
        <f>415.6+10536.1+200</f>
        <v>11151.7</v>
      </c>
      <c r="G67" s="42">
        <f>4299.4+1.3+969.3-327.1+5952.2+124.7+832.8-446.3+2367.9-81</f>
        <v>13693.199999999999</v>
      </c>
      <c r="H67" s="30">
        <f>752.7+73+669.1+196.4+2673.3</f>
        <v>4364.5</v>
      </c>
      <c r="I67" s="30">
        <f t="shared" si="23"/>
        <v>42300.1</v>
      </c>
    </row>
    <row r="68" spans="1:9" hidden="1" x14ac:dyDescent="0.2">
      <c r="A68" s="28" t="s">
        <v>32</v>
      </c>
      <c r="B68" s="30">
        <f>0.2+1371.5+1466.1+1918.8</f>
        <v>4756.6000000000004</v>
      </c>
      <c r="C68" s="42">
        <v>288.89999999999998</v>
      </c>
      <c r="D68" s="30">
        <f>133.9+2287.5+816.3</f>
        <v>3237.7</v>
      </c>
      <c r="E68" s="30">
        <f>1682.2+101.8+431.2+779.4</f>
        <v>2994.6</v>
      </c>
      <c r="F68" s="30">
        <f>415.6+10536.1+200</f>
        <v>11151.7</v>
      </c>
      <c r="G68" s="42">
        <f>4280.8+51.5+979-341.3+5957.7+277+837.8-449.2+2367.5+172.8</f>
        <v>14133.599999999999</v>
      </c>
      <c r="H68" s="30">
        <f>561.6+73.6+645.3+193.4+2524.2</f>
        <v>3998.1</v>
      </c>
      <c r="I68" s="30">
        <f t="shared" si="23"/>
        <v>40561.199999999997</v>
      </c>
    </row>
    <row r="69" spans="1:9" hidden="1" x14ac:dyDescent="0.2">
      <c r="A69" s="28" t="s">
        <v>33</v>
      </c>
      <c r="B69" s="30">
        <f>73.6+1371.2+1402.3</f>
        <v>2847.1</v>
      </c>
      <c r="C69" s="42" t="s">
        <v>41</v>
      </c>
      <c r="D69" s="30">
        <f>133.9+2190</f>
        <v>2323.9</v>
      </c>
      <c r="E69" s="30">
        <f>1685.8+102.1+433.9</f>
        <v>2221.7999999999997</v>
      </c>
      <c r="F69" s="30">
        <f>415.6+10422.5+200</f>
        <v>11038.1</v>
      </c>
      <c r="G69" s="42">
        <f>4275.9+91.4+989.7-353.2+5996.1+324.6+837.8-460.3</f>
        <v>11702</v>
      </c>
      <c r="H69" s="30">
        <f>563.7+68.3+654.4+186.4</f>
        <v>1472.8000000000002</v>
      </c>
      <c r="I69" s="30">
        <f t="shared" si="23"/>
        <v>31605.7</v>
      </c>
    </row>
    <row r="70" spans="1:9" hidden="1" x14ac:dyDescent="0.2">
      <c r="A70" s="28" t="s">
        <v>34</v>
      </c>
      <c r="B70" s="30">
        <f>79+931.1+1286.9</f>
        <v>2297</v>
      </c>
      <c r="C70" s="42" t="s">
        <v>41</v>
      </c>
      <c r="D70" s="30">
        <f>133.9+2244.9</f>
        <v>2378.8000000000002</v>
      </c>
      <c r="E70" s="30">
        <f>1699.9+101.4+421.7</f>
        <v>2223</v>
      </c>
      <c r="F70" s="30">
        <f>415.6+10989.1+200</f>
        <v>11604.7</v>
      </c>
      <c r="G70" s="42">
        <f>4276.7+132.1+1012-378.4+6059.5+384.6+837.8-467.2</f>
        <v>11857.1</v>
      </c>
      <c r="H70" s="30">
        <f>569.5+67.5+717.3+188.6</f>
        <v>1542.8999999999999</v>
      </c>
      <c r="I70" s="30">
        <f t="shared" si="23"/>
        <v>31903.5</v>
      </c>
    </row>
    <row r="71" spans="1:9" hidden="1" x14ac:dyDescent="0.2">
      <c r="A71" s="28" t="s">
        <v>36</v>
      </c>
      <c r="B71" s="30">
        <f>79+931.1+1286.9-1286.9+1231.7+3-931.1+543.9-79+1.3</f>
        <v>1779.9000000000003</v>
      </c>
      <c r="C71" s="42" t="s">
        <v>41</v>
      </c>
      <c r="D71" s="30">
        <f>133.9+2244.9-2244.9+2312.7</f>
        <v>2446.6</v>
      </c>
      <c r="E71" s="30">
        <f>1699.9+101.4+421.7-421.7+424.7-101.4+103.4-1699.9+1697.5</f>
        <v>2225.6</v>
      </c>
      <c r="F71" s="30">
        <f>415.6+10989.1+200</f>
        <v>11604.7</v>
      </c>
      <c r="G71" s="42">
        <f>4276.7+132.1+1012-378.4+6059.5+384.6+837.8-467.2+467.2-476.3-1012+1017.5+378.4-391.6-6059.5+6080.4-384.6+448.2-4276.7+4268.5-132.1+191.8</f>
        <v>11976.300000000001</v>
      </c>
      <c r="H71" s="30">
        <f>569.5+67.5+717.3+188.6-188.6+193.1-67.5+94.3-717.3+698.5-569.5+591.9</f>
        <v>1577.7999999999997</v>
      </c>
      <c r="I71" s="30">
        <f t="shared" ref="I71:I76" si="24">SUM(B71:H71)</f>
        <v>31610.900000000005</v>
      </c>
    </row>
    <row r="72" spans="1:9" hidden="1" x14ac:dyDescent="0.2">
      <c r="A72" s="28" t="s">
        <v>37</v>
      </c>
      <c r="B72" s="30">
        <v>1851.5</v>
      </c>
      <c r="C72" s="42" t="s">
        <v>41</v>
      </c>
      <c r="D72" s="30">
        <v>2488.8000000000002</v>
      </c>
      <c r="E72" s="30">
        <v>2221.1</v>
      </c>
      <c r="F72" s="30">
        <v>11604.7</v>
      </c>
      <c r="G72" s="42">
        <v>12087.9</v>
      </c>
      <c r="H72" s="30">
        <v>1640.6</v>
      </c>
      <c r="I72" s="30">
        <f t="shared" si="24"/>
        <v>31894.6</v>
      </c>
    </row>
    <row r="73" spans="1:9" hidden="1" x14ac:dyDescent="0.2">
      <c r="A73" s="28" t="s">
        <v>38</v>
      </c>
      <c r="B73" s="30">
        <f>1851.5+60-1223.6+1235.2-627.8+540.3-0.1+154.4</f>
        <v>1989.9000000000003</v>
      </c>
      <c r="C73" s="42" t="s">
        <v>41</v>
      </c>
      <c r="D73" s="30">
        <f>2488.8-2354.9+2403.2</f>
        <v>2537.1</v>
      </c>
      <c r="E73" s="30">
        <f>2221.1-433.3+435.5-102.1+107.6-1685.7+1678.4</f>
        <v>2221.5</v>
      </c>
      <c r="F73" s="30">
        <f>11604.7-10989.1+11206.5</f>
        <v>11822.1</v>
      </c>
      <c r="G73" s="42">
        <f>12087.9-1006.9+1012.3+384.9-399.3+506.2-530.2-6162.8+6144.7-458.1+529.7-4277.2+4266.8-236.2+302.8</f>
        <v>12164.599999999999</v>
      </c>
      <c r="H73" s="30">
        <f>1640.6-151.2+157.5-192.7+201-626.1+633.8-670.6+643.5</f>
        <v>1635.7999999999997</v>
      </c>
      <c r="I73" s="30">
        <f t="shared" si="24"/>
        <v>32370.999999999996</v>
      </c>
    </row>
    <row r="74" spans="1:9" hidden="1" x14ac:dyDescent="0.2">
      <c r="A74" s="28" t="s">
        <v>39</v>
      </c>
      <c r="B74" s="30">
        <f>1851.5+60-1223.6+1235.2-627.8+540.3-0.1+154.4-1235.2+1220.8-540.3+750-154.4+1.6</f>
        <v>2032.4</v>
      </c>
      <c r="C74" s="42" t="s">
        <v>41</v>
      </c>
      <c r="D74" s="30">
        <f>2488.8-2354.9+2403.2-2403.2+2312.3</f>
        <v>2446.2000000000003</v>
      </c>
      <c r="E74" s="30">
        <f>2221.1-433.3+435.5-102.1+107.6-1685.7+1678.4-435.5+440.6-107.6+167.2-1678.4+1662.4</f>
        <v>2270.1999999999998</v>
      </c>
      <c r="F74" s="30">
        <f>11604.7-10989.1+11206.5</f>
        <v>11822.1</v>
      </c>
      <c r="G74" s="42">
        <f>12087.9-1006.9+1012.3+384.9-399.3+506.2-530.2-6162.8+6144.7-458.1+529.7-4277.2+4266.8-236.2+302.8-1012.3+1017.8+530.2-557-11206.5+11089.2-6144.7+6295.6-529.7+558.3-4266.8+4243.8-302.8+391</f>
        <v>12270.7</v>
      </c>
      <c r="H74" s="30">
        <f>1640.6-151.2+157.5-192.7+201-626.1+633.8-670.6+643.5-157.5+158.3+399.3-402.4-201+209.2-633.8+726.8-643.5+641.3</f>
        <v>1732.4999999999995</v>
      </c>
      <c r="I74" s="30">
        <f t="shared" si="24"/>
        <v>32574.100000000002</v>
      </c>
    </row>
    <row r="75" spans="1:9" hidden="1" x14ac:dyDescent="0.2">
      <c r="A75" s="28" t="s">
        <v>40</v>
      </c>
      <c r="B75" s="30">
        <f>1851.5+60-1223.6+1235.2-627.8+540.3-0.1+154.4-1235.2+1220.8-540.3+750-154.4+1.6-1220.8+1156.3-1.6+151.1-750+708.4</f>
        <v>2075.8000000000002</v>
      </c>
      <c r="C75" s="42" t="s">
        <v>41</v>
      </c>
      <c r="D75" s="30">
        <f>2488.8-2354.9+2403.2-2403.2+2312.3-2312.3+2365.9</f>
        <v>2499.8000000000002</v>
      </c>
      <c r="E75" s="30">
        <f>2221.1-433.3+435.5-102.1+107.6-1685.7+1678.4-435.5+440.6-107.6+167.2-1678.4+1662.4-440.6+262.1-1662.4+2101.5</f>
        <v>2530.7999999999997</v>
      </c>
      <c r="F75" s="30">
        <f>11604.7-10989.1+11206.5</f>
        <v>11822.1</v>
      </c>
      <c r="G75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5" s="30">
        <f>1640.6-151.2+157.5-192.7+201-626.1+633.8-670.6+643.5-157.5+158.3+399.3-402.4-201+209.2-633.8+726.8-643.5+641.3+402.4-407.2-158.3+160.2-209.2+197.6-641.3+621.7-726.8+647.1</f>
        <v>1618.6999999999998</v>
      </c>
      <c r="I75" s="30">
        <f t="shared" si="24"/>
        <v>33041.1</v>
      </c>
    </row>
    <row r="76" spans="1:9" hidden="1" x14ac:dyDescent="0.2">
      <c r="A76" s="28" t="s">
        <v>42</v>
      </c>
      <c r="B76" s="30">
        <f>1851.5+60-1223.6+1235.2-627.8+540.3-0.1+154.4-1235.2+1220.8-540.3+750-154.4+1.6-1220.8+1156.3-1.6+151.1-750+708.4-60+60.3-1156.3+1134.5-708.4+722.3-151.1+275.9</f>
        <v>2193</v>
      </c>
      <c r="C76" s="42" t="s">
        <v>41</v>
      </c>
      <c r="D76" s="30">
        <f>2488.8-2354.9+2403.2-2403.2+2312.3-2312.3+2365.9-2365.9+2407.9-133.9+186.1</f>
        <v>2594</v>
      </c>
      <c r="E76" s="30">
        <f>2221.1-433.3+435.5-102.1+107.6-1685.7+1678.4-435.5+440.6-107.6+167.2-1678.4+1662.4-440.6+262.1-1662.4+2101.5-262.1+168.6-167.2+166.5-2101.5+2135.3</f>
        <v>2470.4</v>
      </c>
      <c r="F76" s="30">
        <f>11604.7-10989.1+11206.5-11089.2+11916.4-415.5+408.9</f>
        <v>12642.699999999999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6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6" s="30">
        <f t="shared" si="24"/>
        <v>33938.700000000004</v>
      </c>
    </row>
    <row r="77" spans="1:9" hidden="1" x14ac:dyDescent="0.2">
      <c r="A77" s="28"/>
      <c r="B77" s="30"/>
      <c r="C77" s="42"/>
      <c r="D77" s="30"/>
      <c r="E77" s="30"/>
      <c r="F77" s="30"/>
      <c r="G77" s="42"/>
      <c r="H77" s="30"/>
      <c r="I77" s="30"/>
    </row>
    <row r="78" spans="1:9" hidden="1" x14ac:dyDescent="0.2">
      <c r="A78" s="28" t="s">
        <v>50</v>
      </c>
      <c r="B78" s="30">
        <f>1851.5+60-1223.6+1235.2-627.8+540.3-0.1+154.4-1235.2+1220.8-540.3+750-154.4+1.6-1220.8+1156.3-1.6+151.1-750+708.4-60+60.3-1156.3+1134.5-708.4+722.3-151.1+275.9-60.3-722.3+656.6-275.9+0.7</f>
        <v>1791.8</v>
      </c>
      <c r="C78" s="42" t="s">
        <v>41</v>
      </c>
      <c r="D78" s="30">
        <f>2488.8-2354.9+2403.2-2403.2+2312.3-2312.3+2365.9-2365.9+2407.9-133.9+186.1+56.3-2407.9+2301.5</f>
        <v>2543.9</v>
      </c>
      <c r="E78" s="30">
        <f>2221.1-433.3+435.5-102.1+107.6-1685.7+1678.4-435.5+440.6-107.6+167.2-1678.4+1662.4-440.6+262.1-1662.4+2101.5-262.1+168.6-167.2+166.5-2101.5+2135.3-168.6+168.7-166.5+167.2-2135.3+2163.5</f>
        <v>2499.3999999999996</v>
      </c>
      <c r="F78" s="30">
        <f>11604.7-10989.1+11206.5-11089.2+11916.4-415.5+408.9-408.9+409.1</f>
        <v>12642.9</v>
      </c>
      <c r="G78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8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8" s="30">
        <f t="shared" ref="I78:I83" si="25">SUM(B78:H78)</f>
        <v>33707.500000000007</v>
      </c>
    </row>
    <row r="79" spans="1:9" hidden="1" x14ac:dyDescent="0.2">
      <c r="A79" s="28" t="s">
        <v>56</v>
      </c>
      <c r="B79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79" s="42" t="s">
        <v>41</v>
      </c>
      <c r="D79" s="30">
        <f>2488.8-2354.9+2403.2-2403.2+2312.3-2312.3+2365.9-2365.9+2407.9-133.9+186.1+56.3-2407.9+2301.5-56.3-2301.5+2289.4</f>
        <v>2475.5</v>
      </c>
      <c r="E79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9" s="30">
        <f>11604.7-10989.1+11206.5-11089.2+11916.4-415.5+408.9-408.9+409.1-409.1+402.4</f>
        <v>12636.199999999999</v>
      </c>
      <c r="G7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9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9" s="30">
        <f t="shared" si="25"/>
        <v>33216.6</v>
      </c>
    </row>
    <row r="80" spans="1:9" hidden="1" x14ac:dyDescent="0.2">
      <c r="A80" s="28" t="s">
        <v>51</v>
      </c>
      <c r="B80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0" s="42" t="s">
        <v>41</v>
      </c>
      <c r="D80" s="30">
        <f>2488.8-2354.9+2403.2-2403.2+2312.3-2312.3+2365.9-2365.9+2407.9-133.9+186.1+56.3-2407.9+2301.5-56.3-2301.5+2289.4-2289.4+2318.8</f>
        <v>2504.9</v>
      </c>
      <c r="E80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0" s="30">
        <f>11604.7-10989.1+11206.5-11089.2+11916.4-415.5+408.9-408.9+409.1-409.1+402.4-11916.4+11704.6</f>
        <v>12424.4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0" s="30">
        <f t="shared" si="25"/>
        <v>33140.600000000006</v>
      </c>
    </row>
    <row r="81" spans="1:9" hidden="1" x14ac:dyDescent="0.2">
      <c r="A81" s="28" t="s">
        <v>58</v>
      </c>
      <c r="B81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1" s="42" t="s">
        <v>41</v>
      </c>
      <c r="D81" s="30">
        <f>2488.8-2354.9+2403.2-2403.2+2312.3-2312.3+2365.9-2365.9+2407.9-133.9+186.1+56.3-2407.9+2301.5-56.3-2301.5+2289.4-2289.4+2318.8-2318.8+2208.9</f>
        <v>2395</v>
      </c>
      <c r="E81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1" s="30">
        <f>11604.7-10989.1+11206.5-11089.2+11916.4-415.5+408.9-408.9+409.1-409.1+402.4-11916.4+11704.6-11704.6+11582.1</f>
        <v>12301.9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1" s="30">
        <f t="shared" si="25"/>
        <v>33558.400000000001</v>
      </c>
    </row>
    <row r="82" spans="1:9" hidden="1" x14ac:dyDescent="0.2">
      <c r="A82" s="28" t="s">
        <v>59</v>
      </c>
      <c r="B82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2" s="42" t="s">
        <v>41</v>
      </c>
      <c r="D82" s="30">
        <f>2488.8-2354.9+2403.2-2403.2+2312.3-2312.3+2365.9-2365.9+2407.9-133.9+186.1+56.3-2407.9+2301.5-56.3-2301.5+2289.4-2289.4+2318.8-2318.8+2208.9-2208.9+2252.5</f>
        <v>2438.6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2" s="30">
        <f>11604.7-10989.1+11206.5-11089.2+11916.4-415.5+408.9-408.9+409.1-409.1+402.4-11916.4+11704.6-11704.6+11582.1</f>
        <v>12301.9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2" s="30">
        <f t="shared" si="25"/>
        <v>34742.400000000001</v>
      </c>
    </row>
    <row r="83" spans="1:9" hidden="1" x14ac:dyDescent="0.2">
      <c r="A83" s="28" t="s">
        <v>60</v>
      </c>
      <c r="B83" s="30">
        <f>37.2+2917.6</f>
        <v>2954.7999999999997</v>
      </c>
      <c r="C83" s="42" t="s">
        <v>41</v>
      </c>
      <c r="D83" s="30">
        <f>2324.3+206.1</f>
        <v>2530.4</v>
      </c>
      <c r="E83" s="30">
        <f>189.2+2156.9</f>
        <v>2346.1</v>
      </c>
      <c r="F83" s="30">
        <f>11511.5+402.4</f>
        <v>11913.9</v>
      </c>
      <c r="G83" s="42">
        <f>1146-443.5+7010.5+306.3+4490.2+210.8</f>
        <v>12720.3</v>
      </c>
      <c r="H83" s="30">
        <f>69.1+809.8+498</f>
        <v>1376.9</v>
      </c>
      <c r="I83" s="30">
        <f t="shared" si="25"/>
        <v>33842.399999999994</v>
      </c>
    </row>
    <row r="84" spans="1:9" hidden="1" x14ac:dyDescent="0.2">
      <c r="A84" s="28" t="s">
        <v>61</v>
      </c>
      <c r="B84" s="30">
        <f>33.3+5115.7</f>
        <v>5149</v>
      </c>
      <c r="C84" s="42" t="s">
        <v>41</v>
      </c>
      <c r="D84" s="30">
        <f>2359.3+206.1</f>
        <v>2565.4</v>
      </c>
      <c r="E84" s="30">
        <f>188.8+2148.3</f>
        <v>2337.1000000000004</v>
      </c>
      <c r="F84" s="30">
        <f>11511.5+402.4</f>
        <v>11913.9</v>
      </c>
      <c r="G84" s="42">
        <f>1165.5-441.4+7025.6+365.5+4481.7+250</f>
        <v>12846.900000000001</v>
      </c>
      <c r="H84" s="30">
        <f>44.3+912.6+516.4</f>
        <v>1473.3</v>
      </c>
      <c r="I84" s="30">
        <f t="shared" ref="I84:I89" si="26">SUM(B84:H84)</f>
        <v>36285.600000000006</v>
      </c>
    </row>
    <row r="85" spans="1:9" hidden="1" x14ac:dyDescent="0.2">
      <c r="A85" s="28" t="s">
        <v>62</v>
      </c>
      <c r="B85" s="30">
        <f>29.3+3532</f>
        <v>3561.3</v>
      </c>
      <c r="C85" s="42" t="s">
        <v>41</v>
      </c>
      <c r="D85" s="30">
        <f>2382.5+219.2</f>
        <v>2601.6999999999998</v>
      </c>
      <c r="E85" s="30">
        <f>184.2+2108.8</f>
        <v>2293</v>
      </c>
      <c r="F85" s="30">
        <f>11511.5+402.4</f>
        <v>11913.9</v>
      </c>
      <c r="G85" s="42">
        <f>1172.5-457.6+7231+404.8+4474.5+301.3</f>
        <v>13126.499999999998</v>
      </c>
      <c r="H85" s="30">
        <f>38.5+826.8+491</f>
        <v>1356.3</v>
      </c>
      <c r="I85" s="30">
        <f t="shared" si="26"/>
        <v>34852.700000000004</v>
      </c>
    </row>
    <row r="86" spans="1:9" hidden="1" x14ac:dyDescent="0.2">
      <c r="A86" s="28" t="s">
        <v>63</v>
      </c>
      <c r="B86" s="30">
        <f>29.3+3532-29.3+25.3-3532+2723.6</f>
        <v>2748.9</v>
      </c>
      <c r="C86" s="42" t="s">
        <v>41</v>
      </c>
      <c r="D86" s="30">
        <f>2382.5+219.2-2382.5+2419</f>
        <v>2638.2</v>
      </c>
      <c r="E86" s="30">
        <f>184.2+2108.8-2108.8+2105.9-184.2+184.3</f>
        <v>2290.2000000000003</v>
      </c>
      <c r="F86" s="30">
        <f>11511.5+402.4-11511.5+11684</f>
        <v>12086.4</v>
      </c>
      <c r="G86" s="42">
        <f>1172.5-457.6+7231+404.8+4474.5+301.3-1172.5+1174.9+457.6-467.2-4474.5+4477.3-301.3+343.7-7231+7233.8-404.8+469</f>
        <v>13231.5</v>
      </c>
      <c r="H86" s="30">
        <f>38.5+826.8+491-38.5+36.9-491+499.1-826.8+781</f>
        <v>1317.0000000000002</v>
      </c>
      <c r="I86" s="30">
        <f t="shared" si="26"/>
        <v>34312.199999999997</v>
      </c>
    </row>
    <row r="87" spans="1:9" hidden="1" x14ac:dyDescent="0.2">
      <c r="A87" s="28" t="s">
        <v>65</v>
      </c>
      <c r="B87" s="7">
        <f>14.2+2271.4</f>
        <v>2285.6</v>
      </c>
      <c r="C87" s="42" t="s">
        <v>41</v>
      </c>
      <c r="D87" s="30">
        <f>234.2+2266.4</f>
        <v>2500.6</v>
      </c>
      <c r="E87" s="30">
        <f>2122.1+184</f>
        <v>2306.1</v>
      </c>
      <c r="F87" s="30">
        <f>402.4+11561.1</f>
        <v>11963.5</v>
      </c>
      <c r="G87" s="42">
        <f>4502.3+387.4+7340+514.2</f>
        <v>12743.900000000001</v>
      </c>
      <c r="H87" s="30">
        <f>529.7+823.3</f>
        <v>1353</v>
      </c>
      <c r="I87" s="30">
        <f t="shared" si="26"/>
        <v>33152.699999999997</v>
      </c>
    </row>
    <row r="88" spans="1:9" hidden="1" x14ac:dyDescent="0.2">
      <c r="A88" s="28" t="s">
        <v>64</v>
      </c>
      <c r="B88" s="30">
        <f>40.4+1826.3</f>
        <v>1866.7</v>
      </c>
      <c r="C88" s="42" t="s">
        <v>41</v>
      </c>
      <c r="D88" s="30">
        <f>234.2+2191.1</f>
        <v>2425.2999999999997</v>
      </c>
      <c r="E88" s="30">
        <f>2062.3+183</f>
        <v>2245.3000000000002</v>
      </c>
      <c r="F88" s="30">
        <f>402.4+8700.3</f>
        <v>9102.6999999999989</v>
      </c>
      <c r="G88" s="42">
        <f>4478.5+472.4+7257.2+614.1</f>
        <v>12822.199999999999</v>
      </c>
      <c r="H88" s="30">
        <f>533+880.8</f>
        <v>1413.8</v>
      </c>
      <c r="I88" s="30">
        <f t="shared" si="26"/>
        <v>29875.999999999996</v>
      </c>
    </row>
    <row r="89" spans="1:9" hidden="1" x14ac:dyDescent="0.2">
      <c r="A89" s="28" t="s">
        <v>66</v>
      </c>
      <c r="B89" s="30">
        <f>56.6+836.5</f>
        <v>893.1</v>
      </c>
      <c r="C89" s="42" t="s">
        <v>41</v>
      </c>
      <c r="D89" s="30">
        <f>234.2+1844.2</f>
        <v>2078.4</v>
      </c>
      <c r="E89" s="30">
        <f>2006.6+183.9</f>
        <v>2190.5</v>
      </c>
      <c r="F89" s="30">
        <f>402.4+8658.3</f>
        <v>9060.6999999999989</v>
      </c>
      <c r="G89" s="42">
        <f>4482.5+479.6+7393.6+511.1</f>
        <v>12866.800000000001</v>
      </c>
      <c r="H89" s="30">
        <f>667.9+902.1</f>
        <v>1570</v>
      </c>
      <c r="I89" s="30">
        <f t="shared" si="26"/>
        <v>28659.5</v>
      </c>
    </row>
    <row r="90" spans="1:9" hidden="1" x14ac:dyDescent="0.2">
      <c r="A90" s="28"/>
      <c r="B90" s="30"/>
      <c r="C90" s="42"/>
      <c r="D90" s="30"/>
      <c r="E90" s="30"/>
      <c r="F90" s="30"/>
      <c r="G90" s="42"/>
      <c r="H90" s="30"/>
      <c r="I90" s="30"/>
    </row>
    <row r="91" spans="1:9" hidden="1" x14ac:dyDescent="0.2">
      <c r="A91" s="28" t="s">
        <v>52</v>
      </c>
      <c r="B91" s="30">
        <f>3.4+1823</f>
        <v>1826.4</v>
      </c>
      <c r="C91" s="42" t="s">
        <v>41</v>
      </c>
      <c r="D91" s="30">
        <f>70+2278.6</f>
        <v>2348.6</v>
      </c>
      <c r="E91" s="30">
        <f>2101.7+185.1</f>
        <v>2286.7999999999997</v>
      </c>
      <c r="F91" s="30">
        <f>560.4+4546.6</f>
        <v>5107</v>
      </c>
      <c r="G91" s="42">
        <f>4497.3+496.9+7397.3+570.4</f>
        <v>12961.9</v>
      </c>
      <c r="H91" s="30">
        <f>687.7+859.7</f>
        <v>1547.4</v>
      </c>
      <c r="I91" s="30">
        <f t="shared" ref="I91:I96" si="27">SUM(B91:H91)</f>
        <v>26078.1</v>
      </c>
    </row>
    <row r="92" spans="1:9" hidden="1" x14ac:dyDescent="0.2">
      <c r="A92" s="28" t="s">
        <v>68</v>
      </c>
      <c r="B92" s="30">
        <f>475.1</f>
        <v>475.1</v>
      </c>
      <c r="C92" s="42" t="s">
        <v>41</v>
      </c>
      <c r="D92" s="30">
        <f>70+2347.6</f>
        <v>2417.6</v>
      </c>
      <c r="E92" s="30">
        <f>2106.8+185.4</f>
        <v>2292.2000000000003</v>
      </c>
      <c r="F92" s="30">
        <f>560.4+4546.6</f>
        <v>5107</v>
      </c>
      <c r="G92" s="42">
        <f>4514+526.2+7309.3+690.9</f>
        <v>13040.4</v>
      </c>
      <c r="H92" s="30">
        <f>689.9+848.1</f>
        <v>1538</v>
      </c>
      <c r="I92" s="30">
        <f t="shared" si="27"/>
        <v>24870.3</v>
      </c>
    </row>
    <row r="93" spans="1:9" hidden="1" x14ac:dyDescent="0.2">
      <c r="A93" s="28" t="s">
        <v>53</v>
      </c>
      <c r="B93" s="30">
        <f>0.4+0.3</f>
        <v>0.7</v>
      </c>
      <c r="C93" s="42">
        <v>0</v>
      </c>
      <c r="D93" s="30">
        <f>70+2365.7</f>
        <v>2435.6999999999998</v>
      </c>
      <c r="E93" s="30">
        <f>2228.1+196.3</f>
        <v>2424.4</v>
      </c>
      <c r="F93" s="30">
        <f>560.4+4482</f>
        <v>5042.3999999999996</v>
      </c>
      <c r="G93" s="42">
        <f>4723.8+132+7831.1+208.9</f>
        <v>12895.800000000001</v>
      </c>
      <c r="H93" s="30">
        <f>856.8+854.4</f>
        <v>1711.1999999999998</v>
      </c>
      <c r="I93" s="30">
        <f t="shared" si="27"/>
        <v>24510.2</v>
      </c>
    </row>
    <row r="94" spans="1:9" hidden="1" x14ac:dyDescent="0.2">
      <c r="A94" s="28" t="s">
        <v>45</v>
      </c>
      <c r="B94" s="30">
        <v>0</v>
      </c>
      <c r="C94" s="42">
        <v>0</v>
      </c>
      <c r="D94" s="30">
        <f>70+2350.4</f>
        <v>2420.4</v>
      </c>
      <c r="E94" s="30">
        <f>2219.3+198.8</f>
        <v>2418.1000000000004</v>
      </c>
      <c r="F94" s="30">
        <f>553.6+4482</f>
        <v>5035.6000000000004</v>
      </c>
      <c r="G94" s="42">
        <f>4721.1+178.4+7826.3+149.4</f>
        <v>12875.199999999999</v>
      </c>
      <c r="H94" s="30">
        <f>606.9+1859.8</f>
        <v>2466.6999999999998</v>
      </c>
      <c r="I94" s="30">
        <f t="shared" si="27"/>
        <v>25216</v>
      </c>
    </row>
    <row r="95" spans="1:9" hidden="1" x14ac:dyDescent="0.2">
      <c r="A95" s="28" t="s">
        <v>70</v>
      </c>
      <c r="B95" s="30">
        <f>0.4+0.3</f>
        <v>0.7</v>
      </c>
      <c r="C95" s="42">
        <v>0</v>
      </c>
      <c r="D95" s="30">
        <f>70+2365.7</f>
        <v>2435.6999999999998</v>
      </c>
      <c r="E95" s="30">
        <f>2228.1+196.3</f>
        <v>2424.4</v>
      </c>
      <c r="F95" s="30">
        <f>560.4+4482</f>
        <v>5042.3999999999996</v>
      </c>
      <c r="G95" s="42">
        <f>4723.8+132+7831.1+208.9</f>
        <v>12895.800000000001</v>
      </c>
      <c r="H95" s="30">
        <f>856.8+854.4</f>
        <v>1711.1999999999998</v>
      </c>
      <c r="I95" s="30">
        <f>SUM(B95:H95)</f>
        <v>24510.2</v>
      </c>
    </row>
    <row r="96" spans="1:9" hidden="1" x14ac:dyDescent="0.2">
      <c r="A96" s="28" t="s">
        <v>71</v>
      </c>
      <c r="B96" s="30" t="s">
        <v>41</v>
      </c>
      <c r="C96" s="30" t="s">
        <v>41</v>
      </c>
      <c r="D96" s="30">
        <f>170+2818.5</f>
        <v>2988.5</v>
      </c>
      <c r="E96" s="30">
        <f>1979.4+196.4</f>
        <v>2175.8000000000002</v>
      </c>
      <c r="F96" s="30">
        <f>553.6+2448</f>
        <v>3001.6</v>
      </c>
      <c r="G96" s="42">
        <f>4672.5+333.1+7442.6+463.6</f>
        <v>12911.800000000001</v>
      </c>
      <c r="H96" s="30">
        <f>590.2+694.8</f>
        <v>1285</v>
      </c>
      <c r="I96" s="30">
        <f t="shared" si="27"/>
        <v>22362.7</v>
      </c>
    </row>
    <row r="97" spans="1:9" hidden="1" x14ac:dyDescent="0.2">
      <c r="A97" s="28" t="s">
        <v>72</v>
      </c>
      <c r="B97" s="30" t="s">
        <v>41</v>
      </c>
      <c r="C97" s="30" t="s">
        <v>41</v>
      </c>
      <c r="D97" s="30">
        <f>328+2859.9</f>
        <v>3187.9</v>
      </c>
      <c r="E97" s="30">
        <f>1665.3+196.2</f>
        <v>1861.5</v>
      </c>
      <c r="F97" s="30">
        <f>395.6+2448</f>
        <v>2843.6</v>
      </c>
      <c r="G97" s="42">
        <f>4690.3+391+7398.5+534.8</f>
        <v>13014.599999999999</v>
      </c>
      <c r="H97" s="30">
        <f>709.2+1126.4</f>
        <v>1835.6000000000001</v>
      </c>
      <c r="I97" s="30">
        <f t="shared" ref="I97:I102" si="28">SUM(B97:H97)</f>
        <v>22743.199999999997</v>
      </c>
    </row>
    <row r="98" spans="1:9" hidden="1" x14ac:dyDescent="0.2">
      <c r="A98" s="28" t="s">
        <v>73</v>
      </c>
      <c r="B98" s="30" t="s">
        <v>41</v>
      </c>
      <c r="C98" s="30" t="s">
        <v>41</v>
      </c>
      <c r="D98" s="30">
        <f>428+2774.2</f>
        <v>3202.2</v>
      </c>
      <c r="E98" s="30">
        <f>1638.6+196.2</f>
        <v>1834.8</v>
      </c>
      <c r="F98" s="30">
        <f>395.6+2448</f>
        <v>2843.6</v>
      </c>
      <c r="G98" s="42">
        <f>4690.9+426.3+7401+616.2</f>
        <v>13134.400000000001</v>
      </c>
      <c r="H98" s="30">
        <f>808.4+1143.3</f>
        <v>1951.6999999999998</v>
      </c>
      <c r="I98" s="30">
        <f t="shared" si="28"/>
        <v>22966.7</v>
      </c>
    </row>
    <row r="99" spans="1:9" hidden="1" x14ac:dyDescent="0.2">
      <c r="A99" s="28" t="s">
        <v>74</v>
      </c>
      <c r="B99" s="30" t="s">
        <v>41</v>
      </c>
      <c r="C99" s="30" t="s">
        <v>41</v>
      </c>
      <c r="D99" s="30">
        <f>428+2694.7</f>
        <v>3122.7</v>
      </c>
      <c r="E99" s="30">
        <f>1654+196.6</f>
        <v>1850.6</v>
      </c>
      <c r="F99" s="30">
        <f>395.6+2745.4</f>
        <v>3141</v>
      </c>
      <c r="G99" s="42">
        <f>4669.8+499.4+7363.9+714.3</f>
        <v>13247.399999999998</v>
      </c>
      <c r="H99" s="30">
        <f>802.6+785.1</f>
        <v>1587.7</v>
      </c>
      <c r="I99" s="30">
        <f t="shared" si="28"/>
        <v>22949.399999999998</v>
      </c>
    </row>
    <row r="100" spans="1:9" hidden="1" x14ac:dyDescent="0.2">
      <c r="A100" s="28" t="s">
        <v>75</v>
      </c>
      <c r="B100" s="30" t="s">
        <v>41</v>
      </c>
      <c r="C100" s="30" t="s">
        <v>41</v>
      </c>
      <c r="D100" s="30">
        <f>433.9+2583.5</f>
        <v>3017.4</v>
      </c>
      <c r="E100" s="30">
        <f>1705+196.2</f>
        <v>1901.2</v>
      </c>
      <c r="F100" s="30">
        <f>395.6+2745.4</f>
        <v>3141</v>
      </c>
      <c r="G100" s="42">
        <f>4669.5+543.5+7476.8+757.6</f>
        <v>13447.4</v>
      </c>
      <c r="H100" s="30">
        <f>787.5+933.2</f>
        <v>1720.7</v>
      </c>
      <c r="I100" s="30">
        <f t="shared" si="28"/>
        <v>23227.7</v>
      </c>
    </row>
    <row r="101" spans="1:9" hidden="1" x14ac:dyDescent="0.2">
      <c r="A101" s="28" t="s">
        <v>76</v>
      </c>
      <c r="B101" s="30" t="s">
        <v>41</v>
      </c>
      <c r="C101" s="30" t="s">
        <v>41</v>
      </c>
      <c r="D101" s="30">
        <f>434.9+2609</f>
        <v>3043.9</v>
      </c>
      <c r="E101" s="30">
        <f>1780.1+195.9</f>
        <v>1976</v>
      </c>
      <c r="F101" s="30">
        <f>395.6+2459.9</f>
        <v>2855.5</v>
      </c>
      <c r="G101" s="42">
        <f>4683.6+589.1+7461.5+809.3</f>
        <v>13543.5</v>
      </c>
      <c r="H101" s="30">
        <f>837.6+1584.8</f>
        <v>2422.4</v>
      </c>
      <c r="I101" s="30">
        <f t="shared" si="28"/>
        <v>23841.300000000003</v>
      </c>
    </row>
    <row r="102" spans="1:9" hidden="1" x14ac:dyDescent="0.2">
      <c r="A102" s="28" t="s">
        <v>87</v>
      </c>
      <c r="B102" s="30" t="s">
        <v>41</v>
      </c>
      <c r="C102" s="30" t="s">
        <v>41</v>
      </c>
      <c r="D102" s="30">
        <f>757.1+2626.8</f>
        <v>3383.9</v>
      </c>
      <c r="E102" s="30">
        <f>1512.5+255</f>
        <v>1767.5</v>
      </c>
      <c r="F102" s="30">
        <f>395.6+2358.9</f>
        <v>2754.5</v>
      </c>
      <c r="G102" s="42">
        <f>4680.3+577.4+7462.3+780.7</f>
        <v>13500.7</v>
      </c>
      <c r="H102" s="30">
        <f>740.8+1156.7</f>
        <v>1897.5</v>
      </c>
      <c r="I102" s="30">
        <f t="shared" si="28"/>
        <v>23304.1</v>
      </c>
    </row>
    <row r="103" spans="1:9" hidden="1" x14ac:dyDescent="0.2">
      <c r="A103" s="28"/>
      <c r="B103" s="30"/>
      <c r="C103" s="30"/>
      <c r="D103" s="30"/>
      <c r="E103" s="30"/>
      <c r="F103" s="30"/>
      <c r="G103" s="42"/>
      <c r="H103" s="30"/>
      <c r="I103" s="30"/>
    </row>
    <row r="104" spans="1:9" hidden="1" x14ac:dyDescent="0.2">
      <c r="A104" s="28"/>
      <c r="B104" s="30"/>
      <c r="C104" s="30"/>
      <c r="D104" s="30"/>
      <c r="E104" s="30"/>
      <c r="F104" s="30"/>
      <c r="G104" s="42"/>
      <c r="H104" s="30"/>
      <c r="I104" s="30"/>
    </row>
    <row r="105" spans="1:9" hidden="1" x14ac:dyDescent="0.2">
      <c r="A105" s="28" t="s">
        <v>54</v>
      </c>
      <c r="B105" s="30" t="s">
        <v>41</v>
      </c>
      <c r="C105" s="30" t="s">
        <v>41</v>
      </c>
      <c r="D105" s="30">
        <f>407.1+2648.5</f>
        <v>3055.6</v>
      </c>
      <c r="E105" s="30">
        <f>1554.1+707.5</f>
        <v>2261.6</v>
      </c>
      <c r="F105" s="30">
        <f>395.6+2358.9</f>
        <v>2754.5</v>
      </c>
      <c r="G105" s="42">
        <f>4715+562.4+7012.2+818.4</f>
        <v>13107.999999999998</v>
      </c>
      <c r="H105" s="30">
        <f>790.9+925.5</f>
        <v>1716.4</v>
      </c>
      <c r="I105" s="30">
        <f t="shared" ref="I105:I110" si="29">SUM(B105:H105)</f>
        <v>22896.1</v>
      </c>
    </row>
    <row r="106" spans="1:9" hidden="1" x14ac:dyDescent="0.2">
      <c r="A106" s="28" t="s">
        <v>78</v>
      </c>
      <c r="B106" s="30" t="s">
        <v>41</v>
      </c>
      <c r="C106" s="30" t="s">
        <v>41</v>
      </c>
      <c r="D106" s="30">
        <f>907.1+2674.4</f>
        <v>3581.5</v>
      </c>
      <c r="E106" s="30">
        <f>1574+704.5</f>
        <v>2278.5</v>
      </c>
      <c r="F106" s="30">
        <f>395.6+2358.9</f>
        <v>2754.5</v>
      </c>
      <c r="G106" s="42">
        <f>4757.4+598.5+7009.1+863.5</f>
        <v>13228.5</v>
      </c>
      <c r="H106" s="30">
        <f>773.4+882.7</f>
        <v>1656.1</v>
      </c>
      <c r="I106" s="30">
        <f t="shared" si="29"/>
        <v>23499.1</v>
      </c>
    </row>
    <row r="107" spans="1:9" hidden="1" x14ac:dyDescent="0.2">
      <c r="A107" s="28" t="s">
        <v>57</v>
      </c>
      <c r="B107" s="30" t="s">
        <v>41</v>
      </c>
      <c r="C107" s="30" t="s">
        <v>41</v>
      </c>
      <c r="D107" s="30">
        <f>907.1+2700</f>
        <v>3607.1</v>
      </c>
      <c r="E107" s="30">
        <f>1589.1+704.7</f>
        <v>2293.8000000000002</v>
      </c>
      <c r="F107" s="30">
        <f>395.6+2437.8</f>
        <v>2833.4</v>
      </c>
      <c r="G107" s="42">
        <f>5025.3+100.3+7014.1+916.1</f>
        <v>13055.800000000001</v>
      </c>
      <c r="H107" s="30">
        <f>950.7+983.4</f>
        <v>1934.1</v>
      </c>
      <c r="I107" s="30">
        <f t="shared" si="29"/>
        <v>23724.199999999997</v>
      </c>
    </row>
    <row r="108" spans="1:9" hidden="1" x14ac:dyDescent="0.2">
      <c r="A108" s="28" t="s">
        <v>80</v>
      </c>
      <c r="B108" s="30" t="s">
        <v>41</v>
      </c>
      <c r="C108" s="30" t="s">
        <v>41</v>
      </c>
      <c r="D108" s="30">
        <f>907.2+2678.2</f>
        <v>3585.3999999999996</v>
      </c>
      <c r="E108" s="30">
        <f>1668.1+704.6</f>
        <v>2372.6999999999998</v>
      </c>
      <c r="F108" s="30">
        <f>395.6+2437.8</f>
        <v>2833.4</v>
      </c>
      <c r="G108" s="42">
        <f>5060.7+159.8+7803+80.4</f>
        <v>13103.9</v>
      </c>
      <c r="H108" s="30">
        <f>921.4+1000.4</f>
        <v>1921.8</v>
      </c>
      <c r="I108" s="30">
        <f t="shared" si="29"/>
        <v>23817.200000000001</v>
      </c>
    </row>
    <row r="109" spans="1:9" hidden="1" x14ac:dyDescent="0.2">
      <c r="A109" s="28" t="s">
        <v>81</v>
      </c>
      <c r="B109" s="30">
        <v>300</v>
      </c>
      <c r="C109" s="30" t="s">
        <v>41</v>
      </c>
      <c r="D109" s="30">
        <f>707.2+2691.2</f>
        <v>3398.3999999999996</v>
      </c>
      <c r="E109" s="30">
        <f>1692.9+703.8</f>
        <v>2396.6999999999998</v>
      </c>
      <c r="F109" s="30">
        <f>395.6+2507.4</f>
        <v>2903</v>
      </c>
      <c r="G109" s="42">
        <f>5051.4+212.7+7832.6+91.8</f>
        <v>13188.5</v>
      </c>
      <c r="H109" s="30">
        <f>830.4+1024</f>
        <v>1854.4</v>
      </c>
      <c r="I109" s="30">
        <f t="shared" si="29"/>
        <v>24041</v>
      </c>
    </row>
    <row r="110" spans="1:9" hidden="1" x14ac:dyDescent="0.2">
      <c r="A110" s="28" t="s">
        <v>82</v>
      </c>
      <c r="B110" s="30" t="s">
        <v>41</v>
      </c>
      <c r="C110" s="30" t="s">
        <v>41</v>
      </c>
      <c r="D110" s="30">
        <f>1207.2+2747.8</f>
        <v>3955</v>
      </c>
      <c r="E110" s="30">
        <f>1808.1+703.9</f>
        <v>2512</v>
      </c>
      <c r="F110" s="30">
        <f>395.6+2507.4</f>
        <v>2903</v>
      </c>
      <c r="G110" s="42">
        <f>5064.2+220+7863.2+128.8</f>
        <v>13276.199999999999</v>
      </c>
      <c r="H110" s="30">
        <f>888+1113</f>
        <v>2001</v>
      </c>
      <c r="I110" s="30">
        <f t="shared" si="29"/>
        <v>24647.199999999997</v>
      </c>
    </row>
    <row r="111" spans="1:9" hidden="1" x14ac:dyDescent="0.2">
      <c r="A111" s="28" t="s">
        <v>83</v>
      </c>
      <c r="B111" s="30" t="s">
        <v>41</v>
      </c>
      <c r="C111" s="30" t="s">
        <v>41</v>
      </c>
      <c r="D111" s="30">
        <f>1307.2+2785.7</f>
        <v>4092.8999999999996</v>
      </c>
      <c r="E111" s="30">
        <f>1949.4+705.4</f>
        <v>2654.8</v>
      </c>
      <c r="F111" s="30">
        <f>395.6+2507.4</f>
        <v>2903</v>
      </c>
      <c r="G111" s="42">
        <f>5086+245.3+7873+195.3</f>
        <v>13399.599999999999</v>
      </c>
      <c r="H111" s="30">
        <f>926.3+1379.9</f>
        <v>2306.1999999999998</v>
      </c>
      <c r="I111" s="30">
        <f t="shared" ref="I111:I116" si="30">SUM(B111:H111)</f>
        <v>25356.5</v>
      </c>
    </row>
    <row r="112" spans="1:9" hidden="1" x14ac:dyDescent="0.2">
      <c r="A112" s="28" t="s">
        <v>84</v>
      </c>
      <c r="B112" s="30" t="s">
        <v>41</v>
      </c>
      <c r="C112" s="30" t="s">
        <v>41</v>
      </c>
      <c r="D112" s="30">
        <f>1007.2+2798.8</f>
        <v>3806</v>
      </c>
      <c r="E112" s="30">
        <f>1963.9+703.2</f>
        <v>2667.1000000000004</v>
      </c>
      <c r="F112" s="30">
        <f>395.6+2507.4</f>
        <v>2903</v>
      </c>
      <c r="G112" s="42">
        <f>5082.8+280.6+7939.7+217</f>
        <v>13520.1</v>
      </c>
      <c r="H112" s="30">
        <f>942.8+1302.5</f>
        <v>2245.3000000000002</v>
      </c>
      <c r="I112" s="30">
        <f t="shared" si="30"/>
        <v>25141.5</v>
      </c>
    </row>
    <row r="113" spans="1:9" hidden="1" x14ac:dyDescent="0.2">
      <c r="A113" s="28" t="s">
        <v>85</v>
      </c>
      <c r="B113" s="30" t="s">
        <v>41</v>
      </c>
      <c r="C113" s="30" t="s">
        <v>41</v>
      </c>
      <c r="D113" s="30">
        <f>982.2+2840.8</f>
        <v>3823</v>
      </c>
      <c r="E113" s="30">
        <f>2587.1+703.8</f>
        <v>3290.8999999999996</v>
      </c>
      <c r="F113" s="30">
        <f>395.6+2600.2</f>
        <v>2995.7999999999997</v>
      </c>
      <c r="G113" s="42">
        <f>5090.4+334.5+7929.4+289.4</f>
        <v>13643.699999999999</v>
      </c>
      <c r="H113" s="30">
        <f>924.7+1179.3</f>
        <v>2104</v>
      </c>
      <c r="I113" s="30">
        <f t="shared" si="30"/>
        <v>25857.399999999998</v>
      </c>
    </row>
    <row r="114" spans="1:9" hidden="1" x14ac:dyDescent="0.2">
      <c r="A114" s="28" t="s">
        <v>86</v>
      </c>
      <c r="B114" s="30" t="s">
        <v>41</v>
      </c>
      <c r="C114" s="30" t="s">
        <v>41</v>
      </c>
      <c r="D114" s="30">
        <f>1282.2+2892.5</f>
        <v>4174.7</v>
      </c>
      <c r="E114" s="30">
        <f>2470.2+703.4</f>
        <v>3173.6</v>
      </c>
      <c r="F114" s="30">
        <f>395.6+2600.2</f>
        <v>2995.7999999999997</v>
      </c>
      <c r="G114" s="42">
        <f>5086.6+396.7+7922.7+381.9</f>
        <v>13787.9</v>
      </c>
      <c r="H114" s="30">
        <f>918.7+1164.1</f>
        <v>2082.8000000000002</v>
      </c>
      <c r="I114" s="30">
        <f t="shared" si="30"/>
        <v>26214.799999999999</v>
      </c>
    </row>
    <row r="115" spans="1:9" hidden="1" x14ac:dyDescent="0.2">
      <c r="A115" s="28" t="s">
        <v>88</v>
      </c>
      <c r="B115" s="30" t="s">
        <v>41</v>
      </c>
      <c r="C115" s="30" t="s">
        <v>41</v>
      </c>
      <c r="D115" s="30">
        <f>1532.2+2950</f>
        <v>4482.2</v>
      </c>
      <c r="E115" s="30">
        <f>2715.4+703.7</f>
        <v>3419.1000000000004</v>
      </c>
      <c r="F115" s="30">
        <f>395.6+2600.2</f>
        <v>2995.7999999999997</v>
      </c>
      <c r="G115" s="42">
        <f>4991.9+553.6+7890.1+484.1</f>
        <v>13919.7</v>
      </c>
      <c r="H115" s="30">
        <f>1046.7+1115.3</f>
        <v>2162</v>
      </c>
      <c r="I115" s="30">
        <f t="shared" si="30"/>
        <v>26978.800000000003</v>
      </c>
    </row>
    <row r="116" spans="1:9" hidden="1" x14ac:dyDescent="0.2">
      <c r="A116" s="28" t="s">
        <v>89</v>
      </c>
      <c r="B116" s="30" t="s">
        <v>41</v>
      </c>
      <c r="C116" s="30" t="s">
        <v>41</v>
      </c>
      <c r="D116" s="30">
        <f>1347.8+2926.4</f>
        <v>4274.2</v>
      </c>
      <c r="E116" s="30">
        <f>2772.5+727.6</f>
        <v>3500.1</v>
      </c>
      <c r="F116" s="30">
        <f>388.7+2667.3</f>
        <v>3056</v>
      </c>
      <c r="G116" s="42">
        <f>4950.3+566.4+7951.2+352</f>
        <v>13819.9</v>
      </c>
      <c r="H116" s="30">
        <f>994.2+1271</f>
        <v>2265.1999999999998</v>
      </c>
      <c r="I116" s="30">
        <f t="shared" si="30"/>
        <v>26915.399999999998</v>
      </c>
    </row>
    <row r="117" spans="1:9" hidden="1" x14ac:dyDescent="0.2">
      <c r="A117" s="28"/>
      <c r="B117" s="30"/>
      <c r="C117" s="30"/>
      <c r="D117" s="30"/>
      <c r="E117" s="30"/>
      <c r="F117" s="30"/>
      <c r="G117" s="42"/>
      <c r="H117" s="30"/>
      <c r="I117" s="30"/>
    </row>
    <row r="118" spans="1:9" hidden="1" x14ac:dyDescent="0.2">
      <c r="A118" s="28" t="s">
        <v>103</v>
      </c>
      <c r="B118" s="30">
        <v>114.3</v>
      </c>
      <c r="C118" s="30" t="s">
        <v>41</v>
      </c>
      <c r="D118" s="30">
        <f>2999.9+8843.5</f>
        <v>11843.4</v>
      </c>
      <c r="E118" s="30">
        <f>9018+777.9</f>
        <v>9795.9</v>
      </c>
      <c r="F118" s="30">
        <f>367.7+1302.9</f>
        <v>1670.6000000000001</v>
      </c>
      <c r="G118" s="42">
        <f>7903+194.2+10210.4-147.7</f>
        <v>18159.899999999998</v>
      </c>
      <c r="H118" s="30">
        <f>1395.5+1793.9</f>
        <v>3189.4</v>
      </c>
      <c r="I118" s="30">
        <f>SUM(B118:H118)</f>
        <v>44773.499999999993</v>
      </c>
    </row>
    <row r="119" spans="1:9" hidden="1" x14ac:dyDescent="0.2">
      <c r="A119" s="28" t="s">
        <v>67</v>
      </c>
      <c r="B119" s="30">
        <v>350</v>
      </c>
      <c r="C119" s="30" t="s">
        <v>41</v>
      </c>
      <c r="D119" s="30">
        <v>4368.1000000000004</v>
      </c>
      <c r="E119" s="30">
        <v>3958.4</v>
      </c>
      <c r="F119" s="30">
        <f>388.7+2667.3</f>
        <v>3056</v>
      </c>
      <c r="G119" s="42">
        <v>13923.2</v>
      </c>
      <c r="H119" s="30">
        <v>2022.1</v>
      </c>
      <c r="I119" s="30">
        <f t="shared" ref="I119:I124" si="31">SUM(B119:H119)</f>
        <v>27677.8</v>
      </c>
    </row>
    <row r="120" spans="1:9" hidden="1" x14ac:dyDescent="0.2">
      <c r="A120" s="28" t="s">
        <v>91</v>
      </c>
      <c r="B120" s="30">
        <v>1350</v>
      </c>
      <c r="C120" s="30" t="s">
        <v>41</v>
      </c>
      <c r="D120" s="30">
        <f>1118.1+3467.6</f>
        <v>4585.7</v>
      </c>
      <c r="E120" s="30">
        <f>2996.1+727.2</f>
        <v>3723.3</v>
      </c>
      <c r="F120" s="30">
        <f>388.7+2667.3</f>
        <v>3056</v>
      </c>
      <c r="G120" s="42">
        <f>5003.7+618.3+7954.3+450.8</f>
        <v>14027.099999999999</v>
      </c>
      <c r="H120" s="30">
        <f>878.9+1348.8</f>
        <v>2227.6999999999998</v>
      </c>
      <c r="I120" s="30">
        <f t="shared" si="31"/>
        <v>28969.8</v>
      </c>
    </row>
    <row r="121" spans="1:9" hidden="1" x14ac:dyDescent="0.2">
      <c r="A121" s="28" t="s">
        <v>69</v>
      </c>
      <c r="B121" s="30">
        <v>400</v>
      </c>
      <c r="C121" s="30" t="s">
        <v>41</v>
      </c>
      <c r="D121" s="30">
        <f>1118.1+4318.6</f>
        <v>5436.7000000000007</v>
      </c>
      <c r="E121" s="30">
        <f>3291+1027.1</f>
        <v>4318.1000000000004</v>
      </c>
      <c r="F121" s="30">
        <f>388.7+2807.8</f>
        <v>3196.5</v>
      </c>
      <c r="G121" s="42">
        <f>5419.5+160.4+7932.3+543.1</f>
        <v>14055.300000000001</v>
      </c>
      <c r="H121" s="30">
        <f>721+1188.5</f>
        <v>1909.5</v>
      </c>
      <c r="I121" s="30">
        <f t="shared" si="31"/>
        <v>29316.100000000002</v>
      </c>
    </row>
    <row r="122" spans="1:9" hidden="1" x14ac:dyDescent="0.2">
      <c r="A122" s="28" t="s">
        <v>93</v>
      </c>
      <c r="B122" s="30">
        <v>300</v>
      </c>
      <c r="C122" s="30" t="s">
        <v>41</v>
      </c>
      <c r="D122" s="30">
        <f>1118.1+4453.4</f>
        <v>5571.5</v>
      </c>
      <c r="E122" s="30">
        <f>3224.4+1026.6</f>
        <v>4251</v>
      </c>
      <c r="F122" s="30">
        <f>388.7+2807.8</f>
        <v>3196.5</v>
      </c>
      <c r="G122" s="42">
        <f>5434.9+209.1+8371.4+199.4</f>
        <v>14214.8</v>
      </c>
      <c r="H122" s="30">
        <f>796.7+1189.8</f>
        <v>1986.5</v>
      </c>
      <c r="I122" s="30">
        <f t="shared" si="31"/>
        <v>29520.3</v>
      </c>
    </row>
    <row r="123" spans="1:9" hidden="1" x14ac:dyDescent="0.2">
      <c r="A123" s="28" t="s">
        <v>94</v>
      </c>
      <c r="B123" s="30" t="s">
        <v>41</v>
      </c>
      <c r="C123" s="30" t="s">
        <v>41</v>
      </c>
      <c r="D123" s="30">
        <v>6010</v>
      </c>
      <c r="E123" s="30">
        <v>4512</v>
      </c>
      <c r="F123" s="30">
        <f>388.7+2807.8</f>
        <v>3196.5</v>
      </c>
      <c r="G123" s="42">
        <v>14281.8</v>
      </c>
      <c r="H123" s="30">
        <v>2297.3000000000002</v>
      </c>
      <c r="I123" s="30">
        <f t="shared" si="31"/>
        <v>30297.599999999999</v>
      </c>
    </row>
    <row r="124" spans="1:9" ht="1.5" hidden="1" customHeight="1" x14ac:dyDescent="0.2">
      <c r="A124" s="28" t="s">
        <v>95</v>
      </c>
      <c r="B124" s="30">
        <v>400</v>
      </c>
      <c r="C124" s="30" t="s">
        <v>41</v>
      </c>
      <c r="D124" s="30">
        <f>842.1+5118.9</f>
        <v>5961</v>
      </c>
      <c r="E124" s="30">
        <f>3550.9+1146.3</f>
        <v>4697.2</v>
      </c>
      <c r="F124" s="30">
        <f>388.7+2960.6</f>
        <v>3349.2999999999997</v>
      </c>
      <c r="G124" s="42">
        <f>5478.4+292.7+8477.5+228</f>
        <v>14476.599999999999</v>
      </c>
      <c r="H124" s="30">
        <f>839.4+1421.7</f>
        <v>2261.1</v>
      </c>
      <c r="I124" s="30">
        <f t="shared" si="31"/>
        <v>31145.199999999997</v>
      </c>
    </row>
    <row r="125" spans="1:9" hidden="1" x14ac:dyDescent="0.2">
      <c r="A125" s="28" t="s">
        <v>96</v>
      </c>
      <c r="B125" s="30">
        <v>0</v>
      </c>
      <c r="C125" s="30" t="s">
        <v>41</v>
      </c>
      <c r="D125" s="30">
        <f>842.2+5784.4</f>
        <v>6626.5999999999995</v>
      </c>
      <c r="E125" s="30">
        <f>3658.7+1149.1</f>
        <v>4807.7999999999993</v>
      </c>
      <c r="F125" s="30">
        <f>388.7+2960.6</f>
        <v>3349.2999999999997</v>
      </c>
      <c r="G125" s="42">
        <f>5494.9+333.5+8498.4+286.1</f>
        <v>14612.9</v>
      </c>
      <c r="H125" s="30">
        <f>844.8+1301.5</f>
        <v>2146.3000000000002</v>
      </c>
      <c r="I125" s="30">
        <f t="shared" ref="I125:I130" si="32">SUM(B125:H125)</f>
        <v>31542.899999999998</v>
      </c>
    </row>
    <row r="126" spans="1:9" hidden="1" x14ac:dyDescent="0.2">
      <c r="A126" s="28" t="s">
        <v>37</v>
      </c>
      <c r="B126" s="30">
        <v>0</v>
      </c>
      <c r="C126" s="30" t="s">
        <v>41</v>
      </c>
      <c r="D126" s="30">
        <f>842.2+6219.8</f>
        <v>7062</v>
      </c>
      <c r="E126" s="30">
        <f>3707.3+1172</f>
        <v>4879.3</v>
      </c>
      <c r="F126" s="30">
        <f>388.7+2960.6</f>
        <v>3349.2999999999997</v>
      </c>
      <c r="G126" s="42">
        <f>5494.9+393.9+8537.5+313.3</f>
        <v>14739.599999999999</v>
      </c>
      <c r="H126" s="30">
        <f>917+1441.1</f>
        <v>2358.1</v>
      </c>
      <c r="I126" s="30">
        <f t="shared" si="32"/>
        <v>32388.299999999996</v>
      </c>
    </row>
    <row r="127" spans="1:9" hidden="1" x14ac:dyDescent="0.2">
      <c r="A127" s="28" t="s">
        <v>97</v>
      </c>
      <c r="B127" s="30">
        <v>50.6</v>
      </c>
      <c r="C127" s="30" t="s">
        <v>41</v>
      </c>
      <c r="D127" s="30">
        <f>841.4+6252.6</f>
        <v>7094</v>
      </c>
      <c r="E127" s="30">
        <f>3816+1150.2</f>
        <v>4966.2</v>
      </c>
      <c r="F127" s="30">
        <f>388.7+3180</f>
        <v>3568.7</v>
      </c>
      <c r="G127" s="42">
        <f>5487.3+456.5+8498.2+410.1</f>
        <v>14852.1</v>
      </c>
      <c r="H127" s="30">
        <f>903+1374.2</f>
        <v>2277.1999999999998</v>
      </c>
      <c r="I127" s="30">
        <f t="shared" si="32"/>
        <v>32808.799999999996</v>
      </c>
    </row>
    <row r="128" spans="1:9" hidden="1" x14ac:dyDescent="0.2">
      <c r="A128" s="28" t="s">
        <v>98</v>
      </c>
      <c r="B128" s="30" t="s">
        <v>41</v>
      </c>
      <c r="C128" s="30" t="s">
        <v>41</v>
      </c>
      <c r="D128" s="30">
        <f>861.8+6389.1</f>
        <v>7250.9000000000005</v>
      </c>
      <c r="E128" s="30">
        <f>3887+1149.1</f>
        <v>5036.1000000000004</v>
      </c>
      <c r="F128" s="30">
        <f>388.7+3180</f>
        <v>3568.7</v>
      </c>
      <c r="G128" s="42">
        <f>5413.9+537.1+8498+459.8</f>
        <v>14908.8</v>
      </c>
      <c r="H128" s="30">
        <f>960+1338.9</f>
        <v>2298.9</v>
      </c>
      <c r="I128" s="30">
        <f t="shared" si="32"/>
        <v>33063.4</v>
      </c>
    </row>
    <row r="129" spans="1:9" hidden="1" x14ac:dyDescent="0.2">
      <c r="A129" s="28" t="s">
        <v>99</v>
      </c>
      <c r="B129" s="30" t="s">
        <v>41</v>
      </c>
      <c r="C129" s="30" t="s">
        <v>41</v>
      </c>
      <c r="D129" s="30">
        <f>861.8+5995.4</f>
        <v>6857.2</v>
      </c>
      <c r="E129" s="30">
        <f>4428.8+1150.1</f>
        <v>5578.9</v>
      </c>
      <c r="F129" s="30">
        <f>388.7+3180</f>
        <v>3568.7</v>
      </c>
      <c r="G129" s="42">
        <f>5420.9+592.8+8512.8+514</f>
        <v>15040.5</v>
      </c>
      <c r="H129" s="30">
        <f>1018.9+1354.1</f>
        <v>2373</v>
      </c>
      <c r="I129" s="30">
        <f t="shared" si="32"/>
        <v>33418.300000000003</v>
      </c>
    </row>
    <row r="130" spans="1:9" hidden="1" x14ac:dyDescent="0.2">
      <c r="A130" s="28" t="s">
        <v>100</v>
      </c>
      <c r="B130" s="30" t="s">
        <v>41</v>
      </c>
      <c r="C130" s="30" t="s">
        <v>41</v>
      </c>
      <c r="D130" s="30">
        <f>861.8+6099.7</f>
        <v>6961.5</v>
      </c>
      <c r="E130" s="30">
        <f>4451.8+608.3</f>
        <v>5060.1000000000004</v>
      </c>
      <c r="F130" s="30">
        <f>381.8+3378</f>
        <v>3759.8</v>
      </c>
      <c r="G130" s="42">
        <f>5424.1+658.4+8430.6+513.6</f>
        <v>15026.7</v>
      </c>
      <c r="H130" s="30">
        <f>1042.2+1304.4</f>
        <v>2346.6000000000004</v>
      </c>
      <c r="I130" s="30">
        <f t="shared" si="32"/>
        <v>33154.700000000004</v>
      </c>
    </row>
    <row r="131" spans="1:9" hidden="1" x14ac:dyDescent="0.2">
      <c r="A131" s="28"/>
      <c r="B131" s="30"/>
      <c r="C131" s="38"/>
      <c r="D131" s="30"/>
      <c r="E131" s="30"/>
      <c r="F131" s="30"/>
      <c r="G131" s="42"/>
      <c r="H131" s="30"/>
      <c r="I131" s="30"/>
    </row>
    <row r="132" spans="1:9" hidden="1" x14ac:dyDescent="0.2">
      <c r="A132" s="28" t="s">
        <v>77</v>
      </c>
      <c r="B132" s="30" t="s">
        <v>41</v>
      </c>
      <c r="C132" s="30" t="s">
        <v>41</v>
      </c>
      <c r="D132" s="30">
        <f>877.5+6007.1</f>
        <v>6884.6</v>
      </c>
      <c r="E132" s="30">
        <f>4747.9+605.4</f>
        <v>5353.2999999999993</v>
      </c>
      <c r="F132" s="30">
        <f>381.8+3378</f>
        <v>3759.8</v>
      </c>
      <c r="G132" s="42">
        <f>5438.9+714.8+8366.7+592.8</f>
        <v>15113.2</v>
      </c>
      <c r="H132" s="30">
        <f>947.4+1185.7</f>
        <v>2133.1</v>
      </c>
      <c r="I132" s="30">
        <f t="shared" ref="I132:I137" si="33">SUM(B132:H132)</f>
        <v>33244</v>
      </c>
    </row>
    <row r="133" spans="1:9" hidden="1" x14ac:dyDescent="0.2">
      <c r="A133" s="28" t="s">
        <v>102</v>
      </c>
      <c r="B133" s="30" t="s">
        <v>41</v>
      </c>
      <c r="C133" s="30" t="s">
        <v>41</v>
      </c>
      <c r="D133" s="30">
        <f>1012.8+6053.8</f>
        <v>7066.6</v>
      </c>
      <c r="E133" s="30">
        <f>4828.9+1321.5</f>
        <v>6150.4</v>
      </c>
      <c r="F133" s="30">
        <f>381.8+3378</f>
        <v>3759.8</v>
      </c>
      <c r="G133" s="42">
        <f>5450.1+755.4+8358+699</f>
        <v>15262.5</v>
      </c>
      <c r="H133" s="30">
        <f>1142.7+1132.5</f>
        <v>2275.1999999999998</v>
      </c>
      <c r="I133" s="30">
        <f t="shared" si="33"/>
        <v>34514.5</v>
      </c>
    </row>
    <row r="134" spans="1:9" hidden="1" x14ac:dyDescent="0.2">
      <c r="A134" s="28" t="s">
        <v>79</v>
      </c>
      <c r="B134" s="30" t="s">
        <v>41</v>
      </c>
      <c r="C134" s="30" t="s">
        <v>41</v>
      </c>
      <c r="D134" s="30">
        <f>903.4+6066.8</f>
        <v>6970.2</v>
      </c>
      <c r="E134" s="30">
        <f>5039.7+1470.8</f>
        <v>6510.5</v>
      </c>
      <c r="F134" s="30">
        <f>381.8+2175.6</f>
        <v>2557.4</v>
      </c>
      <c r="G134" s="42">
        <f>5965.1+208.7+8505.4+625.2</f>
        <v>15304.400000000001</v>
      </c>
      <c r="H134" s="30">
        <f>1004.6+1299.4</f>
        <v>2304</v>
      </c>
      <c r="I134" s="30">
        <f t="shared" si="33"/>
        <v>33646.5</v>
      </c>
    </row>
    <row r="135" spans="1:9" hidden="1" x14ac:dyDescent="0.2">
      <c r="A135" s="28" t="s">
        <v>104</v>
      </c>
      <c r="B135" s="30" t="s">
        <v>41</v>
      </c>
      <c r="C135" s="30" t="s">
        <v>41</v>
      </c>
      <c r="D135" s="30">
        <f>1049.8+6458.1</f>
        <v>7507.9000000000005</v>
      </c>
      <c r="E135" s="30">
        <f>5112.2+1142.7</f>
        <v>6254.9</v>
      </c>
      <c r="F135" s="30">
        <f>381.8+2175.6</f>
        <v>2557.4</v>
      </c>
      <c r="G135" s="42">
        <f>5939+265.2+9020.2+60.2</f>
        <v>15284.600000000002</v>
      </c>
      <c r="H135" s="30">
        <f>1036.6+1278.7</f>
        <v>2315.3000000000002</v>
      </c>
      <c r="I135" s="30">
        <f t="shared" si="33"/>
        <v>33920.100000000006</v>
      </c>
    </row>
    <row r="136" spans="1:9" hidden="1" x14ac:dyDescent="0.2">
      <c r="A136" s="28" t="s">
        <v>105</v>
      </c>
      <c r="B136" s="30" t="s">
        <v>41</v>
      </c>
      <c r="C136" s="30" t="s">
        <v>41</v>
      </c>
      <c r="D136" s="30">
        <f>1053.9+6468.5</f>
        <v>7522.4</v>
      </c>
      <c r="E136" s="30">
        <f>5126.6+1112.7</f>
        <v>6239.3</v>
      </c>
      <c r="F136" s="30">
        <f>381.8+2175.6</f>
        <v>2557.4</v>
      </c>
      <c r="G136" s="42">
        <f>5978.3+330.5+9051.7+63.4</f>
        <v>15423.9</v>
      </c>
      <c r="H136" s="30">
        <f>1079.5+1285.9</f>
        <v>2365.4</v>
      </c>
      <c r="I136" s="30">
        <f t="shared" si="33"/>
        <v>34108.400000000001</v>
      </c>
    </row>
    <row r="137" spans="1:9" hidden="1" x14ac:dyDescent="0.2">
      <c r="A137" s="28" t="s">
        <v>106</v>
      </c>
      <c r="B137" s="30" t="s">
        <v>41</v>
      </c>
      <c r="C137" s="30" t="s">
        <v>41</v>
      </c>
      <c r="D137" s="30">
        <v>7739.8</v>
      </c>
      <c r="E137" s="30">
        <v>6537.9</v>
      </c>
      <c r="F137" s="30">
        <v>2576.5</v>
      </c>
      <c r="G137" s="42">
        <v>15817</v>
      </c>
      <c r="H137" s="30">
        <v>2630.6</v>
      </c>
      <c r="I137" s="30">
        <f t="shared" si="33"/>
        <v>35301.800000000003</v>
      </c>
    </row>
    <row r="138" spans="1:9" hidden="1" x14ac:dyDescent="0.2">
      <c r="A138" s="28" t="s">
        <v>107</v>
      </c>
      <c r="B138" s="30" t="s">
        <v>41</v>
      </c>
      <c r="C138" s="30" t="s">
        <v>41</v>
      </c>
      <c r="D138" s="30">
        <f>1154.2+6860.5</f>
        <v>8014.7</v>
      </c>
      <c r="E138" s="30">
        <f>5678.8+1050.6</f>
        <v>6729.4</v>
      </c>
      <c r="F138" s="30">
        <f>381.8+2194.7</f>
        <v>2576.5</v>
      </c>
      <c r="G138" s="42">
        <f>6193.2+472+8853.6+545.1</f>
        <v>16063.9</v>
      </c>
      <c r="H138" s="30">
        <f>1286.4+1265.5</f>
        <v>2551.9</v>
      </c>
      <c r="I138" s="30">
        <f t="shared" ref="I138:I143" si="34">SUM(B138:H138)</f>
        <v>35936.400000000001</v>
      </c>
    </row>
    <row r="139" spans="1:9" hidden="1" x14ac:dyDescent="0.2">
      <c r="A139" s="28" t="s">
        <v>108</v>
      </c>
      <c r="B139" s="30" t="s">
        <v>41</v>
      </c>
      <c r="C139" s="30" t="s">
        <v>41</v>
      </c>
      <c r="D139" s="30">
        <f>1148.4+6956.4</f>
        <v>8104.7999999999993</v>
      </c>
      <c r="E139" s="30">
        <f>5796.2+1048.9</f>
        <v>6845.1</v>
      </c>
      <c r="F139" s="30">
        <f>381.8+2194.7</f>
        <v>2576.5</v>
      </c>
      <c r="G139" s="42">
        <f>6249.4+522.8+8903.2+596.7</f>
        <v>16272.100000000002</v>
      </c>
      <c r="H139" s="30">
        <f>1235+1472.6</f>
        <v>2707.6</v>
      </c>
      <c r="I139" s="30">
        <f t="shared" si="34"/>
        <v>36506.1</v>
      </c>
    </row>
    <row r="140" spans="1:9" hidden="1" x14ac:dyDescent="0.2">
      <c r="A140" s="28" t="s">
        <v>109</v>
      </c>
      <c r="B140" s="30" t="s">
        <v>41</v>
      </c>
      <c r="C140" s="30" t="s">
        <v>41</v>
      </c>
      <c r="D140" s="30">
        <f>1082.5+7012.3</f>
        <v>8094.8</v>
      </c>
      <c r="E140" s="30">
        <f>5915.5+996.9</f>
        <v>6912.4</v>
      </c>
      <c r="F140" s="30">
        <f>381.8+2000.5</f>
        <v>2382.3000000000002</v>
      </c>
      <c r="G140" s="42">
        <f>6352.4+593.3+8920.8+699.2</f>
        <v>16565.7</v>
      </c>
      <c r="H140" s="30">
        <f>1285.3+1532.7</f>
        <v>2818</v>
      </c>
      <c r="I140" s="30">
        <f t="shared" si="34"/>
        <v>36773.199999999997</v>
      </c>
    </row>
    <row r="141" spans="1:9" hidden="1" x14ac:dyDescent="0.2">
      <c r="A141" s="28" t="s">
        <v>110</v>
      </c>
      <c r="B141" s="30" t="s">
        <v>41</v>
      </c>
      <c r="C141" s="30" t="s">
        <v>41</v>
      </c>
      <c r="D141" s="30">
        <f>1182.5+7024.7</f>
        <v>8207.2000000000007</v>
      </c>
      <c r="E141" s="30">
        <f>5912.7+984.5</f>
        <v>6897.2</v>
      </c>
      <c r="F141" s="30">
        <f>381.8+1808.2</f>
        <v>2190</v>
      </c>
      <c r="G141" s="42">
        <f>6350.8+686.3+8975+720.3</f>
        <v>16732.400000000001</v>
      </c>
      <c r="H141" s="30">
        <f>1274.3+1567.7</f>
        <v>2842</v>
      </c>
      <c r="I141" s="30">
        <f t="shared" si="34"/>
        <v>36868.800000000003</v>
      </c>
    </row>
    <row r="142" spans="1:9" hidden="1" x14ac:dyDescent="0.2">
      <c r="A142" s="28" t="s">
        <v>111</v>
      </c>
      <c r="B142" s="30" t="s">
        <v>41</v>
      </c>
      <c r="C142" s="30" t="s">
        <v>41</v>
      </c>
      <c r="D142" s="30">
        <f>1179.2+7068.5</f>
        <v>8247.7000000000007</v>
      </c>
      <c r="E142" s="30">
        <f>5873.6+984.4</f>
        <v>6858</v>
      </c>
      <c r="F142" s="30">
        <f>381.8+1518.2</f>
        <v>1900</v>
      </c>
      <c r="G142" s="42">
        <f>6330.7+784.1+8973.9+802.3</f>
        <v>16891</v>
      </c>
      <c r="H142" s="30">
        <f>1290+1399</f>
        <v>2689</v>
      </c>
      <c r="I142" s="30">
        <f t="shared" si="34"/>
        <v>36585.699999999997</v>
      </c>
    </row>
    <row r="143" spans="1:9" hidden="1" x14ac:dyDescent="0.2">
      <c r="A143" s="28" t="s">
        <v>112</v>
      </c>
      <c r="B143" s="30" t="s">
        <v>41</v>
      </c>
      <c r="C143" s="30" t="s">
        <v>41</v>
      </c>
      <c r="D143" s="30">
        <f>1178.8+7166.2</f>
        <v>8345</v>
      </c>
      <c r="E143" s="30">
        <f>6019.6+1179.9</f>
        <v>7199.5</v>
      </c>
      <c r="F143" s="30">
        <f>374.8+1699</f>
        <v>2073.8000000000002</v>
      </c>
      <c r="G143" s="42">
        <f>6306.3+765+8934.3+787</f>
        <v>16792.599999999999</v>
      </c>
      <c r="H143" s="30">
        <f>1429.9+1336.7</f>
        <v>2766.6000000000004</v>
      </c>
      <c r="I143" s="30">
        <f t="shared" si="34"/>
        <v>37177.499999999993</v>
      </c>
    </row>
    <row r="144" spans="1:9" x14ac:dyDescent="0.2">
      <c r="A144" s="46" t="s">
        <v>160</v>
      </c>
      <c r="B144" s="47">
        <v>2020.3</v>
      </c>
      <c r="C144" s="48"/>
      <c r="D144" s="47">
        <f>7908.9+18412.6</f>
        <v>26321.5</v>
      </c>
      <c r="E144" s="47">
        <f>29606.9+11542.5</f>
        <v>41149.4</v>
      </c>
      <c r="F144" s="47">
        <v>331.2</v>
      </c>
      <c r="G144" s="27">
        <f>26477.6+1257.7+25049.5+1138.2</f>
        <v>53923</v>
      </c>
      <c r="H144" s="47">
        <f>3807.6+1565.2+4518.7+626.8</f>
        <v>10518.3</v>
      </c>
      <c r="I144" s="47">
        <f t="shared" ref="I144" si="35">SUM(B144:H144)</f>
        <v>134263.69999999998</v>
      </c>
    </row>
    <row r="145" spans="1:12" x14ac:dyDescent="0.2">
      <c r="A145" s="46" t="s">
        <v>161</v>
      </c>
      <c r="B145" s="47">
        <f>2020.6</f>
        <v>2020.6</v>
      </c>
      <c r="C145" s="48"/>
      <c r="D145" s="47">
        <f>8333.5+4147.5</f>
        <v>12481</v>
      </c>
      <c r="E145" s="47">
        <f>43825.5+11571.1</f>
        <v>55396.6</v>
      </c>
      <c r="F145" s="47">
        <v>331.2</v>
      </c>
      <c r="G145" s="27">
        <f>27344.4+1883.3+26602.1+595.6</f>
        <v>56425.4</v>
      </c>
      <c r="H145" s="47">
        <f>1589.1+3272.6+4519.3+2170</f>
        <v>11551</v>
      </c>
      <c r="I145" s="47">
        <f t="shared" ref="I145" si="36">SUM(B145:H145)</f>
        <v>138205.79999999999</v>
      </c>
    </row>
    <row r="146" spans="1:12" x14ac:dyDescent="0.2">
      <c r="A146" s="28"/>
      <c r="B146" s="30"/>
      <c r="C146" s="38"/>
      <c r="D146" s="30"/>
      <c r="E146" s="30"/>
      <c r="F146" s="30"/>
      <c r="G146" s="42"/>
      <c r="H146" s="30"/>
      <c r="I146" s="30"/>
    </row>
    <row r="147" spans="1:12" hidden="1" x14ac:dyDescent="0.2">
      <c r="A147" s="28"/>
      <c r="B147" s="30"/>
      <c r="C147" s="38"/>
      <c r="D147" s="30"/>
      <c r="E147" s="30"/>
      <c r="F147" s="30"/>
      <c r="G147" s="42"/>
      <c r="H147" s="30"/>
      <c r="I147" s="30"/>
    </row>
    <row r="148" spans="1:12" hidden="1" x14ac:dyDescent="0.2">
      <c r="A148" s="28"/>
      <c r="B148" s="30"/>
      <c r="C148" s="38"/>
      <c r="D148" s="30"/>
      <c r="E148" s="30"/>
      <c r="F148" s="30"/>
      <c r="G148" s="42"/>
      <c r="H148" s="30"/>
      <c r="I148" s="30"/>
    </row>
    <row r="149" spans="1:12" hidden="1" x14ac:dyDescent="0.2">
      <c r="A149" s="28" t="s">
        <v>90</v>
      </c>
      <c r="B149" s="30" t="s">
        <v>41</v>
      </c>
      <c r="C149" s="30" t="s">
        <v>41</v>
      </c>
      <c r="D149" s="30">
        <f>1194.9+7185.1</f>
        <v>8380</v>
      </c>
      <c r="E149" s="30">
        <f>6367.3+1181.3</f>
        <v>7548.6</v>
      </c>
      <c r="F149" s="30">
        <f>374.8+1699</f>
        <v>2073.8000000000002</v>
      </c>
      <c r="G149" s="42">
        <f>6325.4+807.5+8948.4+825</f>
        <v>16906.3</v>
      </c>
      <c r="H149" s="30">
        <f>1156.3+1275.9</f>
        <v>2432.1999999999998</v>
      </c>
      <c r="I149" s="30">
        <f t="shared" ref="I149:I154" si="37">SUM(B149:H149)</f>
        <v>37340.899999999994</v>
      </c>
    </row>
    <row r="150" spans="1:12" hidden="1" x14ac:dyDescent="0.2">
      <c r="A150" s="28" t="s">
        <v>114</v>
      </c>
      <c r="B150" s="30" t="s">
        <v>41</v>
      </c>
      <c r="C150" s="30" t="s">
        <v>41</v>
      </c>
      <c r="D150" s="30">
        <f>1193.9+7211.1</f>
        <v>8405</v>
      </c>
      <c r="E150" s="30">
        <f>6748.4+1180.4</f>
        <v>7928.7999999999993</v>
      </c>
      <c r="F150" s="30">
        <f>374.8+1699</f>
        <v>2073.8000000000002</v>
      </c>
      <c r="G150" s="42">
        <f>6373.2+878.5+8960+865.4</f>
        <v>17077.100000000002</v>
      </c>
      <c r="H150" s="30">
        <f>1116.6+1263.6</f>
        <v>2380.1999999999998</v>
      </c>
      <c r="I150" s="30">
        <f t="shared" si="37"/>
        <v>37864.899999999994</v>
      </c>
      <c r="L150" s="4" t="s">
        <v>1</v>
      </c>
    </row>
    <row r="151" spans="1:12" hidden="1" x14ac:dyDescent="0.2">
      <c r="A151" s="28" t="s">
        <v>92</v>
      </c>
      <c r="B151" s="30" t="s">
        <v>41</v>
      </c>
      <c r="C151" s="30" t="s">
        <v>41</v>
      </c>
      <c r="D151" s="30">
        <f>1673.9+7225.5</f>
        <v>8899.4</v>
      </c>
      <c r="E151" s="30">
        <f>6489.9+1174</f>
        <v>7663.9</v>
      </c>
      <c r="F151" s="30">
        <f>374.8+1596.4</f>
        <v>1971.2</v>
      </c>
      <c r="G151" s="42">
        <f>6965.1+225.2+9010.5+877.8</f>
        <v>17078.599999999999</v>
      </c>
      <c r="H151" s="30">
        <f>1131.1+1307.8</f>
        <v>2438.8999999999996</v>
      </c>
      <c r="I151" s="30">
        <f t="shared" si="37"/>
        <v>38052</v>
      </c>
    </row>
    <row r="152" spans="1:12" hidden="1" x14ac:dyDescent="0.2">
      <c r="A152" s="28" t="s">
        <v>116</v>
      </c>
      <c r="B152" s="30" t="s">
        <v>41</v>
      </c>
      <c r="C152" s="30" t="s">
        <v>41</v>
      </c>
      <c r="D152" s="30">
        <f>1761.6+7244.5</f>
        <v>9006.1</v>
      </c>
      <c r="E152" s="30">
        <f>6639.5+1174.9</f>
        <v>7814.4</v>
      </c>
      <c r="F152" s="30">
        <f>374.8+1596.4</f>
        <v>1971.2</v>
      </c>
      <c r="G152" s="42">
        <f>6978.8+286.6+9609.1+116.7</f>
        <v>16991.2</v>
      </c>
      <c r="H152" s="30">
        <f>1123.1+1369.6</f>
        <v>2492.6999999999998</v>
      </c>
      <c r="I152" s="30">
        <f t="shared" si="37"/>
        <v>38275.599999999999</v>
      </c>
    </row>
    <row r="153" spans="1:12" hidden="1" x14ac:dyDescent="0.2">
      <c r="A153" s="28" t="s">
        <v>117</v>
      </c>
      <c r="B153" s="30" t="s">
        <v>41</v>
      </c>
      <c r="C153" s="30" t="s">
        <v>41</v>
      </c>
      <c r="D153" s="30">
        <f>1760+7210.7</f>
        <v>8970.7000000000007</v>
      </c>
      <c r="E153" s="30">
        <f>6937.3+1205.6</f>
        <v>8142.9</v>
      </c>
      <c r="F153" s="30">
        <f>374.8+1596.4</f>
        <v>1971.2</v>
      </c>
      <c r="G153" s="42">
        <f>6981+386.5+9619.1+155.8</f>
        <v>17142.399999999998</v>
      </c>
      <c r="H153" s="30">
        <f>1318.3+1467.3</f>
        <v>2785.6</v>
      </c>
      <c r="I153" s="30">
        <f t="shared" si="37"/>
        <v>39012.799999999996</v>
      </c>
    </row>
    <row r="154" spans="1:12" hidden="1" x14ac:dyDescent="0.2">
      <c r="A154" s="28" t="s">
        <v>119</v>
      </c>
      <c r="B154" s="30" t="s">
        <v>41</v>
      </c>
      <c r="C154" s="30" t="s">
        <v>41</v>
      </c>
      <c r="D154" s="30">
        <f>1773.9+8336.5</f>
        <v>10110.4</v>
      </c>
      <c r="E154" s="30">
        <f>7021.9+1205.3</f>
        <v>8227.1999999999989</v>
      </c>
      <c r="F154" s="30">
        <f>374.8+1372</f>
        <v>1746.8</v>
      </c>
      <c r="G154" s="42">
        <f>6991.3+480.6+9650.7+225.7</f>
        <v>17348.300000000003</v>
      </c>
      <c r="H154" s="30">
        <f>1355.4+1378.2</f>
        <v>2733.6000000000004</v>
      </c>
      <c r="I154" s="30">
        <f t="shared" si="37"/>
        <v>40166.299999999996</v>
      </c>
    </row>
    <row r="155" spans="1:12" hidden="1" x14ac:dyDescent="0.2">
      <c r="A155" s="28" t="s">
        <v>120</v>
      </c>
      <c r="B155" s="30" t="s">
        <v>41</v>
      </c>
      <c r="C155" s="30" t="s">
        <v>41</v>
      </c>
      <c r="D155" s="30">
        <f>1772.8+8410.2</f>
        <v>10183</v>
      </c>
      <c r="E155" s="30">
        <f>7019.8+1204.1</f>
        <v>8223.9</v>
      </c>
      <c r="F155" s="30">
        <f>374.8+1372</f>
        <v>1746.8</v>
      </c>
      <c r="G155" s="42">
        <f>6988.4+587.6+9351.3+358.5</f>
        <v>17285.8</v>
      </c>
      <c r="H155" s="30">
        <f>1476.2+1415</f>
        <v>2891.2</v>
      </c>
      <c r="I155" s="30">
        <f t="shared" ref="I155:I160" si="38">SUM(B155:H155)</f>
        <v>40330.699999999997</v>
      </c>
    </row>
    <row r="156" spans="1:12" hidden="1" x14ac:dyDescent="0.2">
      <c r="A156" s="28" t="s">
        <v>121</v>
      </c>
      <c r="B156" s="30" t="s">
        <v>41</v>
      </c>
      <c r="C156" s="30" t="s">
        <v>41</v>
      </c>
      <c r="D156" s="30">
        <f>1772.8+9033.9</f>
        <v>10806.699999999999</v>
      </c>
      <c r="E156" s="30">
        <f>7080.5+1205.2</f>
        <v>8285.7000000000007</v>
      </c>
      <c r="F156" s="30">
        <f>374.8+1372</f>
        <v>1746.8</v>
      </c>
      <c r="G156" s="42">
        <f>7031.9+656.3+9386.2+395.1</f>
        <v>17469.5</v>
      </c>
      <c r="H156" s="30">
        <f>1504.2+1570.1</f>
        <v>3074.3</v>
      </c>
      <c r="I156" s="30">
        <f t="shared" si="38"/>
        <v>41383</v>
      </c>
    </row>
    <row r="157" spans="1:12" hidden="1" x14ac:dyDescent="0.2">
      <c r="A157" s="28" t="s">
        <v>122</v>
      </c>
      <c r="B157" s="30" t="s">
        <v>41</v>
      </c>
      <c r="C157" s="30" t="s">
        <v>41</v>
      </c>
      <c r="D157" s="30">
        <f>1893.8+9148.7</f>
        <v>11042.5</v>
      </c>
      <c r="E157" s="30">
        <f>7108+1542.1</f>
        <v>8650.1</v>
      </c>
      <c r="F157" s="30">
        <f>374.8+1422.2</f>
        <v>1797</v>
      </c>
      <c r="G157" s="42">
        <f>7063.1+730.7+9387.6+604.6</f>
        <v>17786</v>
      </c>
      <c r="H157" s="30">
        <f>1633.2+1542.9</f>
        <v>3176.1000000000004</v>
      </c>
      <c r="I157" s="30">
        <f t="shared" si="38"/>
        <v>42451.7</v>
      </c>
    </row>
    <row r="158" spans="1:12" hidden="1" x14ac:dyDescent="0.2">
      <c r="A158" s="28" t="s">
        <v>123</v>
      </c>
      <c r="B158" s="30" t="s">
        <v>41</v>
      </c>
      <c r="C158" s="30" t="s">
        <v>41</v>
      </c>
      <c r="D158" s="30">
        <f>2492.5+8571.4</f>
        <v>11063.9</v>
      </c>
      <c r="E158" s="30">
        <f>7199.1+1842.6</f>
        <v>9041.7000000000007</v>
      </c>
      <c r="F158" s="30">
        <f>374.8+1422.2</f>
        <v>1797</v>
      </c>
      <c r="G158" s="42">
        <f>7082.6+789.6+9397.8+645.2</f>
        <v>17915.2</v>
      </c>
      <c r="H158" s="30">
        <f>1655.6+1670.1</f>
        <v>3325.7</v>
      </c>
      <c r="I158" s="30">
        <f t="shared" si="38"/>
        <v>43143.5</v>
      </c>
    </row>
    <row r="159" spans="1:12" hidden="1" x14ac:dyDescent="0.2">
      <c r="A159" s="28" t="s">
        <v>124</v>
      </c>
      <c r="B159" s="30" t="s">
        <v>41</v>
      </c>
      <c r="C159" s="30" t="s">
        <v>41</v>
      </c>
      <c r="D159" s="30">
        <f>2940.6+8726.2</f>
        <v>11666.800000000001</v>
      </c>
      <c r="E159" s="30">
        <f>7319.9+992.8</f>
        <v>8312.6999999999989</v>
      </c>
      <c r="F159" s="30">
        <f>374.8+1422.2</f>
        <v>1797</v>
      </c>
      <c r="G159" s="42">
        <f>7104.3+898.3+9408.2+746.3</f>
        <v>18157.100000000002</v>
      </c>
      <c r="H159" s="30">
        <f>1736.3+1641.8</f>
        <v>3378.1</v>
      </c>
      <c r="I159" s="30">
        <f t="shared" si="38"/>
        <v>43311.700000000004</v>
      </c>
    </row>
    <row r="160" spans="1:12" hidden="1" x14ac:dyDescent="0.2">
      <c r="A160" s="28" t="s">
        <v>125</v>
      </c>
      <c r="B160" s="30" t="s">
        <v>41</v>
      </c>
      <c r="C160" s="30" t="s">
        <v>41</v>
      </c>
      <c r="D160" s="30">
        <f>2939+8844.1</f>
        <v>11783.1</v>
      </c>
      <c r="E160" s="30">
        <f>7340.3+1675.2</f>
        <v>9015.5</v>
      </c>
      <c r="F160" s="30">
        <f>367.7+1397.1</f>
        <v>1764.8</v>
      </c>
      <c r="G160" s="42">
        <f>7027.8+962.7+9408+723.8</f>
        <v>18122.3</v>
      </c>
      <c r="H160" s="30">
        <f>1319.7+1525.8</f>
        <v>2845.5</v>
      </c>
      <c r="I160" s="30">
        <f t="shared" si="38"/>
        <v>43531.199999999997</v>
      </c>
    </row>
    <row r="161" spans="1:9" hidden="1" x14ac:dyDescent="0.2">
      <c r="A161" s="28"/>
      <c r="B161" s="30"/>
      <c r="C161" s="38"/>
      <c r="D161" s="30"/>
      <c r="E161" s="30"/>
      <c r="F161" s="30"/>
      <c r="G161" s="42"/>
      <c r="H161" s="30"/>
      <c r="I161" s="30"/>
    </row>
    <row r="162" spans="1:9" hidden="1" x14ac:dyDescent="0.2">
      <c r="A162" s="28" t="s">
        <v>101</v>
      </c>
      <c r="B162" s="30">
        <v>118.6</v>
      </c>
      <c r="C162" s="30" t="s">
        <v>41</v>
      </c>
      <c r="D162" s="30">
        <f>2994.3+8844.1</f>
        <v>11838.400000000001</v>
      </c>
      <c r="E162" s="30">
        <f>8131.4+1677.1</f>
        <v>9808.5</v>
      </c>
      <c r="F162" s="30">
        <f>367.7+1397.1</f>
        <v>1764.8</v>
      </c>
      <c r="G162" s="42">
        <f>7144+901.1+9518.9+645.4</f>
        <v>18209.400000000001</v>
      </c>
      <c r="H162" s="30">
        <f>1265.6+1510.9</f>
        <v>2776.5</v>
      </c>
      <c r="I162" s="30">
        <f t="shared" ref="I162:I167" si="39">SUM(B162:H162)</f>
        <v>44516.2</v>
      </c>
    </row>
    <row r="163" spans="1:9" hidden="1" x14ac:dyDescent="0.2">
      <c r="A163" s="28" t="s">
        <v>127</v>
      </c>
      <c r="B163" s="30">
        <v>118.6</v>
      </c>
      <c r="C163" s="30" t="s">
        <v>41</v>
      </c>
      <c r="D163" s="30">
        <f>2996.1+8912</f>
        <v>11908.1</v>
      </c>
      <c r="E163" s="30">
        <f>8387.7+1673</f>
        <v>10060.700000000001</v>
      </c>
      <c r="F163" s="30">
        <f>367.7+1397.1</f>
        <v>1764.8</v>
      </c>
      <c r="G163" s="42">
        <f>7140.2+1027.6+9403.2+826.8</f>
        <v>18397.8</v>
      </c>
      <c r="H163" s="30">
        <f>1268.3+1409.9</f>
        <v>2678.2</v>
      </c>
      <c r="I163" s="30">
        <f t="shared" si="39"/>
        <v>44928.2</v>
      </c>
    </row>
    <row r="164" spans="1:9" hidden="1" x14ac:dyDescent="0.2">
      <c r="A164" s="28" t="s">
        <v>103</v>
      </c>
      <c r="B164" s="30">
        <v>114.3</v>
      </c>
      <c r="C164" s="30" t="s">
        <v>41</v>
      </c>
      <c r="D164" s="30">
        <f>2999.9+8843.5</f>
        <v>11843.4</v>
      </c>
      <c r="E164" s="30">
        <f>9018+777.9</f>
        <v>9795.9</v>
      </c>
      <c r="F164" s="30">
        <f>367.7+1302.9</f>
        <v>1670.6000000000001</v>
      </c>
      <c r="G164" s="42">
        <f>7903+194.2+10210.4-147.7</f>
        <v>18159.899999999998</v>
      </c>
      <c r="H164" s="30">
        <f>1395.5+1793.9</f>
        <v>3189.4</v>
      </c>
      <c r="I164" s="30">
        <f t="shared" si="39"/>
        <v>44773.499999999993</v>
      </c>
    </row>
    <row r="165" spans="1:9" hidden="1" x14ac:dyDescent="0.2">
      <c r="A165" s="28" t="s">
        <v>129</v>
      </c>
      <c r="B165" s="30">
        <v>105.7</v>
      </c>
      <c r="C165" s="30" t="s">
        <v>41</v>
      </c>
      <c r="D165" s="30">
        <f>3050.8+8843.5</f>
        <v>11894.3</v>
      </c>
      <c r="E165" s="30">
        <f>9219.8+779.5</f>
        <v>9999.2999999999993</v>
      </c>
      <c r="F165" s="30">
        <f>367.7+995.3</f>
        <v>1363</v>
      </c>
      <c r="G165" s="42">
        <f>7916.7+280.6+10285.7-169.8</f>
        <v>18313.2</v>
      </c>
      <c r="H165" s="30">
        <f>1301.9+1569.7</f>
        <v>2871.6000000000004</v>
      </c>
      <c r="I165" s="30">
        <f t="shared" si="39"/>
        <v>44547.1</v>
      </c>
    </row>
    <row r="166" spans="1:9" hidden="1" x14ac:dyDescent="0.2">
      <c r="A166" s="28" t="s">
        <v>130</v>
      </c>
      <c r="B166" s="30">
        <v>101.2</v>
      </c>
      <c r="C166" s="30" t="s">
        <v>41</v>
      </c>
      <c r="D166" s="30">
        <f>3051.8+8843.5</f>
        <v>11895.3</v>
      </c>
      <c r="E166" s="30">
        <f>9324.2+797.2</f>
        <v>10121.400000000001</v>
      </c>
      <c r="F166" s="30">
        <f>367.7+995.3</f>
        <v>1363</v>
      </c>
      <c r="G166" s="42">
        <f>7927.3+376.5+10610.7-437.3</f>
        <v>18477.2</v>
      </c>
      <c r="H166" s="30">
        <f>1335.7+1636.8</f>
        <v>2972.5</v>
      </c>
      <c r="I166" s="30">
        <f t="shared" si="39"/>
        <v>44930.600000000006</v>
      </c>
    </row>
    <row r="167" spans="1:9" hidden="1" x14ac:dyDescent="0.2">
      <c r="A167" s="28" t="s">
        <v>131</v>
      </c>
      <c r="B167" s="30">
        <v>96.7</v>
      </c>
      <c r="C167" s="30" t="s">
        <v>41</v>
      </c>
      <c r="D167" s="30">
        <f>3054.9+8858.5</f>
        <v>11913.4</v>
      </c>
      <c r="E167" s="30">
        <f>9863.1+1332.5</f>
        <v>11195.6</v>
      </c>
      <c r="F167" s="30">
        <f>367.7+908.2</f>
        <v>1275.9000000000001</v>
      </c>
      <c r="G167" s="42">
        <f>7975.8+462.1+10614.5-325.6</f>
        <v>18726.800000000003</v>
      </c>
      <c r="H167" s="30">
        <f>1459+1781.1</f>
        <v>3240.1</v>
      </c>
      <c r="I167" s="30">
        <f t="shared" si="39"/>
        <v>46448.500000000007</v>
      </c>
    </row>
    <row r="168" spans="1:9" hidden="1" x14ac:dyDescent="0.2">
      <c r="A168" s="28" t="s">
        <v>132</v>
      </c>
      <c r="B168" s="30">
        <v>96.7</v>
      </c>
      <c r="C168" s="30" t="s">
        <v>41</v>
      </c>
      <c r="D168" s="30">
        <f>3104.9+9479.5</f>
        <v>12584.4</v>
      </c>
      <c r="E168" s="30">
        <f>10298+1972.5</f>
        <v>12270.5</v>
      </c>
      <c r="F168" s="30">
        <f>367.7+908.2</f>
        <v>1275.9000000000001</v>
      </c>
      <c r="G168" s="42">
        <f>7960.8+565.8+10865.2-435.6</f>
        <v>18956.200000000004</v>
      </c>
      <c r="H168" s="30">
        <f>1584.7+2402.4</f>
        <v>3987.1000000000004</v>
      </c>
      <c r="I168" s="30">
        <f t="shared" ref="I168:I173" si="40">SUM(B168:H168)</f>
        <v>49170.8</v>
      </c>
    </row>
    <row r="169" spans="1:9" hidden="1" x14ac:dyDescent="0.2">
      <c r="A169" s="28" t="s">
        <v>133</v>
      </c>
      <c r="B169" s="30">
        <f>92.2+100</f>
        <v>192.2</v>
      </c>
      <c r="C169" s="30" t="s">
        <v>41</v>
      </c>
      <c r="D169" s="30">
        <f>3106.8+10349.5</f>
        <v>13456.3</v>
      </c>
      <c r="E169" s="30">
        <f>10539.8+2973.5</f>
        <v>13513.3</v>
      </c>
      <c r="F169" s="30">
        <f>367.7+908.2</f>
        <v>1275.9000000000001</v>
      </c>
      <c r="G169" s="42">
        <f>8022.4+642.8+11650.8-1203.7</f>
        <v>19112.3</v>
      </c>
      <c r="H169" s="30">
        <f>1654.2+1856.5</f>
        <v>3510.7</v>
      </c>
      <c r="I169" s="30">
        <f t="shared" si="40"/>
        <v>51060.7</v>
      </c>
    </row>
    <row r="170" spans="1:9" hidden="1" x14ac:dyDescent="0.2">
      <c r="A170" s="28" t="s">
        <v>134</v>
      </c>
      <c r="B170" s="30">
        <f>87.6</f>
        <v>87.6</v>
      </c>
      <c r="C170" s="30" t="s">
        <v>41</v>
      </c>
      <c r="D170" s="30">
        <f>3268.7+11633.7</f>
        <v>14902.400000000001</v>
      </c>
      <c r="E170" s="30">
        <f>10644.6+3022.2</f>
        <v>13666.8</v>
      </c>
      <c r="F170" s="30">
        <f>367.7+1008.8</f>
        <v>1376.5</v>
      </c>
      <c r="G170" s="42">
        <f>8058.4+750.4+11585.1-963.4</f>
        <v>19430.5</v>
      </c>
      <c r="H170" s="30">
        <f>1600.5+2947.2</f>
        <v>4547.7</v>
      </c>
      <c r="I170" s="30">
        <f t="shared" si="40"/>
        <v>54011.5</v>
      </c>
    </row>
    <row r="171" spans="1:9" hidden="1" x14ac:dyDescent="0.2">
      <c r="A171" s="28" t="s">
        <v>135</v>
      </c>
      <c r="B171" s="30">
        <v>78.2</v>
      </c>
      <c r="C171" s="30" t="s">
        <v>41</v>
      </c>
      <c r="D171" s="30">
        <f>3270.6+13716.7</f>
        <v>16987.3</v>
      </c>
      <c r="E171" s="30">
        <f>10907.3+2841.7</f>
        <v>13749</v>
      </c>
      <c r="F171" s="30">
        <f>367.7+1008.8</f>
        <v>1376.5</v>
      </c>
      <c r="G171" s="42">
        <f>8081+872.5+11583.6-727.2</f>
        <v>19809.899999999998</v>
      </c>
      <c r="H171" s="30">
        <f>1732.6+3529.8</f>
        <v>5262.4</v>
      </c>
      <c r="I171" s="30">
        <f t="shared" si="40"/>
        <v>57263.299999999996</v>
      </c>
    </row>
    <row r="172" spans="1:9" hidden="1" x14ac:dyDescent="0.2">
      <c r="A172" s="28" t="s">
        <v>136</v>
      </c>
      <c r="B172" s="30">
        <v>78.2</v>
      </c>
      <c r="C172" s="30" t="s">
        <v>41</v>
      </c>
      <c r="D172" s="30">
        <f>3222.5+15987.5</f>
        <v>19210</v>
      </c>
      <c r="E172" s="30">
        <f>11813.6+1341</f>
        <v>13154.6</v>
      </c>
      <c r="F172" s="30">
        <f>367.7+1008.8</f>
        <v>1376.5</v>
      </c>
      <c r="G172" s="42">
        <f>8081+1007.8+11649.2-645.3</f>
        <v>20092.7</v>
      </c>
      <c r="H172" s="30">
        <f>1801.8+2469.7</f>
        <v>4271.5</v>
      </c>
      <c r="I172" s="30">
        <f t="shared" si="40"/>
        <v>58183.5</v>
      </c>
    </row>
    <row r="173" spans="1:9" hidden="1" x14ac:dyDescent="0.2">
      <c r="A173" s="28" t="s">
        <v>137</v>
      </c>
      <c r="B173" s="30">
        <v>68.599999999999994</v>
      </c>
      <c r="C173" s="30" t="s">
        <v>41</v>
      </c>
      <c r="D173" s="30">
        <f>3226.2+14354.8</f>
        <v>17581</v>
      </c>
      <c r="E173" s="30">
        <f>11975.3+1376</f>
        <v>13351.3</v>
      </c>
      <c r="F173" s="30">
        <f>360.5+989.7</f>
        <v>1350.2</v>
      </c>
      <c r="G173" s="42">
        <f>7994.6+1079.1+10907.5-149</f>
        <v>19832.2</v>
      </c>
      <c r="H173" s="30">
        <f>1902.5+2241.4</f>
        <v>4143.8999999999996</v>
      </c>
      <c r="I173" s="30">
        <f t="shared" si="40"/>
        <v>56327.200000000004</v>
      </c>
    </row>
    <row r="174" spans="1:9" hidden="1" x14ac:dyDescent="0.2">
      <c r="A174" s="28" t="s">
        <v>113</v>
      </c>
      <c r="B174" s="30">
        <v>63.7</v>
      </c>
      <c r="C174" s="30" t="s">
        <v>41</v>
      </c>
      <c r="D174" s="30">
        <f>2341.8+11715.3</f>
        <v>14057.099999999999</v>
      </c>
      <c r="E174" s="30">
        <f>13709.6+2745</f>
        <v>16454.599999999999</v>
      </c>
      <c r="F174" s="30">
        <f>360.5+989.7</f>
        <v>1350.2</v>
      </c>
      <c r="G174" s="42">
        <f>8088.1+1130+10920.9-62.6</f>
        <v>20076.400000000001</v>
      </c>
      <c r="H174" s="30">
        <f>2352.2+2085.3</f>
        <v>4437.5</v>
      </c>
      <c r="I174" s="30">
        <f t="shared" ref="I174" si="41">SUM(B174:H174)</f>
        <v>56439.5</v>
      </c>
    </row>
    <row r="175" spans="1:9" hidden="1" x14ac:dyDescent="0.2">
      <c r="A175" s="28" t="s">
        <v>139</v>
      </c>
      <c r="B175" s="30">
        <v>63.7</v>
      </c>
      <c r="C175" s="30" t="s">
        <v>41</v>
      </c>
      <c r="D175" s="30">
        <f>2314.1+11783</f>
        <v>14097.1</v>
      </c>
      <c r="E175" s="30">
        <f>14382.1+3241.5</f>
        <v>17623.599999999999</v>
      </c>
      <c r="F175" s="30">
        <f>360.5+989.7</f>
        <v>1350.2</v>
      </c>
      <c r="G175" s="42">
        <f>8187.6+1171.8+10993-2.4</f>
        <v>20350</v>
      </c>
      <c r="H175" s="30">
        <f>1483.4+2466.3</f>
        <v>3949.7000000000003</v>
      </c>
      <c r="I175" s="30">
        <f t="shared" ref="I175" si="42">SUM(B175:H175)</f>
        <v>57434.299999999996</v>
      </c>
    </row>
    <row r="176" spans="1:9" hidden="1" x14ac:dyDescent="0.2">
      <c r="A176" s="28" t="s">
        <v>115</v>
      </c>
      <c r="B176" s="30">
        <v>58.7</v>
      </c>
      <c r="C176" s="30" t="s">
        <v>41</v>
      </c>
      <c r="D176" s="30">
        <f>2314.1+11955.5</f>
        <v>14269.6</v>
      </c>
      <c r="E176" s="30">
        <f>14768.2+3384.5</f>
        <v>18152.7</v>
      </c>
      <c r="F176" s="30">
        <f>360.5+1057</f>
        <v>1417.5</v>
      </c>
      <c r="G176" s="42">
        <f>9090.2+209.2+10790.1+245.3</f>
        <v>20334.8</v>
      </c>
      <c r="H176" s="30">
        <f>1750.7+2358.3</f>
        <v>4109</v>
      </c>
      <c r="I176" s="30">
        <f t="shared" ref="I176" si="43">SUM(B176:H176)</f>
        <v>58342.3</v>
      </c>
    </row>
    <row r="177" spans="1:9" hidden="1" x14ac:dyDescent="0.2">
      <c r="A177" s="28" t="s">
        <v>140</v>
      </c>
      <c r="B177" s="30">
        <v>53.7</v>
      </c>
      <c r="C177" s="30" t="s">
        <v>41</v>
      </c>
      <c r="D177" s="30">
        <f>2414.1+10590.2</f>
        <v>13004.300000000001</v>
      </c>
      <c r="E177" s="30">
        <f>15195.2+3385.1</f>
        <v>18580.3</v>
      </c>
      <c r="F177" s="30">
        <f>360.5+730.3</f>
        <v>1090.8</v>
      </c>
      <c r="G177" s="42">
        <f>9148+265+12236.9+261.3</f>
        <v>21911.200000000001</v>
      </c>
      <c r="H177" s="30">
        <f>1517.1+2223.7</f>
        <v>3740.7999999999997</v>
      </c>
      <c r="I177" s="30">
        <f t="shared" ref="I177" si="44">SUM(B177:H177)</f>
        <v>58381.100000000006</v>
      </c>
    </row>
    <row r="178" spans="1:9" hidden="1" x14ac:dyDescent="0.2">
      <c r="A178" s="28" t="s">
        <v>141</v>
      </c>
      <c r="B178" s="30">
        <v>48.7</v>
      </c>
      <c r="C178" s="30" t="s">
        <v>41</v>
      </c>
      <c r="D178" s="30">
        <f>2414.1+10344.5</f>
        <v>12758.6</v>
      </c>
      <c r="E178" s="30">
        <f>15410.2+4250.1</f>
        <v>19660.300000000003</v>
      </c>
      <c r="F178" s="30">
        <f>360.5+730.3</f>
        <v>1090.8</v>
      </c>
      <c r="G178" s="42">
        <f>9075.8+496.1+12239.1+360.7</f>
        <v>22171.7</v>
      </c>
      <c r="H178" s="30">
        <f>1618.2+2689.3</f>
        <v>4307.5</v>
      </c>
      <c r="I178" s="30">
        <f t="shared" ref="I178" si="45">SUM(B178:H178)</f>
        <v>60037.600000000006</v>
      </c>
    </row>
    <row r="179" spans="1:9" hidden="1" x14ac:dyDescent="0.2">
      <c r="A179" s="28" t="s">
        <v>142</v>
      </c>
      <c r="B179" s="30">
        <v>43.5</v>
      </c>
      <c r="C179" s="30" t="s">
        <v>41</v>
      </c>
      <c r="D179" s="30">
        <f>2414.1+10353.6</f>
        <v>12767.7</v>
      </c>
      <c r="E179" s="30">
        <f>15939.4+4247.7</f>
        <v>20187.099999999999</v>
      </c>
      <c r="F179" s="30">
        <f>360.5+751.8</f>
        <v>1112.3</v>
      </c>
      <c r="G179" s="42">
        <f>9143.3+636.4+12240.9+512.2</f>
        <v>22532.799999999999</v>
      </c>
      <c r="H179" s="30">
        <f>1700.8+2885.1</f>
        <v>4585.8999999999996</v>
      </c>
      <c r="I179" s="30">
        <f t="shared" ref="I179" si="46">SUM(B179:H179)</f>
        <v>61229.30000000001</v>
      </c>
    </row>
    <row r="180" spans="1:9" hidden="1" x14ac:dyDescent="0.2">
      <c r="A180" s="28" t="s">
        <v>143</v>
      </c>
      <c r="B180" s="30">
        <v>38.299999999999997</v>
      </c>
      <c r="C180" s="30" t="s">
        <v>41</v>
      </c>
      <c r="D180" s="30">
        <f>2614.1+10753.5</f>
        <v>13367.6</v>
      </c>
      <c r="E180" s="30">
        <f>16058.1+3696.1</f>
        <v>19754.2</v>
      </c>
      <c r="F180" s="30">
        <f>360.5+751.8</f>
        <v>1112.3</v>
      </c>
      <c r="G180" s="42">
        <f>9210.1+690.5+12289.9+473.4</f>
        <v>22663.9</v>
      </c>
      <c r="H180" s="30">
        <f>1822.6+2888.8</f>
        <v>4711.3999999999996</v>
      </c>
      <c r="I180" s="30">
        <f t="shared" ref="I180" si="47">SUM(B180:H180)</f>
        <v>61647.700000000004</v>
      </c>
    </row>
    <row r="181" spans="1:9" hidden="1" x14ac:dyDescent="0.2">
      <c r="A181" s="28" t="s">
        <v>144</v>
      </c>
      <c r="B181" s="30">
        <v>33</v>
      </c>
      <c r="C181" s="30" t="s">
        <v>41</v>
      </c>
      <c r="D181" s="30">
        <f>2614.1+10753.5</f>
        <v>13367.6</v>
      </c>
      <c r="E181" s="30">
        <f>16390.2+4122.5</f>
        <v>20512.7</v>
      </c>
      <c r="F181" s="30">
        <f>360.5+751.8</f>
        <v>1112.3</v>
      </c>
      <c r="G181" s="42">
        <f>9250.5+804.8+12302.2+565.2</f>
        <v>22922.7</v>
      </c>
      <c r="H181" s="30">
        <f>1946.1+2931.3</f>
        <v>4877.3999999999996</v>
      </c>
      <c r="I181" s="30">
        <f t="shared" ref="I181" si="48">SUM(B181:H181)</f>
        <v>62825.700000000004</v>
      </c>
    </row>
    <row r="182" spans="1:9" hidden="1" x14ac:dyDescent="0.2">
      <c r="A182" s="28" t="s">
        <v>145</v>
      </c>
      <c r="B182" s="30">
        <v>27.7</v>
      </c>
      <c r="C182" s="30" t="s">
        <v>41</v>
      </c>
      <c r="D182" s="30">
        <f>2814.1+10753.5</f>
        <v>13567.6</v>
      </c>
      <c r="E182" s="30">
        <f>16546.6+3884.5</f>
        <v>20431.099999999999</v>
      </c>
      <c r="F182" s="30">
        <f>360.5+722</f>
        <v>1082.5</v>
      </c>
      <c r="G182" s="42">
        <f>9238.2+978.3+12483+645.6</f>
        <v>23345.1</v>
      </c>
      <c r="H182" s="30">
        <f>1807.1+2829.1</f>
        <v>4636.2</v>
      </c>
      <c r="I182" s="30">
        <f t="shared" ref="I182:I183" si="49">SUM(B182:H182)</f>
        <v>63090.2</v>
      </c>
    </row>
    <row r="183" spans="1:9" hidden="1" x14ac:dyDescent="0.2">
      <c r="A183" s="28" t="s">
        <v>39</v>
      </c>
      <c r="B183" s="30">
        <v>22.3</v>
      </c>
      <c r="C183" s="38"/>
      <c r="D183" s="30">
        <f>10753.5+2512.7</f>
        <v>13266.2</v>
      </c>
      <c r="E183" s="30">
        <f>3883.7+17448.3</f>
        <v>21332</v>
      </c>
      <c r="F183" s="30">
        <f>722+360.5</f>
        <v>1082.5</v>
      </c>
      <c r="G183" s="42">
        <f>9207.6+1252.3+12586.5+754.4</f>
        <v>23800.800000000003</v>
      </c>
      <c r="H183" s="30">
        <f>1887.3+3017.4</f>
        <v>4904.7</v>
      </c>
      <c r="I183" s="30">
        <f t="shared" si="49"/>
        <v>64408.5</v>
      </c>
    </row>
    <row r="184" spans="1:9" hidden="1" x14ac:dyDescent="0.2">
      <c r="A184" s="28" t="s">
        <v>40</v>
      </c>
      <c r="B184" s="30">
        <v>16.8</v>
      </c>
      <c r="C184" s="38"/>
      <c r="D184" s="30">
        <f>10753.5+2812.7</f>
        <v>13566.2</v>
      </c>
      <c r="E184" s="30">
        <f>3884.6+16774.6</f>
        <v>20659.199999999997</v>
      </c>
      <c r="F184" s="30">
        <f>722+360.5</f>
        <v>1082.5</v>
      </c>
      <c r="G184" s="42">
        <f>9271.6+1370.3+12616.9+834</f>
        <v>24092.799999999999</v>
      </c>
      <c r="H184" s="30">
        <f>2073.9+3002.7</f>
        <v>5076.6000000000004</v>
      </c>
      <c r="I184" s="30">
        <f t="shared" ref="I184" si="50">SUM(B184:H184)</f>
        <v>64494.1</v>
      </c>
    </row>
    <row r="185" spans="1:9" hidden="1" x14ac:dyDescent="0.2">
      <c r="A185" s="28" t="s">
        <v>42</v>
      </c>
      <c r="B185" s="30">
        <v>5.7</v>
      </c>
      <c r="C185" s="38"/>
      <c r="D185" s="30">
        <f>11655.4+2812.9</f>
        <v>14468.3</v>
      </c>
      <c r="E185" s="30">
        <f>3942.8+16465.4</f>
        <v>20408.2</v>
      </c>
      <c r="F185" s="30">
        <f>734.6+353.3</f>
        <v>1087.9000000000001</v>
      </c>
      <c r="G185" s="42">
        <f>9227.5+1377.4+12594.1+945.2</f>
        <v>24144.2</v>
      </c>
      <c r="H185" s="30">
        <f>2460.7+2254.7</f>
        <v>4715.3999999999996</v>
      </c>
      <c r="I185" s="30">
        <f t="shared" ref="I185" si="51">SUM(B185:H185)</f>
        <v>64829.700000000004</v>
      </c>
    </row>
    <row r="186" spans="1:9" hidden="1" x14ac:dyDescent="0.2">
      <c r="A186" s="28" t="s">
        <v>126</v>
      </c>
      <c r="B186" s="30">
        <v>5.7</v>
      </c>
      <c r="C186" s="38"/>
      <c r="D186" s="30">
        <f>11655.4+2867.4</f>
        <v>14522.8</v>
      </c>
      <c r="E186" s="30">
        <f>3911.7+17709.8</f>
        <v>21621.5</v>
      </c>
      <c r="F186" s="30">
        <f>734.6+353.3</f>
        <v>1087.9000000000001</v>
      </c>
      <c r="G186" s="42">
        <f>9279.4+1431.4+12662.4+1000</f>
        <v>24373.199999999997</v>
      </c>
      <c r="H186" s="30">
        <f>1433.2+2143.5</f>
        <v>3576.7</v>
      </c>
      <c r="I186" s="30">
        <f t="shared" ref="I186" si="52">SUM(B186:H186)</f>
        <v>65187.799999999996</v>
      </c>
    </row>
    <row r="187" spans="1:9" hidden="1" x14ac:dyDescent="0.2">
      <c r="A187" s="28" t="s">
        <v>147</v>
      </c>
      <c r="B187" s="30" t="s">
        <v>41</v>
      </c>
      <c r="C187" s="38"/>
      <c r="D187" s="30">
        <f>11655.4+2567.4</f>
        <v>14222.8</v>
      </c>
      <c r="E187" s="30">
        <f>3911.3+18038.4</f>
        <v>21949.7</v>
      </c>
      <c r="F187" s="30">
        <f>734.6+353.3</f>
        <v>1087.9000000000001</v>
      </c>
      <c r="G187" s="42">
        <f>9307.6+1569.9+12652+1119.6</f>
        <v>24649.1</v>
      </c>
      <c r="H187" s="30">
        <f>1385.3+2212.2</f>
        <v>3597.5</v>
      </c>
      <c r="I187" s="30">
        <f t="shared" ref="I187" si="53">SUM(B187:H187)</f>
        <v>65507</v>
      </c>
    </row>
    <row r="188" spans="1:9" hidden="1" x14ac:dyDescent="0.2">
      <c r="A188" s="28" t="s">
        <v>128</v>
      </c>
      <c r="B188" s="30" t="s">
        <v>41</v>
      </c>
      <c r="C188" s="38"/>
      <c r="D188" s="30">
        <f>11255.4+2567.4</f>
        <v>13822.8</v>
      </c>
      <c r="E188" s="30">
        <f>4000.4+18439</f>
        <v>22439.4</v>
      </c>
      <c r="F188" s="30">
        <f>773.6+353.3</f>
        <v>1126.9000000000001</v>
      </c>
      <c r="G188" s="42">
        <f>10427.2+370.1+13410.8+208.5</f>
        <v>24416.6</v>
      </c>
      <c r="H188" s="30">
        <f>1814.2+2529.7</f>
        <v>4343.8999999999996</v>
      </c>
      <c r="I188" s="30">
        <f t="shared" ref="I188" si="54">SUM(B188:H188)</f>
        <v>66149.599999999991</v>
      </c>
    </row>
    <row r="189" spans="1:9" hidden="1" x14ac:dyDescent="0.2">
      <c r="A189" s="28" t="s">
        <v>148</v>
      </c>
      <c r="B189" s="30" t="s">
        <v>41</v>
      </c>
      <c r="C189" s="38"/>
      <c r="D189" s="30">
        <f>11255.4+3567.4</f>
        <v>14822.8</v>
      </c>
      <c r="E189" s="30">
        <f>3800.5+18636.4</f>
        <v>22436.9</v>
      </c>
      <c r="F189" s="30">
        <f>427.6+353.3</f>
        <v>780.90000000000009</v>
      </c>
      <c r="G189" s="42">
        <f>10464.9+498.8+13304.5+371.4</f>
        <v>24639.599999999999</v>
      </c>
      <c r="H189" s="30">
        <f>1572.3+2456.2</f>
        <v>4028.5</v>
      </c>
      <c r="I189" s="30">
        <f t="shared" ref="I189" si="55">SUM(B189:H189)</f>
        <v>66708.7</v>
      </c>
    </row>
    <row r="190" spans="1:9" hidden="1" x14ac:dyDescent="0.2">
      <c r="A190" s="28" t="s">
        <v>149</v>
      </c>
      <c r="B190" s="30" t="s">
        <v>41</v>
      </c>
      <c r="C190" s="38"/>
      <c r="D190" s="30">
        <f>11255.4+3567.4</f>
        <v>14822.8</v>
      </c>
      <c r="E190" s="30">
        <f>3799.6+19125.4</f>
        <v>22925</v>
      </c>
      <c r="F190" s="30">
        <f>427.6+353.3</f>
        <v>780.90000000000009</v>
      </c>
      <c r="G190" s="42">
        <f>10482.4+662.8+13423.7+381.1</f>
        <v>24950</v>
      </c>
      <c r="H190" s="30">
        <f>2059.4+2338.5</f>
        <v>4397.8999999999996</v>
      </c>
      <c r="I190" s="30">
        <f t="shared" ref="I190" si="56">SUM(B190:H190)</f>
        <v>67876.600000000006</v>
      </c>
    </row>
    <row r="191" spans="1:9" hidden="1" x14ac:dyDescent="0.2">
      <c r="A191" s="28" t="s">
        <v>150</v>
      </c>
      <c r="B191" s="30" t="s">
        <v>41</v>
      </c>
      <c r="C191" s="38"/>
      <c r="D191" s="30">
        <f>11761.1+3567.4</f>
        <v>15328.5</v>
      </c>
      <c r="E191" s="30">
        <f>4034.4+18540.5</f>
        <v>22574.9</v>
      </c>
      <c r="F191" s="30">
        <f t="shared" ref="F191:F196" si="57">414.3+353.3</f>
        <v>767.6</v>
      </c>
      <c r="G191" s="42">
        <f>10513.5+694+13507.6+446.1</f>
        <v>25161.199999999997</v>
      </c>
      <c r="H191" s="30">
        <f>1972.4+2433.2</f>
        <v>4405.6000000000004</v>
      </c>
      <c r="I191" s="30">
        <f t="shared" ref="I191" si="58">SUM(B191:H191)</f>
        <v>68237.8</v>
      </c>
    </row>
    <row r="192" spans="1:9" hidden="1" x14ac:dyDescent="0.2">
      <c r="A192" s="28" t="s">
        <v>151</v>
      </c>
      <c r="B192" s="30" t="s">
        <v>41</v>
      </c>
      <c r="C192" s="38"/>
      <c r="D192" s="30">
        <f>11761.1+3567.4</f>
        <v>15328.5</v>
      </c>
      <c r="E192" s="30">
        <f>4035+18708.9</f>
        <v>22743.9</v>
      </c>
      <c r="F192" s="30">
        <f t="shared" si="57"/>
        <v>767.6</v>
      </c>
      <c r="G192" s="42">
        <f>10608.2+749.2+13508.8+542.1</f>
        <v>25408.3</v>
      </c>
      <c r="H192" s="30">
        <f>2230.6+2693.5</f>
        <v>4924.1000000000004</v>
      </c>
      <c r="I192" s="30">
        <f t="shared" ref="I192" si="59">SUM(B192:H192)</f>
        <v>69172.400000000009</v>
      </c>
    </row>
    <row r="193" spans="1:9" hidden="1" x14ac:dyDescent="0.2">
      <c r="A193" s="28" t="s">
        <v>152</v>
      </c>
      <c r="B193" s="30" t="s">
        <v>41</v>
      </c>
      <c r="C193" s="38"/>
      <c r="D193" s="30">
        <f>11761.1+3567.4</f>
        <v>15328.5</v>
      </c>
      <c r="E193" s="30">
        <f>3565.6+18565.4</f>
        <v>22131</v>
      </c>
      <c r="F193" s="30">
        <f t="shared" si="57"/>
        <v>767.6</v>
      </c>
      <c r="G193" s="42">
        <f>10679.4+836.2+14321.1+591.9</f>
        <v>26428.600000000002</v>
      </c>
      <c r="H193" s="30">
        <f>2312.1+2546.4</f>
        <v>4858.5</v>
      </c>
      <c r="I193" s="30">
        <f t="shared" ref="I193" si="60">SUM(B193:H193)</f>
        <v>69514.2</v>
      </c>
    </row>
    <row r="194" spans="1:9" hidden="1" x14ac:dyDescent="0.2">
      <c r="A194" s="28" t="s">
        <v>153</v>
      </c>
      <c r="B194" s="30" t="s">
        <v>41</v>
      </c>
      <c r="C194" s="38"/>
      <c r="D194" s="30">
        <f>11761.1+3567.4</f>
        <v>15328.5</v>
      </c>
      <c r="E194" s="30">
        <f>3565+18688.1</f>
        <v>22253.1</v>
      </c>
      <c r="F194" s="30">
        <f t="shared" si="57"/>
        <v>767.6</v>
      </c>
      <c r="G194" s="42">
        <f>10812.4+900+14482.2+565.1</f>
        <v>26759.699999999997</v>
      </c>
      <c r="H194" s="30">
        <f>2320.3+2791.1</f>
        <v>5111.3999999999996</v>
      </c>
      <c r="I194" s="30">
        <f t="shared" ref="I194" si="61">SUM(B194:H194)</f>
        <v>70220.299999999988</v>
      </c>
    </row>
    <row r="195" spans="1:9" hidden="1" x14ac:dyDescent="0.2">
      <c r="A195" s="28" t="s">
        <v>154</v>
      </c>
      <c r="B195" s="30" t="s">
        <v>41</v>
      </c>
      <c r="C195" s="38"/>
      <c r="D195" s="30">
        <f>11761.1+3567.4</f>
        <v>15328.5</v>
      </c>
      <c r="E195" s="30">
        <f>3655.3+18849.7</f>
        <v>22505</v>
      </c>
      <c r="F195" s="30">
        <f t="shared" si="57"/>
        <v>767.6</v>
      </c>
      <c r="G195" s="42">
        <f>10753.2+1104.6+14560.7+621.1</f>
        <v>27039.599999999999</v>
      </c>
      <c r="H195" s="30">
        <f>2702.7+2979.8</f>
        <v>5682.5</v>
      </c>
      <c r="I195" s="30">
        <f t="shared" ref="I195:I196" si="62">SUM(B195:H195)</f>
        <v>71323.199999999997</v>
      </c>
    </row>
    <row r="196" spans="1:9" hidden="1" x14ac:dyDescent="0.2">
      <c r="A196" s="28" t="s">
        <v>155</v>
      </c>
      <c r="B196" s="30" t="s">
        <v>41</v>
      </c>
      <c r="C196" s="38"/>
      <c r="D196" s="30">
        <f>3567.4+12161.1</f>
        <v>15728.5</v>
      </c>
      <c r="E196" s="30">
        <f>3654.5+19099.9</f>
        <v>22754.400000000001</v>
      </c>
      <c r="F196" s="30">
        <f t="shared" si="57"/>
        <v>767.6</v>
      </c>
      <c r="G196" s="42">
        <f>14624.4+655.6+10762.5+1280.9</f>
        <v>27323.4</v>
      </c>
      <c r="H196" s="30">
        <f>2815.3+2916.5</f>
        <v>5731.8</v>
      </c>
      <c r="I196" s="30">
        <f t="shared" si="62"/>
        <v>72305.7</v>
      </c>
    </row>
    <row r="197" spans="1:9" hidden="1" x14ac:dyDescent="0.2">
      <c r="A197" s="28" t="s">
        <v>156</v>
      </c>
      <c r="B197" s="30" t="s">
        <v>41</v>
      </c>
      <c r="C197" s="38"/>
      <c r="D197" s="30">
        <f>3471.2+12670.3</f>
        <v>16141.5</v>
      </c>
      <c r="E197" s="30">
        <f>3733.7+19024</f>
        <v>22757.7</v>
      </c>
      <c r="F197" s="30">
        <f>466.8+346</f>
        <v>812.8</v>
      </c>
      <c r="G197" s="42">
        <f>14709.8+581.8+10764.6+1427.1</f>
        <v>27483.299999999996</v>
      </c>
      <c r="H197" s="30">
        <f>2576.1+2461</f>
        <v>5037.1000000000004</v>
      </c>
      <c r="I197" s="30">
        <f t="shared" ref="I197" si="63">SUM(B197:H197)</f>
        <v>72232.399999999994</v>
      </c>
    </row>
    <row r="198" spans="1:9" hidden="1" x14ac:dyDescent="0.2">
      <c r="A198" s="28" t="s">
        <v>138</v>
      </c>
      <c r="B198" s="30" t="s">
        <v>41</v>
      </c>
      <c r="C198" s="38"/>
      <c r="D198" s="30">
        <f>3558.6+12170.3</f>
        <v>15728.9</v>
      </c>
      <c r="E198" s="30">
        <f>3702.8+20143.6</f>
        <v>23846.399999999998</v>
      </c>
      <c r="F198" s="30">
        <f>466.8+346</f>
        <v>812.8</v>
      </c>
      <c r="G198" s="42">
        <f>14784.3+621+10984.4+1401</f>
        <v>27790.699999999997</v>
      </c>
      <c r="H198" s="30">
        <f>1312+2304.5</f>
        <v>3616.5</v>
      </c>
      <c r="I198" s="30">
        <f t="shared" ref="I198" si="64">SUM(B198:H198)</f>
        <v>71795.299999999988</v>
      </c>
    </row>
    <row r="199" spans="1:9" hidden="1" x14ac:dyDescent="0.2">
      <c r="A199" s="28" t="s">
        <v>158</v>
      </c>
      <c r="B199" s="30" t="s">
        <v>41</v>
      </c>
      <c r="C199" s="38"/>
      <c r="D199" s="30">
        <f>3558.6+11770.3</f>
        <v>15328.9</v>
      </c>
      <c r="E199" s="30">
        <f>3703.5+20155.6</f>
        <v>23859.1</v>
      </c>
      <c r="F199" s="30">
        <f>466.8+346</f>
        <v>812.8</v>
      </c>
      <c r="G199" s="42">
        <f>15125.1+337.4+11123.8+1367.3</f>
        <v>27953.599999999999</v>
      </c>
      <c r="H199" s="30">
        <f>1550.3+2369.4</f>
        <v>3919.7</v>
      </c>
      <c r="I199" s="30">
        <f t="shared" ref="I199" si="65">SUM(B199:H199)</f>
        <v>71874.099999999991</v>
      </c>
    </row>
    <row r="200" spans="1:9" hidden="1" x14ac:dyDescent="0.2">
      <c r="A200" s="28" t="s">
        <v>162</v>
      </c>
      <c r="B200" s="30" t="s">
        <v>41</v>
      </c>
      <c r="C200" s="38"/>
      <c r="D200" s="30">
        <f>3559.3+11770.3</f>
        <v>15329.599999999999</v>
      </c>
      <c r="E200" s="30">
        <f>3706.2+20597.7</f>
        <v>24303.9</v>
      </c>
      <c r="F200" s="30">
        <f>460.9+346</f>
        <v>806.9</v>
      </c>
      <c r="G200" s="42">
        <f>15651.9-196.1+12130.6+224.5</f>
        <v>27810.9</v>
      </c>
      <c r="H200" s="30">
        <f>2178.1+2543.2</f>
        <v>4721.2999999999993</v>
      </c>
      <c r="I200" s="30">
        <f t="shared" ref="I200" si="66">SUM(B200:H200)</f>
        <v>72972.600000000006</v>
      </c>
    </row>
    <row r="201" spans="1:9" hidden="1" x14ac:dyDescent="0.2">
      <c r="A201" s="28" t="s">
        <v>170</v>
      </c>
      <c r="B201" s="30" t="s">
        <v>41</v>
      </c>
      <c r="C201" s="38"/>
      <c r="D201" s="30">
        <f t="shared" ref="D201:D205" si="67">3759.3+11770.3</f>
        <v>15529.599999999999</v>
      </c>
      <c r="E201" s="30">
        <f>3882.3+20833.6</f>
        <v>24715.899999999998</v>
      </c>
      <c r="F201" s="30">
        <f>460.9+346</f>
        <v>806.9</v>
      </c>
      <c r="G201" s="42">
        <f>15871-239.4+12188.3+404</f>
        <v>28223.9</v>
      </c>
      <c r="H201" s="30">
        <f>1693.6+2526.1</f>
        <v>4219.7</v>
      </c>
      <c r="I201" s="30">
        <f t="shared" ref="I201" si="68">SUM(B201:H201)</f>
        <v>73496</v>
      </c>
    </row>
    <row r="202" spans="1:9" hidden="1" x14ac:dyDescent="0.2">
      <c r="A202" s="28" t="s">
        <v>175</v>
      </c>
      <c r="B202" s="30" t="s">
        <v>41</v>
      </c>
      <c r="C202" s="38"/>
      <c r="D202" s="30">
        <f t="shared" si="67"/>
        <v>15529.599999999999</v>
      </c>
      <c r="E202" s="30">
        <f>3884.5+21198.1</f>
        <v>25082.6</v>
      </c>
      <c r="F202" s="30">
        <f>460.9+346</f>
        <v>806.9</v>
      </c>
      <c r="G202" s="42">
        <f>16044.9-196.8+12091+705.7</f>
        <v>28644.799999999999</v>
      </c>
      <c r="H202" s="30">
        <f>1917+2542.7</f>
        <v>4459.7</v>
      </c>
      <c r="I202" s="30">
        <f t="shared" ref="I202" si="69">SUM(B202:H202)</f>
        <v>74523.599999999991</v>
      </c>
    </row>
    <row r="203" spans="1:9" hidden="1" x14ac:dyDescent="0.2">
      <c r="A203" s="28" t="s">
        <v>176</v>
      </c>
      <c r="B203" s="30" t="s">
        <v>41</v>
      </c>
      <c r="C203" s="38"/>
      <c r="D203" s="30">
        <f t="shared" si="67"/>
        <v>15529.599999999999</v>
      </c>
      <c r="E203" s="30">
        <f>3899.6+21292.3</f>
        <v>25191.899999999998</v>
      </c>
      <c r="F203" s="30">
        <f>459.1+346</f>
        <v>805.1</v>
      </c>
      <c r="G203" s="42">
        <f>16074.6-45.5+12234.4+622.5</f>
        <v>28886</v>
      </c>
      <c r="H203" s="30">
        <f>2154.1+2600.7</f>
        <v>4754.7999999999993</v>
      </c>
      <c r="I203" s="30">
        <f t="shared" ref="I203" si="70">SUM(B203:H203)</f>
        <v>75167.400000000009</v>
      </c>
    </row>
    <row r="204" spans="1:9" hidden="1" x14ac:dyDescent="0.2">
      <c r="A204" s="28" t="s">
        <v>177</v>
      </c>
      <c r="B204" s="30" t="s">
        <v>41</v>
      </c>
      <c r="C204" s="38"/>
      <c r="D204" s="30">
        <f t="shared" si="67"/>
        <v>15529.599999999999</v>
      </c>
      <c r="E204" s="30">
        <f>3898.7+21703.4</f>
        <v>25602.100000000002</v>
      </c>
      <c r="F204" s="30">
        <f>459.1+346</f>
        <v>805.1</v>
      </c>
      <c r="G204" s="42">
        <f>16644.9+2+12379.2+697.5</f>
        <v>29723.600000000002</v>
      </c>
      <c r="H204" s="30">
        <f>2500.8+2874.5</f>
        <v>5375.3</v>
      </c>
      <c r="I204" s="30">
        <f t="shared" ref="I204" si="71">SUM(B204:H204)</f>
        <v>77035.7</v>
      </c>
    </row>
    <row r="205" spans="1:9" hidden="1" x14ac:dyDescent="0.2">
      <c r="A205" s="28" t="s">
        <v>178</v>
      </c>
      <c r="B205" s="30" t="s">
        <v>41</v>
      </c>
      <c r="C205" s="38"/>
      <c r="D205" s="30">
        <f t="shared" si="67"/>
        <v>15529.599999999999</v>
      </c>
      <c r="E205" s="30">
        <f>3899.7+22067.1</f>
        <v>25966.799999999999</v>
      </c>
      <c r="F205" s="30">
        <f>459.1+346</f>
        <v>805.1</v>
      </c>
      <c r="G205" s="42">
        <f>17079.4-264.9+12456.1+828.8</f>
        <v>30099.399999999998</v>
      </c>
      <c r="H205" s="30">
        <f>2570.3+2999.4</f>
        <v>5569.7000000000007</v>
      </c>
      <c r="I205" s="30">
        <f t="shared" ref="I205" si="72">SUM(B205:H205)</f>
        <v>77970.599999999991</v>
      </c>
    </row>
    <row r="206" spans="1:9" hidden="1" x14ac:dyDescent="0.2">
      <c r="A206" s="28" t="s">
        <v>179</v>
      </c>
      <c r="B206" s="30" t="s">
        <v>41</v>
      </c>
      <c r="C206" s="38"/>
      <c r="D206" s="30">
        <f>3812.2+11770.3</f>
        <v>15582.5</v>
      </c>
      <c r="E206" s="30">
        <f>3813.4+22455.4</f>
        <v>26268.800000000003</v>
      </c>
      <c r="F206" s="30">
        <f>346</f>
        <v>346</v>
      </c>
      <c r="G206" s="42">
        <f>17059.8+12450.8+1055.1</f>
        <v>30565.699999999997</v>
      </c>
      <c r="H206" s="30">
        <f>3041.3+2911.3</f>
        <v>5952.6</v>
      </c>
      <c r="I206" s="30">
        <f t="shared" ref="I206:I210" si="73">SUM(B206:H206)</f>
        <v>78715.600000000006</v>
      </c>
    </row>
    <row r="207" spans="1:9" hidden="1" x14ac:dyDescent="0.2">
      <c r="A207" s="28" t="s">
        <v>180</v>
      </c>
      <c r="B207" s="30" t="s">
        <v>41</v>
      </c>
      <c r="C207" s="38"/>
      <c r="D207" s="30">
        <v>15582.5</v>
      </c>
      <c r="E207" s="30">
        <v>27366.199999999997</v>
      </c>
      <c r="F207" s="30">
        <v>346</v>
      </c>
      <c r="G207" s="42">
        <v>31631.4</v>
      </c>
      <c r="H207" s="30">
        <v>6514.5</v>
      </c>
      <c r="I207" s="30">
        <f t="shared" si="73"/>
        <v>81440.600000000006</v>
      </c>
    </row>
    <row r="208" spans="1:9" hidden="1" x14ac:dyDescent="0.2">
      <c r="A208" s="28" t="s">
        <v>182</v>
      </c>
      <c r="B208" s="30" t="s">
        <v>41</v>
      </c>
      <c r="C208" s="38"/>
      <c r="D208" s="30">
        <v>15608.3</v>
      </c>
      <c r="E208" s="30">
        <v>27943.699999999997</v>
      </c>
      <c r="F208" s="30">
        <v>346</v>
      </c>
      <c r="G208" s="42">
        <v>32115.8</v>
      </c>
      <c r="H208" s="30">
        <v>6363.5</v>
      </c>
      <c r="I208" s="30">
        <f t="shared" si="73"/>
        <v>82377.3</v>
      </c>
    </row>
    <row r="209" spans="1:9" hidden="1" x14ac:dyDescent="0.2">
      <c r="A209" s="28" t="s">
        <v>183</v>
      </c>
      <c r="B209" s="30" t="s">
        <v>41</v>
      </c>
      <c r="C209" s="38"/>
      <c r="D209" s="30">
        <v>16345.6</v>
      </c>
      <c r="E209" s="30">
        <v>28440.7</v>
      </c>
      <c r="F209" s="30">
        <v>331.2</v>
      </c>
      <c r="G209" s="42">
        <v>32945.599999999999</v>
      </c>
      <c r="H209" s="30">
        <v>5045.5</v>
      </c>
      <c r="I209" s="30">
        <f t="shared" si="73"/>
        <v>83108.600000000006</v>
      </c>
    </row>
    <row r="210" spans="1:9" hidden="1" x14ac:dyDescent="0.2">
      <c r="A210" s="28" t="s">
        <v>171</v>
      </c>
      <c r="B210" s="30" t="s">
        <v>41</v>
      </c>
      <c r="C210" s="38"/>
      <c r="D210" s="30">
        <v>16432.400000000001</v>
      </c>
      <c r="E210" s="30">
        <v>29691.599999999999</v>
      </c>
      <c r="F210" s="30">
        <v>331.2</v>
      </c>
      <c r="G210" s="42">
        <v>33201.1</v>
      </c>
      <c r="H210" s="30">
        <v>4057.7</v>
      </c>
      <c r="I210" s="30">
        <f t="shared" si="73"/>
        <v>83713.999999999985</v>
      </c>
    </row>
    <row r="211" spans="1:9" hidden="1" x14ac:dyDescent="0.2">
      <c r="A211" s="28" t="s">
        <v>187</v>
      </c>
      <c r="B211" s="30">
        <v>1914.8</v>
      </c>
      <c r="C211" s="38"/>
      <c r="D211" s="30">
        <f>12509+3919.9</f>
        <v>16428.900000000001</v>
      </c>
      <c r="E211" s="30">
        <f>4422.7+25173.1</f>
        <v>29595.8</v>
      </c>
      <c r="F211" s="30">
        <v>331.2</v>
      </c>
      <c r="G211" s="27">
        <f>16759.7+1030+14343.3+1473.1</f>
        <v>33606.1</v>
      </c>
      <c r="H211" s="30">
        <f>2543.5+1158.2</f>
        <v>3701.7</v>
      </c>
      <c r="I211" s="30">
        <f t="shared" ref="I211" si="74">SUM(B211:H211)</f>
        <v>85578.499999999985</v>
      </c>
    </row>
    <row r="212" spans="1:9" hidden="1" x14ac:dyDescent="0.2">
      <c r="A212" s="28" t="s">
        <v>163</v>
      </c>
      <c r="B212" s="30">
        <v>1914.8</v>
      </c>
      <c r="C212" s="38"/>
      <c r="D212" s="30">
        <f>12509+3919.9</f>
        <v>16428.900000000001</v>
      </c>
      <c r="E212" s="30">
        <f>3922.9+25542.3</f>
        <v>29465.200000000001</v>
      </c>
      <c r="F212" s="30">
        <v>331.2</v>
      </c>
      <c r="G212" s="27">
        <f>17534.9+60.3+15188.8+136</f>
        <v>32920</v>
      </c>
      <c r="H212" s="30">
        <f>2813.6+1881.4</f>
        <v>4695</v>
      </c>
      <c r="I212" s="30">
        <f t="shared" ref="I212" si="75">SUM(B212:H212)</f>
        <v>85755.1</v>
      </c>
    </row>
    <row r="213" spans="1:9" hidden="1" x14ac:dyDescent="0.2">
      <c r="A213" s="46" t="s">
        <v>189</v>
      </c>
      <c r="B213" s="30">
        <v>2214.8000000000002</v>
      </c>
      <c r="C213" s="38"/>
      <c r="D213" s="30">
        <f>12509+4586</f>
        <v>17095</v>
      </c>
      <c r="E213" s="30">
        <f>3861+26162.5</f>
        <v>30023.5</v>
      </c>
      <c r="F213" s="30">
        <v>331.2</v>
      </c>
      <c r="G213" s="27">
        <f>17389.9+307.1+15390.8+112.8</f>
        <v>33200.600000000006</v>
      </c>
      <c r="H213" s="30">
        <f>2867.7+1968.4</f>
        <v>4836.1000000000004</v>
      </c>
      <c r="I213" s="30">
        <f t="shared" ref="I213" si="76">SUM(B213:H213)</f>
        <v>87701.200000000012</v>
      </c>
    </row>
    <row r="214" spans="1:9" hidden="1" x14ac:dyDescent="0.2">
      <c r="A214" s="46" t="s">
        <v>190</v>
      </c>
      <c r="B214" s="30">
        <v>1914.8</v>
      </c>
      <c r="C214" s="38"/>
      <c r="D214" s="30">
        <f>12509+4592.8</f>
        <v>17101.8</v>
      </c>
      <c r="E214" s="30">
        <f>4571+26619.8</f>
        <v>31190.799999999999</v>
      </c>
      <c r="F214" s="30">
        <v>331.2</v>
      </c>
      <c r="G214" s="27">
        <f>17622.2+171.6+15606.8+143.1</f>
        <v>33543.699999999997</v>
      </c>
      <c r="H214" s="30">
        <f>2987.6+1759.7</f>
        <v>4747.3</v>
      </c>
      <c r="I214" s="30">
        <f t="shared" ref="I214" si="77">SUM(B214:H214)</f>
        <v>88829.599999999991</v>
      </c>
    </row>
    <row r="215" spans="1:9" hidden="1" x14ac:dyDescent="0.2">
      <c r="A215" s="28" t="s">
        <v>191</v>
      </c>
      <c r="B215" s="30">
        <v>1914.8</v>
      </c>
      <c r="C215" s="38"/>
      <c r="D215" s="30">
        <f>12509+5125.8</f>
        <v>17634.8</v>
      </c>
      <c r="E215" s="30">
        <f>5062.1+26985</f>
        <v>32047.1</v>
      </c>
      <c r="F215" s="30">
        <v>331.2</v>
      </c>
      <c r="G215" s="27">
        <f>18043.6+68.7+16127.1-251.7</f>
        <v>33987.700000000004</v>
      </c>
      <c r="H215" s="30">
        <f>3037.3+2103.5</f>
        <v>5140.8</v>
      </c>
      <c r="I215" s="30">
        <f t="shared" ref="I215" si="78">SUM(B215:H215)</f>
        <v>91056.400000000009</v>
      </c>
    </row>
    <row r="216" spans="1:9" hidden="1" x14ac:dyDescent="0.2">
      <c r="A216" s="28" t="s">
        <v>195</v>
      </c>
      <c r="B216" s="30">
        <v>1914.8</v>
      </c>
      <c r="C216" s="38"/>
      <c r="D216" s="30">
        <f>12509+5099.5</f>
        <v>17608.5</v>
      </c>
      <c r="E216" s="30">
        <f>5062.5+27635.5</f>
        <v>32698</v>
      </c>
      <c r="F216" s="30">
        <v>331.2</v>
      </c>
      <c r="G216" s="27">
        <f>18869.5-377.6+16043.2+253.5</f>
        <v>34788.600000000006</v>
      </c>
      <c r="H216" s="30">
        <f>2968.3+2184.6</f>
        <v>5152.8999999999996</v>
      </c>
      <c r="I216" s="30">
        <f t="shared" ref="I216" si="79">SUM(B216:H216)</f>
        <v>92494</v>
      </c>
    </row>
    <row r="217" spans="1:9" hidden="1" x14ac:dyDescent="0.2">
      <c r="A217" s="28" t="s">
        <v>194</v>
      </c>
      <c r="B217" s="30">
        <v>2000</v>
      </c>
      <c r="C217" s="38"/>
      <c r="D217" s="30">
        <f>12509+5099.5</f>
        <v>17608.5</v>
      </c>
      <c r="E217" s="30">
        <f>4954+28424</f>
        <v>33378</v>
      </c>
      <c r="F217" s="30">
        <v>331.2</v>
      </c>
      <c r="G217" s="27">
        <f>19096.5-438.9+16264.7+316.3</f>
        <v>35238.600000000006</v>
      </c>
      <c r="H217" s="30">
        <f>3040+2443.5</f>
        <v>5483.5</v>
      </c>
      <c r="I217" s="30">
        <f t="shared" ref="I217" si="80">SUM(B217:H217)</f>
        <v>94039.8</v>
      </c>
    </row>
    <row r="218" spans="1:9" hidden="1" x14ac:dyDescent="0.2">
      <c r="A218" s="28" t="s">
        <v>196</v>
      </c>
      <c r="B218" s="30">
        <v>2000</v>
      </c>
      <c r="C218" s="38"/>
      <c r="D218" s="30">
        <f>12509+5499.5</f>
        <v>18008.5</v>
      </c>
      <c r="E218" s="30">
        <f>4816.6+29394.5</f>
        <v>34211.1</v>
      </c>
      <c r="F218" s="30">
        <v>331.2</v>
      </c>
      <c r="G218" s="27">
        <f>19511.4-676.8+16290+576.4</f>
        <v>35701.000000000007</v>
      </c>
      <c r="H218" s="30">
        <f>3204.3+2490.4</f>
        <v>5694.7000000000007</v>
      </c>
      <c r="I218" s="30">
        <f t="shared" ref="I218" si="81">SUM(B218:H218)</f>
        <v>95946.5</v>
      </c>
    </row>
    <row r="219" spans="1:9" hidden="1" x14ac:dyDescent="0.2">
      <c r="A219" s="28" t="s">
        <v>197</v>
      </c>
      <c r="B219" s="30">
        <f>2000+500</f>
        <v>2500</v>
      </c>
      <c r="C219" s="38"/>
      <c r="D219" s="30">
        <f>12509+5500.8</f>
        <v>18009.8</v>
      </c>
      <c r="E219" s="30">
        <f>4666.8+30089.3</f>
        <v>34756.1</v>
      </c>
      <c r="F219" s="30">
        <v>331.2</v>
      </c>
      <c r="G219" s="27">
        <f>19455.2-403.6+16319.3+849.4</f>
        <v>36220.300000000003</v>
      </c>
      <c r="H219" s="30">
        <f>3226.4+2623.7</f>
        <v>5850.1</v>
      </c>
      <c r="I219" s="30">
        <f t="shared" ref="I219" si="82">SUM(B219:H219)</f>
        <v>97667.5</v>
      </c>
    </row>
    <row r="220" spans="1:9" hidden="1" x14ac:dyDescent="0.2">
      <c r="A220" s="28" t="s">
        <v>198</v>
      </c>
      <c r="B220" s="30">
        <f>2000+1000</f>
        <v>3000</v>
      </c>
      <c r="C220" s="38"/>
      <c r="D220" s="30">
        <f>12509+5500.8</f>
        <v>18009.8</v>
      </c>
      <c r="E220" s="30">
        <f>4618+31047.4</f>
        <v>35665.4</v>
      </c>
      <c r="F220" s="30">
        <v>331.2</v>
      </c>
      <c r="G220" s="27">
        <f>19529.7-103.8+16519+966.8</f>
        <v>36911.700000000004</v>
      </c>
      <c r="H220" s="30">
        <f>3259.5+2825.8</f>
        <v>6085.3</v>
      </c>
      <c r="I220" s="30">
        <f t="shared" ref="I220" si="83">SUM(B220:H220)</f>
        <v>100003.40000000001</v>
      </c>
    </row>
    <row r="221" spans="1:9" hidden="1" x14ac:dyDescent="0.2">
      <c r="A221" s="28" t="s">
        <v>199</v>
      </c>
      <c r="B221" s="30">
        <f>2000+500</f>
        <v>2500</v>
      </c>
      <c r="C221" s="38"/>
      <c r="D221" s="30">
        <f>12832.6+5500.8</f>
        <v>18333.400000000001</v>
      </c>
      <c r="E221" s="30">
        <f>4709.8+31618.6</f>
        <v>36328.400000000001</v>
      </c>
      <c r="F221" s="30">
        <v>331.2</v>
      </c>
      <c r="G221" s="27">
        <f>20549.9+200.6+16488.1+1003.6</f>
        <v>38242.199999999997</v>
      </c>
      <c r="H221" s="30">
        <f>3322.2+2875.6</f>
        <v>6197.7999999999993</v>
      </c>
      <c r="I221" s="30">
        <f t="shared" ref="I221" si="84">SUM(B221:H221)</f>
        <v>101933</v>
      </c>
    </row>
    <row r="222" spans="1:9" hidden="1" x14ac:dyDescent="0.2">
      <c r="A222" s="28"/>
      <c r="B222" s="30"/>
      <c r="C222" s="38"/>
      <c r="D222" s="30"/>
      <c r="E222" s="30"/>
      <c r="F222" s="30"/>
      <c r="H222" s="30"/>
      <c r="I222" s="30"/>
    </row>
    <row r="223" spans="1:9" x14ac:dyDescent="0.2">
      <c r="A223" s="28" t="s">
        <v>174</v>
      </c>
      <c r="B223" s="30">
        <f>2000+500</f>
        <v>2500</v>
      </c>
      <c r="C223" s="38"/>
      <c r="D223" s="30">
        <f>12832.6+5377.7</f>
        <v>18210.3</v>
      </c>
      <c r="E223" s="30">
        <f>4559.4+33263.6</f>
        <v>37823</v>
      </c>
      <c r="F223" s="30">
        <v>331.2</v>
      </c>
      <c r="G223" s="27">
        <f>20795.2+199.6+16784+1049.9</f>
        <v>38828.700000000004</v>
      </c>
      <c r="H223" s="30">
        <f>3270+1537.8</f>
        <v>4807.8</v>
      </c>
      <c r="I223" s="30">
        <f t="shared" ref="I223" si="85">SUM(B223:H223)</f>
        <v>102501.00000000001</v>
      </c>
    </row>
    <row r="224" spans="1:9" x14ac:dyDescent="0.2">
      <c r="A224" s="28" t="s">
        <v>172</v>
      </c>
      <c r="B224" s="30">
        <f>2000+500</f>
        <v>2500</v>
      </c>
      <c r="C224" s="38"/>
      <c r="D224" s="30">
        <f>12832.6+5377.7</f>
        <v>18210.3</v>
      </c>
      <c r="E224" s="30">
        <f>4418.3+32554.9</f>
        <v>36973.200000000004</v>
      </c>
      <c r="F224" s="30">
        <v>331.2</v>
      </c>
      <c r="G224" s="27">
        <f>20918.9+189.4+17076.8+1104.7</f>
        <v>39289.800000000003</v>
      </c>
      <c r="H224" s="30">
        <f>3140.5+1664.5</f>
        <v>4805</v>
      </c>
      <c r="I224" s="30">
        <f t="shared" ref="I224" si="86">SUM(B224:H224)</f>
        <v>102109.5</v>
      </c>
    </row>
    <row r="225" spans="1:9" x14ac:dyDescent="0.2">
      <c r="A225" s="28" t="s">
        <v>173</v>
      </c>
      <c r="B225" s="30">
        <f>2000+500</f>
        <v>2500</v>
      </c>
      <c r="C225" s="38"/>
      <c r="D225" s="30">
        <f>12832.6+5377.7</f>
        <v>18210.3</v>
      </c>
      <c r="E225" s="30">
        <f>4258.4+32809.9</f>
        <v>37068.300000000003</v>
      </c>
      <c r="F225" s="30">
        <v>331.2</v>
      </c>
      <c r="G225" s="27">
        <f>21203.5+11.4+17783.7+74.6</f>
        <v>39073.200000000004</v>
      </c>
      <c r="H225" s="30">
        <f>3835.9+1870</f>
        <v>5705.9</v>
      </c>
      <c r="I225" s="30">
        <f t="shared" ref="I225" si="87">SUM(B225:H225)</f>
        <v>102888.9</v>
      </c>
    </row>
    <row r="226" spans="1:9" x14ac:dyDescent="0.2">
      <c r="A226" s="28" t="s">
        <v>165</v>
      </c>
      <c r="B226" s="30">
        <f>2000</f>
        <v>2000</v>
      </c>
      <c r="C226" s="38"/>
      <c r="D226" s="30">
        <f>12832.6+3592.7</f>
        <v>16425.3</v>
      </c>
      <c r="E226" s="30">
        <f>4007.7+35905.6</f>
        <v>39913.299999999996</v>
      </c>
      <c r="F226" s="30">
        <v>331.2</v>
      </c>
      <c r="G226" s="27">
        <f>21439.8-60.9+19961.7+22.8</f>
        <v>41363.4</v>
      </c>
      <c r="H226" s="30">
        <f>3562.1+2083.4</f>
        <v>5645.5</v>
      </c>
      <c r="I226" s="30">
        <f t="shared" ref="I226" si="88">SUM(B226:H226)</f>
        <v>105678.69999999998</v>
      </c>
    </row>
    <row r="227" spans="1:9" x14ac:dyDescent="0.2">
      <c r="A227" s="28" t="s">
        <v>166</v>
      </c>
      <c r="B227" s="30">
        <f>2000</f>
        <v>2000</v>
      </c>
      <c r="C227" s="38"/>
      <c r="D227" s="30">
        <f>12832.6+3592.7</f>
        <v>16425.3</v>
      </c>
      <c r="E227" s="30">
        <f>3861.5+36041.7</f>
        <v>39903.199999999997</v>
      </c>
      <c r="F227" s="30">
        <v>331.2</v>
      </c>
      <c r="G227" s="27">
        <f>21510.7-114.4+20262.4-100.2</f>
        <v>41558.5</v>
      </c>
      <c r="H227" s="30">
        <f>3761.9+2541</f>
        <v>6302.9</v>
      </c>
      <c r="I227" s="30">
        <f t="shared" ref="I227" si="89">SUM(B227:H227)</f>
        <v>106521.09999999999</v>
      </c>
    </row>
    <row r="228" spans="1:9" x14ac:dyDescent="0.2">
      <c r="A228" s="28" t="s">
        <v>159</v>
      </c>
      <c r="B228" s="30">
        <f>2000</f>
        <v>2000</v>
      </c>
      <c r="C228" s="38"/>
      <c r="D228" s="30">
        <f>12832.6+3592.7</f>
        <v>16425.3</v>
      </c>
      <c r="E228" s="30">
        <f>3711.1+36145.2</f>
        <v>39856.299999999996</v>
      </c>
      <c r="F228" s="30">
        <v>331.2</v>
      </c>
      <c r="G228" s="27">
        <f>21645.5-350.3+19912.6+607.2</f>
        <v>41815</v>
      </c>
      <c r="H228" s="30">
        <f>3876.9+2951.6</f>
        <v>6828.5</v>
      </c>
      <c r="I228" s="30">
        <f t="shared" ref="I228" si="90">SUM(B228:H228)</f>
        <v>107256.29999999999</v>
      </c>
    </row>
    <row r="229" spans="1:9" x14ac:dyDescent="0.2">
      <c r="A229" s="28" t="s">
        <v>167</v>
      </c>
      <c r="B229" s="30">
        <f>2000</f>
        <v>2000</v>
      </c>
      <c r="C229" s="38"/>
      <c r="D229" s="30">
        <f>12832.6+3592.7</f>
        <v>16425.3</v>
      </c>
      <c r="E229" s="30">
        <f>3685.8+36676.9</f>
        <v>40362.700000000004</v>
      </c>
      <c r="F229" s="30">
        <v>331.2</v>
      </c>
      <c r="G229" s="27">
        <f>21649.9-210.2+20180.8+695.6</f>
        <v>42316.1</v>
      </c>
      <c r="H229" s="30">
        <f>4346.6+3087.4</f>
        <v>7434</v>
      </c>
      <c r="I229" s="30">
        <f t="shared" ref="I229" si="91">SUM(B229:H229)</f>
        <v>108869.29999999999</v>
      </c>
    </row>
    <row r="230" spans="1:9" x14ac:dyDescent="0.2">
      <c r="A230" s="28" t="s">
        <v>168</v>
      </c>
      <c r="B230" s="30">
        <f>2000</f>
        <v>2000</v>
      </c>
      <c r="C230" s="38"/>
      <c r="D230" s="30">
        <f>12832.6+3592.7</f>
        <v>16425.3</v>
      </c>
      <c r="E230" s="30">
        <f>3887.5+37178.4</f>
        <v>41065.9</v>
      </c>
      <c r="F230" s="30">
        <v>331.2</v>
      </c>
      <c r="G230" s="27">
        <f>22334.4-255.6+21292.7+840.6</f>
        <v>44212.1</v>
      </c>
      <c r="H230" s="30">
        <f>4329.3+3205.3</f>
        <v>7534.6</v>
      </c>
      <c r="I230" s="30">
        <f t="shared" ref="I230" si="92">SUM(B230:H230)</f>
        <v>111569.1</v>
      </c>
    </row>
    <row r="231" spans="1:9" x14ac:dyDescent="0.2">
      <c r="A231" s="28" t="s">
        <v>160</v>
      </c>
      <c r="B231" s="30">
        <f>2000</f>
        <v>2000</v>
      </c>
      <c r="C231" s="38"/>
      <c r="D231" s="30">
        <f>12832.6+3599.5</f>
        <v>16432.099999999999</v>
      </c>
      <c r="E231" s="30">
        <f>3560.2+37197.8</f>
        <v>40758</v>
      </c>
      <c r="F231" s="30">
        <v>331.2</v>
      </c>
      <c r="G231" s="27">
        <f>21877.1+257.9+21731+974.4</f>
        <v>44840.4</v>
      </c>
      <c r="H231" s="30">
        <f>4511.7+3675.7</f>
        <v>8187.4</v>
      </c>
      <c r="I231" s="30">
        <f t="shared" ref="I231" si="93">SUM(B231:H231)</f>
        <v>112549.09999999999</v>
      </c>
    </row>
    <row r="232" spans="1:9" x14ac:dyDescent="0.2">
      <c r="A232" s="28" t="s">
        <v>169</v>
      </c>
      <c r="B232" s="30">
        <f>2000</f>
        <v>2000</v>
      </c>
      <c r="C232" s="38"/>
      <c r="D232" s="30">
        <f>12832.6+3195.2</f>
        <v>16027.8</v>
      </c>
      <c r="E232" s="30">
        <f>3253.2+37601.8</f>
        <v>40855</v>
      </c>
      <c r="F232" s="30">
        <v>331.2</v>
      </c>
      <c r="G232" s="27">
        <f>21714.8+420.9+22028.9+1110.4</f>
        <v>45275.000000000007</v>
      </c>
      <c r="H232" s="30">
        <f>5174.8+3827.5</f>
        <v>9002.2999999999993</v>
      </c>
      <c r="I232" s="30">
        <f t="shared" ref="I232" si="94">SUM(B232:H232)</f>
        <v>113491.3</v>
      </c>
    </row>
    <row r="233" spans="1:9" x14ac:dyDescent="0.2">
      <c r="A233" s="28" t="s">
        <v>64</v>
      </c>
      <c r="B233" s="30">
        <f>2005.5</f>
        <v>2005.5</v>
      </c>
      <c r="C233" s="38"/>
      <c r="D233" s="30">
        <f>7150.5+759.8</f>
        <v>7910.3</v>
      </c>
      <c r="E233" s="30">
        <f>42184.5+8239.2</f>
        <v>50423.7</v>
      </c>
      <c r="F233" s="30">
        <v>331.2</v>
      </c>
      <c r="G233" s="27">
        <f>22120.6+1285.2+21691+1040.6</f>
        <v>46137.4</v>
      </c>
      <c r="H233" s="30">
        <f>3556.7+4321.5+1417.2+1228.9</f>
        <v>10524.3</v>
      </c>
      <c r="I233" s="30">
        <f t="shared" ref="I233" si="95">SUM(B233:H233)</f>
        <v>117332.40000000001</v>
      </c>
    </row>
    <row r="234" spans="1:9" x14ac:dyDescent="0.2">
      <c r="A234" s="28" t="s">
        <v>161</v>
      </c>
      <c r="B234" s="30">
        <f>2022.8</f>
        <v>2022.8</v>
      </c>
      <c r="C234" s="38"/>
      <c r="D234" s="30">
        <f>7908.9+765.1</f>
        <v>8674</v>
      </c>
      <c r="E234" s="30">
        <f>44276.9+7702.2</f>
        <v>51979.1</v>
      </c>
      <c r="F234" s="30">
        <v>331.2</v>
      </c>
      <c r="G234" s="27">
        <f>22032+1336.5+22139.5+1210.2</f>
        <v>46718.2</v>
      </c>
      <c r="H234" s="30">
        <f>2787.6+4291.7+1419.5+1237.9</f>
        <v>9736.6999999999989</v>
      </c>
      <c r="I234" s="30">
        <f t="shared" ref="I234" si="96">SUM(B234:H234)</f>
        <v>119461.99999999999</v>
      </c>
    </row>
    <row r="235" spans="1:9" x14ac:dyDescent="0.2">
      <c r="A235" s="28"/>
      <c r="B235" s="30"/>
      <c r="C235" s="38"/>
      <c r="D235" s="30"/>
      <c r="E235" s="30"/>
      <c r="F235" s="30"/>
      <c r="H235" s="30"/>
      <c r="I235" s="30"/>
    </row>
    <row r="236" spans="1:9" x14ac:dyDescent="0.2">
      <c r="A236" s="28" t="s">
        <v>185</v>
      </c>
      <c r="B236" s="30">
        <v>2039.5</v>
      </c>
      <c r="C236" s="38"/>
      <c r="D236" s="30">
        <f>7908.9+789.6</f>
        <v>8698.5</v>
      </c>
      <c r="E236" s="30">
        <f>44004.8+7636.5</f>
        <v>51641.3</v>
      </c>
      <c r="F236" s="30">
        <v>331.2</v>
      </c>
      <c r="G236" s="27">
        <f>22229.5+1344.3+23688.7+1183.5</f>
        <v>48446</v>
      </c>
      <c r="H236" s="30">
        <f>2516.5+4239.4+926.4+1246.7</f>
        <v>8929</v>
      </c>
      <c r="I236" s="30">
        <f t="shared" ref="I236" si="97">SUM(B236:H236)</f>
        <v>120085.5</v>
      </c>
    </row>
    <row r="237" spans="1:9" x14ac:dyDescent="0.2">
      <c r="A237" s="28" t="s">
        <v>172</v>
      </c>
      <c r="B237" s="30">
        <v>2002.8</v>
      </c>
      <c r="C237" s="38"/>
      <c r="D237" s="30">
        <f>7908.9+828</f>
        <v>8736.9</v>
      </c>
      <c r="E237" s="30">
        <f>44585+8658.7</f>
        <v>53243.7</v>
      </c>
      <c r="F237" s="30">
        <v>331.2</v>
      </c>
      <c r="G237" s="27">
        <f>22697.5+1604.3+24306.9+1027.6</f>
        <v>49636.299999999996</v>
      </c>
      <c r="H237" s="30">
        <f>3176.3+4240+921+1254.8</f>
        <v>9592.0999999999985</v>
      </c>
      <c r="I237" s="30">
        <f t="shared" ref="I237" si="98">SUM(B237:H237)</f>
        <v>123543</v>
      </c>
    </row>
    <row r="238" spans="1:9" x14ac:dyDescent="0.2">
      <c r="A238" s="28" t="s">
        <v>173</v>
      </c>
      <c r="B238" s="30">
        <v>2019.7</v>
      </c>
      <c r="C238" s="38"/>
      <c r="D238" s="30">
        <f>7908.9+838.1</f>
        <v>8747</v>
      </c>
      <c r="E238" s="30">
        <f>45379.4+10415.3</f>
        <v>55794.7</v>
      </c>
      <c r="F238" s="30">
        <v>331.2</v>
      </c>
      <c r="G238" s="27">
        <f>23741.6+319.4+25213.4+54</f>
        <v>49328.4</v>
      </c>
      <c r="H238" s="30">
        <f>3323.7+5141+921.9+1263.5</f>
        <v>10650.1</v>
      </c>
      <c r="I238" s="30">
        <f t="shared" ref="I238:I239" si="99">SUM(B238:H238)</f>
        <v>126871.1</v>
      </c>
    </row>
    <row r="239" spans="1:9" x14ac:dyDescent="0.2">
      <c r="A239" s="46" t="s">
        <v>165</v>
      </c>
      <c r="B239" s="47">
        <v>2036.2</v>
      </c>
      <c r="C239" s="48"/>
      <c r="D239" s="47">
        <v>12376.4</v>
      </c>
      <c r="E239" s="47">
        <v>52298.400000000001</v>
      </c>
      <c r="F239" s="47">
        <v>331.2</v>
      </c>
      <c r="G239" s="27">
        <v>50252</v>
      </c>
      <c r="H239" s="47">
        <v>10277.799999999999</v>
      </c>
      <c r="I239" s="47">
        <f t="shared" si="99"/>
        <v>127572</v>
      </c>
    </row>
    <row r="240" spans="1:9" x14ac:dyDescent="0.2">
      <c r="A240" s="46" t="s">
        <v>166</v>
      </c>
      <c r="B240" s="47">
        <v>2003.8</v>
      </c>
      <c r="C240" s="48"/>
      <c r="D240" s="47">
        <f>7908.9+847.1</f>
        <v>8756</v>
      </c>
      <c r="E240" s="47">
        <f>45417.6+10643.2</f>
        <v>56060.800000000003</v>
      </c>
      <c r="F240" s="47">
        <v>331.2</v>
      </c>
      <c r="G240" s="27">
        <f>24356.4+437.8+25857.5+561.1</f>
        <v>51212.799999999996</v>
      </c>
      <c r="H240" s="47">
        <f>3243.1+4878.4+624.8+1175.2</f>
        <v>9921.5</v>
      </c>
      <c r="I240" s="47">
        <f t="shared" ref="I240:I247" si="100">SUM(B240:H240)</f>
        <v>128286.1</v>
      </c>
    </row>
    <row r="241" spans="1:12" x14ac:dyDescent="0.2">
      <c r="A241" s="46" t="s">
        <v>159</v>
      </c>
      <c r="B241" s="47">
        <v>2020.3</v>
      </c>
      <c r="C241" s="48"/>
      <c r="D241" s="47">
        <f>7908.9+3285.2</f>
        <v>11194.099999999999</v>
      </c>
      <c r="E241" s="47">
        <f>11102.8+41886.1</f>
        <v>52988.899999999994</v>
      </c>
      <c r="F241" s="47">
        <v>331.2</v>
      </c>
      <c r="G241" s="27">
        <f>24347+577.1+25773.5+714.8</f>
        <v>51412.4</v>
      </c>
      <c r="H241" s="47">
        <f>3066+4456.5+622.5+1537.9</f>
        <v>9682.9</v>
      </c>
      <c r="I241" s="47">
        <f t="shared" si="100"/>
        <v>127629.79999999999</v>
      </c>
    </row>
    <row r="242" spans="1:12" x14ac:dyDescent="0.2">
      <c r="A242" s="46" t="s">
        <v>167</v>
      </c>
      <c r="B242" s="47">
        <v>2037.3</v>
      </c>
      <c r="C242" s="48"/>
      <c r="D242" s="47">
        <f>18335.8+7908.9</f>
        <v>26244.699999999997</v>
      </c>
      <c r="E242" s="47">
        <f>28668.7+11356.1</f>
        <v>40024.800000000003</v>
      </c>
      <c r="F242" s="47">
        <v>331.2</v>
      </c>
      <c r="G242" s="27">
        <f>26086.5+747.7+24303+764.6</f>
        <v>51901.799999999996</v>
      </c>
      <c r="H242" s="47">
        <f>3159.6+1548.6+4607.5+624.1</f>
        <v>9939.8000000000011</v>
      </c>
      <c r="I242" s="47">
        <f t="shared" si="100"/>
        <v>130479.59999999999</v>
      </c>
    </row>
    <row r="243" spans="1:12" x14ac:dyDescent="0.2">
      <c r="A243" s="46" t="s">
        <v>168</v>
      </c>
      <c r="B243" s="47">
        <v>2003.8</v>
      </c>
      <c r="C243" s="48"/>
      <c r="D243" s="47">
        <f>18366.4+7908.9</f>
        <v>26275.300000000003</v>
      </c>
      <c r="E243" s="47">
        <f>11589.4+28881.2</f>
        <v>40470.6</v>
      </c>
      <c r="F243" s="47">
        <v>331.2</v>
      </c>
      <c r="G243" s="27">
        <f>875.4+25026.8+26367.3+962.5</f>
        <v>53232</v>
      </c>
      <c r="H243" s="47">
        <f>625.5+4953.6+3383.2+1562</f>
        <v>10524.3</v>
      </c>
      <c r="I243" s="47">
        <f t="shared" si="100"/>
        <v>132837.19999999998</v>
      </c>
    </row>
    <row r="244" spans="1:12" x14ac:dyDescent="0.2">
      <c r="A244" s="46" t="s">
        <v>160</v>
      </c>
      <c r="B244" s="47">
        <v>2020.3</v>
      </c>
      <c r="C244" s="48"/>
      <c r="D244" s="47">
        <f>7908.9+18412.6</f>
        <v>26321.5</v>
      </c>
      <c r="E244" s="47">
        <f>29606.9+11542.5</f>
        <v>41149.4</v>
      </c>
      <c r="F244" s="47">
        <v>331.2</v>
      </c>
      <c r="G244" s="27">
        <f>26477.6+1257.7+25049.5+1138.2</f>
        <v>53923</v>
      </c>
      <c r="H244" s="47">
        <f>3807.6+1565.2+4518.7+626.8</f>
        <v>10518.3</v>
      </c>
      <c r="I244" s="47">
        <f t="shared" si="100"/>
        <v>134263.69999999998</v>
      </c>
    </row>
    <row r="245" spans="1:12" x14ac:dyDescent="0.2">
      <c r="A245" s="46" t="s">
        <v>169</v>
      </c>
      <c r="B245" s="47">
        <v>2037.3</v>
      </c>
      <c r="C245" s="48"/>
      <c r="D245" s="47">
        <f>7908.9+4956.2</f>
        <v>12865.099999999999</v>
      </c>
      <c r="E245" s="47">
        <f>42735.2+11489.4</f>
        <v>54224.6</v>
      </c>
      <c r="F245" s="47">
        <v>331.2</v>
      </c>
      <c r="G245" s="27">
        <f>26807.7+1620.3+25021+1356.9</f>
        <v>54805.9</v>
      </c>
      <c r="H245" s="47">
        <f>3801.7+1576.3+1857.3+4348.5</f>
        <v>11583.8</v>
      </c>
      <c r="I245" s="47">
        <f t="shared" si="100"/>
        <v>135847.9</v>
      </c>
    </row>
    <row r="246" spans="1:12" x14ac:dyDescent="0.2">
      <c r="A246" s="46" t="s">
        <v>64</v>
      </c>
      <c r="B246" s="47">
        <v>2003.3</v>
      </c>
      <c r="C246" s="48"/>
      <c r="D246" s="47">
        <f>7908.9+4991.7</f>
        <v>12900.599999999999</v>
      </c>
      <c r="E246" s="47">
        <f>43434.4+11423.7</f>
        <v>54858.100000000006</v>
      </c>
      <c r="F246" s="47">
        <v>331.2</v>
      </c>
      <c r="G246" s="27">
        <f>1339.8+25381.2+27251+1660.7</f>
        <v>55632.7</v>
      </c>
      <c r="H246" s="47">
        <f>4330.4+1859.4+3751.4+1587.1</f>
        <v>11528.3</v>
      </c>
      <c r="I246" s="47">
        <f t="shared" si="100"/>
        <v>137254.19999999998</v>
      </c>
    </row>
    <row r="247" spans="1:12" x14ac:dyDescent="0.2">
      <c r="A247" s="46" t="s">
        <v>161</v>
      </c>
      <c r="B247" s="47">
        <f>2020.6</f>
        <v>2020.6</v>
      </c>
      <c r="C247" s="48"/>
      <c r="D247" s="47">
        <f>8333.5+4147.5</f>
        <v>12481</v>
      </c>
      <c r="E247" s="47">
        <f>43825.5+11571.1</f>
        <v>55396.6</v>
      </c>
      <c r="F247" s="47">
        <v>331.2</v>
      </c>
      <c r="G247" s="27">
        <f>27344.4+1883.3+26602.1+595.6</f>
        <v>56425.4</v>
      </c>
      <c r="H247" s="47">
        <f>1589.1+3272.6+4519.3+2170</f>
        <v>11551</v>
      </c>
      <c r="I247" s="47">
        <f t="shared" si="100"/>
        <v>138205.79999999999</v>
      </c>
    </row>
    <row r="248" spans="1:12" x14ac:dyDescent="0.2">
      <c r="A248" s="46"/>
      <c r="B248" s="47"/>
      <c r="C248" s="48"/>
      <c r="D248" s="47"/>
      <c r="E248" s="47"/>
      <c r="F248" s="47"/>
      <c r="H248" s="47"/>
      <c r="I248" s="47"/>
    </row>
    <row r="249" spans="1:12" x14ac:dyDescent="0.2">
      <c r="A249" s="46" t="s">
        <v>202</v>
      </c>
      <c r="B249" s="47">
        <f>1030.1</f>
        <v>1030.0999999999999</v>
      </c>
      <c r="C249" s="48"/>
      <c r="D249" s="47">
        <f>4682.4+10385.9</f>
        <v>15068.3</v>
      </c>
      <c r="E249" s="47">
        <f>1993.4+44130.4</f>
        <v>46123.8</v>
      </c>
      <c r="F249" s="47">
        <v>331.2</v>
      </c>
      <c r="G249" s="27">
        <f>27622.7+1950.7+26961.2+455.3</f>
        <v>56989.900000000009</v>
      </c>
      <c r="H249" s="47">
        <f>11358.3+1651.3+4202.1+1846.4</f>
        <v>19058.099999999999</v>
      </c>
      <c r="I249" s="47">
        <f t="shared" ref="I249" si="101">SUM(B249:H249)</f>
        <v>138601.40000000002</v>
      </c>
    </row>
    <row r="250" spans="1:12" x14ac:dyDescent="0.2">
      <c r="A250" s="46"/>
      <c r="B250" s="25"/>
      <c r="C250" s="13"/>
      <c r="D250" s="25"/>
      <c r="E250" s="25"/>
      <c r="F250" s="25"/>
      <c r="G250" s="13"/>
      <c r="H250" s="25"/>
      <c r="I250" s="26"/>
      <c r="J250" s="27"/>
      <c r="L250" s="27"/>
    </row>
    <row r="251" spans="1:12" hidden="1" x14ac:dyDescent="0.2">
      <c r="A251" s="33" t="s">
        <v>22</v>
      </c>
      <c r="B251" s="34"/>
      <c r="C251" s="34"/>
      <c r="D251" s="34"/>
      <c r="E251" s="34"/>
      <c r="F251" s="34"/>
      <c r="G251" s="34"/>
      <c r="H251" s="34"/>
      <c r="I251" s="35"/>
    </row>
    <row r="252" spans="1:12" hidden="1" x14ac:dyDescent="0.2">
      <c r="A252" s="36"/>
      <c r="B252" s="9"/>
      <c r="C252" s="9"/>
      <c r="D252" s="9"/>
      <c r="E252" s="9"/>
      <c r="F252" s="9"/>
      <c r="G252" s="9"/>
      <c r="H252" s="9"/>
      <c r="I252" s="37"/>
    </row>
    <row r="253" spans="1:12" x14ac:dyDescent="0.2">
      <c r="A253" s="1"/>
      <c r="B253" s="2"/>
      <c r="C253" s="2"/>
      <c r="D253" s="2"/>
      <c r="E253" s="2"/>
      <c r="F253" s="2"/>
      <c r="G253" s="2"/>
      <c r="H253" s="2"/>
      <c r="I253" s="3"/>
    </row>
    <row r="254" spans="1:12" x14ac:dyDescent="0.2">
      <c r="A254" s="51" t="s">
        <v>201</v>
      </c>
      <c r="B254" s="44"/>
      <c r="C254" s="44"/>
      <c r="D254" s="44"/>
      <c r="E254" s="44"/>
      <c r="F254" s="44"/>
      <c r="G254" s="44"/>
      <c r="H254" s="44"/>
      <c r="I254" s="45"/>
    </row>
    <row r="255" spans="1:12" x14ac:dyDescent="0.2">
      <c r="A255" s="40"/>
    </row>
    <row r="256" spans="1:12" x14ac:dyDescent="0.2">
      <c r="A256" s="41"/>
      <c r="B256" s="29"/>
      <c r="C256" s="29"/>
      <c r="D256" s="29"/>
      <c r="E256" s="29"/>
      <c r="F256" s="29"/>
      <c r="G256" s="29"/>
      <c r="H256" s="29"/>
      <c r="I256" s="42"/>
    </row>
    <row r="264" spans="9:9" x14ac:dyDescent="0.2">
      <c r="I264" s="39" t="s">
        <v>181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ii5-2sitconso des etsfinapassif</vt:lpstr>
      <vt:lpstr>'ii5-2sitconso des etsfinapassif'!Print_Area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2016-09-27T08:06:34Z</cp:lastPrinted>
  <dcterms:created xsi:type="dcterms:W3CDTF">2000-09-11T06:53:43Z</dcterms:created>
  <dcterms:modified xsi:type="dcterms:W3CDTF">2017-03-31T06:30:24Z</dcterms:modified>
</cp:coreProperties>
</file>