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" yWindow="45" windowWidth="9315" windowHeight="8025"/>
  </bookViews>
  <sheets>
    <sheet name="ii5-2sitconso des etsfinapassif" sheetId="1" r:id="rId1"/>
    <sheet name="Sheet1" sheetId="2" r:id="rId2"/>
  </sheets>
  <definedNames>
    <definedName name="_xlnm.Print_Area" localSheetId="0">'ii5-2sitconso des etsfinapassif'!$A$1:$I$259</definedName>
    <definedName name="Zone_impres_MI">'ii5-2sitconso des etsfinapassif'!$A$1:$I$256</definedName>
  </definedNames>
  <calcPr calcId="145621"/>
</workbook>
</file>

<file path=xl/calcChain.xml><?xml version="1.0" encoding="utf-8"?>
<calcChain xmlns="http://schemas.openxmlformats.org/spreadsheetml/2006/main">
  <c r="G253" i="1" l="1"/>
  <c r="I253" i="1"/>
  <c r="H253" i="1"/>
  <c r="E253" i="1"/>
  <c r="D253" i="1"/>
  <c r="B253" i="1"/>
  <c r="I50" i="1" l="1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39" i="2"/>
  <c r="I252" i="1" l="1"/>
  <c r="I180" i="1"/>
  <c r="I170" i="1"/>
  <c r="I238" i="1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6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29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25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18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14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10" i="2"/>
  <c r="I251" i="1" l="1"/>
  <c r="I250" i="1" l="1"/>
  <c r="I248" i="1" l="1"/>
  <c r="I247" i="1"/>
  <c r="I246" i="1" l="1"/>
  <c r="I245" i="1" l="1"/>
  <c r="I244" i="1" l="1"/>
  <c r="I243" i="1" l="1"/>
  <c r="I242" i="1" l="1"/>
  <c r="I240" i="1"/>
  <c r="I241" i="1" l="1"/>
  <c r="I239" i="1" l="1"/>
  <c r="I237" i="1" l="1"/>
  <c r="I235" i="1" l="1"/>
  <c r="I234" i="1" l="1"/>
  <c r="I233" i="1" l="1"/>
  <c r="I232" i="1" l="1"/>
  <c r="I231" i="1" l="1"/>
  <c r="I230" i="1" l="1"/>
  <c r="I229" i="1" l="1"/>
  <c r="I228" i="1" l="1"/>
  <c r="I227" i="1" l="1"/>
  <c r="I226" i="1" l="1"/>
  <c r="I225" i="1" l="1"/>
  <c r="I224" i="1" l="1"/>
  <c r="I195" i="1" l="1"/>
  <c r="I222" i="1" l="1"/>
  <c r="I221" i="1" l="1"/>
  <c r="I220" i="1" l="1"/>
  <c r="I219" i="1" l="1"/>
  <c r="I218" i="1" l="1"/>
  <c r="I217" i="1" l="1"/>
  <c r="I216" i="1" l="1"/>
  <c r="I215" i="1" l="1"/>
  <c r="I214" i="1" l="1"/>
  <c r="I32" i="1"/>
  <c r="H31" i="1"/>
  <c r="G31" i="1"/>
  <c r="F31" i="1"/>
  <c r="E31" i="1"/>
  <c r="D31" i="1"/>
  <c r="I213" i="1" l="1"/>
  <c r="I31" i="1"/>
  <c r="I212" i="1" l="1"/>
  <c r="I207" i="1"/>
  <c r="I208" i="1"/>
  <c r="I209" i="1"/>
  <c r="I211" i="1"/>
  <c r="H30" i="1" l="1"/>
  <c r="G30" i="1"/>
  <c r="F30" i="1"/>
  <c r="E30" i="1"/>
  <c r="D30" i="1"/>
  <c r="I206" i="1"/>
  <c r="I30" i="1" l="1"/>
  <c r="I205" i="1" l="1"/>
  <c r="I204" i="1" l="1"/>
  <c r="I203" i="1" l="1"/>
  <c r="I202" i="1" l="1"/>
  <c r="I201" i="1" l="1"/>
  <c r="H28" i="1"/>
  <c r="G28" i="1"/>
  <c r="F28" i="1"/>
  <c r="E28" i="1"/>
  <c r="D28" i="1"/>
  <c r="I28" i="1" l="1"/>
  <c r="I200" i="1"/>
  <c r="I199" i="1" l="1"/>
  <c r="I198" i="1" l="1"/>
  <c r="I196" i="1" l="1"/>
  <c r="I194" i="1" l="1"/>
  <c r="I193" i="1" l="1"/>
  <c r="I192" i="1" l="1"/>
  <c r="I191" i="1" l="1"/>
  <c r="I190" i="1" l="1"/>
  <c r="I189" i="1" l="1"/>
  <c r="I188" i="1" l="1"/>
  <c r="I187" i="1" l="1"/>
  <c r="I186" i="1" l="1"/>
  <c r="I185" i="1" l="1"/>
  <c r="I183" i="1" l="1"/>
  <c r="I182" i="1" l="1"/>
  <c r="I181" i="1" l="1"/>
  <c r="I179" i="1" l="1"/>
  <c r="I178" i="1" l="1"/>
  <c r="I177" i="1" l="1"/>
  <c r="I176" i="1" l="1"/>
  <c r="I175" i="1" l="1"/>
  <c r="I174" i="1" l="1"/>
  <c r="I173" i="1" l="1"/>
  <c r="I172" i="1" l="1"/>
  <c r="H169" i="1" l="1"/>
  <c r="G169" i="1"/>
  <c r="E169" i="1"/>
  <c r="D169" i="1"/>
  <c r="F169" i="1"/>
  <c r="I169" i="1" l="1"/>
  <c r="H168" i="1"/>
  <c r="G168" i="1"/>
  <c r="F168" i="1"/>
  <c r="E168" i="1"/>
  <c r="D168" i="1"/>
  <c r="H167" i="1"/>
  <c r="G167" i="1"/>
  <c r="E167" i="1"/>
  <c r="D167" i="1"/>
  <c r="B167" i="1"/>
  <c r="F167" i="1"/>
  <c r="B166" i="1"/>
  <c r="H166" i="1"/>
  <c r="G166" i="1"/>
  <c r="F166" i="1"/>
  <c r="E166" i="1"/>
  <c r="D166" i="1"/>
  <c r="D165" i="1"/>
  <c r="H165" i="1"/>
  <c r="G165" i="1"/>
  <c r="E165" i="1"/>
  <c r="F165" i="1"/>
  <c r="H164" i="1"/>
  <c r="G164" i="1"/>
  <c r="F164" i="1"/>
  <c r="E164" i="1"/>
  <c r="D164" i="1"/>
  <c r="H163" i="1"/>
  <c r="D163" i="1"/>
  <c r="E163" i="1"/>
  <c r="F163" i="1"/>
  <c r="G163" i="1"/>
  <c r="E162" i="1"/>
  <c r="H162" i="1"/>
  <c r="G162" i="1"/>
  <c r="F162" i="1"/>
  <c r="D162" i="1"/>
  <c r="D119" i="1"/>
  <c r="E119" i="1"/>
  <c r="F119" i="1"/>
  <c r="G119" i="1"/>
  <c r="H119" i="1"/>
  <c r="H161" i="1"/>
  <c r="G161" i="1"/>
  <c r="F161" i="1"/>
  <c r="E161" i="1"/>
  <c r="D161" i="1"/>
  <c r="H160" i="1"/>
  <c r="G160" i="1"/>
  <c r="E160" i="1"/>
  <c r="D160" i="1"/>
  <c r="F160" i="1"/>
  <c r="H159" i="1"/>
  <c r="G159" i="1"/>
  <c r="E159" i="1"/>
  <c r="D159" i="1"/>
  <c r="F159" i="1"/>
  <c r="H157" i="1"/>
  <c r="G157" i="1"/>
  <c r="F157" i="1"/>
  <c r="E157" i="1"/>
  <c r="D157" i="1"/>
  <c r="H156" i="1"/>
  <c r="G156" i="1"/>
  <c r="E156" i="1"/>
  <c r="D156" i="1"/>
  <c r="F156" i="1"/>
  <c r="G155" i="1"/>
  <c r="H155" i="1"/>
  <c r="E155" i="1"/>
  <c r="D155" i="1"/>
  <c r="F155" i="1"/>
  <c r="E154" i="1"/>
  <c r="H154" i="1"/>
  <c r="G154" i="1"/>
  <c r="F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E150" i="1"/>
  <c r="D150" i="1"/>
  <c r="F150" i="1"/>
  <c r="H149" i="1"/>
  <c r="G149" i="1"/>
  <c r="E149" i="1"/>
  <c r="D149" i="1"/>
  <c r="F149" i="1"/>
  <c r="H148" i="1"/>
  <c r="G148" i="1"/>
  <c r="E148" i="1"/>
  <c r="D148" i="1"/>
  <c r="F148" i="1"/>
  <c r="E147" i="1"/>
  <c r="H147" i="1"/>
  <c r="G147" i="1"/>
  <c r="F147" i="1"/>
  <c r="D147" i="1"/>
  <c r="H146" i="1"/>
  <c r="G146" i="1"/>
  <c r="E146" i="1"/>
  <c r="D146" i="1"/>
  <c r="F146" i="1"/>
  <c r="D17" i="1"/>
  <c r="E17" i="1"/>
  <c r="F17" i="1"/>
  <c r="G17" i="1"/>
  <c r="H17" i="1"/>
  <c r="H144" i="1"/>
  <c r="G144" i="1"/>
  <c r="F144" i="1"/>
  <c r="E144" i="1"/>
  <c r="D144" i="1"/>
  <c r="H143" i="1"/>
  <c r="G143" i="1"/>
  <c r="F143" i="1"/>
  <c r="E143" i="1"/>
  <c r="D143" i="1"/>
  <c r="B52" i="1"/>
  <c r="C52" i="1"/>
  <c r="D52" i="1"/>
  <c r="E52" i="1"/>
  <c r="F52" i="1"/>
  <c r="G52" i="1"/>
  <c r="H52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I138" i="1"/>
  <c r="H137" i="1"/>
  <c r="G137" i="1"/>
  <c r="E137" i="1"/>
  <c r="D137" i="1"/>
  <c r="F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E134" i="1"/>
  <c r="D134" i="1"/>
  <c r="F134" i="1"/>
  <c r="H133" i="1"/>
  <c r="G133" i="1"/>
  <c r="E133" i="1"/>
  <c r="D133" i="1"/>
  <c r="F133" i="1"/>
  <c r="H131" i="1"/>
  <c r="G131" i="1"/>
  <c r="F131" i="1"/>
  <c r="E131" i="1"/>
  <c r="D131" i="1"/>
  <c r="H130" i="1"/>
  <c r="G130" i="1"/>
  <c r="E130" i="1"/>
  <c r="D130" i="1"/>
  <c r="F130" i="1"/>
  <c r="H129" i="1"/>
  <c r="G129" i="1"/>
  <c r="E129" i="1"/>
  <c r="D129" i="1"/>
  <c r="F129" i="1"/>
  <c r="G128" i="1"/>
  <c r="D128" i="1"/>
  <c r="H128" i="1"/>
  <c r="F128" i="1"/>
  <c r="E128" i="1"/>
  <c r="H127" i="1"/>
  <c r="G127" i="1"/>
  <c r="E127" i="1"/>
  <c r="D127" i="1"/>
  <c r="F127" i="1"/>
  <c r="H126" i="1"/>
  <c r="G126" i="1"/>
  <c r="E126" i="1"/>
  <c r="D126" i="1"/>
  <c r="F126" i="1"/>
  <c r="H125" i="1"/>
  <c r="G125" i="1"/>
  <c r="F125" i="1"/>
  <c r="E125" i="1"/>
  <c r="D125" i="1"/>
  <c r="B96" i="1"/>
  <c r="D96" i="1"/>
  <c r="E96" i="1"/>
  <c r="F96" i="1"/>
  <c r="G96" i="1"/>
  <c r="H96" i="1"/>
  <c r="F124" i="1"/>
  <c r="I124" i="1" s="1"/>
  <c r="H123" i="1"/>
  <c r="G123" i="1"/>
  <c r="E123" i="1"/>
  <c r="D123" i="1"/>
  <c r="F123" i="1"/>
  <c r="H122" i="1"/>
  <c r="G122" i="1"/>
  <c r="F122" i="1"/>
  <c r="E122" i="1"/>
  <c r="D122" i="1"/>
  <c r="D121" i="1"/>
  <c r="E121" i="1"/>
  <c r="F121" i="1"/>
  <c r="G121" i="1"/>
  <c r="H121" i="1"/>
  <c r="F120" i="1"/>
  <c r="I120" i="1" s="1"/>
  <c r="H117" i="1"/>
  <c r="G117" i="1"/>
  <c r="F117" i="1"/>
  <c r="E117" i="1"/>
  <c r="D117" i="1"/>
  <c r="H116" i="1"/>
  <c r="G116" i="1"/>
  <c r="E116" i="1"/>
  <c r="D116" i="1"/>
  <c r="F116" i="1"/>
  <c r="H115" i="1"/>
  <c r="G115" i="1"/>
  <c r="E115" i="1"/>
  <c r="D115" i="1"/>
  <c r="F115" i="1"/>
  <c r="H114" i="1"/>
  <c r="G114" i="1"/>
  <c r="E114" i="1"/>
  <c r="D114" i="1"/>
  <c r="F114" i="1"/>
  <c r="H113" i="1"/>
  <c r="G113" i="1"/>
  <c r="F113" i="1"/>
  <c r="E113" i="1"/>
  <c r="D113" i="1"/>
  <c r="H112" i="1"/>
  <c r="G112" i="1"/>
  <c r="E112" i="1"/>
  <c r="D112" i="1"/>
  <c r="F112" i="1"/>
  <c r="H111" i="1"/>
  <c r="G111" i="1"/>
  <c r="E111" i="1"/>
  <c r="D111" i="1"/>
  <c r="F111" i="1"/>
  <c r="H110" i="1"/>
  <c r="G110" i="1"/>
  <c r="F110" i="1"/>
  <c r="E110" i="1"/>
  <c r="D110" i="1"/>
  <c r="H109" i="1"/>
  <c r="G109" i="1"/>
  <c r="E109" i="1"/>
  <c r="D109" i="1"/>
  <c r="F109" i="1"/>
  <c r="H108" i="1"/>
  <c r="G108" i="1"/>
  <c r="F108" i="1"/>
  <c r="E108" i="1"/>
  <c r="D108" i="1"/>
  <c r="H107" i="1"/>
  <c r="G107" i="1"/>
  <c r="E107" i="1"/>
  <c r="D107" i="1"/>
  <c r="F107" i="1"/>
  <c r="H106" i="1"/>
  <c r="G106" i="1"/>
  <c r="F106" i="1"/>
  <c r="E106" i="1"/>
  <c r="D106" i="1"/>
  <c r="H103" i="1"/>
  <c r="G103" i="1"/>
  <c r="E103" i="1"/>
  <c r="D103" i="1"/>
  <c r="F103" i="1"/>
  <c r="H102" i="1"/>
  <c r="G102" i="1"/>
  <c r="E102" i="1"/>
  <c r="D102" i="1"/>
  <c r="F102" i="1"/>
  <c r="H101" i="1"/>
  <c r="G101" i="1"/>
  <c r="E101" i="1"/>
  <c r="D101" i="1"/>
  <c r="F101" i="1"/>
  <c r="G100" i="1"/>
  <c r="H100" i="1"/>
  <c r="F100" i="1"/>
  <c r="E100" i="1"/>
  <c r="D100" i="1"/>
  <c r="H99" i="1"/>
  <c r="G99" i="1"/>
  <c r="D99" i="1"/>
  <c r="E99" i="1"/>
  <c r="F99" i="1"/>
  <c r="H98" i="1"/>
  <c r="G98" i="1"/>
  <c r="F98" i="1"/>
  <c r="E98" i="1"/>
  <c r="D98" i="1"/>
  <c r="H97" i="1"/>
  <c r="G97" i="1"/>
  <c r="F97" i="1"/>
  <c r="E97" i="1"/>
  <c r="D97" i="1"/>
  <c r="H95" i="1"/>
  <c r="G95" i="1"/>
  <c r="E95" i="1"/>
  <c r="D95" i="1"/>
  <c r="F95" i="1"/>
  <c r="H94" i="1"/>
  <c r="G94" i="1"/>
  <c r="E94" i="1"/>
  <c r="B94" i="1"/>
  <c r="F94" i="1"/>
  <c r="D94" i="1"/>
  <c r="H93" i="1"/>
  <c r="G93" i="1"/>
  <c r="E93" i="1"/>
  <c r="B93" i="1"/>
  <c r="D93" i="1"/>
  <c r="F93" i="1"/>
  <c r="H92" i="1"/>
  <c r="G92" i="1"/>
  <c r="F92" i="1"/>
  <c r="E92" i="1"/>
  <c r="D92" i="1"/>
  <c r="B92" i="1"/>
  <c r="H90" i="1"/>
  <c r="G90" i="1"/>
  <c r="F90" i="1"/>
  <c r="E90" i="1"/>
  <c r="D90" i="1"/>
  <c r="B90" i="1"/>
  <c r="H89" i="1"/>
  <c r="G89" i="1"/>
  <c r="F89" i="1"/>
  <c r="E89" i="1"/>
  <c r="D89" i="1"/>
  <c r="B89" i="1"/>
  <c r="H88" i="1"/>
  <c r="G88" i="1"/>
  <c r="B88" i="1"/>
  <c r="F88" i="1"/>
  <c r="E88" i="1"/>
  <c r="D88" i="1"/>
  <c r="H87" i="1"/>
  <c r="G87" i="1"/>
  <c r="F87" i="1"/>
  <c r="E87" i="1"/>
  <c r="D87" i="1"/>
  <c r="B87" i="1"/>
  <c r="H86" i="1"/>
  <c r="G86" i="1"/>
  <c r="E86" i="1"/>
  <c r="D86" i="1"/>
  <c r="B86" i="1"/>
  <c r="F86" i="1"/>
  <c r="G85" i="1"/>
  <c r="H85" i="1"/>
  <c r="B85" i="1"/>
  <c r="E85" i="1"/>
  <c r="D85" i="1"/>
  <c r="F85" i="1"/>
  <c r="H84" i="1"/>
  <c r="G84" i="1"/>
  <c r="F84" i="1"/>
  <c r="E84" i="1"/>
  <c r="D84" i="1"/>
  <c r="B84" i="1"/>
  <c r="H83" i="1"/>
  <c r="G83" i="1"/>
  <c r="E83" i="1"/>
  <c r="D83" i="1"/>
  <c r="B83" i="1"/>
  <c r="F83" i="1"/>
  <c r="H82" i="1"/>
  <c r="G82" i="1"/>
  <c r="E82" i="1"/>
  <c r="B82" i="1"/>
  <c r="F82" i="1"/>
  <c r="D82" i="1"/>
  <c r="H81" i="1"/>
  <c r="G81" i="1"/>
  <c r="B81" i="1"/>
  <c r="E81" i="1"/>
  <c r="F81" i="1"/>
  <c r="D81" i="1"/>
  <c r="H80" i="1"/>
  <c r="G80" i="1"/>
  <c r="E80" i="1"/>
  <c r="D80" i="1"/>
  <c r="B80" i="1"/>
  <c r="F80" i="1"/>
  <c r="H79" i="1"/>
  <c r="G79" i="1"/>
  <c r="F79" i="1"/>
  <c r="E79" i="1"/>
  <c r="B79" i="1"/>
  <c r="D79" i="1"/>
  <c r="F77" i="1"/>
  <c r="B77" i="1"/>
  <c r="D77" i="1"/>
  <c r="E77" i="1"/>
  <c r="G77" i="1"/>
  <c r="H77" i="1"/>
  <c r="H76" i="1"/>
  <c r="G76" i="1"/>
  <c r="D76" i="1"/>
  <c r="B76" i="1"/>
  <c r="E76" i="1"/>
  <c r="F76" i="1"/>
  <c r="H75" i="1"/>
  <c r="G75" i="1"/>
  <c r="E75" i="1"/>
  <c r="B75" i="1"/>
  <c r="D75" i="1"/>
  <c r="F75" i="1"/>
  <c r="H74" i="1"/>
  <c r="G74" i="1"/>
  <c r="E74" i="1"/>
  <c r="B74" i="1"/>
  <c r="F74" i="1"/>
  <c r="D74" i="1"/>
  <c r="I73" i="1"/>
  <c r="H72" i="1"/>
  <c r="G72" i="1"/>
  <c r="E72" i="1"/>
  <c r="B72" i="1"/>
  <c r="D72" i="1"/>
  <c r="F72" i="1"/>
  <c r="H71" i="1"/>
  <c r="G71" i="1"/>
  <c r="E71" i="1"/>
  <c r="B71" i="1"/>
  <c r="F71" i="1"/>
  <c r="D71" i="1"/>
  <c r="H70" i="1"/>
  <c r="G70" i="1"/>
  <c r="E70" i="1"/>
  <c r="D70" i="1"/>
  <c r="B70" i="1"/>
  <c r="H69" i="1"/>
  <c r="F70" i="1"/>
  <c r="H68" i="1"/>
  <c r="H67" i="1"/>
  <c r="H66" i="1"/>
  <c r="G69" i="1"/>
  <c r="G68" i="1"/>
  <c r="G67" i="1"/>
  <c r="G66" i="1"/>
  <c r="F66" i="1"/>
  <c r="E69" i="1"/>
  <c r="E68" i="1"/>
  <c r="E67" i="1"/>
  <c r="E66" i="1"/>
  <c r="D69" i="1"/>
  <c r="D68" i="1"/>
  <c r="D67" i="1"/>
  <c r="D66" i="1"/>
  <c r="B69" i="1"/>
  <c r="B68" i="1"/>
  <c r="B67" i="1"/>
  <c r="B66" i="1"/>
  <c r="F69" i="1"/>
  <c r="F68" i="1"/>
  <c r="F67" i="1"/>
  <c r="G63" i="1"/>
  <c r="H63" i="1"/>
  <c r="F63" i="1"/>
  <c r="E63" i="1"/>
  <c r="B63" i="1"/>
  <c r="D63" i="1"/>
  <c r="H62" i="1"/>
  <c r="G62" i="1"/>
  <c r="E62" i="1"/>
  <c r="B62" i="1"/>
  <c r="F62" i="1"/>
  <c r="D62" i="1"/>
  <c r="H61" i="1"/>
  <c r="G61" i="1"/>
  <c r="E61" i="1"/>
  <c r="B61" i="1"/>
  <c r="F61" i="1"/>
  <c r="D61" i="1"/>
  <c r="H60" i="1"/>
  <c r="G60" i="1"/>
  <c r="F60" i="1"/>
  <c r="E60" i="1"/>
  <c r="D60" i="1"/>
  <c r="B60" i="1"/>
  <c r="H59" i="1"/>
  <c r="G59" i="1"/>
  <c r="F59" i="1"/>
  <c r="E59" i="1"/>
  <c r="D59" i="1"/>
  <c r="B59" i="1"/>
  <c r="C59" i="1"/>
  <c r="H58" i="1"/>
  <c r="G58" i="1"/>
  <c r="F58" i="1"/>
  <c r="E58" i="1"/>
  <c r="D58" i="1"/>
  <c r="B58" i="1"/>
  <c r="C58" i="1"/>
  <c r="G57" i="1"/>
  <c r="B57" i="1"/>
  <c r="H57" i="1"/>
  <c r="F57" i="1"/>
  <c r="E57" i="1"/>
  <c r="D57" i="1"/>
  <c r="C57" i="1"/>
  <c r="H56" i="1"/>
  <c r="G56" i="1"/>
  <c r="E56" i="1"/>
  <c r="D56" i="1"/>
  <c r="B56" i="1"/>
  <c r="C56" i="1"/>
  <c r="F56" i="1"/>
  <c r="H55" i="1"/>
  <c r="G55" i="1"/>
  <c r="E55" i="1"/>
  <c r="D55" i="1"/>
  <c r="B55" i="1"/>
  <c r="C55" i="1"/>
  <c r="F55" i="1"/>
  <c r="G54" i="1"/>
  <c r="B54" i="1"/>
  <c r="C54" i="1"/>
  <c r="D54" i="1"/>
  <c r="E54" i="1"/>
  <c r="F54" i="1"/>
  <c r="H54" i="1"/>
  <c r="H53" i="1"/>
  <c r="G53" i="1"/>
  <c r="E53" i="1"/>
  <c r="D53" i="1"/>
  <c r="B53" i="1"/>
  <c r="C53" i="1"/>
  <c r="F53" i="1"/>
  <c r="I97" i="1" l="1"/>
  <c r="I113" i="1"/>
  <c r="I117" i="1"/>
  <c r="I140" i="1"/>
  <c r="I142" i="1"/>
  <c r="I143" i="1"/>
  <c r="I147" i="1"/>
  <c r="I151" i="1"/>
  <c r="I152" i="1"/>
  <c r="I154" i="1"/>
  <c r="I164" i="1"/>
  <c r="I95" i="1"/>
  <c r="I98" i="1"/>
  <c r="I100" i="1"/>
  <c r="I102" i="1"/>
  <c r="I106" i="1"/>
  <c r="I108" i="1"/>
  <c r="I110" i="1"/>
  <c r="I112" i="1"/>
  <c r="I114" i="1"/>
  <c r="I116" i="1"/>
  <c r="I122" i="1"/>
  <c r="I139" i="1"/>
  <c r="I141" i="1"/>
  <c r="I52" i="1"/>
  <c r="I144" i="1"/>
  <c r="I146" i="1"/>
  <c r="I148" i="1"/>
  <c r="I150" i="1"/>
  <c r="I153" i="1"/>
  <c r="I155" i="1"/>
  <c r="I157" i="1"/>
  <c r="I161" i="1"/>
  <c r="I162" i="1"/>
  <c r="I99" i="1"/>
  <c r="I101" i="1"/>
  <c r="I103" i="1"/>
  <c r="I107" i="1"/>
  <c r="I109" i="1"/>
  <c r="I111" i="1"/>
  <c r="I115" i="1"/>
  <c r="I121" i="1"/>
  <c r="I123" i="1"/>
  <c r="I96" i="1"/>
  <c r="I17" i="1"/>
  <c r="I149" i="1"/>
  <c r="I156" i="1"/>
  <c r="I159" i="1"/>
  <c r="I160" i="1"/>
  <c r="I119" i="1"/>
  <c r="I163" i="1"/>
  <c r="I87" i="1"/>
  <c r="I128" i="1"/>
  <c r="I135" i="1"/>
  <c r="I79" i="1"/>
  <c r="I165" i="1"/>
  <c r="I58" i="1"/>
  <c r="I60" i="1"/>
  <c r="I63" i="1"/>
  <c r="I53" i="1"/>
  <c r="I55" i="1"/>
  <c r="I57" i="1"/>
  <c r="I59" i="1"/>
  <c r="I69" i="1"/>
  <c r="I71" i="1"/>
  <c r="I83" i="1"/>
  <c r="I54" i="1"/>
  <c r="I56" i="1"/>
  <c r="I70" i="1"/>
  <c r="I75" i="1"/>
  <c r="I166" i="1"/>
  <c r="I62" i="1"/>
  <c r="I77" i="1"/>
  <c r="I85" i="1"/>
  <c r="I93" i="1"/>
  <c r="I66" i="1"/>
  <c r="I67" i="1"/>
  <c r="I81" i="1"/>
  <c r="I89" i="1"/>
  <c r="I90" i="1"/>
  <c r="I167" i="1"/>
  <c r="I168" i="1"/>
  <c r="I61" i="1"/>
  <c r="I72" i="1"/>
  <c r="I76" i="1"/>
  <c r="I80" i="1"/>
  <c r="I84" i="1"/>
  <c r="I88" i="1"/>
  <c r="I92" i="1"/>
  <c r="I125" i="1"/>
  <c r="I127" i="1"/>
  <c r="I129" i="1"/>
  <c r="I131" i="1"/>
  <c r="I134" i="1"/>
  <c r="I136" i="1"/>
  <c r="I68" i="1"/>
  <c r="I74" i="1"/>
  <c r="I82" i="1"/>
  <c r="I86" i="1"/>
  <c r="I94" i="1"/>
  <c r="I126" i="1"/>
  <c r="I130" i="1"/>
  <c r="I133" i="1"/>
  <c r="I137" i="1"/>
</calcChain>
</file>

<file path=xl/sharedStrings.xml><?xml version="1.0" encoding="utf-8"?>
<sst xmlns="http://schemas.openxmlformats.org/spreadsheetml/2006/main" count="468" uniqueCount="202">
  <si>
    <t>PASSIF</t>
  </si>
  <si>
    <t>Engagements</t>
  </si>
  <si>
    <t>Fonds publics</t>
  </si>
  <si>
    <t xml:space="preserve">    Dépôts</t>
  </si>
  <si>
    <t>Fonds</t>
  </si>
  <si>
    <t xml:space="preserve">Autres </t>
  </si>
  <si>
    <t>TOTAL</t>
  </si>
  <si>
    <t>affectés aux</t>
  </si>
  <si>
    <t xml:space="preserve">     et</t>
  </si>
  <si>
    <t xml:space="preserve">        extérieurs</t>
  </si>
  <si>
    <t>propres</t>
  </si>
  <si>
    <t>passifs</t>
  </si>
  <si>
    <t>prêts</t>
  </si>
  <si>
    <t xml:space="preserve">    emprunts</t>
  </si>
  <si>
    <t>établissements</t>
  </si>
  <si>
    <t>financiers</t>
  </si>
  <si>
    <t>(1): Y compris les données de la CAMOFI à partir de décembre 1996.</t>
  </si>
  <si>
    <t xml:space="preserve">          décembre</t>
  </si>
  <si>
    <t xml:space="preserve">                   Rubriques</t>
  </si>
  <si>
    <t>Période</t>
  </si>
  <si>
    <t xml:space="preserve">          août</t>
  </si>
  <si>
    <t xml:space="preserve">          septembre</t>
  </si>
  <si>
    <t>2002 janvier</t>
  </si>
  <si>
    <t>2003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</si>
  <si>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</si>
  <si>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</si>
  <si>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</si>
  <si>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</si>
  <si>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</si>
  <si>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</si>
  <si>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</si>
  <si>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</si>
  <si>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</si>
  <si>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</si>
  <si>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</si>
  <si>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-</t>
  </si>
  <si>
    <t xml:space="preserve">         décembre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</si>
  <si>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</si>
  <si>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</si>
  <si>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</si>
  <si>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</si>
  <si>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juillet</t>
  </si>
  <si>
    <t xml:space="preserve">          octobre</t>
  </si>
  <si>
    <t xml:space="preserve">          novembre</t>
  </si>
  <si>
    <t xml:space="preserve">2004 janvier </t>
  </si>
  <si>
    <t>2004 mars</t>
  </si>
  <si>
    <t>2005 janvier</t>
  </si>
  <si>
    <t>2005 mars</t>
  </si>
  <si>
    <t>2006 janvier</t>
  </si>
  <si>
    <t>2004 février</t>
  </si>
  <si>
    <t>2006 mars</t>
  </si>
  <si>
    <t>2004 avril</t>
  </si>
  <si>
    <t>2004 mai</t>
  </si>
  <si>
    <t>2004 juin</t>
  </si>
  <si>
    <t>2004 juillet</t>
  </si>
  <si>
    <t>2004 Août</t>
  </si>
  <si>
    <t>2004 Sept</t>
  </si>
  <si>
    <t xml:space="preserve">          Novembre</t>
  </si>
  <si>
    <t>2004 Octobre</t>
  </si>
  <si>
    <t>2004 décembre</t>
  </si>
  <si>
    <t>2007 janvier</t>
  </si>
  <si>
    <t>2005 février</t>
  </si>
  <si>
    <t>2007 mars</t>
  </si>
  <si>
    <t>2005 mai</t>
  </si>
  <si>
    <t>2005 juin</t>
  </si>
  <si>
    <t>2005 juillet</t>
  </si>
  <si>
    <t>2005 août</t>
  </si>
  <si>
    <t>2005 sept</t>
  </si>
  <si>
    <t>2005 octobre</t>
  </si>
  <si>
    <t>2005 novembre</t>
  </si>
  <si>
    <t>2008 janvier</t>
  </si>
  <si>
    <t>2006 février</t>
  </si>
  <si>
    <t>2008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</si>
  <si>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</si>
  <si>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</si>
  <si>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</si>
  <si>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</si>
  <si>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</si>
  <si>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</si>
  <si>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</si>
  <si>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décembre</t>
  </si>
  <si>
    <t>2006 novembre</t>
  </si>
  <si>
    <t>2006 décembre</t>
  </si>
  <si>
    <t>2009 janvier</t>
  </si>
  <si>
    <t>2007 février</t>
  </si>
  <si>
    <t>2009 mars</t>
  </si>
  <si>
    <t>2007 avril</t>
  </si>
  <si>
    <t>2007 mai</t>
  </si>
  <si>
    <t>2007 juin</t>
  </si>
  <si>
    <t>2007 juillet</t>
  </si>
  <si>
    <t>2007 septembre</t>
  </si>
  <si>
    <t>2007 octobre</t>
  </si>
  <si>
    <t>2007 novembre</t>
  </si>
  <si>
    <t>2007 décembre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</si>
  <si>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</si>
  <si>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</si>
  <si>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</si>
  <si>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</si>
  <si>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</si>
  <si>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</si>
  <si>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</si>
  <si>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</si>
  <si>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</si>
  <si>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</si>
  <si>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</si>
  <si>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</si>
  <si>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</si>
  <si>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</si>
  <si>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</si>
  <si>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</si>
  <si>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</si>
  <si>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(en millions de BIF)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</si>
  <si>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</si>
  <si>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</si>
  <si>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</si>
  <si>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</si>
  <si>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</si>
  <si>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</si>
  <si>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</si>
  <si>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</si>
  <si>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</si>
  <si>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</si>
  <si>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</si>
  <si>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</si>
  <si>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</si>
  <si>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</si>
  <si>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</si>
  <si>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</si>
  <si>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</si>
  <si>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</si>
  <si>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</si>
  <si>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</si>
  <si>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</si>
  <si>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2011avril</t>
  </si>
  <si>
    <t>2011mai</t>
  </si>
  <si>
    <t>2011juin</t>
  </si>
  <si>
    <t>2011 juillet</t>
  </si>
  <si>
    <t>2011 août</t>
  </si>
  <si>
    <t>2011 septembre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</si>
  <si>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</si>
  <si>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</si>
  <si>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</si>
  <si>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</si>
  <si>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</si>
  <si>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</si>
  <si>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</si>
  <si>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</si>
  <si>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</si>
  <si>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</si>
  <si>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</si>
  <si>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</si>
  <si>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</si>
  <si>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</si>
  <si>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</si>
  <si>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</si>
  <si>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</si>
  <si>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</si>
  <si>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</si>
  <si>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</si>
  <si>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</si>
  <si>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</si>
  <si>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>2013 Avril</t>
  </si>
  <si>
    <t>2014 Janvier</t>
  </si>
  <si>
    <t xml:space="preserve">          Février</t>
  </si>
  <si>
    <t xml:space="preserve">          Mars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</si>
  <si>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</si>
  <si>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</si>
  <si>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</si>
  <si>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</si>
  <si>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</si>
  <si>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</si>
  <si>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</si>
  <si>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: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</si>
  <si>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</si>
  <si>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</si>
  <si>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</si>
  <si>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</si>
  <si>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</si>
  <si>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</si>
  <si>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</si>
  <si>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</si>
  <si>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</si>
  <si>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</si>
  <si>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 xml:space="preserve"> 2013 Juin</t>
  </si>
  <si>
    <t>SITUATION AGREGEE DES ETABLISSEMENTS FINANCIERS</t>
  </si>
  <si>
    <t>2014 Août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</si>
  <si>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</si>
  <si>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</si>
  <si>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</si>
  <si>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</si>
  <si>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</si>
  <si>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</si>
  <si>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</si>
  <si>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 xml:space="preserve"> 2015 Février</t>
  </si>
  <si>
    <t>2015  Juillet</t>
  </si>
  <si>
    <t>2017 Mars</t>
  </si>
  <si>
    <t>envers les autres</t>
  </si>
  <si>
    <t xml:space="preserve">envers les </t>
  </si>
  <si>
    <t>Autres Institutions</t>
  </si>
  <si>
    <t>de Dépots</t>
  </si>
  <si>
    <t>II.7.2</t>
  </si>
  <si>
    <t>2015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</si>
</sst>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71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</xf>
    <xf numFmtId="164" fontId="2" fillId="0" borderId="0" xfId="0" applyFont="1" applyAlignment="1"/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5" fontId="1" fillId="0" borderId="11" xfId="0" applyNumberFormat="1" applyFont="1" applyBorder="1" applyAlignment="1" applyProtection="1">
      <alignment horizontal="right"/>
    </xf>
    <xf numFmtId="164" fontId="1" fillId="0" borderId="0" xfId="0" applyFont="1" applyBorder="1"/>
    <xf numFmtId="164" fontId="1" fillId="0" borderId="4" xfId="0" applyFont="1" applyBorder="1"/>
    <xf numFmtId="164" fontId="1" fillId="0" borderId="5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4" fontId="1" fillId="0" borderId="5" xfId="0" applyFont="1" applyBorder="1"/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right"/>
    </xf>
    <xf numFmtId="164" fontId="1" fillId="0" borderId="6" xfId="0" applyFont="1" applyBorder="1"/>
    <xf numFmtId="164" fontId="1" fillId="0" borderId="6" xfId="0" applyNumberFormat="1" applyFont="1" applyBorder="1" applyAlignment="1" applyProtection="1">
      <alignment horizontal="right"/>
    </xf>
    <xf numFmtId="165" fontId="1" fillId="0" borderId="6" xfId="0" applyNumberFormat="1" applyFont="1" applyBorder="1" applyAlignment="1" applyProtection="1">
      <alignment horizontal="right"/>
    </xf>
    <xf numFmtId="164" fontId="1" fillId="0" borderId="0" xfId="0" applyFont="1" applyAlignment="1">
      <alignment horizontal="right"/>
    </xf>
    <xf numFmtId="164" fontId="1" fillId="0" borderId="5" xfId="0" applyNumberFormat="1" applyFont="1" applyBorder="1" applyAlignment="1" applyProtection="1">
      <alignment horizontal="left"/>
    </xf>
    <xf numFmtId="164" fontId="1" fillId="0" borderId="0" xfId="0" applyNumberFormat="1" applyFont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4" fontId="1" fillId="0" borderId="5" xfId="0" quotePrefix="1" applyNumberFormat="1" applyFont="1" applyBorder="1" applyAlignment="1" applyProtection="1">
      <alignment horizontal="left"/>
    </xf>
    <xf numFmtId="1" fontId="1" fillId="0" borderId="5" xfId="0" applyNumberFormat="1" applyFont="1" applyFill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 applyProtection="1">
      <alignment horizontal="fill"/>
    </xf>
    <xf numFmtId="165" fontId="1" fillId="0" borderId="0" xfId="0" applyNumberFormat="1" applyFont="1" applyAlignment="1" applyProtection="1">
      <alignment horizontal="right"/>
    </xf>
    <xf numFmtId="164" fontId="1" fillId="0" borderId="8" xfId="0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4" fontId="1" fillId="0" borderId="5" xfId="0" applyNumberFormat="1" applyFont="1" applyBorder="1" applyAlignment="1" applyProtection="1">
      <alignment horizontal="left"/>
    </xf>
    <xf numFmtId="165" fontId="1" fillId="0" borderId="5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4" fontId="2" fillId="0" borderId="5" xfId="0" applyFont="1" applyBorder="1"/>
    <xf numFmtId="164" fontId="2" fillId="0" borderId="3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4" fontId="3" fillId="0" borderId="0" xfId="0" applyFont="1"/>
    <xf numFmtId="164" fontId="4" fillId="0" borderId="0" xfId="0" applyFont="1"/>
    <xf numFmtId="164" fontId="3" fillId="2" borderId="0" xfId="0" applyFont="1" applyFill="1"/>
    <xf numFmtId="164" fontId="3" fillId="2" borderId="0" xfId="0" applyNumberFormat="1" applyFont="1" applyFill="1"/>
    <xf numFmtId="164" fontId="1" fillId="0" borderId="5" xfId="0" applyNumberFormat="1" applyFont="1" applyFill="1" applyBorder="1" applyAlignment="1" applyProtection="1">
      <alignment horizontal="left"/>
    </xf>
    <xf numFmtId="165" fontId="1" fillId="0" borderId="5" xfId="0" applyNumberFormat="1" applyFont="1" applyFill="1" applyBorder="1" applyAlignment="1" applyProtection="1">
      <alignment horizontal="right"/>
    </xf>
    <xf numFmtId="164" fontId="1" fillId="0" borderId="0" xfId="0" applyFont="1" applyFill="1"/>
    <xf numFmtId="165" fontId="1" fillId="0" borderId="0" xfId="0" applyNumberFormat="1" applyFont="1" applyFill="1" applyAlignment="1" applyProtection="1">
      <alignment horizontal="right"/>
    </xf>
    <xf numFmtId="164" fontId="1" fillId="0" borderId="0" xfId="0" applyNumberFormat="1" applyFont="1" applyFill="1"/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2" fillId="0" borderId="2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90650"/>
          <a:ext cx="1638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268"/>
  <sheetViews>
    <sheetView showGridLines="0" tabSelected="1" view="pageBreakPreview" zoomScale="60" zoomScaleNormal="100" workbookViewId="0">
      <pane xSplit="1" ySplit="15" topLeftCell="B233" activePane="bottomRight" state="frozen"/>
      <selection pane="topRight" activeCell="B1" sqref="B1"/>
      <selection pane="bottomLeft" activeCell="A16" sqref="A16"/>
      <selection pane="bottomRight" activeCell="D262" sqref="D262"/>
    </sheetView>
  </sheetViews>
  <sheetFormatPr baseColWidth="10" defaultColWidth="12.6640625" defaultRowHeight="12.75" x14ac:dyDescent="0.2"/>
  <cols>
    <col min="1" max="1" width="20.88671875" style="4" customWidth="1"/>
    <col min="2" max="2" width="15.6640625" style="27" customWidth="1"/>
    <col min="3" max="3" width="14.6640625" style="27" customWidth="1"/>
    <col min="4" max="4" width="12" style="27" customWidth="1"/>
    <col min="5" max="5" width="10.44140625" style="27" customWidth="1"/>
    <col min="6" max="6" width="10.6640625" style="27" customWidth="1"/>
    <col min="7" max="7" width="10.33203125" style="27" customWidth="1"/>
    <col min="8" max="8" width="10.44140625" style="27" customWidth="1"/>
    <col min="9" max="9" width="11" style="39" customWidth="1"/>
    <col min="10" max="10" width="8.109375" style="4" bestFit="1" customWidth="1"/>
    <col min="11" max="13" width="19" style="4" customWidth="1"/>
    <col min="14" max="16384" width="12.6640625" style="4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5"/>
      <c r="B2" s="6"/>
      <c r="C2" s="6"/>
      <c r="D2" s="6"/>
      <c r="E2" s="6"/>
      <c r="F2" s="6"/>
      <c r="G2" s="6"/>
      <c r="H2" s="6"/>
      <c r="I2" s="7"/>
    </row>
    <row r="3" spans="1:9" x14ac:dyDescent="0.2">
      <c r="A3" s="5"/>
      <c r="B3" s="6"/>
      <c r="C3" s="6"/>
      <c r="D3" s="6"/>
      <c r="E3" s="6"/>
      <c r="F3" s="6"/>
      <c r="G3" s="6"/>
      <c r="H3" s="6"/>
      <c r="I3" s="7"/>
    </row>
    <row r="4" spans="1:9" x14ac:dyDescent="0.2">
      <c r="A4" s="8" t="s">
        <v>0</v>
      </c>
      <c r="B4" s="9"/>
      <c r="C4" s="9"/>
      <c r="D4" s="9"/>
      <c r="E4" s="9"/>
      <c r="F4" s="9"/>
      <c r="G4" s="9"/>
      <c r="H4" s="9"/>
      <c r="I4" s="10" t="s">
        <v>200</v>
      </c>
    </row>
    <row r="5" spans="1:9" ht="15.75" customHeight="1" x14ac:dyDescent="0.2">
      <c r="A5" s="62" t="s">
        <v>184</v>
      </c>
      <c r="B5" s="63"/>
      <c r="C5" s="63"/>
      <c r="D5" s="63"/>
      <c r="E5" s="63"/>
      <c r="F5" s="63"/>
      <c r="G5" s="63"/>
      <c r="H5" s="63"/>
      <c r="I5" s="64"/>
    </row>
    <row r="6" spans="1:9" s="11" customFormat="1" ht="15.75" customHeight="1" x14ac:dyDescent="0.2">
      <c r="A6" s="65" t="s">
        <v>111</v>
      </c>
      <c r="B6" s="66"/>
      <c r="C6" s="66"/>
      <c r="D6" s="66"/>
      <c r="E6" s="66"/>
      <c r="F6" s="66"/>
      <c r="G6" s="66"/>
      <c r="H6" s="66"/>
      <c r="I6" s="67"/>
    </row>
    <row r="7" spans="1:9" ht="15.75" customHeight="1" x14ac:dyDescent="0.2">
      <c r="A7" s="68"/>
      <c r="B7" s="69"/>
      <c r="C7" s="69"/>
      <c r="D7" s="69"/>
      <c r="E7" s="69"/>
      <c r="F7" s="69"/>
      <c r="G7" s="69"/>
      <c r="H7" s="69"/>
      <c r="I7" s="70"/>
    </row>
    <row r="8" spans="1:9" s="15" customFormat="1" x14ac:dyDescent="0.2">
      <c r="A8" s="12"/>
      <c r="B8" s="13"/>
      <c r="C8" s="13"/>
      <c r="D8" s="13"/>
      <c r="E8" s="13"/>
      <c r="F8" s="13"/>
      <c r="G8" s="13"/>
      <c r="H8" s="13"/>
      <c r="I8" s="14"/>
    </row>
    <row r="9" spans="1:9" x14ac:dyDescent="0.2">
      <c r="A9" s="16"/>
      <c r="B9" s="17"/>
      <c r="C9" s="9"/>
      <c r="D9" s="18"/>
      <c r="E9" s="17"/>
      <c r="F9" s="17"/>
      <c r="G9" s="9"/>
      <c r="H9" s="17"/>
      <c r="I9" s="19"/>
    </row>
    <row r="10" spans="1:9" x14ac:dyDescent="0.2">
      <c r="A10" s="48" t="s">
        <v>18</v>
      </c>
      <c r="B10" s="61" t="s">
        <v>1</v>
      </c>
      <c r="C10" s="60" t="s">
        <v>1</v>
      </c>
      <c r="D10" s="21" t="s">
        <v>2</v>
      </c>
      <c r="E10" s="21" t="s">
        <v>3</v>
      </c>
      <c r="F10" s="21" t="s">
        <v>1</v>
      </c>
      <c r="G10" s="22" t="s">
        <v>4</v>
      </c>
      <c r="H10" s="21" t="s">
        <v>5</v>
      </c>
      <c r="I10" s="50" t="s">
        <v>6</v>
      </c>
    </row>
    <row r="11" spans="1:9" x14ac:dyDescent="0.2">
      <c r="A11" s="48"/>
      <c r="B11" s="61" t="s">
        <v>197</v>
      </c>
      <c r="C11" s="60" t="s">
        <v>196</v>
      </c>
      <c r="D11" s="21" t="s">
        <v>7</v>
      </c>
      <c r="E11" s="21" t="s">
        <v>8</v>
      </c>
      <c r="F11" s="28" t="s">
        <v>9</v>
      </c>
      <c r="G11" s="22" t="s">
        <v>10</v>
      </c>
      <c r="H11" s="21" t="s">
        <v>11</v>
      </c>
      <c r="I11" s="50" t="s">
        <v>0</v>
      </c>
    </row>
    <row r="12" spans="1:9" x14ac:dyDescent="0.2">
      <c r="A12" s="48"/>
      <c r="B12" s="61" t="s">
        <v>198</v>
      </c>
      <c r="C12" s="60" t="s">
        <v>14</v>
      </c>
      <c r="D12" s="21" t="s">
        <v>12</v>
      </c>
      <c r="E12" s="21" t="s">
        <v>13</v>
      </c>
      <c r="F12" s="21"/>
      <c r="G12" s="9"/>
      <c r="H12" s="17"/>
      <c r="I12" s="19"/>
    </row>
    <row r="13" spans="1:9" x14ac:dyDescent="0.2">
      <c r="A13" s="48"/>
      <c r="B13" s="61" t="s">
        <v>199</v>
      </c>
      <c r="C13" s="60" t="s">
        <v>15</v>
      </c>
      <c r="D13" s="17"/>
      <c r="E13" s="17"/>
      <c r="F13" s="23"/>
      <c r="G13" s="9"/>
      <c r="H13" s="17"/>
      <c r="I13" s="19"/>
    </row>
    <row r="14" spans="1:9" x14ac:dyDescent="0.2">
      <c r="A14" s="48" t="s">
        <v>19</v>
      </c>
      <c r="B14" s="23"/>
      <c r="D14" s="17"/>
      <c r="E14" s="17"/>
      <c r="F14" s="23"/>
      <c r="G14" s="9"/>
      <c r="H14" s="17"/>
      <c r="I14" s="19"/>
    </row>
    <row r="15" spans="1:9" x14ac:dyDescent="0.2">
      <c r="A15" s="24"/>
      <c r="B15" s="25"/>
      <c r="C15" s="13"/>
      <c r="D15" s="25"/>
      <c r="E15" s="25"/>
      <c r="F15" s="25"/>
      <c r="G15" s="13"/>
      <c r="H15" s="25"/>
      <c r="I15" s="26"/>
    </row>
    <row r="16" spans="1:9" x14ac:dyDescent="0.2">
      <c r="A16" s="20"/>
      <c r="B16" s="17"/>
      <c r="D16" s="17"/>
      <c r="E16" s="17"/>
      <c r="F16" s="17"/>
      <c r="H16" s="17"/>
      <c r="I16" s="19"/>
    </row>
    <row r="17" spans="1:9" hidden="1" x14ac:dyDescent="0.2">
      <c r="A17" s="32">
        <v>2008</v>
      </c>
      <c r="B17" s="23" t="s">
        <v>35</v>
      </c>
      <c r="C17" s="23" t="s">
        <v>35</v>
      </c>
      <c r="D17" s="23">
        <f>1178.8+7166.2</f>
        <v>8345</v>
      </c>
      <c r="E17" s="23">
        <f>6019.6+1179.9</f>
        <v>7199.5</v>
      </c>
      <c r="F17" s="23">
        <f>374.8+1699</f>
        <v>2073.8000000000002</v>
      </c>
      <c r="G17" s="29">
        <f>6306.3+765+8934.3+787</f>
        <v>16792.599999999999</v>
      </c>
      <c r="H17" s="23">
        <f>1429.9+1336.7</f>
        <v>2766.6000000000004</v>
      </c>
      <c r="I17" s="30">
        <f t="shared" ref="I17" si="0">SUM(B17:H17)</f>
        <v>37177.499999999993</v>
      </c>
    </row>
    <row r="18" spans="1:9" hidden="1" x14ac:dyDescent="0.2">
      <c r="A18" s="32">
        <v>2009</v>
      </c>
      <c r="B18" s="46" t="s">
        <v>35</v>
      </c>
      <c r="C18" s="46" t="s">
        <v>35</v>
      </c>
      <c r="D18" s="46">
        <v>11783.1</v>
      </c>
      <c r="E18" s="46">
        <v>9015.5</v>
      </c>
      <c r="F18" s="46">
        <v>1764.8</v>
      </c>
      <c r="G18" s="47">
        <v>18122.3</v>
      </c>
      <c r="H18" s="46">
        <v>2845.5</v>
      </c>
      <c r="I18" s="46">
        <v>43531.199999999997</v>
      </c>
    </row>
    <row r="19" spans="1:9" hidden="1" x14ac:dyDescent="0.2">
      <c r="A19" s="32">
        <v>2010</v>
      </c>
      <c r="B19" s="56">
        <v>2179</v>
      </c>
      <c r="C19" s="23" t="s">
        <v>35</v>
      </c>
      <c r="D19" s="56">
        <v>17033.199999999997</v>
      </c>
      <c r="E19" s="56">
        <v>11788.7</v>
      </c>
      <c r="F19" s="56">
        <v>1350.2</v>
      </c>
      <c r="G19" s="58">
        <v>19832.2</v>
      </c>
      <c r="H19" s="56">
        <v>4143.8999999999996</v>
      </c>
      <c r="I19" s="56">
        <v>56327.200000000004</v>
      </c>
    </row>
    <row r="20" spans="1:9" hidden="1" x14ac:dyDescent="0.2">
      <c r="A20" s="32">
        <v>2011</v>
      </c>
      <c r="B20" s="46">
        <v>2690.1</v>
      </c>
      <c r="C20" s="23" t="s">
        <v>35</v>
      </c>
      <c r="D20" s="46">
        <v>15478.699999999999</v>
      </c>
      <c r="E20" s="46">
        <v>16713.399999999998</v>
      </c>
      <c r="F20" s="46">
        <v>1087.9000000000001</v>
      </c>
      <c r="G20" s="47">
        <v>24144.200000000004</v>
      </c>
      <c r="H20" s="46">
        <v>4715.3999999999996</v>
      </c>
      <c r="I20" s="46">
        <v>64829.700000000004</v>
      </c>
    </row>
    <row r="21" spans="1:9" x14ac:dyDescent="0.2">
      <c r="A21" s="32">
        <v>2012</v>
      </c>
      <c r="B21" s="46">
        <v>2568.4</v>
      </c>
      <c r="C21" s="23" t="s">
        <v>35</v>
      </c>
      <c r="D21" s="46">
        <v>17471.5</v>
      </c>
      <c r="E21" s="46">
        <v>18859.3</v>
      </c>
      <c r="F21" s="46">
        <v>812.8</v>
      </c>
      <c r="G21" s="47">
        <v>27483.3</v>
      </c>
      <c r="H21" s="46">
        <v>5037.1000000000004</v>
      </c>
      <c r="I21" s="46">
        <v>72232.400000000009</v>
      </c>
    </row>
    <row r="22" spans="1:9" x14ac:dyDescent="0.2">
      <c r="A22" s="32">
        <v>2013</v>
      </c>
      <c r="B22" s="46">
        <v>2430.7999999999997</v>
      </c>
      <c r="C22" s="23" t="s">
        <v>35</v>
      </c>
      <c r="D22" s="46">
        <v>17595.400000000001</v>
      </c>
      <c r="E22" s="46">
        <v>24760.100000000002</v>
      </c>
      <c r="F22" s="46">
        <v>331.2</v>
      </c>
      <c r="G22" s="47">
        <v>32945.599999999999</v>
      </c>
      <c r="H22" s="46">
        <v>5045.5</v>
      </c>
      <c r="I22" s="46">
        <v>83108.600000000006</v>
      </c>
    </row>
    <row r="23" spans="1:9" x14ac:dyDescent="0.2">
      <c r="A23" s="32">
        <v>2014</v>
      </c>
      <c r="B23" s="46">
        <v>5732.2000000000007</v>
      </c>
      <c r="C23" s="4">
        <v>500</v>
      </c>
      <c r="D23" s="46">
        <v>18489.400000000001</v>
      </c>
      <c r="E23" s="46">
        <v>32440.199999999997</v>
      </c>
      <c r="F23" s="46">
        <v>331.2</v>
      </c>
      <c r="G23" s="27">
        <v>38242.199999999997</v>
      </c>
      <c r="H23" s="46">
        <v>6197.7999999999993</v>
      </c>
      <c r="I23" s="46">
        <v>101933</v>
      </c>
    </row>
    <row r="24" spans="1:9" x14ac:dyDescent="0.2">
      <c r="A24" s="31" t="s">
        <v>177</v>
      </c>
      <c r="B24" s="46">
        <v>4680.2</v>
      </c>
      <c r="C24" s="23" t="s">
        <v>35</v>
      </c>
      <c r="D24" s="46">
        <v>12527.599999999999</v>
      </c>
      <c r="E24" s="46">
        <v>48125.500000000015</v>
      </c>
      <c r="F24" s="46">
        <v>331.2</v>
      </c>
      <c r="G24" s="27">
        <v>50193.3</v>
      </c>
      <c r="H24" s="46">
        <v>3604.2</v>
      </c>
      <c r="I24" s="46">
        <v>119462.00000000001</v>
      </c>
    </row>
    <row r="25" spans="1:9" x14ac:dyDescent="0.2">
      <c r="A25" s="31" t="s">
        <v>190</v>
      </c>
      <c r="B25" s="46">
        <v>5477.9</v>
      </c>
      <c r="C25" s="4">
        <v>301.79999999999995</v>
      </c>
      <c r="D25" s="46">
        <v>13744.4</v>
      </c>
      <c r="E25" s="46">
        <v>45799.7</v>
      </c>
      <c r="F25" s="46">
        <v>331.2</v>
      </c>
      <c r="G25" s="27">
        <v>59948.2</v>
      </c>
      <c r="H25" s="46">
        <v>12602.6</v>
      </c>
      <c r="I25" s="46">
        <v>138205.79999999999</v>
      </c>
    </row>
    <row r="26" spans="1:9" x14ac:dyDescent="0.2">
      <c r="A26" s="28"/>
      <c r="B26" s="30"/>
      <c r="C26" s="23" t="s">
        <v>35</v>
      </c>
      <c r="D26" s="30"/>
      <c r="E26" s="30"/>
      <c r="F26" s="30"/>
      <c r="G26" s="42"/>
      <c r="H26" s="30"/>
      <c r="I26" s="30"/>
    </row>
    <row r="27" spans="1:9" hidden="1" x14ac:dyDescent="0.2">
      <c r="A27" s="28"/>
      <c r="B27" s="30"/>
      <c r="C27" s="23" t="s">
        <v>35</v>
      </c>
      <c r="D27" s="30"/>
      <c r="E27" s="30"/>
      <c r="F27" s="30"/>
      <c r="G27" s="42"/>
      <c r="H27" s="30"/>
      <c r="I27" s="30"/>
    </row>
    <row r="28" spans="1:9" hidden="1" x14ac:dyDescent="0.2">
      <c r="A28" s="28" t="s">
        <v>175</v>
      </c>
      <c r="B28" s="30" t="s">
        <v>35</v>
      </c>
      <c r="C28" s="23" t="s">
        <v>35</v>
      </c>
      <c r="D28" s="30">
        <f>3471.2+12670.3</f>
        <v>16141.5</v>
      </c>
      <c r="E28" s="30">
        <f>3733.7+19024</f>
        <v>22757.7</v>
      </c>
      <c r="F28" s="30">
        <f>466.8+346</f>
        <v>812.8</v>
      </c>
      <c r="G28" s="42">
        <f>14709.8+581.8+10764.6+1427.1</f>
        <v>27483.299999999996</v>
      </c>
      <c r="H28" s="30">
        <f>2576.1+2461</f>
        <v>5037.1000000000004</v>
      </c>
      <c r="I28" s="30">
        <f t="shared" ref="I28" si="1">SUM(B28:H28)</f>
        <v>72232.399999999994</v>
      </c>
    </row>
    <row r="29" spans="1:9" hidden="1" x14ac:dyDescent="0.2">
      <c r="A29" s="45" t="s">
        <v>153</v>
      </c>
      <c r="B29" s="46" t="s">
        <v>35</v>
      </c>
      <c r="C29" s="23" t="s">
        <v>35</v>
      </c>
      <c r="D29" s="46">
        <v>15329.599999999999</v>
      </c>
      <c r="E29" s="46">
        <v>24303.9</v>
      </c>
      <c r="F29" s="46">
        <v>806.9</v>
      </c>
      <c r="G29" s="47">
        <v>27810.9</v>
      </c>
      <c r="H29" s="46">
        <v>4721.2999999999993</v>
      </c>
      <c r="I29" s="46">
        <v>72972.600000000006</v>
      </c>
    </row>
    <row r="30" spans="1:9" hidden="1" x14ac:dyDescent="0.2">
      <c r="A30" s="45" t="s">
        <v>183</v>
      </c>
      <c r="B30" s="30" t="s">
        <v>35</v>
      </c>
      <c r="C30" s="23" t="s">
        <v>35</v>
      </c>
      <c r="D30" s="30">
        <f>3759.3+11770.3</f>
        <v>15529.599999999999</v>
      </c>
      <c r="E30" s="30">
        <f>3899.6+21292.3</f>
        <v>25191.899999999998</v>
      </c>
      <c r="F30" s="30">
        <f>459.1+346</f>
        <v>805.1</v>
      </c>
      <c r="G30" s="42">
        <f>16074.6-45.5+12234.4+622.5</f>
        <v>28886</v>
      </c>
      <c r="H30" s="30">
        <f>2154.1+2600.7</f>
        <v>4754.7999999999993</v>
      </c>
      <c r="I30" s="30">
        <f t="shared" ref="I30" si="2">SUM(B30:H30)</f>
        <v>75167.400000000009</v>
      </c>
    </row>
    <row r="31" spans="1:9" hidden="1" x14ac:dyDescent="0.2">
      <c r="A31" s="28" t="s">
        <v>170</v>
      </c>
      <c r="B31" s="30" t="s">
        <v>35</v>
      </c>
      <c r="C31" s="23" t="s">
        <v>35</v>
      </c>
      <c r="D31" s="30">
        <f>3812.2+11770.3</f>
        <v>15582.5</v>
      </c>
      <c r="E31" s="30">
        <f>3813.4+22455.4</f>
        <v>26268.800000000003</v>
      </c>
      <c r="F31" s="30">
        <f>346</f>
        <v>346</v>
      </c>
      <c r="G31" s="42">
        <f>17059.8+12450.8+1055.1</f>
        <v>30565.699999999997</v>
      </c>
      <c r="H31" s="30">
        <f>3041.3+2911.3</f>
        <v>5952.6</v>
      </c>
      <c r="I31" s="30">
        <f t="shared" ref="I31" si="3">SUM(B31:H31)</f>
        <v>78715.600000000006</v>
      </c>
    </row>
    <row r="32" spans="1:9" hidden="1" x14ac:dyDescent="0.2">
      <c r="A32" s="28" t="s">
        <v>174</v>
      </c>
      <c r="B32" s="30" t="s">
        <v>35</v>
      </c>
      <c r="C32" s="23" t="s">
        <v>35</v>
      </c>
      <c r="D32" s="30">
        <v>16345.6</v>
      </c>
      <c r="E32" s="30">
        <v>28440.7</v>
      </c>
      <c r="F32" s="30">
        <v>331.2</v>
      </c>
      <c r="G32" s="42">
        <v>32945.599999999999</v>
      </c>
      <c r="H32" s="30">
        <v>5045.5</v>
      </c>
      <c r="I32" s="30">
        <f t="shared" ref="I32" si="4">SUM(B32:H32)</f>
        <v>83108.600000000006</v>
      </c>
    </row>
    <row r="33" spans="1:9" hidden="1" x14ac:dyDescent="0.2">
      <c r="A33" s="28"/>
      <c r="B33" s="30"/>
      <c r="C33" s="23" t="s">
        <v>35</v>
      </c>
      <c r="D33" s="30"/>
      <c r="E33" s="30"/>
      <c r="F33" s="30"/>
      <c r="G33" s="42"/>
      <c r="H33" s="30"/>
      <c r="I33" s="30"/>
    </row>
    <row r="34" spans="1:9" hidden="1" x14ac:dyDescent="0.2">
      <c r="A34" s="28"/>
      <c r="B34" s="30"/>
      <c r="C34" s="23" t="s">
        <v>35</v>
      </c>
      <c r="D34" s="30"/>
      <c r="E34" s="30"/>
      <c r="F34" s="30"/>
      <c r="G34" s="42"/>
      <c r="H34" s="30"/>
      <c r="I34" s="30"/>
    </row>
    <row r="35" spans="1:9" x14ac:dyDescent="0.2">
      <c r="A35" s="28" t="s">
        <v>154</v>
      </c>
      <c r="B35" s="46">
        <v>4553.8</v>
      </c>
      <c r="C35" s="23" t="s">
        <v>35</v>
      </c>
      <c r="D35" s="46">
        <v>17678.7</v>
      </c>
      <c r="E35" s="46">
        <v>25576.400000000005</v>
      </c>
      <c r="F35" s="46">
        <v>331.2</v>
      </c>
      <c r="G35" s="27">
        <v>32920</v>
      </c>
      <c r="H35" s="46">
        <v>4695</v>
      </c>
      <c r="I35" s="46">
        <v>85755.1</v>
      </c>
    </row>
    <row r="36" spans="1:9" x14ac:dyDescent="0.2">
      <c r="A36" s="28" t="s">
        <v>150</v>
      </c>
      <c r="B36" s="46">
        <v>4562.2000000000007</v>
      </c>
      <c r="C36" s="23" t="s">
        <v>35</v>
      </c>
      <c r="D36" s="46">
        <v>18384.599999999999</v>
      </c>
      <c r="E36" s="46">
        <v>28649.899999999998</v>
      </c>
      <c r="F36" s="46">
        <v>331.2</v>
      </c>
      <c r="G36" s="27">
        <v>33987.699999999997</v>
      </c>
      <c r="H36" s="46">
        <v>5140.7999999999993</v>
      </c>
      <c r="I36" s="46">
        <v>91056.4</v>
      </c>
    </row>
    <row r="37" spans="1:9" x14ac:dyDescent="0.2">
      <c r="A37" s="28" t="s">
        <v>151</v>
      </c>
      <c r="B37" s="46">
        <v>4444.8</v>
      </c>
      <c r="C37" s="23" t="s">
        <v>35</v>
      </c>
      <c r="D37" s="46">
        <v>18608.3</v>
      </c>
      <c r="E37" s="46">
        <v>31166.500000000004</v>
      </c>
      <c r="F37" s="46">
        <v>331.2</v>
      </c>
      <c r="G37" s="27">
        <v>35701</v>
      </c>
      <c r="H37" s="46">
        <v>5694.7000000000007</v>
      </c>
      <c r="I37" s="46">
        <v>95946.5</v>
      </c>
    </row>
    <row r="38" spans="1:9" x14ac:dyDescent="0.2">
      <c r="A38" s="28" t="s">
        <v>152</v>
      </c>
      <c r="B38" s="46">
        <v>5732.2000000000007</v>
      </c>
      <c r="C38" s="4">
        <v>500</v>
      </c>
      <c r="D38" s="46">
        <v>18489.400000000001</v>
      </c>
      <c r="E38" s="46">
        <v>32440.199999999997</v>
      </c>
      <c r="F38" s="46">
        <v>331.2</v>
      </c>
      <c r="G38" s="27">
        <v>38242.199999999997</v>
      </c>
      <c r="H38" s="46">
        <v>6197.7999999999993</v>
      </c>
      <c r="I38" s="46">
        <v>101933</v>
      </c>
    </row>
    <row r="39" spans="1:9" x14ac:dyDescent="0.2">
      <c r="A39" s="28"/>
      <c r="B39" s="30"/>
      <c r="C39" s="23" t="s">
        <v>35</v>
      </c>
      <c r="D39" s="30"/>
      <c r="E39" s="30"/>
      <c r="F39" s="30"/>
      <c r="H39" s="30"/>
      <c r="I39" s="30"/>
    </row>
    <row r="40" spans="1:9" x14ac:dyDescent="0.2">
      <c r="A40" s="28" t="s">
        <v>155</v>
      </c>
      <c r="B40" s="46">
        <v>5302</v>
      </c>
      <c r="C40" s="4">
        <v>500</v>
      </c>
      <c r="D40" s="46">
        <v>18108.099999999999</v>
      </c>
      <c r="E40" s="46">
        <v>33868.5</v>
      </c>
      <c r="F40" s="46">
        <v>331.2</v>
      </c>
      <c r="G40" s="27">
        <v>39073.199999999997</v>
      </c>
      <c r="H40" s="46">
        <v>5705.9</v>
      </c>
      <c r="I40" s="46">
        <v>102888.9</v>
      </c>
    </row>
    <row r="41" spans="1:9" x14ac:dyDescent="0.2">
      <c r="A41" s="28" t="s">
        <v>150</v>
      </c>
      <c r="B41" s="46">
        <v>5446.4</v>
      </c>
      <c r="C41" s="23" t="s">
        <v>35</v>
      </c>
      <c r="D41" s="46">
        <v>15873.099999999999</v>
      </c>
      <c r="E41" s="46">
        <v>36962.1</v>
      </c>
      <c r="F41" s="46">
        <v>331.2</v>
      </c>
      <c r="G41" s="27">
        <v>41815</v>
      </c>
      <c r="H41" s="46">
        <v>6828.5</v>
      </c>
      <c r="I41" s="46">
        <v>107256.29999999999</v>
      </c>
    </row>
    <row r="42" spans="1:9" x14ac:dyDescent="0.2">
      <c r="A42" s="28" t="s">
        <v>151</v>
      </c>
      <c r="B42" s="46">
        <v>5446.4</v>
      </c>
      <c r="C42" s="23" t="s">
        <v>35</v>
      </c>
      <c r="D42" s="46">
        <v>16259.899999999998</v>
      </c>
      <c r="E42" s="46">
        <v>37483.800000000003</v>
      </c>
      <c r="F42" s="46">
        <v>331.2</v>
      </c>
      <c r="G42" s="27">
        <v>44840.4</v>
      </c>
      <c r="H42" s="46">
        <v>8187.4</v>
      </c>
      <c r="I42" s="46">
        <v>112549.09999999999</v>
      </c>
    </row>
    <row r="43" spans="1:9" x14ac:dyDescent="0.2">
      <c r="A43" s="28" t="s">
        <v>152</v>
      </c>
      <c r="B43" s="46">
        <v>4680.2</v>
      </c>
      <c r="C43" s="23" t="s">
        <v>35</v>
      </c>
      <c r="D43" s="46">
        <v>12527.599999999999</v>
      </c>
      <c r="E43" s="46">
        <v>48125.500000000015</v>
      </c>
      <c r="F43" s="46">
        <v>331.2</v>
      </c>
      <c r="G43" s="27">
        <v>50193.3</v>
      </c>
      <c r="H43" s="46">
        <v>3604.2</v>
      </c>
      <c r="I43" s="46">
        <v>119462.00000000001</v>
      </c>
    </row>
    <row r="44" spans="1:9" x14ac:dyDescent="0.2">
      <c r="A44" s="28"/>
      <c r="B44" s="30"/>
      <c r="C44" s="23" t="s">
        <v>35</v>
      </c>
      <c r="D44" s="30"/>
      <c r="E44" s="30"/>
      <c r="F44" s="30"/>
      <c r="H44" s="30"/>
      <c r="I44" s="30"/>
    </row>
    <row r="45" spans="1:9" x14ac:dyDescent="0.2">
      <c r="A45" s="45" t="s">
        <v>179</v>
      </c>
      <c r="B45" s="46">
        <v>4205.0999999999995</v>
      </c>
      <c r="C45" s="23" t="s">
        <v>35</v>
      </c>
      <c r="D45" s="46">
        <v>12645.4</v>
      </c>
      <c r="E45" s="46">
        <v>51896.3</v>
      </c>
      <c r="F45" s="46">
        <v>331.2</v>
      </c>
      <c r="G45" s="27">
        <v>52851.3</v>
      </c>
      <c r="H45" s="46">
        <v>4941.8</v>
      </c>
      <c r="I45" s="46">
        <v>126871.1</v>
      </c>
    </row>
    <row r="46" spans="1:9" x14ac:dyDescent="0.2">
      <c r="A46" s="45" t="s">
        <v>150</v>
      </c>
      <c r="B46" s="46">
        <v>3879.1</v>
      </c>
      <c r="C46" s="4">
        <v>301.60000000000014</v>
      </c>
      <c r="D46" s="46">
        <v>11194.099999999999</v>
      </c>
      <c r="E46" s="46">
        <v>52988.900000000009</v>
      </c>
      <c r="F46" s="46">
        <v>331.2</v>
      </c>
      <c r="G46" s="27">
        <v>54935.299999999996</v>
      </c>
      <c r="H46" s="46">
        <v>3999.6</v>
      </c>
      <c r="I46" s="46">
        <v>127629.80000000002</v>
      </c>
    </row>
    <row r="47" spans="1:9" x14ac:dyDescent="0.2">
      <c r="A47" s="45" t="s">
        <v>151</v>
      </c>
      <c r="B47" s="46">
        <v>3910.7</v>
      </c>
      <c r="C47" s="4">
        <v>301.60000000000014</v>
      </c>
      <c r="D47" s="46">
        <v>27794.5</v>
      </c>
      <c r="E47" s="46">
        <v>31767.499999999996</v>
      </c>
      <c r="F47" s="46">
        <v>331.2</v>
      </c>
      <c r="G47" s="27">
        <v>57445.9</v>
      </c>
      <c r="H47" s="46">
        <v>12712.3</v>
      </c>
      <c r="I47" s="46">
        <v>134263.69999999998</v>
      </c>
    </row>
    <row r="48" spans="1:9" x14ac:dyDescent="0.2">
      <c r="A48" s="45" t="s">
        <v>152</v>
      </c>
      <c r="B48" s="46">
        <v>5477.9</v>
      </c>
      <c r="C48" s="4">
        <v>301.79999999999995</v>
      </c>
      <c r="D48" s="46">
        <v>13744.4</v>
      </c>
      <c r="E48" s="46">
        <v>45799.7</v>
      </c>
      <c r="F48" s="46">
        <v>331.2</v>
      </c>
      <c r="G48" s="27">
        <v>59948.2</v>
      </c>
      <c r="H48" s="46">
        <v>12602.6</v>
      </c>
      <c r="I48" s="46">
        <v>138205.79999999999</v>
      </c>
    </row>
    <row r="49" spans="1:9" x14ac:dyDescent="0.2">
      <c r="A49" s="28"/>
      <c r="B49" s="30"/>
      <c r="C49" s="23" t="s">
        <v>35</v>
      </c>
      <c r="D49" s="30"/>
      <c r="E49" s="30"/>
      <c r="F49" s="30"/>
      <c r="G49" s="42"/>
      <c r="H49" s="30"/>
      <c r="I49" s="30"/>
    </row>
    <row r="50" spans="1:9" x14ac:dyDescent="0.2">
      <c r="A50" s="45" t="s">
        <v>195</v>
      </c>
      <c r="B50" s="46">
        <v>4213.8</v>
      </c>
      <c r="C50" s="4">
        <v>301.7</v>
      </c>
      <c r="D50" s="46">
        <v>14102.3</v>
      </c>
      <c r="E50" s="46">
        <v>48881.9</v>
      </c>
      <c r="F50" s="46">
        <v>331.2</v>
      </c>
      <c r="G50" s="27">
        <v>57537.100000000006</v>
      </c>
      <c r="H50" s="46">
        <v>13233.6</v>
      </c>
      <c r="I50" s="46">
        <f>SUM(B50:H50)</f>
        <v>138601.60000000001</v>
      </c>
    </row>
    <row r="51" spans="1:9" x14ac:dyDescent="0.2">
      <c r="A51" s="45"/>
      <c r="B51" s="46"/>
      <c r="C51" s="23" t="s">
        <v>35</v>
      </c>
      <c r="D51" s="46"/>
      <c r="E51" s="46"/>
      <c r="F51" s="46"/>
      <c r="G51" s="47"/>
      <c r="H51" s="46"/>
      <c r="I51" s="46"/>
    </row>
    <row r="52" spans="1:9" hidden="1" x14ac:dyDescent="0.2">
      <c r="A52" s="28" t="s">
        <v>22</v>
      </c>
      <c r="B52" s="30">
        <f>1081.3+1325.5+1813.7+575.7</f>
        <v>4796.2</v>
      </c>
      <c r="C52" s="42">
        <f>151+10+318.9</f>
        <v>479.9</v>
      </c>
      <c r="D52" s="30">
        <f>1053+1796.7+83.9+997.2</f>
        <v>3930.8</v>
      </c>
      <c r="E52" s="30">
        <f>229.6+15.8+1479.5+968.9+458.3</f>
        <v>3152.1000000000004</v>
      </c>
      <c r="F52" s="30">
        <f>7267.5+454.5+200</f>
        <v>7922</v>
      </c>
      <c r="G52" s="42">
        <f>676.3+122.3+4737.3+599.4+3509+543.1+1650+388.5+669.9-202.8</f>
        <v>12693</v>
      </c>
      <c r="H52" s="30">
        <f>321.9+626.2+598.2+2128.2+192.4</f>
        <v>3866.9</v>
      </c>
      <c r="I52" s="30">
        <f t="shared" ref="I52:I57" si="5">SUM(B52:H52)</f>
        <v>36840.9</v>
      </c>
    </row>
    <row r="53" spans="1:9" hidden="1" x14ac:dyDescent="0.2">
      <c r="A53" s="28" t="s">
        <v>37</v>
      </c>
      <c r="B53" s="30">
        <f>1081.3+1325.5+1813.7+575.7-1325.5+1134.6-1813.7+1519.5-575.7+540-1081.3+1082.5</f>
        <v>4276.5999999999995</v>
      </c>
      <c r="C53" s="42">
        <f>151+10+318.9</f>
        <v>479.9</v>
      </c>
      <c r="D53" s="30">
        <f>1053+1796.7+83.9+997.2-1796.7+1814.2-997.2+949.9-1053+1128</f>
        <v>3976.0000000000005</v>
      </c>
      <c r="E53" s="30">
        <f>229.6+15.8+1479.5+968.9+458.3-1479.5+1484.3-968.9+938.9-458.3+488.4-229.6+249.5</f>
        <v>3176.9000000000005</v>
      </c>
      <c r="F53" s="30">
        <f>7267.5+454.5+200</f>
        <v>7922</v>
      </c>
      <c r="G53" s="42">
        <f>676.3+122.3+4737.3+599.4+3509+543.1+1650+388.5+669.9-202.8-4737.3+4769.7-599.4+634-3509+3512.9-543.1+574-1650+1649.6-388.5+349.9-669.9+670+202.8-217.1-676.3+675.3-122.3+128.9</f>
        <v>12747.199999999999</v>
      </c>
      <c r="H53" s="30">
        <f>321.9+626.2+598.2+2128.2+192.4-626.2+627.4-598.2+577.4-2128.2+2204.7-192.4+131.8-321.9+275</f>
        <v>3816.2999999999997</v>
      </c>
      <c r="I53" s="30">
        <f t="shared" si="5"/>
        <v>36394.9</v>
      </c>
    </row>
    <row r="54" spans="1:9" hidden="1" x14ac:dyDescent="0.2">
      <c r="A54" s="28" t="s">
        <v>38</v>
      </c>
      <c r="B54" s="30">
        <f>1081.3+1325.5+1813.7+575.7-1325.5+1134.6-1813.7+1519.5-575.7+540-1081.3+1082.5-540+657.3-1134.6+1334.1-1519.5+1674.5-1082.5+1152.5</f>
        <v>4818.3999999999996</v>
      </c>
      <c r="C54" s="42">
        <f>151+10+318.9</f>
        <v>479.9</v>
      </c>
      <c r="D54" s="30">
        <f>1053+1796.7+83.9+997.2-1796.7+1814.2-997.2+949.9-1053+1128-1814.2+1812.9-1128+958</f>
        <v>3804.7000000000003</v>
      </c>
      <c r="E54" s="30">
        <f>229.6+15.8+1479.5+968.9+458.3-1479.5+1484.3-968.9+938.9-458.3+488.4-229.6+249.5-488.4+488.5-15.8+16.7-938.9+902.1-1484.3+1487-249.5+191.3</f>
        <v>3085.6000000000004</v>
      </c>
      <c r="F54" s="30">
        <f>7267.5+454.5+200-7267.5+6445.5</f>
        <v>7100</v>
      </c>
      <c r="G54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54" s="30">
        <f>321.9+626.2+598.2+2128.2+192.4-626.2+627.4-598.2+577.4-2128.2+2204.7-192.4+131.8-321.9+275-131.8+121.6-627.4+690.2-2204.7+2426.1-577.4+799.2-275+291.5</f>
        <v>4328.5999999999995</v>
      </c>
      <c r="I54" s="30">
        <f t="shared" si="5"/>
        <v>36249.300000000003</v>
      </c>
    </row>
    <row r="55" spans="1:9" hidden="1" x14ac:dyDescent="0.2">
      <c r="A55" s="28" t="s">
        <v>39</v>
      </c>
      <c r="B55" s="30">
        <f>1081.3+1325.5+1813.7+575.7-1325.5+1134.6-1813.7+1519.5-575.7+540-1081.3+1082.5-540+657.3-1134.6+1334.1-1519.5+1674.5-1082.5+1152.5-1334.1+1472.7-1152.5+1229.6-657.3+795.4-1674.5+1944-1229.6</f>
        <v>4212.1000000000004</v>
      </c>
      <c r="C55" s="42">
        <f>151+10+318.9-151</f>
        <v>328.9</v>
      </c>
      <c r="D55" s="30">
        <f>1053+1796.7+83.9+997.2-1796.7+1814.2-997.2+949.9-1053+1128-1814.2+1812.9-1128+958-1812.9+1804.3-958+1088-1088</f>
        <v>2838.1000000000004</v>
      </c>
      <c r="E55" s="30">
        <f>229.6+15.8+1479.5+968.9+458.3-1479.5+1484.3-968.9+938.9-458.3+488.4-229.6+249.5-488.4+488.5-15.8+16.7-938.9+902.1-1484.3+1487-249.5+191.3-1487+1610.2-16.7+16.3-191.3+233.3-488.5+539.9-902.1+906-233.3</f>
        <v>3072.4000000000005</v>
      </c>
      <c r="F55" s="30">
        <f>7267.5+454.5+200-7267.5+6445.5-6445.5+7233.5</f>
        <v>7888</v>
      </c>
      <c r="G55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55" s="30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55" s="30">
        <f t="shared" si="5"/>
        <v>33990.400000000001</v>
      </c>
    </row>
    <row r="56" spans="1:9" hidden="1" x14ac:dyDescent="0.2">
      <c r="A56" s="28" t="s">
        <v>40</v>
      </c>
      <c r="B56" s="30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56" s="42">
        <f>151+10+318.9-151-10</f>
        <v>318.89999999999998</v>
      </c>
      <c r="D56" s="30">
        <f>1053+1796.7+83.9+997.2-1796.7+1814.2-997.2+949.9-1053+1128-1814.2+1812.9-1128+958-1812.9+1804.3-958+1088-1088-1804.3+1928.7-949.9+1052.7</f>
        <v>3065.3</v>
      </c>
      <c r="E56" s="30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56" s="30">
        <f>7267.5+454.5+200-7267.5+6445.5-6445.5+7233.5</f>
        <v>7888</v>
      </c>
      <c r="G56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56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56" s="30">
        <f t="shared" si="5"/>
        <v>36024.000000000007</v>
      </c>
    </row>
    <row r="57" spans="1:9" hidden="1" x14ac:dyDescent="0.2">
      <c r="A57" s="28" t="s">
        <v>29</v>
      </c>
      <c r="B57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7" s="42">
        <f>151+10+318.9-151-10</f>
        <v>318.89999999999998</v>
      </c>
      <c r="D57" s="30">
        <f>1053+1796.7+83.9+997.2-1796.7+1814.2-997.2+949.9-1053+1128-1814.2+1812.9-1128+958-1812.9+1804.3-958+1088-1088-1804.3+1928.7-949.9+1052.7-1928.7+1975.1</f>
        <v>3111.7</v>
      </c>
      <c r="E57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7" s="30">
        <f>7267.5+454.5+200-7267.5+6445.5-6445.5+7233.5-7233.5+7294.3</f>
        <v>7948.8</v>
      </c>
      <c r="G57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7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7" s="30">
        <f t="shared" si="5"/>
        <v>38021.400000000009</v>
      </c>
    </row>
    <row r="58" spans="1:9" hidden="1" x14ac:dyDescent="0.2">
      <c r="A58" s="28" t="s">
        <v>41</v>
      </c>
      <c r="B58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8" s="42">
        <f>151+10+318.9-151-10-318.9+328.9</f>
        <v>328.9</v>
      </c>
      <c r="D58" s="30">
        <f>1053+1796.7+83.9+997.2-1796.7+1814.2-997.2+949.9-1053+1128-1814.2+1812.9-1128+958-1812.9+1804.3-958+1088-1088-1804.3+1928.7-949.9+1052.7-1928.7+1975.1-1975.1+2077.7</f>
        <v>3214.2999999999997</v>
      </c>
      <c r="E58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8" s="30">
        <f>7267.5+454.5+200-7267.5+6445.5-6445.5+7233.5-7233.5+7294.3-7294.3+7294.3</f>
        <v>7948.8</v>
      </c>
      <c r="G58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8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8" s="30">
        <f t="shared" ref="I58:I63" si="6">SUM(B58:H58)</f>
        <v>39955.900000000009</v>
      </c>
    </row>
    <row r="59" spans="1:9" hidden="1" x14ac:dyDescent="0.2">
      <c r="A59" s="28" t="s">
        <v>20</v>
      </c>
      <c r="B59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59" s="42">
        <f>151+10+318.9-151-10-318.9+328.9-328.9+368.9</f>
        <v>368.9</v>
      </c>
      <c r="D59" s="30">
        <f>1053+1796.7+83.9+997.2-1796.7+1814.2-997.2+949.9-1053+1128-1814.2+1812.9-1128+958-1812.9+1804.3-958+1088-1088-1804.3+1928.7-949.9+1052.7-1928.7+1975.1-1975.1+2077.7-1052.7+1155.6-2077.7+2149.4</f>
        <v>3388.8999999999996</v>
      </c>
      <c r="E59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59" s="30">
        <f>7267.5+454.5+200-7267.5+6445.5-6445.5+7233.5-7233.5+7294.3-7294.3+7294.3</f>
        <v>7948.8</v>
      </c>
      <c r="G59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59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59" s="30">
        <f t="shared" si="6"/>
        <v>41895.4</v>
      </c>
    </row>
    <row r="60" spans="1:9" hidden="1" x14ac:dyDescent="0.2">
      <c r="A60" s="28" t="s">
        <v>21</v>
      </c>
      <c r="B60" s="30">
        <f>2747+3114.6+4687.5</f>
        <v>10549.1</v>
      </c>
      <c r="C60" s="42">
        <v>268.89999999999998</v>
      </c>
      <c r="D60" s="30">
        <f>83.9+1315.6+2170.9</f>
        <v>3570.4</v>
      </c>
      <c r="E60" s="30">
        <f>496.5+1572.9+863.7+171.5</f>
        <v>3104.6000000000004</v>
      </c>
      <c r="F60" s="30">
        <f>200+454.5+9883.8</f>
        <v>10538.3</v>
      </c>
      <c r="G60" s="42">
        <f>-297+672.8+3720.6+373.2+2195.5+45.7+5240.8+574.6</f>
        <v>12526.199999999999</v>
      </c>
      <c r="H60" s="30">
        <f>139.2+591.2+2604.2+617.2</f>
        <v>3951.8</v>
      </c>
      <c r="I60" s="30">
        <f t="shared" si="6"/>
        <v>44509.3</v>
      </c>
    </row>
    <row r="61" spans="1:9" hidden="1" x14ac:dyDescent="0.2">
      <c r="A61" s="28" t="s">
        <v>42</v>
      </c>
      <c r="B61" s="30">
        <f>2743.7+3004.9+4346.7+120.9</f>
        <v>10216.199999999999</v>
      </c>
      <c r="C61" s="42">
        <v>268.89999999999998</v>
      </c>
      <c r="D61" s="30">
        <f>83.9+1379.3+2225.4</f>
        <v>3688.6000000000004</v>
      </c>
      <c r="E61" s="30">
        <f>450.1+1578.4+867.2+171.3</f>
        <v>3067</v>
      </c>
      <c r="F61" s="30">
        <f>200+454.5+9883.8</f>
        <v>10538.3</v>
      </c>
      <c r="G61" s="42">
        <f>-276.3+623+49.8+3723.3+419.4+2194.5+52.8+5234.4+653.6</f>
        <v>12674.5</v>
      </c>
      <c r="H61" s="30">
        <f>387.1+628.4+2664.6+566.2</f>
        <v>4246.3</v>
      </c>
      <c r="I61" s="30">
        <f t="shared" si="6"/>
        <v>44699.8</v>
      </c>
    </row>
    <row r="62" spans="1:9" hidden="1" x14ac:dyDescent="0.2">
      <c r="A62" s="28" t="s">
        <v>43</v>
      </c>
      <c r="B62" s="30">
        <f>2575.1+2997.5+4059.1+387.2</f>
        <v>10018.900000000001</v>
      </c>
      <c r="C62" s="42">
        <v>268.89999999999998</v>
      </c>
      <c r="D62" s="30">
        <f>83.9+1229.4+2172.4</f>
        <v>3485.7000000000003</v>
      </c>
      <c r="E62" s="30">
        <f>455.3+1575+924.1+171.2</f>
        <v>3125.6</v>
      </c>
      <c r="F62" s="30">
        <f>200+454.5+9785.5</f>
        <v>10440</v>
      </c>
      <c r="G62" s="42">
        <f>-292.9+623+49.8+3901.3+448.1+2194.2+75.8+5188.1+707.1</f>
        <v>12894.500000000002</v>
      </c>
      <c r="H62" s="30">
        <f>143.7+591.4+2778.9+601.6</f>
        <v>4115.6000000000004</v>
      </c>
      <c r="I62" s="30">
        <f t="shared" si="6"/>
        <v>44349.200000000004</v>
      </c>
    </row>
    <row r="63" spans="1:9" hidden="1" x14ac:dyDescent="0.2">
      <c r="A63" s="28" t="s">
        <v>17</v>
      </c>
      <c r="B63" s="30">
        <f>2454+3245+3400+88.5</f>
        <v>9187.5</v>
      </c>
      <c r="C63" s="42">
        <v>268.89999999999998</v>
      </c>
      <c r="D63" s="30">
        <f>83.9+1192.4+2218.3</f>
        <v>3494.6000000000004</v>
      </c>
      <c r="E63" s="30">
        <f>467.9+1581.8+873.7+172</f>
        <v>3095.3999999999996</v>
      </c>
      <c r="F63" s="30">
        <f>200+454.5+10159.3</f>
        <v>10813.8</v>
      </c>
      <c r="G63" s="42">
        <f>-423.8+708+157.6+3928.9+446.1+2200.4+346.4+5194.2+701.5</f>
        <v>13259.3</v>
      </c>
      <c r="H63" s="30">
        <f>160.3+689.2+2216.5+635.8</f>
        <v>3701.8</v>
      </c>
      <c r="I63" s="30">
        <f t="shared" si="6"/>
        <v>43821.3</v>
      </c>
    </row>
    <row r="64" spans="1:9" hidden="1" x14ac:dyDescent="0.2">
      <c r="A64" s="28"/>
      <c r="B64" s="30"/>
      <c r="C64" s="42"/>
      <c r="D64" s="30"/>
      <c r="E64" s="30"/>
      <c r="F64" s="30"/>
      <c r="G64" s="42"/>
      <c r="H64" s="30"/>
      <c r="I64" s="30"/>
    </row>
    <row r="65" spans="1:9" hidden="1" x14ac:dyDescent="0.2">
      <c r="A65" s="28"/>
      <c r="B65" s="30"/>
      <c r="C65" s="42"/>
      <c r="D65" s="30"/>
      <c r="E65" s="30"/>
      <c r="F65" s="30"/>
      <c r="G65" s="42"/>
      <c r="H65" s="30"/>
      <c r="I65" s="30"/>
    </row>
    <row r="66" spans="1:9" hidden="1" x14ac:dyDescent="0.2">
      <c r="A66" s="28" t="s">
        <v>23</v>
      </c>
      <c r="B66" s="30">
        <f>24.4+2379.8+2086.8+2681.8</f>
        <v>7172.8</v>
      </c>
      <c r="C66" s="42">
        <v>268.89999999999998</v>
      </c>
      <c r="D66" s="30">
        <f>83.9+2250.5+1208.5</f>
        <v>3542.9</v>
      </c>
      <c r="E66" s="30">
        <f>1681.7+171.5+456.3+874.4</f>
        <v>3183.9</v>
      </c>
      <c r="F66" s="30">
        <f>415.6+10159.3+200</f>
        <v>10774.9</v>
      </c>
      <c r="G66" s="42">
        <f>4059.6+375.5+846.6-198+5205.3+786.5+790.6-430.5+2221.9+338.2</f>
        <v>13995.7</v>
      </c>
      <c r="H66" s="30">
        <f>551.1+71.1+601.8+178.5+2239.3</f>
        <v>3641.8</v>
      </c>
      <c r="I66" s="30">
        <f t="shared" ref="I66:I71" si="7">SUM(B66:H66)</f>
        <v>42580.900000000009</v>
      </c>
    </row>
    <row r="67" spans="1:9" hidden="1" x14ac:dyDescent="0.2">
      <c r="A67" s="28" t="s">
        <v>24</v>
      </c>
      <c r="B67" s="30">
        <f>200.5+2139.7+1893.1+2426.1</f>
        <v>6659.4</v>
      </c>
      <c r="C67" s="42">
        <v>268.89999999999998</v>
      </c>
      <c r="D67" s="30">
        <f>83.9+2256.7+1016.3</f>
        <v>3356.8999999999996</v>
      </c>
      <c r="E67" s="30">
        <f>1688.5+101.6+448.8+931.2</f>
        <v>3170.1000000000004</v>
      </c>
      <c r="F67" s="30">
        <f>415.6+10159.3+200</f>
        <v>10774.9</v>
      </c>
      <c r="G67" s="42">
        <f>4107+369.1+956.3-310.3+5280.2+793.9+840.6-440.4+2236.6+316.3</f>
        <v>14149.3</v>
      </c>
      <c r="H67" s="30">
        <f>550.5+65.2+622+185.5+2542.9</f>
        <v>3966.1000000000004</v>
      </c>
      <c r="I67" s="30">
        <f t="shared" si="7"/>
        <v>42345.599999999999</v>
      </c>
    </row>
    <row r="68" spans="1:9" hidden="1" x14ac:dyDescent="0.2">
      <c r="A68" s="28" t="s">
        <v>25</v>
      </c>
      <c r="B68" s="30">
        <f>0.2+2178.4+1725.3+2704.8</f>
        <v>6608.7</v>
      </c>
      <c r="C68" s="42">
        <v>268.89999999999998</v>
      </c>
      <c r="D68" s="30">
        <f>83.9+2251.1+816.3</f>
        <v>3151.3</v>
      </c>
      <c r="E68" s="30">
        <f>1700.2+101.7+430.5+829.4</f>
        <v>3061.8</v>
      </c>
      <c r="F68" s="30">
        <f>415.6+10536.1+200</f>
        <v>11151.7</v>
      </c>
      <c r="G68" s="42">
        <f>4299.4+1.3+969.3-327.1+5952.2+124.7+832.8-446.3+2367.9-81</f>
        <v>13693.199999999999</v>
      </c>
      <c r="H68" s="30">
        <f>752.7+73+669.1+196.4+2673.3</f>
        <v>4364.5</v>
      </c>
      <c r="I68" s="30">
        <f t="shared" si="7"/>
        <v>42300.1</v>
      </c>
    </row>
    <row r="69" spans="1:9" hidden="1" x14ac:dyDescent="0.2">
      <c r="A69" s="28" t="s">
        <v>26</v>
      </c>
      <c r="B69" s="30">
        <f>0.2+1371.5+1466.1+1918.8</f>
        <v>4756.6000000000004</v>
      </c>
      <c r="C69" s="42">
        <v>288.89999999999998</v>
      </c>
      <c r="D69" s="30">
        <f>133.9+2287.5+816.3</f>
        <v>3237.7</v>
      </c>
      <c r="E69" s="30">
        <f>1682.2+101.8+431.2+779.4</f>
        <v>2994.6</v>
      </c>
      <c r="F69" s="30">
        <f>415.6+10536.1+200</f>
        <v>11151.7</v>
      </c>
      <c r="G69" s="42">
        <f>4280.8+51.5+979-341.3+5957.7+277+837.8-449.2+2367.5+172.8</f>
        <v>14133.599999999999</v>
      </c>
      <c r="H69" s="30">
        <f>561.6+73.6+645.3+193.4+2524.2</f>
        <v>3998.1</v>
      </c>
      <c r="I69" s="30">
        <f t="shared" si="7"/>
        <v>40561.199999999997</v>
      </c>
    </row>
    <row r="70" spans="1:9" hidden="1" x14ac:dyDescent="0.2">
      <c r="A70" s="28" t="s">
        <v>27</v>
      </c>
      <c r="B70" s="30">
        <f>73.6+1371.2+1402.3</f>
        <v>2847.1</v>
      </c>
      <c r="C70" s="42" t="s">
        <v>35</v>
      </c>
      <c r="D70" s="30">
        <f>133.9+2190</f>
        <v>2323.9</v>
      </c>
      <c r="E70" s="30">
        <f>1685.8+102.1+433.9</f>
        <v>2221.7999999999997</v>
      </c>
      <c r="F70" s="30">
        <f>415.6+10422.5+200</f>
        <v>11038.1</v>
      </c>
      <c r="G70" s="42">
        <f>4275.9+91.4+989.7-353.2+5996.1+324.6+837.8-460.3</f>
        <v>11702</v>
      </c>
      <c r="H70" s="30">
        <f>563.7+68.3+654.4+186.4</f>
        <v>1472.8000000000002</v>
      </c>
      <c r="I70" s="30">
        <f t="shared" si="7"/>
        <v>31605.7</v>
      </c>
    </row>
    <row r="71" spans="1:9" hidden="1" x14ac:dyDescent="0.2">
      <c r="A71" s="28" t="s">
        <v>28</v>
      </c>
      <c r="B71" s="30">
        <f>79+931.1+1286.9</f>
        <v>2297</v>
      </c>
      <c r="C71" s="42" t="s">
        <v>35</v>
      </c>
      <c r="D71" s="30">
        <f>133.9+2244.9</f>
        <v>2378.8000000000002</v>
      </c>
      <c r="E71" s="30">
        <f>1699.9+101.4+421.7</f>
        <v>2223</v>
      </c>
      <c r="F71" s="30">
        <f>415.6+10989.1+200</f>
        <v>11604.7</v>
      </c>
      <c r="G71" s="42">
        <f>4276.7+132.1+1012-378.4+6059.5+384.6+837.8-467.2</f>
        <v>11857.1</v>
      </c>
      <c r="H71" s="30">
        <f>569.5+67.5+717.3+188.6</f>
        <v>1542.8999999999999</v>
      </c>
      <c r="I71" s="30">
        <f t="shared" si="7"/>
        <v>31903.5</v>
      </c>
    </row>
    <row r="72" spans="1:9" hidden="1" x14ac:dyDescent="0.2">
      <c r="A72" s="28" t="s">
        <v>30</v>
      </c>
      <c r="B72" s="30">
        <f>79+931.1+1286.9-1286.9+1231.7+3-931.1+543.9-79+1.3</f>
        <v>1779.9000000000003</v>
      </c>
      <c r="C72" s="42" t="s">
        <v>35</v>
      </c>
      <c r="D72" s="30">
        <f>133.9+2244.9-2244.9+2312.7</f>
        <v>2446.6</v>
      </c>
      <c r="E72" s="30">
        <f>1699.9+101.4+421.7-421.7+424.7-101.4+103.4-1699.9+1697.5</f>
        <v>2225.6</v>
      </c>
      <c r="F72" s="30">
        <f>415.6+10989.1+200</f>
        <v>11604.7</v>
      </c>
      <c r="G72" s="42">
        <f>4276.7+132.1+1012-378.4+6059.5+384.6+837.8-467.2+467.2-476.3-1012+1017.5+378.4-391.6-6059.5+6080.4-384.6+448.2-4276.7+4268.5-132.1+191.8</f>
        <v>11976.300000000001</v>
      </c>
      <c r="H72" s="30">
        <f>569.5+67.5+717.3+188.6-188.6+193.1-67.5+94.3-717.3+698.5-569.5+591.9</f>
        <v>1577.7999999999997</v>
      </c>
      <c r="I72" s="30">
        <f t="shared" ref="I72:I77" si="8">SUM(B72:H72)</f>
        <v>31610.900000000005</v>
      </c>
    </row>
    <row r="73" spans="1:9" hidden="1" x14ac:dyDescent="0.2">
      <c r="A73" s="28" t="s">
        <v>31</v>
      </c>
      <c r="B73" s="30">
        <v>1851.5</v>
      </c>
      <c r="C73" s="42" t="s">
        <v>35</v>
      </c>
      <c r="D73" s="30">
        <v>2488.8000000000002</v>
      </c>
      <c r="E73" s="30">
        <v>2221.1</v>
      </c>
      <c r="F73" s="30">
        <v>11604.7</v>
      </c>
      <c r="G73" s="42">
        <v>12087.9</v>
      </c>
      <c r="H73" s="30">
        <v>1640.6</v>
      </c>
      <c r="I73" s="30">
        <f t="shared" si="8"/>
        <v>31894.6</v>
      </c>
    </row>
    <row r="74" spans="1:9" hidden="1" x14ac:dyDescent="0.2">
      <c r="A74" s="28" t="s">
        <v>32</v>
      </c>
      <c r="B74" s="30">
        <f>1851.5+60-1223.6+1235.2-627.8+540.3-0.1+154.4</f>
        <v>1989.9000000000003</v>
      </c>
      <c r="C74" s="42" t="s">
        <v>35</v>
      </c>
      <c r="D74" s="30">
        <f>2488.8-2354.9+2403.2</f>
        <v>2537.1</v>
      </c>
      <c r="E74" s="30">
        <f>2221.1-433.3+435.5-102.1+107.6-1685.7+1678.4</f>
        <v>2221.5</v>
      </c>
      <c r="F74" s="30">
        <f>11604.7-10989.1+11206.5</f>
        <v>11822.1</v>
      </c>
      <c r="G74" s="42">
        <f>12087.9-1006.9+1012.3+384.9-399.3+506.2-530.2-6162.8+6144.7-458.1+529.7-4277.2+4266.8-236.2+302.8</f>
        <v>12164.599999999999</v>
      </c>
      <c r="H74" s="30">
        <f>1640.6-151.2+157.5-192.7+201-626.1+633.8-670.6+643.5</f>
        <v>1635.7999999999997</v>
      </c>
      <c r="I74" s="30">
        <f t="shared" si="8"/>
        <v>32370.999999999996</v>
      </c>
    </row>
    <row r="75" spans="1:9" hidden="1" x14ac:dyDescent="0.2">
      <c r="A75" s="28" t="s">
        <v>33</v>
      </c>
      <c r="B75" s="30">
        <f>1851.5+60-1223.6+1235.2-627.8+540.3-0.1+154.4-1235.2+1220.8-540.3+750-154.4+1.6</f>
        <v>2032.4</v>
      </c>
      <c r="C75" s="42" t="s">
        <v>35</v>
      </c>
      <c r="D75" s="30">
        <f>2488.8-2354.9+2403.2-2403.2+2312.3</f>
        <v>2446.2000000000003</v>
      </c>
      <c r="E75" s="30">
        <f>2221.1-433.3+435.5-102.1+107.6-1685.7+1678.4-435.5+440.6-107.6+167.2-1678.4+1662.4</f>
        <v>2270.1999999999998</v>
      </c>
      <c r="F75" s="30">
        <f>11604.7-10989.1+11206.5</f>
        <v>11822.1</v>
      </c>
      <c r="G75" s="42">
        <f>12087.9-1006.9+1012.3+384.9-399.3+506.2-530.2-6162.8+6144.7-458.1+529.7-4277.2+4266.8-236.2+302.8-1012.3+1017.8+530.2-557-11206.5+11089.2-6144.7+6295.6-529.7+558.3-4266.8+4243.8-302.8+391</f>
        <v>12270.7</v>
      </c>
      <c r="H75" s="30">
        <f>1640.6-151.2+157.5-192.7+201-626.1+633.8-670.6+643.5-157.5+158.3+399.3-402.4-201+209.2-633.8+726.8-643.5+641.3</f>
        <v>1732.4999999999995</v>
      </c>
      <c r="I75" s="30">
        <f t="shared" si="8"/>
        <v>32574.100000000002</v>
      </c>
    </row>
    <row r="76" spans="1:9" hidden="1" x14ac:dyDescent="0.2">
      <c r="A76" s="28" t="s">
        <v>34</v>
      </c>
      <c r="B76" s="30">
        <f>1851.5+60-1223.6+1235.2-627.8+540.3-0.1+154.4-1235.2+1220.8-540.3+750-154.4+1.6-1220.8+1156.3-1.6+151.1-750+708.4</f>
        <v>2075.8000000000002</v>
      </c>
      <c r="C76" s="42" t="s">
        <v>35</v>
      </c>
      <c r="D76" s="30">
        <f>2488.8-2354.9+2403.2-2403.2+2312.3-2312.3+2365.9</f>
        <v>2499.8000000000002</v>
      </c>
      <c r="E76" s="30">
        <f>2221.1-433.3+435.5-102.1+107.6-1685.7+1678.4-435.5+440.6-107.6+167.2-1678.4+1662.4-440.6+262.1-1662.4+2101.5</f>
        <v>2530.7999999999997</v>
      </c>
      <c r="F76" s="30">
        <f>11604.7-10989.1+11206.5</f>
        <v>11822.1</v>
      </c>
      <c r="G76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76" s="30">
        <f>1640.6-151.2+157.5-192.7+201-626.1+633.8-670.6+643.5-157.5+158.3+399.3-402.4-201+209.2-633.8+726.8-643.5+641.3+402.4-407.2-158.3+160.2-209.2+197.6-641.3+621.7-726.8+647.1</f>
        <v>1618.6999999999998</v>
      </c>
      <c r="I76" s="30">
        <f t="shared" si="8"/>
        <v>33041.1</v>
      </c>
    </row>
    <row r="77" spans="1:9" hidden="1" x14ac:dyDescent="0.2">
      <c r="A77" s="28" t="s">
        <v>36</v>
      </c>
      <c r="B77" s="30">
        <f>1851.5+60-1223.6+1235.2-627.8+540.3-0.1+154.4-1235.2+1220.8-540.3+750-154.4+1.6-1220.8+1156.3-1.6+151.1-750+708.4-60+60.3-1156.3+1134.5-708.4+722.3-151.1+275.9</f>
        <v>2193</v>
      </c>
      <c r="C77" s="42" t="s">
        <v>35</v>
      </c>
      <c r="D77" s="30">
        <f>2488.8-2354.9+2403.2-2403.2+2312.3-2312.3+2365.9-2365.9+2407.9-133.9+186.1</f>
        <v>2594</v>
      </c>
      <c r="E77" s="30">
        <f>2221.1-433.3+435.5-102.1+107.6-1685.7+1678.4-435.5+440.6-107.6+167.2-1678.4+1662.4-440.6+262.1-1662.4+2101.5-262.1+168.6-167.2+166.5-2101.5+2135.3</f>
        <v>2470.4</v>
      </c>
      <c r="F77" s="30">
        <f>11604.7-10989.1+11206.5-11089.2+11916.4-415.5+408.9</f>
        <v>12642.699999999999</v>
      </c>
      <c r="G77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77" s="30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77" s="30">
        <f t="shared" si="8"/>
        <v>33938.700000000004</v>
      </c>
    </row>
    <row r="78" spans="1:9" hidden="1" x14ac:dyDescent="0.2">
      <c r="A78" s="28"/>
      <c r="B78" s="30"/>
      <c r="C78" s="42"/>
      <c r="D78" s="30"/>
      <c r="E78" s="30"/>
      <c r="F78" s="30"/>
      <c r="G78" s="42"/>
      <c r="H78" s="30"/>
      <c r="I78" s="30"/>
    </row>
    <row r="79" spans="1:9" hidden="1" x14ac:dyDescent="0.2">
      <c r="A79" s="28" t="s">
        <v>44</v>
      </c>
      <c r="B79" s="30">
        <f>1851.5+60-1223.6+1235.2-627.8+540.3-0.1+154.4-1235.2+1220.8-540.3+750-154.4+1.6-1220.8+1156.3-1.6+151.1-750+708.4-60+60.3-1156.3+1134.5-708.4+722.3-151.1+275.9-60.3-722.3+656.6-275.9+0.7</f>
        <v>1791.8</v>
      </c>
      <c r="C79" s="42" t="s">
        <v>35</v>
      </c>
      <c r="D79" s="30">
        <f>2488.8-2354.9+2403.2-2403.2+2312.3-2312.3+2365.9-2365.9+2407.9-133.9+186.1+56.3-2407.9+2301.5</f>
        <v>2543.9</v>
      </c>
      <c r="E79" s="30">
        <f>2221.1-433.3+435.5-102.1+107.6-1685.7+1678.4-435.5+440.6-107.6+167.2-1678.4+1662.4-440.6+262.1-1662.4+2101.5-262.1+168.6-167.2+166.5-2101.5+2135.3-168.6+168.7-166.5+167.2-2135.3+2163.5</f>
        <v>2499.3999999999996</v>
      </c>
      <c r="F79" s="30">
        <f>11604.7-10989.1+11206.5-11089.2+11916.4-415.5+408.9-408.9+409.1</f>
        <v>12642.9</v>
      </c>
      <c r="G79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9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9" s="30">
        <f t="shared" ref="I79:I84" si="9">SUM(B79:H79)</f>
        <v>33707.500000000007</v>
      </c>
    </row>
    <row r="80" spans="1:9" hidden="1" x14ac:dyDescent="0.2">
      <c r="A80" s="28" t="s">
        <v>49</v>
      </c>
      <c r="B80" s="30">
        <f>1851.5+60-1223.6+1235.2-627.8+540.3-0.1+154.4-1235.2+1220.8-540.3+750-154.4+1.6-1220.8+1156.3-1.6+151.1-750+708.4-60+60.3-1156.3+1134.5-708.4+722.3-151.1+275.9-60.3-722.3+656.6-275.9+0.7+52.6-0.7-656.6</f>
        <v>1187.0999999999999</v>
      </c>
      <c r="C80" s="42" t="s">
        <v>35</v>
      </c>
      <c r="D80" s="30">
        <f>2488.8-2354.9+2403.2-2403.2+2312.3-2312.3+2365.9-2365.9+2407.9-133.9+186.1+56.3-2407.9+2301.5-56.3-2301.5+2289.4</f>
        <v>2475.5</v>
      </c>
      <c r="E80" s="30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80" s="30">
        <f>11604.7-10989.1+11206.5-11089.2+11916.4-415.5+408.9-408.9+409.1-409.1+402.4</f>
        <v>12636.199999999999</v>
      </c>
      <c r="G80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80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80" s="30">
        <f t="shared" si="9"/>
        <v>33216.6</v>
      </c>
    </row>
    <row r="81" spans="1:9" hidden="1" x14ac:dyDescent="0.2">
      <c r="A81" s="28" t="s">
        <v>45</v>
      </c>
      <c r="B81" s="30">
        <f>1851.5+60-1223.6+1235.2-627.8+540.3-0.1+154.4-1235.2+1220.8-540.3+750-154.4+1.6-1220.8+1156.3-1.6+151.1-750+708.4-60+60.3-1156.3+1134.5-708.4+722.3-151.1+275.9-60.3-722.3+656.6-275.9+0.7+52.6-0.7-656.6-52.6+48.8</f>
        <v>1183.3</v>
      </c>
      <c r="C81" s="42" t="s">
        <v>35</v>
      </c>
      <c r="D81" s="30">
        <f>2488.8-2354.9+2403.2-2403.2+2312.3-2312.3+2365.9-2365.9+2407.9-133.9+186.1+56.3-2407.9+2301.5-56.3-2301.5+2289.4-2289.4+2318.8</f>
        <v>2504.9</v>
      </c>
      <c r="E81" s="30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81" s="30">
        <f>11604.7-10989.1+11206.5-11089.2+11916.4-415.5+408.9-408.9+409.1-409.1+402.4-11916.4+11704.6</f>
        <v>12424.4</v>
      </c>
      <c r="G81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81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81" s="30">
        <f t="shared" si="9"/>
        <v>33140.600000000006</v>
      </c>
    </row>
    <row r="82" spans="1:9" hidden="1" x14ac:dyDescent="0.2">
      <c r="A82" s="28" t="s">
        <v>51</v>
      </c>
      <c r="B82" s="30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82" s="42" t="s">
        <v>35</v>
      </c>
      <c r="D82" s="30">
        <f>2488.8-2354.9+2403.2-2403.2+2312.3-2312.3+2365.9-2365.9+2407.9-133.9+186.1+56.3-2407.9+2301.5-56.3-2301.5+2289.4-2289.4+2318.8-2318.8+2208.9</f>
        <v>2395</v>
      </c>
      <c r="E82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82" s="30">
        <f>11604.7-10989.1+11206.5-11089.2+11916.4-415.5+408.9-408.9+409.1-409.1+402.4-11916.4+11704.6-11704.6+11582.1</f>
        <v>12301.9</v>
      </c>
      <c r="G82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82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82" s="30">
        <f t="shared" si="9"/>
        <v>33558.400000000001</v>
      </c>
    </row>
    <row r="83" spans="1:9" hidden="1" x14ac:dyDescent="0.2">
      <c r="A83" s="28" t="s">
        <v>52</v>
      </c>
      <c r="B83" s="30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83" s="42" t="s">
        <v>35</v>
      </c>
      <c r="D83" s="30">
        <f>2488.8-2354.9+2403.2-2403.2+2312.3-2312.3+2365.9-2365.9+2407.9-133.9+186.1+56.3-2407.9+2301.5-56.3-2301.5+2289.4-2289.4+2318.8-2318.8+2208.9-2208.9+2252.5</f>
        <v>2438.6</v>
      </c>
      <c r="E83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83" s="30">
        <f>11604.7-10989.1+11206.5-11089.2+11916.4-415.5+408.9-408.9+409.1-409.1+402.4-11916.4+11704.6-11704.6+11582.1</f>
        <v>12301.9</v>
      </c>
      <c r="G83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83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83" s="30">
        <f t="shared" si="9"/>
        <v>34742.400000000001</v>
      </c>
    </row>
    <row r="84" spans="1:9" hidden="1" x14ac:dyDescent="0.2">
      <c r="A84" s="28" t="s">
        <v>53</v>
      </c>
      <c r="B84" s="30">
        <f>37.2+2917.6</f>
        <v>2954.7999999999997</v>
      </c>
      <c r="C84" s="42" t="s">
        <v>35</v>
      </c>
      <c r="D84" s="30">
        <f>2324.3+206.1</f>
        <v>2530.4</v>
      </c>
      <c r="E84" s="30">
        <f>189.2+2156.9</f>
        <v>2346.1</v>
      </c>
      <c r="F84" s="30">
        <f>11511.5+402.4</f>
        <v>11913.9</v>
      </c>
      <c r="G84" s="42">
        <f>1146-443.5+7010.5+306.3+4490.2+210.8</f>
        <v>12720.3</v>
      </c>
      <c r="H84" s="30">
        <f>69.1+809.8+498</f>
        <v>1376.9</v>
      </c>
      <c r="I84" s="30">
        <f t="shared" si="9"/>
        <v>33842.399999999994</v>
      </c>
    </row>
    <row r="85" spans="1:9" hidden="1" x14ac:dyDescent="0.2">
      <c r="A85" s="28" t="s">
        <v>54</v>
      </c>
      <c r="B85" s="30">
        <f>33.3+5115.7</f>
        <v>5149</v>
      </c>
      <c r="C85" s="42" t="s">
        <v>35</v>
      </c>
      <c r="D85" s="30">
        <f>2359.3+206.1</f>
        <v>2565.4</v>
      </c>
      <c r="E85" s="30">
        <f>188.8+2148.3</f>
        <v>2337.1000000000004</v>
      </c>
      <c r="F85" s="30">
        <f>11511.5+402.4</f>
        <v>11913.9</v>
      </c>
      <c r="G85" s="42">
        <f>1165.5-441.4+7025.6+365.5+4481.7+250</f>
        <v>12846.900000000001</v>
      </c>
      <c r="H85" s="30">
        <f>44.3+912.6+516.4</f>
        <v>1473.3</v>
      </c>
      <c r="I85" s="30">
        <f t="shared" ref="I85:I90" si="10">SUM(B85:H85)</f>
        <v>36285.600000000006</v>
      </c>
    </row>
    <row r="86" spans="1:9" hidden="1" x14ac:dyDescent="0.2">
      <c r="A86" s="28" t="s">
        <v>55</v>
      </c>
      <c r="B86" s="30">
        <f>29.3+3532</f>
        <v>3561.3</v>
      </c>
      <c r="C86" s="42" t="s">
        <v>35</v>
      </c>
      <c r="D86" s="30">
        <f>2382.5+219.2</f>
        <v>2601.6999999999998</v>
      </c>
      <c r="E86" s="30">
        <f>184.2+2108.8</f>
        <v>2293</v>
      </c>
      <c r="F86" s="30">
        <f>11511.5+402.4</f>
        <v>11913.9</v>
      </c>
      <c r="G86" s="42">
        <f>1172.5-457.6+7231+404.8+4474.5+301.3</f>
        <v>13126.499999999998</v>
      </c>
      <c r="H86" s="30">
        <f>38.5+826.8+491</f>
        <v>1356.3</v>
      </c>
      <c r="I86" s="30">
        <f t="shared" si="10"/>
        <v>34852.700000000004</v>
      </c>
    </row>
    <row r="87" spans="1:9" hidden="1" x14ac:dyDescent="0.2">
      <c r="A87" s="28" t="s">
        <v>56</v>
      </c>
      <c r="B87" s="30">
        <f>29.3+3532-29.3+25.3-3532+2723.6</f>
        <v>2748.9</v>
      </c>
      <c r="C87" s="42" t="s">
        <v>35</v>
      </c>
      <c r="D87" s="30">
        <f>2382.5+219.2-2382.5+2419</f>
        <v>2638.2</v>
      </c>
      <c r="E87" s="30">
        <f>184.2+2108.8-2108.8+2105.9-184.2+184.3</f>
        <v>2290.2000000000003</v>
      </c>
      <c r="F87" s="30">
        <f>11511.5+402.4-11511.5+11684</f>
        <v>12086.4</v>
      </c>
      <c r="G87" s="42">
        <f>1172.5-457.6+7231+404.8+4474.5+301.3-1172.5+1174.9+457.6-467.2-4474.5+4477.3-301.3+343.7-7231+7233.8-404.8+469</f>
        <v>13231.5</v>
      </c>
      <c r="H87" s="30">
        <f>38.5+826.8+491-38.5+36.9-491+499.1-826.8+781</f>
        <v>1317.0000000000002</v>
      </c>
      <c r="I87" s="30">
        <f t="shared" si="10"/>
        <v>34312.199999999997</v>
      </c>
    </row>
    <row r="88" spans="1:9" hidden="1" x14ac:dyDescent="0.2">
      <c r="A88" s="28" t="s">
        <v>58</v>
      </c>
      <c r="B88" s="7">
        <f>14.2+2271.4</f>
        <v>2285.6</v>
      </c>
      <c r="C88" s="42" t="s">
        <v>35</v>
      </c>
      <c r="D88" s="30">
        <f>234.2+2266.4</f>
        <v>2500.6</v>
      </c>
      <c r="E88" s="30">
        <f>2122.1+184</f>
        <v>2306.1</v>
      </c>
      <c r="F88" s="30">
        <f>402.4+11561.1</f>
        <v>11963.5</v>
      </c>
      <c r="G88" s="42">
        <f>4502.3+387.4+7340+514.2</f>
        <v>12743.900000000001</v>
      </c>
      <c r="H88" s="30">
        <f>529.7+823.3</f>
        <v>1353</v>
      </c>
      <c r="I88" s="30">
        <f t="shared" si="10"/>
        <v>33152.699999999997</v>
      </c>
    </row>
    <row r="89" spans="1:9" hidden="1" x14ac:dyDescent="0.2">
      <c r="A89" s="28" t="s">
        <v>57</v>
      </c>
      <c r="B89" s="30">
        <f>40.4+1826.3</f>
        <v>1866.7</v>
      </c>
      <c r="C89" s="42" t="s">
        <v>35</v>
      </c>
      <c r="D89" s="30">
        <f>234.2+2191.1</f>
        <v>2425.2999999999997</v>
      </c>
      <c r="E89" s="30">
        <f>2062.3+183</f>
        <v>2245.3000000000002</v>
      </c>
      <c r="F89" s="30">
        <f>402.4+8700.3</f>
        <v>9102.6999999999989</v>
      </c>
      <c r="G89" s="42">
        <f>4478.5+472.4+7257.2+614.1</f>
        <v>12822.199999999999</v>
      </c>
      <c r="H89" s="30">
        <f>533+880.8</f>
        <v>1413.8</v>
      </c>
      <c r="I89" s="30">
        <f t="shared" si="10"/>
        <v>29875.999999999996</v>
      </c>
    </row>
    <row r="90" spans="1:9" hidden="1" x14ac:dyDescent="0.2">
      <c r="A90" s="28" t="s">
        <v>59</v>
      </c>
      <c r="B90" s="30">
        <f>56.6+836.5</f>
        <v>893.1</v>
      </c>
      <c r="C90" s="42" t="s">
        <v>35</v>
      </c>
      <c r="D90" s="30">
        <f>234.2+1844.2</f>
        <v>2078.4</v>
      </c>
      <c r="E90" s="30">
        <f>2006.6+183.9</f>
        <v>2190.5</v>
      </c>
      <c r="F90" s="30">
        <f>402.4+8658.3</f>
        <v>9060.6999999999989</v>
      </c>
      <c r="G90" s="42">
        <f>4482.5+479.6+7393.6+511.1</f>
        <v>12866.800000000001</v>
      </c>
      <c r="H90" s="30">
        <f>667.9+902.1</f>
        <v>1570</v>
      </c>
      <c r="I90" s="30">
        <f t="shared" si="10"/>
        <v>28659.5</v>
      </c>
    </row>
    <row r="91" spans="1:9" hidden="1" x14ac:dyDescent="0.2">
      <c r="A91" s="28"/>
      <c r="B91" s="30"/>
      <c r="C91" s="42"/>
      <c r="D91" s="30"/>
      <c r="E91" s="30"/>
      <c r="F91" s="30"/>
      <c r="G91" s="42"/>
      <c r="H91" s="30"/>
      <c r="I91" s="30"/>
    </row>
    <row r="92" spans="1:9" hidden="1" x14ac:dyDescent="0.2">
      <c r="A92" s="28" t="s">
        <v>46</v>
      </c>
      <c r="B92" s="30">
        <f>3.4+1823</f>
        <v>1826.4</v>
      </c>
      <c r="C92" s="42" t="s">
        <v>35</v>
      </c>
      <c r="D92" s="30">
        <f>70+2278.6</f>
        <v>2348.6</v>
      </c>
      <c r="E92" s="30">
        <f>2101.7+185.1</f>
        <v>2286.7999999999997</v>
      </c>
      <c r="F92" s="30">
        <f>560.4+4546.6</f>
        <v>5107</v>
      </c>
      <c r="G92" s="42">
        <f>4497.3+496.9+7397.3+570.4</f>
        <v>12961.9</v>
      </c>
      <c r="H92" s="30">
        <f>687.7+859.7</f>
        <v>1547.4</v>
      </c>
      <c r="I92" s="30">
        <f t="shared" ref="I92:I97" si="11">SUM(B92:H92)</f>
        <v>26078.1</v>
      </c>
    </row>
    <row r="93" spans="1:9" hidden="1" x14ac:dyDescent="0.2">
      <c r="A93" s="28" t="s">
        <v>61</v>
      </c>
      <c r="B93" s="30">
        <f>475.1</f>
        <v>475.1</v>
      </c>
      <c r="C93" s="42" t="s">
        <v>35</v>
      </c>
      <c r="D93" s="30">
        <f>70+2347.6</f>
        <v>2417.6</v>
      </c>
      <c r="E93" s="30">
        <f>2106.8+185.4</f>
        <v>2292.2000000000003</v>
      </c>
      <c r="F93" s="30">
        <f>560.4+4546.6</f>
        <v>5107</v>
      </c>
      <c r="G93" s="42">
        <f>4514+526.2+7309.3+690.9</f>
        <v>13040.4</v>
      </c>
      <c r="H93" s="30">
        <f>689.9+848.1</f>
        <v>1538</v>
      </c>
      <c r="I93" s="30">
        <f t="shared" si="11"/>
        <v>24870.3</v>
      </c>
    </row>
    <row r="94" spans="1:9" hidden="1" x14ac:dyDescent="0.2">
      <c r="A94" s="28" t="s">
        <v>47</v>
      </c>
      <c r="B94" s="30">
        <f>0.4+0.3</f>
        <v>0.7</v>
      </c>
      <c r="C94" s="42">
        <v>0</v>
      </c>
      <c r="D94" s="30">
        <f>70+2365.7</f>
        <v>2435.6999999999998</v>
      </c>
      <c r="E94" s="30">
        <f>2228.1+196.3</f>
        <v>2424.4</v>
      </c>
      <c r="F94" s="30">
        <f>560.4+4482</f>
        <v>5042.3999999999996</v>
      </c>
      <c r="G94" s="42">
        <f>4723.8+132+7831.1+208.9</f>
        <v>12895.800000000001</v>
      </c>
      <c r="H94" s="30">
        <f>856.8+854.4</f>
        <v>1711.1999999999998</v>
      </c>
      <c r="I94" s="30">
        <f t="shared" si="11"/>
        <v>24510.2</v>
      </c>
    </row>
    <row r="95" spans="1:9" hidden="1" x14ac:dyDescent="0.2">
      <c r="A95" s="28" t="s">
        <v>39</v>
      </c>
      <c r="B95" s="30">
        <v>0</v>
      </c>
      <c r="C95" s="42">
        <v>0</v>
      </c>
      <c r="D95" s="30">
        <f>70+2350.4</f>
        <v>2420.4</v>
      </c>
      <c r="E95" s="30">
        <f>2219.3+198.8</f>
        <v>2418.1000000000004</v>
      </c>
      <c r="F95" s="30">
        <f>553.6+4482</f>
        <v>5035.6000000000004</v>
      </c>
      <c r="G95" s="42">
        <f>4721.1+178.4+7826.3+149.4</f>
        <v>12875.199999999999</v>
      </c>
      <c r="H95" s="30">
        <f>606.9+1859.8</f>
        <v>2466.6999999999998</v>
      </c>
      <c r="I95" s="30">
        <f t="shared" si="11"/>
        <v>25216</v>
      </c>
    </row>
    <row r="96" spans="1:9" hidden="1" x14ac:dyDescent="0.2">
      <c r="A96" s="28" t="s">
        <v>63</v>
      </c>
      <c r="B96" s="30">
        <f>0.4+0.3</f>
        <v>0.7</v>
      </c>
      <c r="C96" s="42">
        <v>0</v>
      </c>
      <c r="D96" s="30">
        <f>70+2365.7</f>
        <v>2435.6999999999998</v>
      </c>
      <c r="E96" s="30">
        <f>2228.1+196.3</f>
        <v>2424.4</v>
      </c>
      <c r="F96" s="30">
        <f>560.4+4482</f>
        <v>5042.3999999999996</v>
      </c>
      <c r="G96" s="42">
        <f>4723.8+132+7831.1+208.9</f>
        <v>12895.800000000001</v>
      </c>
      <c r="H96" s="30">
        <f>856.8+854.4</f>
        <v>1711.1999999999998</v>
      </c>
      <c r="I96" s="30">
        <f>SUM(B96:H96)</f>
        <v>24510.2</v>
      </c>
    </row>
    <row r="97" spans="1:9" hidden="1" x14ac:dyDescent="0.2">
      <c r="A97" s="28" t="s">
        <v>64</v>
      </c>
      <c r="B97" s="30" t="s">
        <v>35</v>
      </c>
      <c r="C97" s="30" t="s">
        <v>35</v>
      </c>
      <c r="D97" s="30">
        <f>170+2818.5</f>
        <v>2988.5</v>
      </c>
      <c r="E97" s="30">
        <f>1979.4+196.4</f>
        <v>2175.8000000000002</v>
      </c>
      <c r="F97" s="30">
        <f>553.6+2448</f>
        <v>3001.6</v>
      </c>
      <c r="G97" s="42">
        <f>4672.5+333.1+7442.6+463.6</f>
        <v>12911.800000000001</v>
      </c>
      <c r="H97" s="30">
        <f>590.2+694.8</f>
        <v>1285</v>
      </c>
      <c r="I97" s="30">
        <f t="shared" si="11"/>
        <v>22362.7</v>
      </c>
    </row>
    <row r="98" spans="1:9" hidden="1" x14ac:dyDescent="0.2">
      <c r="A98" s="28" t="s">
        <v>65</v>
      </c>
      <c r="B98" s="30" t="s">
        <v>35</v>
      </c>
      <c r="C98" s="30" t="s">
        <v>35</v>
      </c>
      <c r="D98" s="30">
        <f>328+2859.9</f>
        <v>3187.9</v>
      </c>
      <c r="E98" s="30">
        <f>1665.3+196.2</f>
        <v>1861.5</v>
      </c>
      <c r="F98" s="30">
        <f>395.6+2448</f>
        <v>2843.6</v>
      </c>
      <c r="G98" s="42">
        <f>4690.3+391+7398.5+534.8</f>
        <v>13014.599999999999</v>
      </c>
      <c r="H98" s="30">
        <f>709.2+1126.4</f>
        <v>1835.6000000000001</v>
      </c>
      <c r="I98" s="30">
        <f t="shared" ref="I98:I103" si="12">SUM(B98:H98)</f>
        <v>22743.199999999997</v>
      </c>
    </row>
    <row r="99" spans="1:9" hidden="1" x14ac:dyDescent="0.2">
      <c r="A99" s="28" t="s">
        <v>66</v>
      </c>
      <c r="B99" s="30" t="s">
        <v>35</v>
      </c>
      <c r="C99" s="30" t="s">
        <v>35</v>
      </c>
      <c r="D99" s="30">
        <f>428+2774.2</f>
        <v>3202.2</v>
      </c>
      <c r="E99" s="30">
        <f>1638.6+196.2</f>
        <v>1834.8</v>
      </c>
      <c r="F99" s="30">
        <f>395.6+2448</f>
        <v>2843.6</v>
      </c>
      <c r="G99" s="42">
        <f>4690.9+426.3+7401+616.2</f>
        <v>13134.400000000001</v>
      </c>
      <c r="H99" s="30">
        <f>808.4+1143.3</f>
        <v>1951.6999999999998</v>
      </c>
      <c r="I99" s="30">
        <f t="shared" si="12"/>
        <v>22966.7</v>
      </c>
    </row>
    <row r="100" spans="1:9" hidden="1" x14ac:dyDescent="0.2">
      <c r="A100" s="28" t="s">
        <v>67</v>
      </c>
      <c r="B100" s="30" t="s">
        <v>35</v>
      </c>
      <c r="C100" s="30" t="s">
        <v>35</v>
      </c>
      <c r="D100" s="30">
        <f>428+2694.7</f>
        <v>3122.7</v>
      </c>
      <c r="E100" s="30">
        <f>1654+196.6</f>
        <v>1850.6</v>
      </c>
      <c r="F100" s="30">
        <f>395.6+2745.4</f>
        <v>3141</v>
      </c>
      <c r="G100" s="42">
        <f>4669.8+499.4+7363.9+714.3</f>
        <v>13247.399999999998</v>
      </c>
      <c r="H100" s="30">
        <f>802.6+785.1</f>
        <v>1587.7</v>
      </c>
      <c r="I100" s="30">
        <f t="shared" si="12"/>
        <v>22949.399999999998</v>
      </c>
    </row>
    <row r="101" spans="1:9" hidden="1" x14ac:dyDescent="0.2">
      <c r="A101" s="28" t="s">
        <v>68</v>
      </c>
      <c r="B101" s="30" t="s">
        <v>35</v>
      </c>
      <c r="C101" s="30" t="s">
        <v>35</v>
      </c>
      <c r="D101" s="30">
        <f>433.9+2583.5</f>
        <v>3017.4</v>
      </c>
      <c r="E101" s="30">
        <f>1705+196.2</f>
        <v>1901.2</v>
      </c>
      <c r="F101" s="30">
        <f>395.6+2745.4</f>
        <v>3141</v>
      </c>
      <c r="G101" s="42">
        <f>4669.5+543.5+7476.8+757.6</f>
        <v>13447.4</v>
      </c>
      <c r="H101" s="30">
        <f>787.5+933.2</f>
        <v>1720.7</v>
      </c>
      <c r="I101" s="30">
        <f t="shared" si="12"/>
        <v>23227.7</v>
      </c>
    </row>
    <row r="102" spans="1:9" hidden="1" x14ac:dyDescent="0.2">
      <c r="A102" s="28" t="s">
        <v>69</v>
      </c>
      <c r="B102" s="30" t="s">
        <v>35</v>
      </c>
      <c r="C102" s="30" t="s">
        <v>35</v>
      </c>
      <c r="D102" s="30">
        <f>434.9+2609</f>
        <v>3043.9</v>
      </c>
      <c r="E102" s="30">
        <f>1780.1+195.9</f>
        <v>1976</v>
      </c>
      <c r="F102" s="30">
        <f>395.6+2459.9</f>
        <v>2855.5</v>
      </c>
      <c r="G102" s="42">
        <f>4683.6+589.1+7461.5+809.3</f>
        <v>13543.5</v>
      </c>
      <c r="H102" s="30">
        <f>837.6+1584.8</f>
        <v>2422.4</v>
      </c>
      <c r="I102" s="30">
        <f t="shared" si="12"/>
        <v>23841.300000000003</v>
      </c>
    </row>
    <row r="103" spans="1:9" hidden="1" x14ac:dyDescent="0.2">
      <c r="A103" s="28" t="s">
        <v>80</v>
      </c>
      <c r="B103" s="30" t="s">
        <v>35</v>
      </c>
      <c r="C103" s="30" t="s">
        <v>35</v>
      </c>
      <c r="D103" s="30">
        <f>757.1+2626.8</f>
        <v>3383.9</v>
      </c>
      <c r="E103" s="30">
        <f>1512.5+255</f>
        <v>1767.5</v>
      </c>
      <c r="F103" s="30">
        <f>395.6+2358.9</f>
        <v>2754.5</v>
      </c>
      <c r="G103" s="42">
        <f>4680.3+577.4+7462.3+780.7</f>
        <v>13500.7</v>
      </c>
      <c r="H103" s="30">
        <f>740.8+1156.7</f>
        <v>1897.5</v>
      </c>
      <c r="I103" s="30">
        <f t="shared" si="12"/>
        <v>23304.1</v>
      </c>
    </row>
    <row r="104" spans="1:9" hidden="1" x14ac:dyDescent="0.2">
      <c r="A104" s="28"/>
      <c r="B104" s="30"/>
      <c r="C104" s="30"/>
      <c r="D104" s="30"/>
      <c r="E104" s="30"/>
      <c r="F104" s="30"/>
      <c r="G104" s="42"/>
      <c r="H104" s="30"/>
      <c r="I104" s="30"/>
    </row>
    <row r="105" spans="1:9" hidden="1" x14ac:dyDescent="0.2">
      <c r="A105" s="28"/>
      <c r="B105" s="30"/>
      <c r="C105" s="30"/>
      <c r="D105" s="30"/>
      <c r="E105" s="30"/>
      <c r="F105" s="30"/>
      <c r="G105" s="42"/>
      <c r="H105" s="30"/>
      <c r="I105" s="30"/>
    </row>
    <row r="106" spans="1:9" hidden="1" x14ac:dyDescent="0.2">
      <c r="A106" s="28" t="s">
        <v>48</v>
      </c>
      <c r="B106" s="30" t="s">
        <v>35</v>
      </c>
      <c r="C106" s="30" t="s">
        <v>35</v>
      </c>
      <c r="D106" s="30">
        <f>407.1+2648.5</f>
        <v>3055.6</v>
      </c>
      <c r="E106" s="30">
        <f>1554.1+707.5</f>
        <v>2261.6</v>
      </c>
      <c r="F106" s="30">
        <f>395.6+2358.9</f>
        <v>2754.5</v>
      </c>
      <c r="G106" s="42">
        <f>4715+562.4+7012.2+818.4</f>
        <v>13107.999999999998</v>
      </c>
      <c r="H106" s="30">
        <f>790.9+925.5</f>
        <v>1716.4</v>
      </c>
      <c r="I106" s="30">
        <f t="shared" ref="I106:I111" si="13">SUM(B106:H106)</f>
        <v>22896.1</v>
      </c>
    </row>
    <row r="107" spans="1:9" hidden="1" x14ac:dyDescent="0.2">
      <c r="A107" s="28" t="s">
        <v>71</v>
      </c>
      <c r="B107" s="30" t="s">
        <v>35</v>
      </c>
      <c r="C107" s="30" t="s">
        <v>35</v>
      </c>
      <c r="D107" s="30">
        <f>907.1+2674.4</f>
        <v>3581.5</v>
      </c>
      <c r="E107" s="30">
        <f>1574+704.5</f>
        <v>2278.5</v>
      </c>
      <c r="F107" s="30">
        <f>395.6+2358.9</f>
        <v>2754.5</v>
      </c>
      <c r="G107" s="42">
        <f>4757.4+598.5+7009.1+863.5</f>
        <v>13228.5</v>
      </c>
      <c r="H107" s="30">
        <f>773.4+882.7</f>
        <v>1656.1</v>
      </c>
      <c r="I107" s="30">
        <f t="shared" si="13"/>
        <v>23499.1</v>
      </c>
    </row>
    <row r="108" spans="1:9" hidden="1" x14ac:dyDescent="0.2">
      <c r="A108" s="28" t="s">
        <v>50</v>
      </c>
      <c r="B108" s="30" t="s">
        <v>35</v>
      </c>
      <c r="C108" s="30" t="s">
        <v>35</v>
      </c>
      <c r="D108" s="30">
        <f>907.1+2700</f>
        <v>3607.1</v>
      </c>
      <c r="E108" s="30">
        <f>1589.1+704.7</f>
        <v>2293.8000000000002</v>
      </c>
      <c r="F108" s="30">
        <f>395.6+2437.8</f>
        <v>2833.4</v>
      </c>
      <c r="G108" s="42">
        <f>5025.3+100.3+7014.1+916.1</f>
        <v>13055.800000000001</v>
      </c>
      <c r="H108" s="30">
        <f>950.7+983.4</f>
        <v>1934.1</v>
      </c>
      <c r="I108" s="30">
        <f t="shared" si="13"/>
        <v>23724.199999999997</v>
      </c>
    </row>
    <row r="109" spans="1:9" hidden="1" x14ac:dyDescent="0.2">
      <c r="A109" s="28" t="s">
        <v>73</v>
      </c>
      <c r="B109" s="30" t="s">
        <v>35</v>
      </c>
      <c r="C109" s="30" t="s">
        <v>35</v>
      </c>
      <c r="D109" s="30">
        <f>907.2+2678.2</f>
        <v>3585.3999999999996</v>
      </c>
      <c r="E109" s="30">
        <f>1668.1+704.6</f>
        <v>2372.6999999999998</v>
      </c>
      <c r="F109" s="30">
        <f>395.6+2437.8</f>
        <v>2833.4</v>
      </c>
      <c r="G109" s="42">
        <f>5060.7+159.8+7803+80.4</f>
        <v>13103.9</v>
      </c>
      <c r="H109" s="30">
        <f>921.4+1000.4</f>
        <v>1921.8</v>
      </c>
      <c r="I109" s="30">
        <f t="shared" si="13"/>
        <v>23817.200000000001</v>
      </c>
    </row>
    <row r="110" spans="1:9" hidden="1" x14ac:dyDescent="0.2">
      <c r="A110" s="28" t="s">
        <v>74</v>
      </c>
      <c r="B110" s="30">
        <v>300</v>
      </c>
      <c r="C110" s="30" t="s">
        <v>35</v>
      </c>
      <c r="D110" s="30">
        <f>707.2+2691.2</f>
        <v>3398.3999999999996</v>
      </c>
      <c r="E110" s="30">
        <f>1692.9+703.8</f>
        <v>2396.6999999999998</v>
      </c>
      <c r="F110" s="30">
        <f>395.6+2507.4</f>
        <v>2903</v>
      </c>
      <c r="G110" s="42">
        <f>5051.4+212.7+7832.6+91.8</f>
        <v>13188.5</v>
      </c>
      <c r="H110" s="30">
        <f>830.4+1024</f>
        <v>1854.4</v>
      </c>
      <c r="I110" s="30">
        <f t="shared" si="13"/>
        <v>24041</v>
      </c>
    </row>
    <row r="111" spans="1:9" hidden="1" x14ac:dyDescent="0.2">
      <c r="A111" s="28" t="s">
        <v>75</v>
      </c>
      <c r="B111" s="30" t="s">
        <v>35</v>
      </c>
      <c r="C111" s="30" t="s">
        <v>35</v>
      </c>
      <c r="D111" s="30">
        <f>1207.2+2747.8</f>
        <v>3955</v>
      </c>
      <c r="E111" s="30">
        <f>1808.1+703.9</f>
        <v>2512</v>
      </c>
      <c r="F111" s="30">
        <f>395.6+2507.4</f>
        <v>2903</v>
      </c>
      <c r="G111" s="42">
        <f>5064.2+220+7863.2+128.8</f>
        <v>13276.199999999999</v>
      </c>
      <c r="H111" s="30">
        <f>888+1113</f>
        <v>2001</v>
      </c>
      <c r="I111" s="30">
        <f t="shared" si="13"/>
        <v>24647.199999999997</v>
      </c>
    </row>
    <row r="112" spans="1:9" hidden="1" x14ac:dyDescent="0.2">
      <c r="A112" s="28" t="s">
        <v>76</v>
      </c>
      <c r="B112" s="30" t="s">
        <v>35</v>
      </c>
      <c r="C112" s="30" t="s">
        <v>35</v>
      </c>
      <c r="D112" s="30">
        <f>1307.2+2785.7</f>
        <v>4092.8999999999996</v>
      </c>
      <c r="E112" s="30">
        <f>1949.4+705.4</f>
        <v>2654.8</v>
      </c>
      <c r="F112" s="30">
        <f>395.6+2507.4</f>
        <v>2903</v>
      </c>
      <c r="G112" s="42">
        <f>5086+245.3+7873+195.3</f>
        <v>13399.599999999999</v>
      </c>
      <c r="H112" s="30">
        <f>926.3+1379.9</f>
        <v>2306.1999999999998</v>
      </c>
      <c r="I112" s="30">
        <f t="shared" ref="I112:I117" si="14">SUM(B112:H112)</f>
        <v>25356.5</v>
      </c>
    </row>
    <row r="113" spans="1:9" hidden="1" x14ac:dyDescent="0.2">
      <c r="A113" s="28" t="s">
        <v>77</v>
      </c>
      <c r="B113" s="30" t="s">
        <v>35</v>
      </c>
      <c r="C113" s="30" t="s">
        <v>35</v>
      </c>
      <c r="D113" s="30">
        <f>1007.2+2798.8</f>
        <v>3806</v>
      </c>
      <c r="E113" s="30">
        <f>1963.9+703.2</f>
        <v>2667.1000000000004</v>
      </c>
      <c r="F113" s="30">
        <f>395.6+2507.4</f>
        <v>2903</v>
      </c>
      <c r="G113" s="42">
        <f>5082.8+280.6+7939.7+217</f>
        <v>13520.1</v>
      </c>
      <c r="H113" s="30">
        <f>942.8+1302.5</f>
        <v>2245.3000000000002</v>
      </c>
      <c r="I113" s="30">
        <f t="shared" si="14"/>
        <v>25141.5</v>
      </c>
    </row>
    <row r="114" spans="1:9" hidden="1" x14ac:dyDescent="0.2">
      <c r="A114" s="28" t="s">
        <v>78</v>
      </c>
      <c r="B114" s="30" t="s">
        <v>35</v>
      </c>
      <c r="C114" s="30" t="s">
        <v>35</v>
      </c>
      <c r="D114" s="30">
        <f>982.2+2840.8</f>
        <v>3823</v>
      </c>
      <c r="E114" s="30">
        <f>2587.1+703.8</f>
        <v>3290.8999999999996</v>
      </c>
      <c r="F114" s="30">
        <f>395.6+2600.2</f>
        <v>2995.7999999999997</v>
      </c>
      <c r="G114" s="42">
        <f>5090.4+334.5+7929.4+289.4</f>
        <v>13643.699999999999</v>
      </c>
      <c r="H114" s="30">
        <f>924.7+1179.3</f>
        <v>2104</v>
      </c>
      <c r="I114" s="30">
        <f t="shared" si="14"/>
        <v>25857.399999999998</v>
      </c>
    </row>
    <row r="115" spans="1:9" hidden="1" x14ac:dyDescent="0.2">
      <c r="A115" s="28" t="s">
        <v>79</v>
      </c>
      <c r="B115" s="30" t="s">
        <v>35</v>
      </c>
      <c r="C115" s="30" t="s">
        <v>35</v>
      </c>
      <c r="D115" s="30">
        <f>1282.2+2892.5</f>
        <v>4174.7</v>
      </c>
      <c r="E115" s="30">
        <f>2470.2+703.4</f>
        <v>3173.6</v>
      </c>
      <c r="F115" s="30">
        <f>395.6+2600.2</f>
        <v>2995.7999999999997</v>
      </c>
      <c r="G115" s="42">
        <f>5086.6+396.7+7922.7+381.9</f>
        <v>13787.9</v>
      </c>
      <c r="H115" s="30">
        <f>918.7+1164.1</f>
        <v>2082.8000000000002</v>
      </c>
      <c r="I115" s="30">
        <f t="shared" si="14"/>
        <v>26214.799999999999</v>
      </c>
    </row>
    <row r="116" spans="1:9" hidden="1" x14ac:dyDescent="0.2">
      <c r="A116" s="28" t="s">
        <v>81</v>
      </c>
      <c r="B116" s="30" t="s">
        <v>35</v>
      </c>
      <c r="C116" s="30" t="s">
        <v>35</v>
      </c>
      <c r="D116" s="30">
        <f>1532.2+2950</f>
        <v>4482.2</v>
      </c>
      <c r="E116" s="30">
        <f>2715.4+703.7</f>
        <v>3419.1000000000004</v>
      </c>
      <c r="F116" s="30">
        <f>395.6+2600.2</f>
        <v>2995.7999999999997</v>
      </c>
      <c r="G116" s="42">
        <f>4991.9+553.6+7890.1+484.1</f>
        <v>13919.7</v>
      </c>
      <c r="H116" s="30">
        <f>1046.7+1115.3</f>
        <v>2162</v>
      </c>
      <c r="I116" s="30">
        <f t="shared" si="14"/>
        <v>26978.800000000003</v>
      </c>
    </row>
    <row r="117" spans="1:9" hidden="1" x14ac:dyDescent="0.2">
      <c r="A117" s="28" t="s">
        <v>82</v>
      </c>
      <c r="B117" s="30" t="s">
        <v>35</v>
      </c>
      <c r="C117" s="30" t="s">
        <v>35</v>
      </c>
      <c r="D117" s="30">
        <f>1347.8+2926.4</f>
        <v>4274.2</v>
      </c>
      <c r="E117" s="30">
        <f>2772.5+727.6</f>
        <v>3500.1</v>
      </c>
      <c r="F117" s="30">
        <f>388.7+2667.3</f>
        <v>3056</v>
      </c>
      <c r="G117" s="42">
        <f>4950.3+566.4+7951.2+352</f>
        <v>13819.9</v>
      </c>
      <c r="H117" s="30">
        <f>994.2+1271</f>
        <v>2265.1999999999998</v>
      </c>
      <c r="I117" s="30">
        <f t="shared" si="14"/>
        <v>26915.399999999998</v>
      </c>
    </row>
    <row r="118" spans="1:9" hidden="1" x14ac:dyDescent="0.2">
      <c r="A118" s="28"/>
      <c r="B118" s="30"/>
      <c r="C118" s="30"/>
      <c r="D118" s="30"/>
      <c r="E118" s="30"/>
      <c r="F118" s="30"/>
      <c r="G118" s="42"/>
      <c r="H118" s="30"/>
      <c r="I118" s="30"/>
    </row>
    <row r="119" spans="1:9" hidden="1" x14ac:dyDescent="0.2">
      <c r="A119" s="28" t="s">
        <v>96</v>
      </c>
      <c r="B119" s="30">
        <v>114.3</v>
      </c>
      <c r="C119" s="30" t="s">
        <v>35</v>
      </c>
      <c r="D119" s="30">
        <f>2999.9+8843.5</f>
        <v>11843.4</v>
      </c>
      <c r="E119" s="30">
        <f>9018+777.9</f>
        <v>9795.9</v>
      </c>
      <c r="F119" s="30">
        <f>367.7+1302.9</f>
        <v>1670.6000000000001</v>
      </c>
      <c r="G119" s="42">
        <f>7903+194.2+10210.4-147.7</f>
        <v>18159.899999999998</v>
      </c>
      <c r="H119" s="30">
        <f>1395.5+1793.9</f>
        <v>3189.4</v>
      </c>
      <c r="I119" s="30">
        <f>SUM(B119:H119)</f>
        <v>44773.499999999993</v>
      </c>
    </row>
    <row r="120" spans="1:9" hidden="1" x14ac:dyDescent="0.2">
      <c r="A120" s="28" t="s">
        <v>60</v>
      </c>
      <c r="B120" s="30">
        <v>350</v>
      </c>
      <c r="C120" s="30" t="s">
        <v>35</v>
      </c>
      <c r="D120" s="30">
        <v>4368.1000000000004</v>
      </c>
      <c r="E120" s="30">
        <v>3958.4</v>
      </c>
      <c r="F120" s="30">
        <f>388.7+2667.3</f>
        <v>3056</v>
      </c>
      <c r="G120" s="42">
        <v>13923.2</v>
      </c>
      <c r="H120" s="30">
        <v>2022.1</v>
      </c>
      <c r="I120" s="30">
        <f t="shared" ref="I120:I125" si="15">SUM(B120:H120)</f>
        <v>27677.8</v>
      </c>
    </row>
    <row r="121" spans="1:9" hidden="1" x14ac:dyDescent="0.2">
      <c r="A121" s="28" t="s">
        <v>84</v>
      </c>
      <c r="B121" s="30">
        <v>1350</v>
      </c>
      <c r="C121" s="30" t="s">
        <v>35</v>
      </c>
      <c r="D121" s="30">
        <f>1118.1+3467.6</f>
        <v>4585.7</v>
      </c>
      <c r="E121" s="30">
        <f>2996.1+727.2</f>
        <v>3723.3</v>
      </c>
      <c r="F121" s="30">
        <f>388.7+2667.3</f>
        <v>3056</v>
      </c>
      <c r="G121" s="42">
        <f>5003.7+618.3+7954.3+450.8</f>
        <v>14027.099999999999</v>
      </c>
      <c r="H121" s="30">
        <f>878.9+1348.8</f>
        <v>2227.6999999999998</v>
      </c>
      <c r="I121" s="30">
        <f t="shared" si="15"/>
        <v>28969.8</v>
      </c>
    </row>
    <row r="122" spans="1:9" hidden="1" x14ac:dyDescent="0.2">
      <c r="A122" s="28" t="s">
        <v>62</v>
      </c>
      <c r="B122" s="30">
        <v>400</v>
      </c>
      <c r="C122" s="30" t="s">
        <v>35</v>
      </c>
      <c r="D122" s="30">
        <f>1118.1+4318.6</f>
        <v>5436.7000000000007</v>
      </c>
      <c r="E122" s="30">
        <f>3291+1027.1</f>
        <v>4318.1000000000004</v>
      </c>
      <c r="F122" s="30">
        <f>388.7+2807.8</f>
        <v>3196.5</v>
      </c>
      <c r="G122" s="42">
        <f>5419.5+160.4+7932.3+543.1</f>
        <v>14055.300000000001</v>
      </c>
      <c r="H122" s="30">
        <f>721+1188.5</f>
        <v>1909.5</v>
      </c>
      <c r="I122" s="30">
        <f t="shared" si="15"/>
        <v>29316.100000000002</v>
      </c>
    </row>
    <row r="123" spans="1:9" hidden="1" x14ac:dyDescent="0.2">
      <c r="A123" s="28" t="s">
        <v>86</v>
      </c>
      <c r="B123" s="30">
        <v>300</v>
      </c>
      <c r="C123" s="30" t="s">
        <v>35</v>
      </c>
      <c r="D123" s="30">
        <f>1118.1+4453.4</f>
        <v>5571.5</v>
      </c>
      <c r="E123" s="30">
        <f>3224.4+1026.6</f>
        <v>4251</v>
      </c>
      <c r="F123" s="30">
        <f>388.7+2807.8</f>
        <v>3196.5</v>
      </c>
      <c r="G123" s="42">
        <f>5434.9+209.1+8371.4+199.4</f>
        <v>14214.8</v>
      </c>
      <c r="H123" s="30">
        <f>796.7+1189.8</f>
        <v>1986.5</v>
      </c>
      <c r="I123" s="30">
        <f t="shared" si="15"/>
        <v>29520.3</v>
      </c>
    </row>
    <row r="124" spans="1:9" hidden="1" x14ac:dyDescent="0.2">
      <c r="A124" s="28" t="s">
        <v>87</v>
      </c>
      <c r="B124" s="30" t="s">
        <v>35</v>
      </c>
      <c r="C124" s="30" t="s">
        <v>35</v>
      </c>
      <c r="D124" s="30">
        <v>6010</v>
      </c>
      <c r="E124" s="30">
        <v>4512</v>
      </c>
      <c r="F124" s="30">
        <f>388.7+2807.8</f>
        <v>3196.5</v>
      </c>
      <c r="G124" s="42">
        <v>14281.8</v>
      </c>
      <c r="H124" s="30">
        <v>2297.3000000000002</v>
      </c>
      <c r="I124" s="30">
        <f t="shared" si="15"/>
        <v>30297.599999999999</v>
      </c>
    </row>
    <row r="125" spans="1:9" ht="1.5" hidden="1" customHeight="1" x14ac:dyDescent="0.2">
      <c r="A125" s="28" t="s">
        <v>88</v>
      </c>
      <c r="B125" s="30">
        <v>400</v>
      </c>
      <c r="C125" s="30" t="s">
        <v>35</v>
      </c>
      <c r="D125" s="30">
        <f>842.1+5118.9</f>
        <v>5961</v>
      </c>
      <c r="E125" s="30">
        <f>3550.9+1146.3</f>
        <v>4697.2</v>
      </c>
      <c r="F125" s="30">
        <f>388.7+2960.6</f>
        <v>3349.2999999999997</v>
      </c>
      <c r="G125" s="42">
        <f>5478.4+292.7+8477.5+228</f>
        <v>14476.599999999999</v>
      </c>
      <c r="H125" s="30">
        <f>839.4+1421.7</f>
        <v>2261.1</v>
      </c>
      <c r="I125" s="30">
        <f t="shared" si="15"/>
        <v>31145.199999999997</v>
      </c>
    </row>
    <row r="126" spans="1:9" hidden="1" x14ac:dyDescent="0.2">
      <c r="A126" s="28" t="s">
        <v>89</v>
      </c>
      <c r="B126" s="30">
        <v>0</v>
      </c>
      <c r="C126" s="30" t="s">
        <v>35</v>
      </c>
      <c r="D126" s="30">
        <f>842.2+5784.4</f>
        <v>6626.5999999999995</v>
      </c>
      <c r="E126" s="30">
        <f>3658.7+1149.1</f>
        <v>4807.7999999999993</v>
      </c>
      <c r="F126" s="30">
        <f>388.7+2960.6</f>
        <v>3349.2999999999997</v>
      </c>
      <c r="G126" s="42">
        <f>5494.9+333.5+8498.4+286.1</f>
        <v>14612.9</v>
      </c>
      <c r="H126" s="30">
        <f>844.8+1301.5</f>
        <v>2146.3000000000002</v>
      </c>
      <c r="I126" s="30">
        <f t="shared" ref="I126:I131" si="16">SUM(B126:H126)</f>
        <v>31542.899999999998</v>
      </c>
    </row>
    <row r="127" spans="1:9" hidden="1" x14ac:dyDescent="0.2">
      <c r="A127" s="28" t="s">
        <v>31</v>
      </c>
      <c r="B127" s="30">
        <v>0</v>
      </c>
      <c r="C127" s="30" t="s">
        <v>35</v>
      </c>
      <c r="D127" s="30">
        <f>842.2+6219.8</f>
        <v>7062</v>
      </c>
      <c r="E127" s="30">
        <f>3707.3+1172</f>
        <v>4879.3</v>
      </c>
      <c r="F127" s="30">
        <f>388.7+2960.6</f>
        <v>3349.2999999999997</v>
      </c>
      <c r="G127" s="42">
        <f>5494.9+393.9+8537.5+313.3</f>
        <v>14739.599999999999</v>
      </c>
      <c r="H127" s="30">
        <f>917+1441.1</f>
        <v>2358.1</v>
      </c>
      <c r="I127" s="30">
        <f t="shared" si="16"/>
        <v>32388.299999999996</v>
      </c>
    </row>
    <row r="128" spans="1:9" hidden="1" x14ac:dyDescent="0.2">
      <c r="A128" s="28" t="s">
        <v>90</v>
      </c>
      <c r="B128" s="30">
        <v>50.6</v>
      </c>
      <c r="C128" s="30" t="s">
        <v>35</v>
      </c>
      <c r="D128" s="30">
        <f>841.4+6252.6</f>
        <v>7094</v>
      </c>
      <c r="E128" s="30">
        <f>3816+1150.2</f>
        <v>4966.2</v>
      </c>
      <c r="F128" s="30">
        <f>388.7+3180</f>
        <v>3568.7</v>
      </c>
      <c r="G128" s="42">
        <f>5487.3+456.5+8498.2+410.1</f>
        <v>14852.1</v>
      </c>
      <c r="H128" s="30">
        <f>903+1374.2</f>
        <v>2277.1999999999998</v>
      </c>
      <c r="I128" s="30">
        <f t="shared" si="16"/>
        <v>32808.799999999996</v>
      </c>
    </row>
    <row r="129" spans="1:9" hidden="1" x14ac:dyDescent="0.2">
      <c r="A129" s="28" t="s">
        <v>91</v>
      </c>
      <c r="B129" s="30" t="s">
        <v>35</v>
      </c>
      <c r="C129" s="30" t="s">
        <v>35</v>
      </c>
      <c r="D129" s="30">
        <f>861.8+6389.1</f>
        <v>7250.9000000000005</v>
      </c>
      <c r="E129" s="30">
        <f>3887+1149.1</f>
        <v>5036.1000000000004</v>
      </c>
      <c r="F129" s="30">
        <f>388.7+3180</f>
        <v>3568.7</v>
      </c>
      <c r="G129" s="42">
        <f>5413.9+537.1+8498+459.8</f>
        <v>14908.8</v>
      </c>
      <c r="H129" s="30">
        <f>960+1338.9</f>
        <v>2298.9</v>
      </c>
      <c r="I129" s="30">
        <f t="shared" si="16"/>
        <v>33063.4</v>
      </c>
    </row>
    <row r="130" spans="1:9" hidden="1" x14ac:dyDescent="0.2">
      <c r="A130" s="28" t="s">
        <v>92</v>
      </c>
      <c r="B130" s="30" t="s">
        <v>35</v>
      </c>
      <c r="C130" s="30" t="s">
        <v>35</v>
      </c>
      <c r="D130" s="30">
        <f>861.8+5995.4</f>
        <v>6857.2</v>
      </c>
      <c r="E130" s="30">
        <f>4428.8+1150.1</f>
        <v>5578.9</v>
      </c>
      <c r="F130" s="30">
        <f>388.7+3180</f>
        <v>3568.7</v>
      </c>
      <c r="G130" s="42">
        <f>5420.9+592.8+8512.8+514</f>
        <v>15040.5</v>
      </c>
      <c r="H130" s="30">
        <f>1018.9+1354.1</f>
        <v>2373</v>
      </c>
      <c r="I130" s="30">
        <f t="shared" si="16"/>
        <v>33418.300000000003</v>
      </c>
    </row>
    <row r="131" spans="1:9" hidden="1" x14ac:dyDescent="0.2">
      <c r="A131" s="28" t="s">
        <v>93</v>
      </c>
      <c r="B131" s="30" t="s">
        <v>35</v>
      </c>
      <c r="C131" s="30" t="s">
        <v>35</v>
      </c>
      <c r="D131" s="30">
        <f>861.8+6099.7</f>
        <v>6961.5</v>
      </c>
      <c r="E131" s="30">
        <f>4451.8+608.3</f>
        <v>5060.1000000000004</v>
      </c>
      <c r="F131" s="30">
        <f>381.8+3378</f>
        <v>3759.8</v>
      </c>
      <c r="G131" s="42">
        <f>5424.1+658.4+8430.6+513.6</f>
        <v>15026.7</v>
      </c>
      <c r="H131" s="30">
        <f>1042.2+1304.4</f>
        <v>2346.6000000000004</v>
      </c>
      <c r="I131" s="30">
        <f t="shared" si="16"/>
        <v>33154.700000000004</v>
      </c>
    </row>
    <row r="132" spans="1:9" hidden="1" x14ac:dyDescent="0.2">
      <c r="A132" s="28"/>
      <c r="B132" s="30"/>
      <c r="C132" s="38"/>
      <c r="D132" s="30"/>
      <c r="E132" s="30"/>
      <c r="F132" s="30"/>
      <c r="G132" s="42"/>
      <c r="H132" s="30"/>
      <c r="I132" s="30"/>
    </row>
    <row r="133" spans="1:9" hidden="1" x14ac:dyDescent="0.2">
      <c r="A133" s="28" t="s">
        <v>70</v>
      </c>
      <c r="B133" s="30" t="s">
        <v>35</v>
      </c>
      <c r="C133" s="30" t="s">
        <v>35</v>
      </c>
      <c r="D133" s="30">
        <f>877.5+6007.1</f>
        <v>6884.6</v>
      </c>
      <c r="E133" s="30">
        <f>4747.9+605.4</f>
        <v>5353.2999999999993</v>
      </c>
      <c r="F133" s="30">
        <f>381.8+3378</f>
        <v>3759.8</v>
      </c>
      <c r="G133" s="42">
        <f>5438.9+714.8+8366.7+592.8</f>
        <v>15113.2</v>
      </c>
      <c r="H133" s="30">
        <f>947.4+1185.7</f>
        <v>2133.1</v>
      </c>
      <c r="I133" s="30">
        <f t="shared" ref="I133:I138" si="17">SUM(B133:H133)</f>
        <v>33244</v>
      </c>
    </row>
    <row r="134" spans="1:9" hidden="1" x14ac:dyDescent="0.2">
      <c r="A134" s="28" t="s">
        <v>95</v>
      </c>
      <c r="B134" s="30" t="s">
        <v>35</v>
      </c>
      <c r="C134" s="30" t="s">
        <v>35</v>
      </c>
      <c r="D134" s="30">
        <f>1012.8+6053.8</f>
        <v>7066.6</v>
      </c>
      <c r="E134" s="30">
        <f>4828.9+1321.5</f>
        <v>6150.4</v>
      </c>
      <c r="F134" s="30">
        <f>381.8+3378</f>
        <v>3759.8</v>
      </c>
      <c r="G134" s="42">
        <f>5450.1+755.4+8358+699</f>
        <v>15262.5</v>
      </c>
      <c r="H134" s="30">
        <f>1142.7+1132.5</f>
        <v>2275.1999999999998</v>
      </c>
      <c r="I134" s="30">
        <f t="shared" si="17"/>
        <v>34514.5</v>
      </c>
    </row>
    <row r="135" spans="1:9" hidden="1" x14ac:dyDescent="0.2">
      <c r="A135" s="28" t="s">
        <v>72</v>
      </c>
      <c r="B135" s="30" t="s">
        <v>35</v>
      </c>
      <c r="C135" s="30" t="s">
        <v>35</v>
      </c>
      <c r="D135" s="30">
        <f>903.4+6066.8</f>
        <v>6970.2</v>
      </c>
      <c r="E135" s="30">
        <f>5039.7+1470.8</f>
        <v>6510.5</v>
      </c>
      <c r="F135" s="30">
        <f>381.8+2175.6</f>
        <v>2557.4</v>
      </c>
      <c r="G135" s="42">
        <f>5965.1+208.7+8505.4+625.2</f>
        <v>15304.400000000001</v>
      </c>
      <c r="H135" s="30">
        <f>1004.6+1299.4</f>
        <v>2304</v>
      </c>
      <c r="I135" s="30">
        <f t="shared" si="17"/>
        <v>33646.5</v>
      </c>
    </row>
    <row r="136" spans="1:9" hidden="1" x14ac:dyDescent="0.2">
      <c r="A136" s="28" t="s">
        <v>97</v>
      </c>
      <c r="B136" s="30" t="s">
        <v>35</v>
      </c>
      <c r="C136" s="30" t="s">
        <v>35</v>
      </c>
      <c r="D136" s="30">
        <f>1049.8+6458.1</f>
        <v>7507.9000000000005</v>
      </c>
      <c r="E136" s="30">
        <f>5112.2+1142.7</f>
        <v>6254.9</v>
      </c>
      <c r="F136" s="30">
        <f>381.8+2175.6</f>
        <v>2557.4</v>
      </c>
      <c r="G136" s="42">
        <f>5939+265.2+9020.2+60.2</f>
        <v>15284.600000000002</v>
      </c>
      <c r="H136" s="30">
        <f>1036.6+1278.7</f>
        <v>2315.3000000000002</v>
      </c>
      <c r="I136" s="30">
        <f t="shared" si="17"/>
        <v>33920.100000000006</v>
      </c>
    </row>
    <row r="137" spans="1:9" hidden="1" x14ac:dyDescent="0.2">
      <c r="A137" s="28" t="s">
        <v>98</v>
      </c>
      <c r="B137" s="30" t="s">
        <v>35</v>
      </c>
      <c r="C137" s="30" t="s">
        <v>35</v>
      </c>
      <c r="D137" s="30">
        <f>1053.9+6468.5</f>
        <v>7522.4</v>
      </c>
      <c r="E137" s="30">
        <f>5126.6+1112.7</f>
        <v>6239.3</v>
      </c>
      <c r="F137" s="30">
        <f>381.8+2175.6</f>
        <v>2557.4</v>
      </c>
      <c r="G137" s="42">
        <f>5978.3+330.5+9051.7+63.4</f>
        <v>15423.9</v>
      </c>
      <c r="H137" s="30">
        <f>1079.5+1285.9</f>
        <v>2365.4</v>
      </c>
      <c r="I137" s="30">
        <f t="shared" si="17"/>
        <v>34108.400000000001</v>
      </c>
    </row>
    <row r="138" spans="1:9" hidden="1" x14ac:dyDescent="0.2">
      <c r="A138" s="28" t="s">
        <v>99</v>
      </c>
      <c r="B138" s="30" t="s">
        <v>35</v>
      </c>
      <c r="C138" s="30" t="s">
        <v>35</v>
      </c>
      <c r="D138" s="30">
        <v>7739.8</v>
      </c>
      <c r="E138" s="30">
        <v>6537.9</v>
      </c>
      <c r="F138" s="30">
        <v>2576.5</v>
      </c>
      <c r="G138" s="42">
        <v>15817</v>
      </c>
      <c r="H138" s="30">
        <v>2630.6</v>
      </c>
      <c r="I138" s="30">
        <f t="shared" si="17"/>
        <v>35301.800000000003</v>
      </c>
    </row>
    <row r="139" spans="1:9" hidden="1" x14ac:dyDescent="0.2">
      <c r="A139" s="28" t="s">
        <v>100</v>
      </c>
      <c r="B139" s="30" t="s">
        <v>35</v>
      </c>
      <c r="C139" s="30" t="s">
        <v>35</v>
      </c>
      <c r="D139" s="30">
        <f>1154.2+6860.5</f>
        <v>8014.7</v>
      </c>
      <c r="E139" s="30">
        <f>5678.8+1050.6</f>
        <v>6729.4</v>
      </c>
      <c r="F139" s="30">
        <f>381.8+2194.7</f>
        <v>2576.5</v>
      </c>
      <c r="G139" s="42">
        <f>6193.2+472+8853.6+545.1</f>
        <v>16063.9</v>
      </c>
      <c r="H139" s="30">
        <f>1286.4+1265.5</f>
        <v>2551.9</v>
      </c>
      <c r="I139" s="30">
        <f t="shared" ref="I139:I144" si="18">SUM(B139:H139)</f>
        <v>35936.400000000001</v>
      </c>
    </row>
    <row r="140" spans="1:9" hidden="1" x14ac:dyDescent="0.2">
      <c r="A140" s="28" t="s">
        <v>101</v>
      </c>
      <c r="B140" s="30" t="s">
        <v>35</v>
      </c>
      <c r="C140" s="30" t="s">
        <v>35</v>
      </c>
      <c r="D140" s="30">
        <f>1148.4+6956.4</f>
        <v>8104.7999999999993</v>
      </c>
      <c r="E140" s="30">
        <f>5796.2+1048.9</f>
        <v>6845.1</v>
      </c>
      <c r="F140" s="30">
        <f>381.8+2194.7</f>
        <v>2576.5</v>
      </c>
      <c r="G140" s="42">
        <f>6249.4+522.8+8903.2+596.7</f>
        <v>16272.100000000002</v>
      </c>
      <c r="H140" s="30">
        <f>1235+1472.6</f>
        <v>2707.6</v>
      </c>
      <c r="I140" s="30">
        <f t="shared" si="18"/>
        <v>36506.1</v>
      </c>
    </row>
    <row r="141" spans="1:9" hidden="1" x14ac:dyDescent="0.2">
      <c r="A141" s="28" t="s">
        <v>102</v>
      </c>
      <c r="B141" s="30" t="s">
        <v>35</v>
      </c>
      <c r="C141" s="30" t="s">
        <v>35</v>
      </c>
      <c r="D141" s="30">
        <f>1082.5+7012.3</f>
        <v>8094.8</v>
      </c>
      <c r="E141" s="30">
        <f>5915.5+996.9</f>
        <v>6912.4</v>
      </c>
      <c r="F141" s="30">
        <f>381.8+2000.5</f>
        <v>2382.3000000000002</v>
      </c>
      <c r="G141" s="42">
        <f>6352.4+593.3+8920.8+699.2</f>
        <v>16565.7</v>
      </c>
      <c r="H141" s="30">
        <f>1285.3+1532.7</f>
        <v>2818</v>
      </c>
      <c r="I141" s="30">
        <f t="shared" si="18"/>
        <v>36773.199999999997</v>
      </c>
    </row>
    <row r="142" spans="1:9" hidden="1" x14ac:dyDescent="0.2">
      <c r="A142" s="28" t="s">
        <v>103</v>
      </c>
      <c r="B142" s="30" t="s">
        <v>35</v>
      </c>
      <c r="C142" s="30" t="s">
        <v>35</v>
      </c>
      <c r="D142" s="30">
        <f>1182.5+7024.7</f>
        <v>8207.2000000000007</v>
      </c>
      <c r="E142" s="30">
        <f>5912.7+984.5</f>
        <v>6897.2</v>
      </c>
      <c r="F142" s="30">
        <f>381.8+1808.2</f>
        <v>2190</v>
      </c>
      <c r="G142" s="42">
        <f>6350.8+686.3+8975+720.3</f>
        <v>16732.400000000001</v>
      </c>
      <c r="H142" s="30">
        <f>1274.3+1567.7</f>
        <v>2842</v>
      </c>
      <c r="I142" s="30">
        <f t="shared" si="18"/>
        <v>36868.800000000003</v>
      </c>
    </row>
    <row r="143" spans="1:9" hidden="1" x14ac:dyDescent="0.2">
      <c r="A143" s="28" t="s">
        <v>104</v>
      </c>
      <c r="B143" s="30" t="s">
        <v>35</v>
      </c>
      <c r="C143" s="30" t="s">
        <v>35</v>
      </c>
      <c r="D143" s="30">
        <f>1179.2+7068.5</f>
        <v>8247.7000000000007</v>
      </c>
      <c r="E143" s="30">
        <f>5873.6+984.4</f>
        <v>6858</v>
      </c>
      <c r="F143" s="30">
        <f>381.8+1518.2</f>
        <v>1900</v>
      </c>
      <c r="G143" s="42">
        <f>6330.7+784.1+8973.9+802.3</f>
        <v>16891</v>
      </c>
      <c r="H143" s="30">
        <f>1290+1399</f>
        <v>2689</v>
      </c>
      <c r="I143" s="30">
        <f t="shared" si="18"/>
        <v>36585.699999999997</v>
      </c>
    </row>
    <row r="144" spans="1:9" hidden="1" x14ac:dyDescent="0.2">
      <c r="A144" s="28" t="s">
        <v>105</v>
      </c>
      <c r="B144" s="30" t="s">
        <v>35</v>
      </c>
      <c r="C144" s="30" t="s">
        <v>35</v>
      </c>
      <c r="D144" s="30">
        <f>1178.8+7166.2</f>
        <v>8345</v>
      </c>
      <c r="E144" s="30">
        <f>6019.6+1179.9</f>
        <v>7199.5</v>
      </c>
      <c r="F144" s="30">
        <f>374.8+1699</f>
        <v>2073.8000000000002</v>
      </c>
      <c r="G144" s="42">
        <f>6306.3+765+8934.3+787</f>
        <v>16792.599999999999</v>
      </c>
      <c r="H144" s="30">
        <f>1429.9+1336.7</f>
        <v>2766.6000000000004</v>
      </c>
      <c r="I144" s="30">
        <f t="shared" si="18"/>
        <v>37177.499999999993</v>
      </c>
    </row>
    <row r="145" spans="1:9" hidden="1" x14ac:dyDescent="0.2">
      <c r="A145" s="28"/>
      <c r="B145" s="30"/>
      <c r="C145" s="38"/>
      <c r="D145" s="30"/>
      <c r="E145" s="30"/>
      <c r="F145" s="30"/>
      <c r="G145" s="42"/>
      <c r="H145" s="30"/>
      <c r="I145" s="30"/>
    </row>
    <row r="146" spans="1:9" hidden="1" x14ac:dyDescent="0.2">
      <c r="A146" s="28" t="s">
        <v>83</v>
      </c>
      <c r="B146" s="30" t="s">
        <v>35</v>
      </c>
      <c r="C146" s="30" t="s">
        <v>35</v>
      </c>
      <c r="D146" s="30">
        <f>1194.9+7185.1</f>
        <v>8380</v>
      </c>
      <c r="E146" s="30">
        <f>6367.3+1181.3</f>
        <v>7548.6</v>
      </c>
      <c r="F146" s="30">
        <f>374.8+1699</f>
        <v>2073.8000000000002</v>
      </c>
      <c r="G146" s="42">
        <f>6325.4+807.5+8948.4+825</f>
        <v>16906.3</v>
      </c>
      <c r="H146" s="30">
        <f>1156.3+1275.9</f>
        <v>2432.1999999999998</v>
      </c>
      <c r="I146" s="30">
        <f t="shared" ref="I146:I151" si="19">SUM(B146:H146)</f>
        <v>37340.899999999994</v>
      </c>
    </row>
    <row r="147" spans="1:9" hidden="1" x14ac:dyDescent="0.2">
      <c r="A147" s="28" t="s">
        <v>107</v>
      </c>
      <c r="B147" s="30" t="s">
        <v>35</v>
      </c>
      <c r="C147" s="30" t="s">
        <v>35</v>
      </c>
      <c r="D147" s="30">
        <f>1193.9+7211.1</f>
        <v>8405</v>
      </c>
      <c r="E147" s="30">
        <f>6748.4+1180.4</f>
        <v>7928.7999999999993</v>
      </c>
      <c r="F147" s="30">
        <f>374.8+1699</f>
        <v>2073.8000000000002</v>
      </c>
      <c r="G147" s="42">
        <f>6373.2+878.5+8960+865.4</f>
        <v>17077.100000000002</v>
      </c>
      <c r="H147" s="30">
        <f>1116.6+1263.6</f>
        <v>2380.1999999999998</v>
      </c>
      <c r="I147" s="30">
        <f t="shared" si="19"/>
        <v>37864.899999999994</v>
      </c>
    </row>
    <row r="148" spans="1:9" hidden="1" x14ac:dyDescent="0.2">
      <c r="A148" s="28" t="s">
        <v>85</v>
      </c>
      <c r="B148" s="30" t="s">
        <v>35</v>
      </c>
      <c r="C148" s="30" t="s">
        <v>35</v>
      </c>
      <c r="D148" s="30">
        <f>1673.9+7225.5</f>
        <v>8899.4</v>
      </c>
      <c r="E148" s="30">
        <f>6489.9+1174</f>
        <v>7663.9</v>
      </c>
      <c r="F148" s="30">
        <f>374.8+1596.4</f>
        <v>1971.2</v>
      </c>
      <c r="G148" s="42">
        <f>6965.1+225.2+9010.5+877.8</f>
        <v>17078.599999999999</v>
      </c>
      <c r="H148" s="30">
        <f>1131.1+1307.8</f>
        <v>2438.8999999999996</v>
      </c>
      <c r="I148" s="30">
        <f t="shared" si="19"/>
        <v>38052</v>
      </c>
    </row>
    <row r="149" spans="1:9" hidden="1" x14ac:dyDescent="0.2">
      <c r="A149" s="28" t="s">
        <v>109</v>
      </c>
      <c r="B149" s="30" t="s">
        <v>35</v>
      </c>
      <c r="C149" s="30" t="s">
        <v>35</v>
      </c>
      <c r="D149" s="30">
        <f>1761.6+7244.5</f>
        <v>9006.1</v>
      </c>
      <c r="E149" s="30">
        <f>6639.5+1174.9</f>
        <v>7814.4</v>
      </c>
      <c r="F149" s="30">
        <f>374.8+1596.4</f>
        <v>1971.2</v>
      </c>
      <c r="G149" s="42">
        <f>6978.8+286.6+9609.1+116.7</f>
        <v>16991.2</v>
      </c>
      <c r="H149" s="30">
        <f>1123.1+1369.6</f>
        <v>2492.6999999999998</v>
      </c>
      <c r="I149" s="30">
        <f t="shared" si="19"/>
        <v>38275.599999999999</v>
      </c>
    </row>
    <row r="150" spans="1:9" hidden="1" x14ac:dyDescent="0.2">
      <c r="A150" s="28" t="s">
        <v>110</v>
      </c>
      <c r="B150" s="30" t="s">
        <v>35</v>
      </c>
      <c r="C150" s="30" t="s">
        <v>35</v>
      </c>
      <c r="D150" s="30">
        <f>1760+7210.7</f>
        <v>8970.7000000000007</v>
      </c>
      <c r="E150" s="30">
        <f>6937.3+1205.6</f>
        <v>8142.9</v>
      </c>
      <c r="F150" s="30">
        <f>374.8+1596.4</f>
        <v>1971.2</v>
      </c>
      <c r="G150" s="42">
        <f>6981+386.5+9619.1+155.8</f>
        <v>17142.399999999998</v>
      </c>
      <c r="H150" s="30">
        <f>1318.3+1467.3</f>
        <v>2785.6</v>
      </c>
      <c r="I150" s="30">
        <f t="shared" si="19"/>
        <v>39012.799999999996</v>
      </c>
    </row>
    <row r="151" spans="1:9" hidden="1" x14ac:dyDescent="0.2">
      <c r="A151" s="28" t="s">
        <v>112</v>
      </c>
      <c r="B151" s="30" t="s">
        <v>35</v>
      </c>
      <c r="C151" s="30" t="s">
        <v>35</v>
      </c>
      <c r="D151" s="30">
        <f>1773.9+8336.5</f>
        <v>10110.4</v>
      </c>
      <c r="E151" s="30">
        <f>7021.9+1205.3</f>
        <v>8227.1999999999989</v>
      </c>
      <c r="F151" s="30">
        <f>374.8+1372</f>
        <v>1746.8</v>
      </c>
      <c r="G151" s="42">
        <f>6991.3+480.6+9650.7+225.7</f>
        <v>17348.300000000003</v>
      </c>
      <c r="H151" s="30">
        <f>1355.4+1378.2</f>
        <v>2733.6000000000004</v>
      </c>
      <c r="I151" s="30">
        <f t="shared" si="19"/>
        <v>40166.299999999996</v>
      </c>
    </row>
    <row r="152" spans="1:9" hidden="1" x14ac:dyDescent="0.2">
      <c r="A152" s="28" t="s">
        <v>113</v>
      </c>
      <c r="B152" s="30" t="s">
        <v>35</v>
      </c>
      <c r="C152" s="30" t="s">
        <v>35</v>
      </c>
      <c r="D152" s="30">
        <f>1772.8+8410.2</f>
        <v>10183</v>
      </c>
      <c r="E152" s="30">
        <f>7019.8+1204.1</f>
        <v>8223.9</v>
      </c>
      <c r="F152" s="30">
        <f>374.8+1372</f>
        <v>1746.8</v>
      </c>
      <c r="G152" s="42">
        <f>6988.4+587.6+9351.3+358.5</f>
        <v>17285.8</v>
      </c>
      <c r="H152" s="30">
        <f>1476.2+1415</f>
        <v>2891.2</v>
      </c>
      <c r="I152" s="30">
        <f t="shared" ref="I152:I157" si="20">SUM(B152:H152)</f>
        <v>40330.699999999997</v>
      </c>
    </row>
    <row r="153" spans="1:9" hidden="1" x14ac:dyDescent="0.2">
      <c r="A153" s="28" t="s">
        <v>114</v>
      </c>
      <c r="B153" s="30" t="s">
        <v>35</v>
      </c>
      <c r="C153" s="30" t="s">
        <v>35</v>
      </c>
      <c r="D153" s="30">
        <f>1772.8+9033.9</f>
        <v>10806.699999999999</v>
      </c>
      <c r="E153" s="30">
        <f>7080.5+1205.2</f>
        <v>8285.7000000000007</v>
      </c>
      <c r="F153" s="30">
        <f>374.8+1372</f>
        <v>1746.8</v>
      </c>
      <c r="G153" s="42">
        <f>7031.9+656.3+9386.2+395.1</f>
        <v>17469.5</v>
      </c>
      <c r="H153" s="30">
        <f>1504.2+1570.1</f>
        <v>3074.3</v>
      </c>
      <c r="I153" s="30">
        <f t="shared" si="20"/>
        <v>41383</v>
      </c>
    </row>
    <row r="154" spans="1:9" hidden="1" x14ac:dyDescent="0.2">
      <c r="A154" s="28" t="s">
        <v>115</v>
      </c>
      <c r="B154" s="30" t="s">
        <v>35</v>
      </c>
      <c r="C154" s="30" t="s">
        <v>35</v>
      </c>
      <c r="D154" s="30">
        <f>1893.8+9148.7</f>
        <v>11042.5</v>
      </c>
      <c r="E154" s="30">
        <f>7108+1542.1</f>
        <v>8650.1</v>
      </c>
      <c r="F154" s="30">
        <f>374.8+1422.2</f>
        <v>1797</v>
      </c>
      <c r="G154" s="42">
        <f>7063.1+730.7+9387.6+604.6</f>
        <v>17786</v>
      </c>
      <c r="H154" s="30">
        <f>1633.2+1542.9</f>
        <v>3176.1000000000004</v>
      </c>
      <c r="I154" s="30">
        <f t="shared" si="20"/>
        <v>42451.7</v>
      </c>
    </row>
    <row r="155" spans="1:9" hidden="1" x14ac:dyDescent="0.2">
      <c r="A155" s="28" t="s">
        <v>116</v>
      </c>
      <c r="B155" s="30" t="s">
        <v>35</v>
      </c>
      <c r="C155" s="30" t="s">
        <v>35</v>
      </c>
      <c r="D155" s="30">
        <f>2492.5+8571.4</f>
        <v>11063.9</v>
      </c>
      <c r="E155" s="30">
        <f>7199.1+1842.6</f>
        <v>9041.7000000000007</v>
      </c>
      <c r="F155" s="30">
        <f>374.8+1422.2</f>
        <v>1797</v>
      </c>
      <c r="G155" s="42">
        <f>7082.6+789.6+9397.8+645.2</f>
        <v>17915.2</v>
      </c>
      <c r="H155" s="30">
        <f>1655.6+1670.1</f>
        <v>3325.7</v>
      </c>
      <c r="I155" s="30">
        <f t="shared" si="20"/>
        <v>43143.5</v>
      </c>
    </row>
    <row r="156" spans="1:9" hidden="1" x14ac:dyDescent="0.2">
      <c r="A156" s="28" t="s">
        <v>117</v>
      </c>
      <c r="B156" s="30" t="s">
        <v>35</v>
      </c>
      <c r="C156" s="30" t="s">
        <v>35</v>
      </c>
      <c r="D156" s="30">
        <f>2940.6+8726.2</f>
        <v>11666.800000000001</v>
      </c>
      <c r="E156" s="30">
        <f>7319.9+992.8</f>
        <v>8312.6999999999989</v>
      </c>
      <c r="F156" s="30">
        <f>374.8+1422.2</f>
        <v>1797</v>
      </c>
      <c r="G156" s="42">
        <f>7104.3+898.3+9408.2+746.3</f>
        <v>18157.100000000002</v>
      </c>
      <c r="H156" s="30">
        <f>1736.3+1641.8</f>
        <v>3378.1</v>
      </c>
      <c r="I156" s="30">
        <f t="shared" si="20"/>
        <v>43311.700000000004</v>
      </c>
    </row>
    <row r="157" spans="1:9" hidden="1" x14ac:dyDescent="0.2">
      <c r="A157" s="28" t="s">
        <v>118</v>
      </c>
      <c r="B157" s="30" t="s">
        <v>35</v>
      </c>
      <c r="C157" s="30" t="s">
        <v>35</v>
      </c>
      <c r="D157" s="30">
        <f>2939+8844.1</f>
        <v>11783.1</v>
      </c>
      <c r="E157" s="30">
        <f>7340.3+1675.2</f>
        <v>9015.5</v>
      </c>
      <c r="F157" s="30">
        <f>367.7+1397.1</f>
        <v>1764.8</v>
      </c>
      <c r="G157" s="42">
        <f>7027.8+962.7+9408+723.8</f>
        <v>18122.3</v>
      </c>
      <c r="H157" s="30">
        <f>1319.7+1525.8</f>
        <v>2845.5</v>
      </c>
      <c r="I157" s="30">
        <f t="shared" si="20"/>
        <v>43531.199999999997</v>
      </c>
    </row>
    <row r="158" spans="1:9" hidden="1" x14ac:dyDescent="0.2">
      <c r="A158" s="28"/>
      <c r="B158" s="30"/>
      <c r="C158" s="38"/>
      <c r="D158" s="30"/>
      <c r="E158" s="30"/>
      <c r="F158" s="30"/>
      <c r="G158" s="42"/>
      <c r="H158" s="30"/>
      <c r="I158" s="30"/>
    </row>
    <row r="159" spans="1:9" hidden="1" x14ac:dyDescent="0.2">
      <c r="A159" s="28" t="s">
        <v>94</v>
      </c>
      <c r="B159" s="30">
        <v>118.6</v>
      </c>
      <c r="C159" s="30" t="s">
        <v>35</v>
      </c>
      <c r="D159" s="30">
        <f>2994.3+8844.1</f>
        <v>11838.400000000001</v>
      </c>
      <c r="E159" s="30">
        <f>8131.4+1677.1</f>
        <v>9808.5</v>
      </c>
      <c r="F159" s="30">
        <f>367.7+1397.1</f>
        <v>1764.8</v>
      </c>
      <c r="G159" s="42">
        <f>7144+901.1+9518.9+645.4</f>
        <v>18209.400000000001</v>
      </c>
      <c r="H159" s="30">
        <f>1265.6+1510.9</f>
        <v>2776.5</v>
      </c>
      <c r="I159" s="30">
        <f t="shared" ref="I159:I164" si="21">SUM(B159:H159)</f>
        <v>44516.2</v>
      </c>
    </row>
    <row r="160" spans="1:9" hidden="1" x14ac:dyDescent="0.2">
      <c r="A160" s="28" t="s">
        <v>120</v>
      </c>
      <c r="B160" s="30">
        <v>118.6</v>
      </c>
      <c r="C160" s="30" t="s">
        <v>35</v>
      </c>
      <c r="D160" s="30">
        <f>2996.1+8912</f>
        <v>11908.1</v>
      </c>
      <c r="E160" s="30">
        <f>8387.7+1673</f>
        <v>10060.700000000001</v>
      </c>
      <c r="F160" s="30">
        <f>367.7+1397.1</f>
        <v>1764.8</v>
      </c>
      <c r="G160" s="42">
        <f>7140.2+1027.6+9403.2+826.8</f>
        <v>18397.8</v>
      </c>
      <c r="H160" s="30">
        <f>1268.3+1409.9</f>
        <v>2678.2</v>
      </c>
      <c r="I160" s="30">
        <f t="shared" si="21"/>
        <v>44928.2</v>
      </c>
    </row>
    <row r="161" spans="1:15" hidden="1" x14ac:dyDescent="0.2">
      <c r="A161" s="28" t="s">
        <v>96</v>
      </c>
      <c r="B161" s="30">
        <v>114.3</v>
      </c>
      <c r="C161" s="30" t="s">
        <v>35</v>
      </c>
      <c r="D161" s="30">
        <f>2999.9+8843.5</f>
        <v>11843.4</v>
      </c>
      <c r="E161" s="30">
        <f>9018+777.9</f>
        <v>9795.9</v>
      </c>
      <c r="F161" s="30">
        <f>367.7+1302.9</f>
        <v>1670.6000000000001</v>
      </c>
      <c r="G161" s="42">
        <f>7903+194.2+10210.4-147.7</f>
        <v>18159.899999999998</v>
      </c>
      <c r="H161" s="30">
        <f>1395.5+1793.9</f>
        <v>3189.4</v>
      </c>
      <c r="I161" s="30">
        <f t="shared" si="21"/>
        <v>44773.499999999993</v>
      </c>
    </row>
    <row r="162" spans="1:15" hidden="1" x14ac:dyDescent="0.2">
      <c r="A162" s="28" t="s">
        <v>122</v>
      </c>
      <c r="B162" s="30">
        <v>105.7</v>
      </c>
      <c r="C162" s="30" t="s">
        <v>35</v>
      </c>
      <c r="D162" s="30">
        <f>3050.8+8843.5</f>
        <v>11894.3</v>
      </c>
      <c r="E162" s="30">
        <f>9219.8+779.5</f>
        <v>9999.2999999999993</v>
      </c>
      <c r="F162" s="30">
        <f>367.7+995.3</f>
        <v>1363</v>
      </c>
      <c r="G162" s="42">
        <f>7916.7+280.6+10285.7-169.8</f>
        <v>18313.2</v>
      </c>
      <c r="H162" s="30">
        <f>1301.9+1569.7</f>
        <v>2871.6000000000004</v>
      </c>
      <c r="I162" s="30">
        <f t="shared" si="21"/>
        <v>44547.1</v>
      </c>
    </row>
    <row r="163" spans="1:15" hidden="1" x14ac:dyDescent="0.2">
      <c r="A163" s="28" t="s">
        <v>123</v>
      </c>
      <c r="B163" s="30">
        <v>101.2</v>
      </c>
      <c r="C163" s="30" t="s">
        <v>35</v>
      </c>
      <c r="D163" s="30">
        <f>3051.8+8843.5</f>
        <v>11895.3</v>
      </c>
      <c r="E163" s="30">
        <f>9324.2+797.2</f>
        <v>10121.400000000001</v>
      </c>
      <c r="F163" s="30">
        <f>367.7+995.3</f>
        <v>1363</v>
      </c>
      <c r="G163" s="42">
        <f>7927.3+376.5+10610.7-437.3</f>
        <v>18477.2</v>
      </c>
      <c r="H163" s="30">
        <f>1335.7+1636.8</f>
        <v>2972.5</v>
      </c>
      <c r="I163" s="30">
        <f t="shared" si="21"/>
        <v>44930.600000000006</v>
      </c>
    </row>
    <row r="164" spans="1:15" hidden="1" x14ac:dyDescent="0.2">
      <c r="A164" s="28" t="s">
        <v>124</v>
      </c>
      <c r="B164" s="30">
        <v>96.7</v>
      </c>
      <c r="C164" s="30" t="s">
        <v>35</v>
      </c>
      <c r="D164" s="30">
        <f>3054.9+8858.5</f>
        <v>11913.4</v>
      </c>
      <c r="E164" s="30">
        <f>9863.1+1332.5</f>
        <v>11195.6</v>
      </c>
      <c r="F164" s="30">
        <f>367.7+908.2</f>
        <v>1275.9000000000001</v>
      </c>
      <c r="G164" s="42">
        <f>7975.8+462.1+10614.5-325.6</f>
        <v>18726.800000000003</v>
      </c>
      <c r="H164" s="30">
        <f>1459+1781.1</f>
        <v>3240.1</v>
      </c>
      <c r="I164" s="30">
        <f t="shared" si="21"/>
        <v>46448.500000000007</v>
      </c>
    </row>
    <row r="165" spans="1:15" hidden="1" x14ac:dyDescent="0.2">
      <c r="A165" s="28" t="s">
        <v>125</v>
      </c>
      <c r="B165" s="30">
        <v>96.7</v>
      </c>
      <c r="C165" s="30" t="s">
        <v>35</v>
      </c>
      <c r="D165" s="30">
        <f>3104.9+9479.5</f>
        <v>12584.4</v>
      </c>
      <c r="E165" s="30">
        <f>10298+1972.5</f>
        <v>12270.5</v>
      </c>
      <c r="F165" s="30">
        <f>367.7+908.2</f>
        <v>1275.9000000000001</v>
      </c>
      <c r="G165" s="42">
        <f>7960.8+565.8+10865.2-435.6</f>
        <v>18956.200000000004</v>
      </c>
      <c r="H165" s="30">
        <f>1584.7+2402.4</f>
        <v>3987.1000000000004</v>
      </c>
      <c r="I165" s="30">
        <f t="shared" ref="I165:I169" si="22">SUM(B165:H165)</f>
        <v>49170.8</v>
      </c>
    </row>
    <row r="166" spans="1:15" hidden="1" x14ac:dyDescent="0.2">
      <c r="A166" s="28" t="s">
        <v>126</v>
      </c>
      <c r="B166" s="30">
        <f>92.2+100</f>
        <v>192.2</v>
      </c>
      <c r="C166" s="30" t="s">
        <v>35</v>
      </c>
      <c r="D166" s="30">
        <f>3106.8+10349.5</f>
        <v>13456.3</v>
      </c>
      <c r="E166" s="30">
        <f>10539.8+2973.5</f>
        <v>13513.3</v>
      </c>
      <c r="F166" s="30">
        <f>367.7+908.2</f>
        <v>1275.9000000000001</v>
      </c>
      <c r="G166" s="42">
        <f>8022.4+642.8+11650.8-1203.7</f>
        <v>19112.3</v>
      </c>
      <c r="H166" s="30">
        <f>1654.2+1856.5</f>
        <v>3510.7</v>
      </c>
      <c r="I166" s="30">
        <f t="shared" si="22"/>
        <v>51060.7</v>
      </c>
    </row>
    <row r="167" spans="1:15" hidden="1" x14ac:dyDescent="0.2">
      <c r="A167" s="28" t="s">
        <v>127</v>
      </c>
      <c r="B167" s="30">
        <f>87.6</f>
        <v>87.6</v>
      </c>
      <c r="C167" s="30" t="s">
        <v>35</v>
      </c>
      <c r="D167" s="30">
        <f>3268.7+11633.7</f>
        <v>14902.400000000001</v>
      </c>
      <c r="E167" s="30">
        <f>10644.6+3022.2</f>
        <v>13666.8</v>
      </c>
      <c r="F167" s="30">
        <f>367.7+1008.8</f>
        <v>1376.5</v>
      </c>
      <c r="G167" s="42">
        <f>8058.4+750.4+11585.1-963.4</f>
        <v>19430.5</v>
      </c>
      <c r="H167" s="30">
        <f>1600.5+2947.2</f>
        <v>4547.7</v>
      </c>
      <c r="I167" s="30">
        <f t="shared" si="22"/>
        <v>54011.5</v>
      </c>
    </row>
    <row r="168" spans="1:15" hidden="1" x14ac:dyDescent="0.2">
      <c r="A168" s="28" t="s">
        <v>128</v>
      </c>
      <c r="B168" s="30">
        <v>78.2</v>
      </c>
      <c r="C168" s="30" t="s">
        <v>35</v>
      </c>
      <c r="D168" s="30">
        <f>3270.6+13716.7</f>
        <v>16987.3</v>
      </c>
      <c r="E168" s="30">
        <f>10907.3+2841.7</f>
        <v>13749</v>
      </c>
      <c r="F168" s="30">
        <f>367.7+1008.8</f>
        <v>1376.5</v>
      </c>
      <c r="G168" s="42">
        <f>8081+872.5+11583.6-727.2</f>
        <v>19809.899999999998</v>
      </c>
      <c r="H168" s="30">
        <f>1732.6+3529.8</f>
        <v>5262.4</v>
      </c>
      <c r="I168" s="30">
        <f t="shared" si="22"/>
        <v>57263.299999999996</v>
      </c>
    </row>
    <row r="169" spans="1:15" hidden="1" x14ac:dyDescent="0.2">
      <c r="A169" s="28" t="s">
        <v>129</v>
      </c>
      <c r="B169" s="30">
        <v>78.2</v>
      </c>
      <c r="C169" s="30" t="s">
        <v>35</v>
      </c>
      <c r="D169" s="30">
        <f>3222.5+15987.5</f>
        <v>19210</v>
      </c>
      <c r="E169" s="30">
        <f>11813.6+1341</f>
        <v>13154.6</v>
      </c>
      <c r="F169" s="30">
        <f>367.7+1008.8</f>
        <v>1376.5</v>
      </c>
      <c r="G169" s="42">
        <f>8081+1007.8+11649.2-645.3</f>
        <v>20092.7</v>
      </c>
      <c r="H169" s="30">
        <f>1801.8+2469.7</f>
        <v>4271.5</v>
      </c>
      <c r="I169" s="30">
        <f t="shared" si="22"/>
        <v>58183.5</v>
      </c>
    </row>
    <row r="170" spans="1:15" s="57" customFormat="1" hidden="1" x14ac:dyDescent="0.2">
      <c r="A170" s="55" t="s">
        <v>130</v>
      </c>
      <c r="B170" s="56">
        <v>2179</v>
      </c>
      <c r="C170" s="23" t="s">
        <v>35</v>
      </c>
      <c r="D170" s="56">
        <v>17033.199999999997</v>
      </c>
      <c r="E170" s="56">
        <v>11788.7</v>
      </c>
      <c r="F170" s="56">
        <v>1350.2</v>
      </c>
      <c r="G170" s="58">
        <v>19832.2</v>
      </c>
      <c r="H170" s="56">
        <v>4143.8999999999996</v>
      </c>
      <c r="I170" s="56">
        <f>SUM(B170:H170)</f>
        <v>56327.200000000004</v>
      </c>
      <c r="M170" s="59"/>
    </row>
    <row r="171" spans="1:15" s="57" customFormat="1" hidden="1" x14ac:dyDescent="0.2">
      <c r="A171" s="55"/>
      <c r="B171" s="56"/>
      <c r="C171" s="23" t="s">
        <v>35</v>
      </c>
      <c r="D171" s="56"/>
      <c r="E171" s="56"/>
      <c r="F171" s="56"/>
      <c r="G171" s="58"/>
      <c r="H171" s="56"/>
      <c r="I171" s="56"/>
      <c r="M171" s="59"/>
    </row>
    <row r="172" spans="1:15" hidden="1" x14ac:dyDescent="0.2">
      <c r="A172" s="28" t="s">
        <v>106</v>
      </c>
      <c r="B172" s="30">
        <v>2583.8000000000002</v>
      </c>
      <c r="C172" s="23" t="s">
        <v>35</v>
      </c>
      <c r="D172" s="30">
        <v>14208</v>
      </c>
      <c r="E172" s="30">
        <v>13783.6</v>
      </c>
      <c r="F172" s="30">
        <v>1350.2</v>
      </c>
      <c r="G172" s="42">
        <v>20076.400000000001</v>
      </c>
      <c r="H172" s="30">
        <v>4437.5</v>
      </c>
      <c r="I172" s="30">
        <f t="shared" ref="I172" si="23">SUM(B172:H172)</f>
        <v>56439.5</v>
      </c>
      <c r="L172" s="53"/>
      <c r="M172" s="54"/>
      <c r="N172" s="53"/>
      <c r="O172" s="51"/>
    </row>
    <row r="173" spans="1:15" hidden="1" x14ac:dyDescent="0.2">
      <c r="A173" s="28" t="s">
        <v>132</v>
      </c>
      <c r="B173" s="30">
        <v>3083.9</v>
      </c>
      <c r="C173" s="23" t="s">
        <v>35</v>
      </c>
      <c r="D173" s="30">
        <v>14277.099999999999</v>
      </c>
      <c r="E173" s="30">
        <v>14423.4</v>
      </c>
      <c r="F173" s="30">
        <v>1350.2</v>
      </c>
      <c r="G173" s="42">
        <v>20350</v>
      </c>
      <c r="H173" s="30">
        <v>3949.7</v>
      </c>
      <c r="I173" s="30">
        <f t="shared" ref="I173" si="24">SUM(B173:H173)</f>
        <v>57434.299999999996</v>
      </c>
      <c r="L173" s="53"/>
      <c r="M173" s="54"/>
      <c r="N173" s="53"/>
      <c r="O173" s="51"/>
    </row>
    <row r="174" spans="1:15" hidden="1" x14ac:dyDescent="0.2">
      <c r="A174" s="28" t="s">
        <v>108</v>
      </c>
      <c r="B174" s="30">
        <v>3078.9</v>
      </c>
      <c r="C174" s="23" t="s">
        <v>35</v>
      </c>
      <c r="D174" s="30">
        <v>14949.599999999999</v>
      </c>
      <c r="E174" s="30">
        <v>14452.500000000002</v>
      </c>
      <c r="F174" s="30">
        <v>1417.5</v>
      </c>
      <c r="G174" s="42">
        <v>20334.800000000003</v>
      </c>
      <c r="H174" s="30">
        <v>4109</v>
      </c>
      <c r="I174" s="30">
        <f t="shared" ref="I174" si="25">SUM(B174:H174)</f>
        <v>58342.3</v>
      </c>
      <c r="L174" s="53"/>
      <c r="M174" s="54"/>
      <c r="N174" s="53"/>
      <c r="O174" s="51"/>
    </row>
    <row r="175" spans="1:15" hidden="1" x14ac:dyDescent="0.2">
      <c r="A175" s="28" t="s">
        <v>133</v>
      </c>
      <c r="B175" s="30">
        <v>3073.9</v>
      </c>
      <c r="C175" s="23" t="s">
        <v>35</v>
      </c>
      <c r="D175" s="30">
        <v>13584.3</v>
      </c>
      <c r="E175" s="30">
        <v>14980.099999999999</v>
      </c>
      <c r="F175" s="30">
        <v>1090.8</v>
      </c>
      <c r="G175" s="42">
        <v>21911.199999999997</v>
      </c>
      <c r="H175" s="30">
        <v>3740.7999999999997</v>
      </c>
      <c r="I175" s="30">
        <f t="shared" ref="I175" si="26">SUM(B175:H175)</f>
        <v>58381.1</v>
      </c>
      <c r="L175" s="53"/>
      <c r="M175" s="54"/>
      <c r="N175" s="53"/>
      <c r="O175" s="51"/>
    </row>
    <row r="176" spans="1:15" hidden="1" x14ac:dyDescent="0.2">
      <c r="A176" s="28" t="s">
        <v>134</v>
      </c>
      <c r="B176" s="30">
        <v>3068.9</v>
      </c>
      <c r="C176" s="23" t="s">
        <v>35</v>
      </c>
      <c r="D176" s="30">
        <v>13838.6</v>
      </c>
      <c r="E176" s="30">
        <v>15560.1</v>
      </c>
      <c r="F176" s="30">
        <v>1090.8</v>
      </c>
      <c r="G176" s="42">
        <v>22171.700000000004</v>
      </c>
      <c r="H176" s="30">
        <v>4307.5</v>
      </c>
      <c r="I176" s="30">
        <f t="shared" ref="I176" si="27">SUM(B176:H176)</f>
        <v>60037.600000000006</v>
      </c>
      <c r="L176" s="53"/>
      <c r="M176" s="54"/>
      <c r="N176" s="53"/>
      <c r="O176" s="51"/>
    </row>
    <row r="177" spans="1:15" hidden="1" x14ac:dyDescent="0.2">
      <c r="A177" s="28" t="s">
        <v>135</v>
      </c>
      <c r="B177" s="30">
        <v>3063.7</v>
      </c>
      <c r="C177" s="23" t="s">
        <v>35</v>
      </c>
      <c r="D177" s="30">
        <v>13847.699999999999</v>
      </c>
      <c r="E177" s="30">
        <v>16086.900000000001</v>
      </c>
      <c r="F177" s="30">
        <v>1112.3</v>
      </c>
      <c r="G177" s="42">
        <v>22532.800000000003</v>
      </c>
      <c r="H177" s="30">
        <v>4585.9000000000005</v>
      </c>
      <c r="I177" s="30">
        <f t="shared" ref="I177" si="28">SUM(B177:H177)</f>
        <v>61229.30000000001</v>
      </c>
      <c r="L177" s="53"/>
      <c r="M177" s="54"/>
      <c r="N177" s="53"/>
      <c r="O177" s="51"/>
    </row>
    <row r="178" spans="1:15" hidden="1" x14ac:dyDescent="0.2">
      <c r="A178" s="28" t="s">
        <v>136</v>
      </c>
      <c r="B178" s="30">
        <v>3206.7999999999997</v>
      </c>
      <c r="C178" s="23" t="s">
        <v>35</v>
      </c>
      <c r="D178" s="30">
        <v>13547.6</v>
      </c>
      <c r="E178" s="30">
        <v>16405.7</v>
      </c>
      <c r="F178" s="30">
        <v>1112.3</v>
      </c>
      <c r="G178" s="42">
        <v>22663.9</v>
      </c>
      <c r="H178" s="30">
        <v>4711.4000000000005</v>
      </c>
      <c r="I178" s="30">
        <f t="shared" ref="I178" si="29">SUM(B178:H178)</f>
        <v>61647.700000000012</v>
      </c>
      <c r="L178" s="53"/>
      <c r="M178" s="54"/>
      <c r="N178" s="53"/>
      <c r="O178" s="51"/>
    </row>
    <row r="179" spans="1:15" hidden="1" x14ac:dyDescent="0.2">
      <c r="A179" s="28" t="s">
        <v>137</v>
      </c>
      <c r="B179" s="30">
        <v>3156.5</v>
      </c>
      <c r="C179" s="23" t="s">
        <v>35</v>
      </c>
      <c r="D179" s="30">
        <v>14047.6</v>
      </c>
      <c r="E179" s="30">
        <v>16709.2</v>
      </c>
      <c r="F179" s="30">
        <v>1112.3</v>
      </c>
      <c r="G179" s="42">
        <v>22922.7</v>
      </c>
      <c r="H179" s="30">
        <v>4877.3999999999996</v>
      </c>
      <c r="I179" s="30">
        <f t="shared" ref="I179" si="30">SUM(B179:H179)</f>
        <v>62825.700000000004</v>
      </c>
      <c r="L179" s="53"/>
      <c r="M179" s="54"/>
      <c r="N179" s="53"/>
      <c r="O179" s="51"/>
    </row>
    <row r="180" spans="1:15" hidden="1" x14ac:dyDescent="0.2">
      <c r="A180" s="28" t="s">
        <v>138</v>
      </c>
      <c r="B180" s="30">
        <v>2988.7</v>
      </c>
      <c r="C180" s="23" t="s">
        <v>35</v>
      </c>
      <c r="D180" s="30">
        <v>14047.6</v>
      </c>
      <c r="E180" s="30">
        <v>16990.099999999999</v>
      </c>
      <c r="F180" s="30">
        <v>1082.5</v>
      </c>
      <c r="G180" s="42">
        <v>23345.1</v>
      </c>
      <c r="H180" s="30">
        <v>4636.2000000000007</v>
      </c>
      <c r="I180" s="30">
        <f>SUM(B180:H180)</f>
        <v>63090.2</v>
      </c>
      <c r="L180" s="53"/>
      <c r="M180" s="54"/>
      <c r="N180" s="53"/>
      <c r="O180" s="51"/>
    </row>
    <row r="181" spans="1:15" hidden="1" x14ac:dyDescent="0.2">
      <c r="A181" s="28" t="s">
        <v>33</v>
      </c>
      <c r="B181" s="30">
        <v>3083.3999999999996</v>
      </c>
      <c r="C181" s="23" t="s">
        <v>35</v>
      </c>
      <c r="D181" s="30">
        <v>14546.2</v>
      </c>
      <c r="E181" s="30">
        <v>16990.899999999998</v>
      </c>
      <c r="F181" s="30">
        <v>1082.5</v>
      </c>
      <c r="G181" s="42">
        <v>23800.799999999999</v>
      </c>
      <c r="H181" s="30">
        <v>4904.7</v>
      </c>
      <c r="I181" s="30">
        <f t="shared" ref="I181" si="31">SUM(B181:H181)</f>
        <v>64408.5</v>
      </c>
      <c r="L181" s="53"/>
      <c r="M181" s="54"/>
      <c r="N181" s="53"/>
      <c r="O181" s="51"/>
    </row>
    <row r="182" spans="1:15" hidden="1" x14ac:dyDescent="0.2">
      <c r="A182" s="28" t="s">
        <v>34</v>
      </c>
      <c r="B182" s="30">
        <v>2677.7999999999997</v>
      </c>
      <c r="C182" s="23" t="s">
        <v>35</v>
      </c>
      <c r="D182" s="30">
        <v>14546.2</v>
      </c>
      <c r="E182" s="30">
        <v>17018.2</v>
      </c>
      <c r="F182" s="30">
        <v>1082.5</v>
      </c>
      <c r="G182" s="42">
        <v>24092.800000000003</v>
      </c>
      <c r="H182" s="30">
        <v>5076.5999999999995</v>
      </c>
      <c r="I182" s="30">
        <f t="shared" ref="I182" si="32">SUM(B182:H182)</f>
        <v>64494.1</v>
      </c>
      <c r="L182" s="53"/>
      <c r="M182" s="54"/>
      <c r="N182" s="53"/>
      <c r="O182" s="51"/>
    </row>
    <row r="183" spans="1:15" hidden="1" x14ac:dyDescent="0.2">
      <c r="A183" s="28" t="s">
        <v>36</v>
      </c>
      <c r="B183" s="30">
        <v>2690.1</v>
      </c>
      <c r="C183" s="23" t="s">
        <v>35</v>
      </c>
      <c r="D183" s="30">
        <v>15478.699999999999</v>
      </c>
      <c r="E183" s="30">
        <v>16713.399999999998</v>
      </c>
      <c r="F183" s="30">
        <v>1087.9000000000001</v>
      </c>
      <c r="G183" s="42">
        <v>24144.200000000004</v>
      </c>
      <c r="H183" s="30">
        <v>4715.3999999999996</v>
      </c>
      <c r="I183" s="30">
        <f t="shared" ref="I183" si="33">SUM(B183:H183)</f>
        <v>64829.700000000004</v>
      </c>
      <c r="L183" s="53"/>
      <c r="M183" s="54"/>
      <c r="N183" s="53"/>
      <c r="O183" s="51"/>
    </row>
    <row r="184" spans="1:15" hidden="1" x14ac:dyDescent="0.2">
      <c r="A184" s="45"/>
      <c r="B184" s="46"/>
      <c r="C184" s="23" t="s">
        <v>35</v>
      </c>
      <c r="D184" s="46"/>
      <c r="E184" s="46"/>
      <c r="F184" s="46"/>
      <c r="G184" s="47"/>
      <c r="H184" s="46"/>
      <c r="I184" s="46"/>
      <c r="L184" s="53"/>
      <c r="M184" s="54"/>
      <c r="N184" s="53"/>
      <c r="O184" s="51"/>
    </row>
    <row r="185" spans="1:15" hidden="1" x14ac:dyDescent="0.2">
      <c r="A185" s="28" t="s">
        <v>119</v>
      </c>
      <c r="B185" s="30">
        <v>2700.7000000000003</v>
      </c>
      <c r="C185" s="23" t="s">
        <v>35</v>
      </c>
      <c r="D185" s="30">
        <v>15552.8</v>
      </c>
      <c r="E185" s="30">
        <v>17896.5</v>
      </c>
      <c r="F185" s="30">
        <v>1087.9000000000001</v>
      </c>
      <c r="G185" s="42">
        <v>24373.200000000001</v>
      </c>
      <c r="H185" s="30">
        <v>3576.7</v>
      </c>
      <c r="I185" s="30">
        <f t="shared" ref="I185" si="34">SUM(B185:H185)</f>
        <v>65187.8</v>
      </c>
      <c r="L185" s="53"/>
      <c r="M185" s="54"/>
      <c r="N185" s="53"/>
      <c r="O185" s="51"/>
    </row>
    <row r="186" spans="1:15" hidden="1" x14ac:dyDescent="0.2">
      <c r="A186" s="28" t="s">
        <v>139</v>
      </c>
      <c r="B186" s="30">
        <v>2695</v>
      </c>
      <c r="C186" s="23" t="s">
        <v>35</v>
      </c>
      <c r="D186" s="30">
        <v>15552.8</v>
      </c>
      <c r="E186" s="30">
        <v>17924.7</v>
      </c>
      <c r="F186" s="30">
        <v>1087.9000000000001</v>
      </c>
      <c r="G186" s="42">
        <v>24649.100000000002</v>
      </c>
      <c r="H186" s="30">
        <v>3597.5</v>
      </c>
      <c r="I186" s="30">
        <f t="shared" ref="I186" si="35">SUM(B186:H186)</f>
        <v>65507</v>
      </c>
      <c r="L186" s="53"/>
      <c r="M186" s="54"/>
      <c r="N186" s="53"/>
      <c r="O186" s="51"/>
    </row>
    <row r="187" spans="1:15" hidden="1" x14ac:dyDescent="0.2">
      <c r="A187" s="28" t="s">
        <v>121</v>
      </c>
      <c r="B187" s="30">
        <v>2695</v>
      </c>
      <c r="C187" s="23" t="s">
        <v>35</v>
      </c>
      <c r="D187" s="30">
        <v>15152.7</v>
      </c>
      <c r="E187" s="30">
        <v>18414.5</v>
      </c>
      <c r="F187" s="30">
        <v>1126.9000000000001</v>
      </c>
      <c r="G187" s="42">
        <v>24416.600000000002</v>
      </c>
      <c r="H187" s="30">
        <v>4343.8999999999996</v>
      </c>
      <c r="I187" s="30">
        <f t="shared" ref="I187" si="36">SUM(B187:H187)</f>
        <v>66149.599999999991</v>
      </c>
      <c r="L187" s="53"/>
      <c r="M187" s="54"/>
      <c r="N187" s="53"/>
      <c r="O187" s="51"/>
    </row>
    <row r="188" spans="1:15" hidden="1" x14ac:dyDescent="0.2">
      <c r="A188" s="28" t="s">
        <v>140</v>
      </c>
      <c r="B188" s="30">
        <v>2695</v>
      </c>
      <c r="C188" s="23" t="s">
        <v>35</v>
      </c>
      <c r="D188" s="30">
        <v>16152.8</v>
      </c>
      <c r="E188" s="30">
        <v>18411.899999999998</v>
      </c>
      <c r="F188" s="30">
        <v>780.90000000000009</v>
      </c>
      <c r="G188" s="42">
        <v>24639.599999999999</v>
      </c>
      <c r="H188" s="30">
        <v>4028.5</v>
      </c>
      <c r="I188" s="30">
        <f t="shared" ref="I188" si="37">SUM(B188:H188)</f>
        <v>66708.7</v>
      </c>
      <c r="L188" s="53"/>
      <c r="M188" s="54"/>
      <c r="N188" s="53"/>
      <c r="O188" s="51"/>
    </row>
    <row r="189" spans="1:15" hidden="1" x14ac:dyDescent="0.2">
      <c r="A189" s="28" t="s">
        <v>141</v>
      </c>
      <c r="B189" s="30">
        <v>2695</v>
      </c>
      <c r="C189" s="23" t="s">
        <v>35</v>
      </c>
      <c r="D189" s="30">
        <v>16152.8</v>
      </c>
      <c r="E189" s="30">
        <v>18900</v>
      </c>
      <c r="F189" s="30">
        <v>780.90000000000009</v>
      </c>
      <c r="G189" s="42">
        <v>24950</v>
      </c>
      <c r="H189" s="30">
        <v>4397.8999999999996</v>
      </c>
      <c r="I189" s="30">
        <f t="shared" ref="I189" si="38">SUM(B189:H189)</f>
        <v>67876.600000000006</v>
      </c>
      <c r="L189" s="53"/>
      <c r="M189" s="54"/>
      <c r="N189" s="53"/>
      <c r="O189" s="51"/>
    </row>
    <row r="190" spans="1:15" hidden="1" x14ac:dyDescent="0.2">
      <c r="A190" s="28" t="s">
        <v>142</v>
      </c>
      <c r="B190" s="30">
        <v>2375.1000000000004</v>
      </c>
      <c r="C190" s="23" t="s">
        <v>35</v>
      </c>
      <c r="D190" s="30">
        <v>16658.5</v>
      </c>
      <c r="E190" s="30">
        <v>18869.799999999996</v>
      </c>
      <c r="F190" s="30">
        <v>767.6</v>
      </c>
      <c r="G190" s="42">
        <v>25161.200000000001</v>
      </c>
      <c r="H190" s="30">
        <v>4405.5999999999995</v>
      </c>
      <c r="I190" s="30">
        <f t="shared" ref="I190" si="39">SUM(B190:H190)</f>
        <v>68237.8</v>
      </c>
      <c r="L190" s="53"/>
      <c r="M190" s="54"/>
      <c r="N190" s="53"/>
      <c r="O190" s="51"/>
    </row>
    <row r="191" spans="1:15" hidden="1" x14ac:dyDescent="0.2">
      <c r="A191" s="28" t="s">
        <v>143</v>
      </c>
      <c r="B191" s="30">
        <v>2375</v>
      </c>
      <c r="C191" s="23" t="s">
        <v>35</v>
      </c>
      <c r="D191" s="30">
        <v>16658.5</v>
      </c>
      <c r="E191" s="30">
        <v>19038.900000000001</v>
      </c>
      <c r="F191" s="30">
        <v>767.6</v>
      </c>
      <c r="G191" s="42">
        <v>25408.300000000003</v>
      </c>
      <c r="H191" s="30">
        <v>4924.1000000000004</v>
      </c>
      <c r="I191" s="30">
        <f t="shared" ref="I191" si="40">SUM(B191:H191)</f>
        <v>69172.400000000009</v>
      </c>
      <c r="L191" s="53"/>
      <c r="M191" s="54"/>
      <c r="N191" s="53"/>
      <c r="O191" s="51"/>
    </row>
    <row r="192" spans="1:15" hidden="1" x14ac:dyDescent="0.2">
      <c r="A192" s="28" t="s">
        <v>144</v>
      </c>
      <c r="B192" s="30">
        <v>2405</v>
      </c>
      <c r="C192" s="23" t="s">
        <v>35</v>
      </c>
      <c r="D192" s="30">
        <v>16658.5</v>
      </c>
      <c r="E192" s="30">
        <v>18396</v>
      </c>
      <c r="F192" s="30">
        <v>767.6</v>
      </c>
      <c r="G192" s="42">
        <v>26428.6</v>
      </c>
      <c r="H192" s="30">
        <v>4858.5</v>
      </c>
      <c r="I192" s="30">
        <f t="shared" ref="I192" si="41">SUM(B192:H192)</f>
        <v>69514.2</v>
      </c>
      <c r="L192" s="53"/>
      <c r="M192" s="54"/>
      <c r="N192" s="53"/>
      <c r="O192" s="51"/>
    </row>
    <row r="193" spans="1:15" hidden="1" x14ac:dyDescent="0.2">
      <c r="A193" s="28" t="s">
        <v>145</v>
      </c>
      <c r="B193" s="30">
        <v>2405</v>
      </c>
      <c r="C193" s="23" t="s">
        <v>35</v>
      </c>
      <c r="D193" s="30">
        <v>16658.5</v>
      </c>
      <c r="E193" s="30">
        <v>18518.100000000002</v>
      </c>
      <c r="F193" s="30">
        <v>767.6</v>
      </c>
      <c r="G193" s="42">
        <v>26759.7</v>
      </c>
      <c r="H193" s="30">
        <v>5111.3999999999996</v>
      </c>
      <c r="I193" s="30">
        <f t="shared" ref="I193" si="42">SUM(B193:H193)</f>
        <v>70220.3</v>
      </c>
      <c r="L193" s="53"/>
      <c r="M193" s="54"/>
      <c r="N193" s="53"/>
      <c r="O193" s="51"/>
    </row>
    <row r="194" spans="1:15" hidden="1" x14ac:dyDescent="0.2">
      <c r="A194" s="28" t="s">
        <v>146</v>
      </c>
      <c r="B194" s="30">
        <v>2495</v>
      </c>
      <c r="C194" s="23" t="s">
        <v>35</v>
      </c>
      <c r="D194" s="30">
        <v>16658.5</v>
      </c>
      <c r="E194" s="30">
        <v>18679.999999999996</v>
      </c>
      <c r="F194" s="30">
        <v>767.6</v>
      </c>
      <c r="G194" s="42">
        <v>27039.599999999999</v>
      </c>
      <c r="H194" s="30">
        <v>5682.5</v>
      </c>
      <c r="I194" s="30">
        <f t="shared" ref="I194:I195" si="43">SUM(B194:H194)</f>
        <v>71323.199999999997</v>
      </c>
      <c r="L194" s="53"/>
      <c r="M194" s="54"/>
      <c r="N194" s="53"/>
      <c r="O194" s="51"/>
    </row>
    <row r="195" spans="1:15" hidden="1" x14ac:dyDescent="0.2">
      <c r="A195" s="28" t="s">
        <v>147</v>
      </c>
      <c r="B195" s="30">
        <v>2514</v>
      </c>
      <c r="C195" s="23" t="s">
        <v>35</v>
      </c>
      <c r="D195" s="30">
        <v>17058.5</v>
      </c>
      <c r="E195" s="30">
        <v>18910.399999999998</v>
      </c>
      <c r="F195" s="30">
        <v>767.6</v>
      </c>
      <c r="G195" s="42">
        <v>27323.399999999998</v>
      </c>
      <c r="H195" s="30">
        <v>5731.8000000000011</v>
      </c>
      <c r="I195" s="30">
        <f t="shared" si="43"/>
        <v>72305.7</v>
      </c>
      <c r="L195" s="53"/>
      <c r="M195" s="54"/>
      <c r="N195" s="53"/>
      <c r="O195" s="51"/>
    </row>
    <row r="196" spans="1:15" hidden="1" x14ac:dyDescent="0.2">
      <c r="A196" s="28" t="s">
        <v>148</v>
      </c>
      <c r="B196" s="30">
        <v>2568.4</v>
      </c>
      <c r="C196" s="23" t="s">
        <v>35</v>
      </c>
      <c r="D196" s="30">
        <v>17471.5</v>
      </c>
      <c r="E196" s="30">
        <v>18859.3</v>
      </c>
      <c r="F196" s="30">
        <v>812.8</v>
      </c>
      <c r="G196" s="42">
        <v>27483.3</v>
      </c>
      <c r="H196" s="30">
        <v>5037.1000000000004</v>
      </c>
      <c r="I196" s="30">
        <f t="shared" ref="I196" si="44">SUM(B196:H196)</f>
        <v>72232.400000000009</v>
      </c>
      <c r="L196" s="53"/>
      <c r="M196" s="54"/>
      <c r="N196" s="53"/>
      <c r="O196" s="51"/>
    </row>
    <row r="197" spans="1:15" hidden="1" x14ac:dyDescent="0.2">
      <c r="A197" s="45"/>
      <c r="B197" s="46"/>
      <c r="C197" s="23" t="s">
        <v>35</v>
      </c>
      <c r="D197" s="46"/>
      <c r="E197" s="46"/>
      <c r="F197" s="46"/>
      <c r="G197" s="47"/>
      <c r="H197" s="46"/>
      <c r="I197" s="46"/>
      <c r="L197" s="53"/>
      <c r="M197" s="54"/>
      <c r="N197" s="53"/>
      <c r="O197" s="51"/>
    </row>
    <row r="198" spans="1:15" hidden="1" x14ac:dyDescent="0.2">
      <c r="A198" s="28" t="s">
        <v>131</v>
      </c>
      <c r="B198" s="30">
        <v>2595.6</v>
      </c>
      <c r="C198" s="23" t="s">
        <v>35</v>
      </c>
      <c r="D198" s="30">
        <v>17058.899999999998</v>
      </c>
      <c r="E198" s="30">
        <v>19920.8</v>
      </c>
      <c r="F198" s="30">
        <v>812.8</v>
      </c>
      <c r="G198" s="42">
        <v>27790.699999999997</v>
      </c>
      <c r="H198" s="30">
        <v>3616.5</v>
      </c>
      <c r="I198" s="30">
        <f t="shared" ref="I198" si="45">SUM(B198:H198)</f>
        <v>71795.299999999988</v>
      </c>
      <c r="L198" s="53"/>
      <c r="M198" s="54"/>
      <c r="N198" s="53"/>
      <c r="O198" s="51"/>
    </row>
    <row r="199" spans="1:15" hidden="1" x14ac:dyDescent="0.2">
      <c r="A199" s="28" t="s">
        <v>149</v>
      </c>
      <c r="B199" s="30">
        <v>2596.3000000000002</v>
      </c>
      <c r="C199" s="23" t="s">
        <v>35</v>
      </c>
      <c r="D199" s="30">
        <v>16658.899999999998</v>
      </c>
      <c r="E199" s="30">
        <v>19932.8</v>
      </c>
      <c r="F199" s="30">
        <v>812.8</v>
      </c>
      <c r="G199" s="42">
        <v>27953.599999999999</v>
      </c>
      <c r="H199" s="30">
        <v>3919.7</v>
      </c>
      <c r="I199" s="30">
        <f t="shared" ref="I199" si="46">SUM(B199:H199)</f>
        <v>71874.099999999991</v>
      </c>
      <c r="L199" s="53"/>
      <c r="M199" s="54"/>
      <c r="N199" s="53"/>
      <c r="O199" s="51"/>
    </row>
    <row r="200" spans="1:15" hidden="1" x14ac:dyDescent="0.2">
      <c r="A200" s="28" t="s">
        <v>153</v>
      </c>
      <c r="B200" s="30">
        <v>2624.3</v>
      </c>
      <c r="C200" s="23" t="s">
        <v>35</v>
      </c>
      <c r="D200" s="30">
        <v>16658.899999999998</v>
      </c>
      <c r="E200" s="30">
        <v>20350.3</v>
      </c>
      <c r="F200" s="30">
        <v>806.9</v>
      </c>
      <c r="G200" s="42">
        <v>27810.899999999998</v>
      </c>
      <c r="H200" s="30">
        <v>4721.2999999999993</v>
      </c>
      <c r="I200" s="30">
        <f t="shared" ref="I200" si="47">SUM(B200:H200)</f>
        <v>72972.600000000006</v>
      </c>
      <c r="L200" s="53"/>
      <c r="M200" s="54"/>
      <c r="N200" s="53"/>
      <c r="O200" s="51"/>
    </row>
    <row r="201" spans="1:15" hidden="1" x14ac:dyDescent="0.2">
      <c r="A201" s="28" t="s">
        <v>161</v>
      </c>
      <c r="B201" s="30">
        <v>2804.3</v>
      </c>
      <c r="C201" s="23" t="s">
        <v>35</v>
      </c>
      <c r="D201" s="30">
        <v>16658.899999999998</v>
      </c>
      <c r="E201" s="30">
        <v>20782.3</v>
      </c>
      <c r="F201" s="30">
        <v>806.9</v>
      </c>
      <c r="G201" s="42">
        <v>28223.899999999998</v>
      </c>
      <c r="H201" s="30">
        <v>4219.7000000000007</v>
      </c>
      <c r="I201" s="30">
        <f t="shared" ref="I201" si="48">SUM(B201:H201)</f>
        <v>73496</v>
      </c>
      <c r="L201" s="53"/>
      <c r="M201" s="54"/>
      <c r="N201" s="53"/>
      <c r="O201" s="51"/>
    </row>
    <row r="202" spans="1:15" hidden="1" x14ac:dyDescent="0.2">
      <c r="A202" s="28" t="s">
        <v>166</v>
      </c>
      <c r="B202" s="30">
        <v>2804.3</v>
      </c>
      <c r="C202" s="23" t="s">
        <v>35</v>
      </c>
      <c r="D202" s="30">
        <v>16658.899999999998</v>
      </c>
      <c r="E202" s="30">
        <v>21149</v>
      </c>
      <c r="F202" s="30">
        <v>806.9</v>
      </c>
      <c r="G202" s="42">
        <v>28644.799999999999</v>
      </c>
      <c r="H202" s="30">
        <v>4459.7</v>
      </c>
      <c r="I202" s="30">
        <f t="shared" ref="I202" si="49">SUM(B202:H202)</f>
        <v>74523.599999999991</v>
      </c>
      <c r="L202" s="53"/>
      <c r="M202" s="54"/>
      <c r="N202" s="53"/>
      <c r="O202" s="51"/>
    </row>
    <row r="203" spans="1:15" hidden="1" x14ac:dyDescent="0.2">
      <c r="A203" s="28" t="s">
        <v>167</v>
      </c>
      <c r="B203" s="30">
        <v>2604.3000000000002</v>
      </c>
      <c r="C203" s="23" t="s">
        <v>35</v>
      </c>
      <c r="D203" s="30">
        <v>16658.899999999998</v>
      </c>
      <c r="E203" s="30">
        <v>21458.3</v>
      </c>
      <c r="F203" s="30">
        <v>805.1</v>
      </c>
      <c r="G203" s="42">
        <v>28886</v>
      </c>
      <c r="H203" s="30">
        <v>4754.7999999999993</v>
      </c>
      <c r="I203" s="30">
        <f t="shared" ref="I203" si="50">SUM(B203:H203)</f>
        <v>75167.400000000009</v>
      </c>
      <c r="L203" s="53"/>
      <c r="M203" s="54"/>
      <c r="N203" s="53"/>
      <c r="O203" s="51"/>
    </row>
    <row r="204" spans="1:15" hidden="1" x14ac:dyDescent="0.2">
      <c r="A204" s="28" t="s">
        <v>168</v>
      </c>
      <c r="B204" s="30">
        <v>2404.2999999999997</v>
      </c>
      <c r="C204" s="23" t="s">
        <v>35</v>
      </c>
      <c r="D204" s="30">
        <v>16658.899999999998</v>
      </c>
      <c r="E204" s="30">
        <v>22068.499999999996</v>
      </c>
      <c r="F204" s="30">
        <v>805.1</v>
      </c>
      <c r="G204" s="42">
        <v>29723.599999999999</v>
      </c>
      <c r="H204" s="30">
        <v>5375.2999999999993</v>
      </c>
      <c r="I204" s="30">
        <f t="shared" ref="I204" si="51">SUM(B204:H204)</f>
        <v>77035.7</v>
      </c>
      <c r="L204" s="53"/>
      <c r="M204" s="54"/>
      <c r="N204" s="53"/>
      <c r="O204" s="51"/>
    </row>
    <row r="205" spans="1:15" hidden="1" x14ac:dyDescent="0.2">
      <c r="A205" s="28" t="s">
        <v>169</v>
      </c>
      <c r="B205" s="30">
        <v>2404.2999999999997</v>
      </c>
      <c r="C205" s="23" t="s">
        <v>35</v>
      </c>
      <c r="D205" s="30">
        <v>16658.899999999998</v>
      </c>
      <c r="E205" s="30">
        <v>22433.200000000001</v>
      </c>
      <c r="F205" s="30">
        <v>805.1</v>
      </c>
      <c r="G205" s="42">
        <v>30099.399999999994</v>
      </c>
      <c r="H205" s="30">
        <v>5569.7000000000007</v>
      </c>
      <c r="I205" s="30">
        <f t="shared" ref="I205" si="52">SUM(B205:H205)</f>
        <v>77970.599999999991</v>
      </c>
      <c r="L205" s="53"/>
      <c r="M205" s="54"/>
      <c r="N205" s="53"/>
      <c r="O205" s="51"/>
    </row>
    <row r="206" spans="1:15" hidden="1" x14ac:dyDescent="0.2">
      <c r="A206" s="28" t="s">
        <v>170</v>
      </c>
      <c r="B206" s="30">
        <v>2404.2999999999997</v>
      </c>
      <c r="C206" s="23" t="s">
        <v>35</v>
      </c>
      <c r="D206" s="30">
        <v>16711.8</v>
      </c>
      <c r="E206" s="30">
        <v>22735.200000000001</v>
      </c>
      <c r="F206" s="30">
        <v>346</v>
      </c>
      <c r="G206" s="42">
        <v>30565.699999999997</v>
      </c>
      <c r="H206" s="30">
        <v>5952.6</v>
      </c>
      <c r="I206" s="30">
        <f t="shared" ref="I206:I211" si="53">SUM(B206:H206)</f>
        <v>78715.600000000006</v>
      </c>
      <c r="L206" s="53"/>
      <c r="M206" s="54"/>
      <c r="N206" s="53"/>
      <c r="O206" s="51"/>
    </row>
    <row r="207" spans="1:15" hidden="1" x14ac:dyDescent="0.2">
      <c r="A207" s="28" t="s">
        <v>171</v>
      </c>
      <c r="B207" s="30">
        <v>2353.2999999999997</v>
      </c>
      <c r="C207" s="23" t="s">
        <v>35</v>
      </c>
      <c r="D207" s="30">
        <v>16711.8</v>
      </c>
      <c r="E207" s="30">
        <v>23883.599999999999</v>
      </c>
      <c r="F207" s="30">
        <v>346</v>
      </c>
      <c r="G207" s="42">
        <v>31631.399999999994</v>
      </c>
      <c r="H207" s="30">
        <v>6514.5</v>
      </c>
      <c r="I207" s="30">
        <f t="shared" si="53"/>
        <v>81440.599999999991</v>
      </c>
      <c r="L207" s="53"/>
      <c r="M207" s="54"/>
      <c r="N207" s="53"/>
      <c r="O207" s="51"/>
    </row>
    <row r="208" spans="1:15" hidden="1" x14ac:dyDescent="0.2">
      <c r="A208" s="28" t="s">
        <v>173</v>
      </c>
      <c r="B208" s="30">
        <v>2371.7999999999997</v>
      </c>
      <c r="C208" s="23" t="s">
        <v>35</v>
      </c>
      <c r="D208" s="30">
        <v>16737.599999999999</v>
      </c>
      <c r="E208" s="30">
        <v>24442.6</v>
      </c>
      <c r="F208" s="30">
        <v>346</v>
      </c>
      <c r="G208" s="42">
        <v>32115.8</v>
      </c>
      <c r="H208" s="30">
        <v>6363.5</v>
      </c>
      <c r="I208" s="30">
        <f t="shared" si="53"/>
        <v>82377.3</v>
      </c>
      <c r="L208" s="53"/>
      <c r="M208" s="54"/>
      <c r="N208" s="53"/>
      <c r="O208" s="51"/>
    </row>
    <row r="209" spans="1:15" hidden="1" x14ac:dyDescent="0.2">
      <c r="A209" s="28" t="s">
        <v>174</v>
      </c>
      <c r="B209" s="30">
        <v>2430.7999999999997</v>
      </c>
      <c r="C209" s="23" t="s">
        <v>35</v>
      </c>
      <c r="D209" s="30">
        <v>17595.400000000001</v>
      </c>
      <c r="E209" s="30">
        <v>24760.100000000002</v>
      </c>
      <c r="F209" s="30">
        <v>331.2</v>
      </c>
      <c r="G209" s="42">
        <v>32945.599999999999</v>
      </c>
      <c r="H209" s="30">
        <v>5045.5</v>
      </c>
      <c r="I209" s="30">
        <f t="shared" si="53"/>
        <v>83108.600000000006</v>
      </c>
      <c r="L209" s="53"/>
      <c r="M209" s="54"/>
      <c r="N209" s="53"/>
      <c r="O209" s="51"/>
    </row>
    <row r="210" spans="1:15" hidden="1" x14ac:dyDescent="0.2">
      <c r="A210" s="45"/>
      <c r="B210" s="46"/>
      <c r="C210" s="23" t="s">
        <v>35</v>
      </c>
      <c r="D210" s="46"/>
      <c r="E210" s="46"/>
      <c r="F210" s="46"/>
      <c r="G210" s="47"/>
      <c r="H210" s="46"/>
      <c r="I210" s="46"/>
      <c r="L210" s="53"/>
      <c r="M210" s="54"/>
      <c r="N210" s="53"/>
      <c r="O210" s="51"/>
    </row>
    <row r="211" spans="1:15" hidden="1" x14ac:dyDescent="0.2">
      <c r="A211" s="28" t="s">
        <v>162</v>
      </c>
      <c r="B211" s="30">
        <v>2458.5</v>
      </c>
      <c r="C211" s="23" t="s">
        <v>35</v>
      </c>
      <c r="D211" s="30">
        <v>17682.2</v>
      </c>
      <c r="E211" s="30">
        <v>25983.300000000003</v>
      </c>
      <c r="F211" s="30">
        <v>331.2</v>
      </c>
      <c r="G211" s="42">
        <v>33201.1</v>
      </c>
      <c r="H211" s="30">
        <v>4057.7</v>
      </c>
      <c r="I211" s="30">
        <f t="shared" si="53"/>
        <v>83713.999999999985</v>
      </c>
      <c r="L211" s="53"/>
      <c r="M211" s="54"/>
      <c r="N211" s="53"/>
      <c r="O211" s="51"/>
    </row>
    <row r="212" spans="1:15" hidden="1" x14ac:dyDescent="0.2">
      <c r="A212" s="28" t="s">
        <v>178</v>
      </c>
      <c r="B212" s="30">
        <v>4553.8</v>
      </c>
      <c r="C212" s="23" t="s">
        <v>35</v>
      </c>
      <c r="D212" s="30">
        <v>17678.7</v>
      </c>
      <c r="E212" s="30">
        <v>25707</v>
      </c>
      <c r="F212" s="30">
        <v>331.2</v>
      </c>
      <c r="G212" s="27">
        <v>33606.1</v>
      </c>
      <c r="H212" s="30">
        <v>3701.7</v>
      </c>
      <c r="I212" s="30">
        <f t="shared" ref="I212" si="54">SUM(B212:H212)</f>
        <v>85578.499999999985</v>
      </c>
      <c r="L212" s="53"/>
      <c r="M212" s="54"/>
      <c r="N212" s="53"/>
      <c r="O212" s="51"/>
    </row>
    <row r="213" spans="1:15" hidden="1" x14ac:dyDescent="0.2">
      <c r="A213" s="28" t="s">
        <v>154</v>
      </c>
      <c r="B213" s="30">
        <v>4553.8</v>
      </c>
      <c r="C213" s="23" t="s">
        <v>35</v>
      </c>
      <c r="D213" s="30">
        <v>17678.7</v>
      </c>
      <c r="E213" s="30">
        <v>25576.400000000005</v>
      </c>
      <c r="F213" s="30">
        <v>331.2</v>
      </c>
      <c r="G213" s="27">
        <v>32920</v>
      </c>
      <c r="H213" s="30">
        <v>4695</v>
      </c>
      <c r="I213" s="30">
        <f t="shared" ref="I213" si="55">SUM(B213:H213)</f>
        <v>85755.1</v>
      </c>
      <c r="L213" s="53"/>
      <c r="M213" s="54"/>
      <c r="N213" s="53"/>
      <c r="O213" s="51"/>
    </row>
    <row r="214" spans="1:15" hidden="1" x14ac:dyDescent="0.2">
      <c r="A214" s="45" t="s">
        <v>180</v>
      </c>
      <c r="B214" s="30">
        <v>4551.8</v>
      </c>
      <c r="C214" s="4">
        <v>300</v>
      </c>
      <c r="D214" s="30">
        <v>18344.8</v>
      </c>
      <c r="E214" s="30">
        <v>26136.7</v>
      </c>
      <c r="F214" s="30">
        <v>331.2</v>
      </c>
      <c r="G214" s="27">
        <v>33200.6</v>
      </c>
      <c r="H214" s="30">
        <v>4836.1000000000004</v>
      </c>
      <c r="I214" s="30">
        <f t="shared" ref="I214" si="56">SUM(B214:H214)</f>
        <v>87701.200000000012</v>
      </c>
      <c r="L214" s="53"/>
      <c r="M214" s="54"/>
      <c r="N214" s="53"/>
      <c r="O214" s="51"/>
    </row>
    <row r="215" spans="1:15" hidden="1" x14ac:dyDescent="0.2">
      <c r="A215" s="45" t="s">
        <v>181</v>
      </c>
      <c r="B215" s="30">
        <v>4562.2000000000007</v>
      </c>
      <c r="C215" s="23" t="s">
        <v>35</v>
      </c>
      <c r="D215" s="30">
        <v>18351.599999999999</v>
      </c>
      <c r="E215" s="30">
        <v>27293.599999999999</v>
      </c>
      <c r="F215" s="30">
        <v>331.2</v>
      </c>
      <c r="G215" s="27">
        <v>33543.699999999997</v>
      </c>
      <c r="H215" s="30">
        <v>4747.3</v>
      </c>
      <c r="I215" s="30">
        <f t="shared" ref="I215" si="57">SUM(B215:H215)</f>
        <v>88829.599999999991</v>
      </c>
      <c r="L215" s="53"/>
      <c r="M215" s="54"/>
      <c r="N215" s="53"/>
      <c r="O215" s="51"/>
    </row>
    <row r="216" spans="1:15" hidden="1" x14ac:dyDescent="0.2">
      <c r="A216" s="28" t="s">
        <v>182</v>
      </c>
      <c r="B216" s="30">
        <v>4562.2000000000007</v>
      </c>
      <c r="C216" s="23" t="s">
        <v>35</v>
      </c>
      <c r="D216" s="30">
        <v>18384.599999999999</v>
      </c>
      <c r="E216" s="30">
        <v>28649.899999999998</v>
      </c>
      <c r="F216" s="30">
        <v>331.2</v>
      </c>
      <c r="G216" s="27">
        <v>33987.699999999997</v>
      </c>
      <c r="H216" s="30">
        <v>5140.7999999999993</v>
      </c>
      <c r="I216" s="30">
        <f t="shared" ref="I216" si="58">SUM(B216:H216)</f>
        <v>91056.4</v>
      </c>
      <c r="L216" s="53"/>
      <c r="M216" s="54"/>
      <c r="N216" s="53"/>
      <c r="O216" s="51"/>
    </row>
    <row r="217" spans="1:15" hidden="1" x14ac:dyDescent="0.2">
      <c r="A217" s="45" t="s">
        <v>194</v>
      </c>
      <c r="B217" s="30">
        <v>4559.6000000000004</v>
      </c>
      <c r="C217" s="23" t="s">
        <v>35</v>
      </c>
      <c r="D217" s="30">
        <v>18358.3</v>
      </c>
      <c r="E217" s="30">
        <v>29303.399999999998</v>
      </c>
      <c r="F217" s="30">
        <v>331.2</v>
      </c>
      <c r="G217" s="27">
        <v>34788.6</v>
      </c>
      <c r="H217" s="30">
        <v>5152.8999999999996</v>
      </c>
      <c r="I217" s="30">
        <f t="shared" ref="I217" si="59">SUM(B217:H217)</f>
        <v>92494</v>
      </c>
      <c r="L217" s="53"/>
      <c r="M217" s="54"/>
      <c r="N217" s="53"/>
      <c r="O217" s="51"/>
    </row>
    <row r="218" spans="1:15" hidden="1" x14ac:dyDescent="0.2">
      <c r="A218" s="28" t="s">
        <v>185</v>
      </c>
      <c r="B218" s="30">
        <v>4444.8</v>
      </c>
      <c r="C218" s="23" t="s">
        <v>35</v>
      </c>
      <c r="D218" s="30">
        <v>18358.3</v>
      </c>
      <c r="E218" s="30">
        <v>30183.400000000009</v>
      </c>
      <c r="F218" s="30">
        <v>331.2</v>
      </c>
      <c r="G218" s="27">
        <v>35238.6</v>
      </c>
      <c r="H218" s="30">
        <v>5483.5</v>
      </c>
      <c r="I218" s="30">
        <f t="shared" ref="I218" si="60">SUM(B218:H218)</f>
        <v>94039.8</v>
      </c>
      <c r="L218" s="53"/>
      <c r="M218" s="54"/>
      <c r="N218" s="53"/>
      <c r="O218" s="51"/>
    </row>
    <row r="219" spans="1:15" hidden="1" x14ac:dyDescent="0.2">
      <c r="A219" s="28" t="s">
        <v>186</v>
      </c>
      <c r="B219" s="30">
        <v>4444.8</v>
      </c>
      <c r="C219" s="23" t="s">
        <v>35</v>
      </c>
      <c r="D219" s="30">
        <v>18608.3</v>
      </c>
      <c r="E219" s="30">
        <v>31166.500000000004</v>
      </c>
      <c r="F219" s="30">
        <v>331.2</v>
      </c>
      <c r="G219" s="27">
        <v>35701</v>
      </c>
      <c r="H219" s="30">
        <v>5694.7000000000007</v>
      </c>
      <c r="I219" s="30">
        <f t="shared" ref="I219" si="61">SUM(B219:H219)</f>
        <v>95946.5</v>
      </c>
      <c r="L219" s="53"/>
      <c r="M219" s="54"/>
      <c r="N219" s="53"/>
      <c r="O219" s="51"/>
    </row>
    <row r="220" spans="1:15" hidden="1" x14ac:dyDescent="0.2">
      <c r="A220" s="28" t="s">
        <v>187</v>
      </c>
      <c r="B220" s="30">
        <v>5344.8</v>
      </c>
      <c r="C220" s="4">
        <v>500</v>
      </c>
      <c r="D220" s="30">
        <v>18459.599999999999</v>
      </c>
      <c r="E220" s="30">
        <v>30961.5</v>
      </c>
      <c r="F220" s="30">
        <v>331.2</v>
      </c>
      <c r="G220" s="27">
        <v>36220.300000000003</v>
      </c>
      <c r="H220" s="30">
        <v>5850.1</v>
      </c>
      <c r="I220" s="30">
        <f t="shared" ref="I220" si="62">SUM(B220:H220)</f>
        <v>97667.5</v>
      </c>
      <c r="L220" s="53"/>
      <c r="M220" s="54"/>
      <c r="N220" s="53"/>
      <c r="O220" s="51"/>
    </row>
    <row r="221" spans="1:15" hidden="1" x14ac:dyDescent="0.2">
      <c r="A221" s="28" t="s">
        <v>188</v>
      </c>
      <c r="B221" s="30">
        <v>5710.8</v>
      </c>
      <c r="C221" s="4">
        <v>1000</v>
      </c>
      <c r="D221" s="30">
        <v>18309.599999999999</v>
      </c>
      <c r="E221" s="30">
        <v>31654.800000000003</v>
      </c>
      <c r="F221" s="30">
        <v>331.2</v>
      </c>
      <c r="G221" s="27">
        <v>36911.699999999997</v>
      </c>
      <c r="H221" s="30">
        <v>6085.2999999999993</v>
      </c>
      <c r="I221" s="30">
        <f t="shared" ref="I221" si="63">SUM(B221:H221)</f>
        <v>100003.4</v>
      </c>
      <c r="L221" s="53"/>
      <c r="M221" s="54"/>
      <c r="N221" s="53"/>
      <c r="O221" s="51"/>
    </row>
    <row r="222" spans="1:15" hidden="1" x14ac:dyDescent="0.2">
      <c r="A222" s="28" t="s">
        <v>189</v>
      </c>
      <c r="B222" s="30">
        <v>5732.2000000000007</v>
      </c>
      <c r="C222" s="4">
        <v>500</v>
      </c>
      <c r="D222" s="30">
        <v>18489.400000000001</v>
      </c>
      <c r="E222" s="30">
        <v>32440.199999999997</v>
      </c>
      <c r="F222" s="30">
        <v>331.2</v>
      </c>
      <c r="G222" s="27">
        <v>38242.199999999997</v>
      </c>
      <c r="H222" s="30">
        <v>6197.7999999999993</v>
      </c>
      <c r="I222" s="30">
        <f t="shared" ref="I222" si="64">SUM(B222:H222)</f>
        <v>101933</v>
      </c>
      <c r="L222" s="53"/>
      <c r="M222" s="54"/>
      <c r="N222" s="53"/>
      <c r="O222" s="51"/>
    </row>
    <row r="223" spans="1:15" hidden="1" x14ac:dyDescent="0.2">
      <c r="A223" s="45"/>
      <c r="B223" s="46"/>
      <c r="C223" s="4"/>
      <c r="D223" s="46"/>
      <c r="E223" s="46"/>
      <c r="F223" s="46"/>
      <c r="H223" s="46"/>
      <c r="I223" s="46"/>
      <c r="L223" s="53"/>
      <c r="M223" s="54"/>
      <c r="N223" s="53"/>
      <c r="O223" s="51"/>
    </row>
    <row r="224" spans="1:15" hidden="1" x14ac:dyDescent="0.2">
      <c r="A224" s="28" t="s">
        <v>165</v>
      </c>
      <c r="B224" s="30">
        <v>5802</v>
      </c>
      <c r="C224" s="4">
        <v>500</v>
      </c>
      <c r="D224" s="30">
        <v>18416.3</v>
      </c>
      <c r="E224" s="30">
        <v>33815</v>
      </c>
      <c r="F224" s="30">
        <v>331.2</v>
      </c>
      <c r="G224" s="27">
        <v>38828.699999999997</v>
      </c>
      <c r="H224" s="30">
        <v>4807.8</v>
      </c>
      <c r="I224" s="30">
        <f t="shared" ref="I224" si="65">SUM(B224:H224)</f>
        <v>102501</v>
      </c>
      <c r="L224" s="53"/>
      <c r="M224" s="54"/>
      <c r="N224" s="53"/>
      <c r="O224" s="51"/>
    </row>
    <row r="225" spans="1:15" hidden="1" x14ac:dyDescent="0.2">
      <c r="A225" s="28" t="s">
        <v>193</v>
      </c>
      <c r="B225" s="30">
        <v>5802</v>
      </c>
      <c r="C225" s="4">
        <v>500</v>
      </c>
      <c r="D225" s="30">
        <v>18266.3</v>
      </c>
      <c r="E225" s="30">
        <v>33115.199999999997</v>
      </c>
      <c r="F225" s="30">
        <v>331.2</v>
      </c>
      <c r="G225" s="27">
        <v>39289.800000000003</v>
      </c>
      <c r="H225" s="30">
        <v>4805</v>
      </c>
      <c r="I225" s="30">
        <f t="shared" ref="I225" si="66">SUM(B225:H225)</f>
        <v>102109.5</v>
      </c>
      <c r="L225" s="53"/>
      <c r="M225" s="54"/>
      <c r="N225" s="53"/>
      <c r="O225" s="51"/>
    </row>
    <row r="226" spans="1:15" hidden="1" x14ac:dyDescent="0.2">
      <c r="A226" s="28" t="s">
        <v>155</v>
      </c>
      <c r="B226" s="30">
        <v>5302</v>
      </c>
      <c r="C226" s="4">
        <v>500</v>
      </c>
      <c r="D226" s="30">
        <v>18108.099999999999</v>
      </c>
      <c r="E226" s="30">
        <v>33868.5</v>
      </c>
      <c r="F226" s="30">
        <v>331.2</v>
      </c>
      <c r="G226" s="27">
        <v>39073.199999999997</v>
      </c>
      <c r="H226" s="30">
        <v>5705.9</v>
      </c>
      <c r="I226" s="30">
        <f t="shared" ref="I226" si="67">SUM(B226:H226)</f>
        <v>102888.9</v>
      </c>
      <c r="L226" s="53"/>
      <c r="M226" s="54"/>
      <c r="N226" s="53"/>
      <c r="O226" s="51"/>
    </row>
    <row r="227" spans="1:15" x14ac:dyDescent="0.2">
      <c r="A227" s="28" t="s">
        <v>201</v>
      </c>
      <c r="B227" s="30">
        <v>5446.4</v>
      </c>
      <c r="C227" s="23" t="s">
        <v>35</v>
      </c>
      <c r="D227" s="30">
        <v>16173.099999999999</v>
      </c>
      <c r="E227" s="30">
        <v>36719.1</v>
      </c>
      <c r="F227" s="30">
        <v>331.2</v>
      </c>
      <c r="G227" s="27">
        <v>41363.399999999994</v>
      </c>
      <c r="H227" s="30">
        <v>5645.5</v>
      </c>
      <c r="I227" s="30">
        <f t="shared" ref="I227" si="68">SUM(B227:H227)</f>
        <v>105678.69999999998</v>
      </c>
      <c r="L227" s="53"/>
      <c r="M227" s="54"/>
      <c r="N227" s="53"/>
      <c r="O227" s="51"/>
    </row>
    <row r="228" spans="1:15" x14ac:dyDescent="0.2">
      <c r="A228" s="28" t="s">
        <v>157</v>
      </c>
      <c r="B228" s="30">
        <v>5528.1</v>
      </c>
      <c r="C228" s="23" t="s">
        <v>35</v>
      </c>
      <c r="D228" s="30">
        <v>16023.099999999999</v>
      </c>
      <c r="E228" s="30">
        <v>36777.299999999996</v>
      </c>
      <c r="F228" s="30">
        <v>331.2</v>
      </c>
      <c r="G228" s="27">
        <v>41558.499999999993</v>
      </c>
      <c r="H228" s="30">
        <v>6302.9</v>
      </c>
      <c r="I228" s="30">
        <f t="shared" ref="I228" si="69">SUM(B228:H228)</f>
        <v>106521.09999999998</v>
      </c>
      <c r="L228" s="53"/>
      <c r="M228" s="54"/>
      <c r="N228" s="53"/>
      <c r="O228" s="51"/>
    </row>
    <row r="229" spans="1:15" x14ac:dyDescent="0.2">
      <c r="A229" s="28" t="s">
        <v>150</v>
      </c>
      <c r="B229" s="30">
        <v>5446.4</v>
      </c>
      <c r="C229" s="23" t="s">
        <v>35</v>
      </c>
      <c r="D229" s="30">
        <v>15873.099999999999</v>
      </c>
      <c r="E229" s="30">
        <v>36962.1</v>
      </c>
      <c r="F229" s="30">
        <v>331.2</v>
      </c>
      <c r="G229" s="27">
        <v>41815</v>
      </c>
      <c r="H229" s="30">
        <v>6828.5</v>
      </c>
      <c r="I229" s="30">
        <f t="shared" ref="I229" si="70">SUM(B229:H229)</f>
        <v>107256.29999999999</v>
      </c>
      <c r="L229" s="53"/>
      <c r="M229" s="54"/>
      <c r="N229" s="53"/>
      <c r="O229" s="51"/>
    </row>
    <row r="230" spans="1:15" x14ac:dyDescent="0.2">
      <c r="A230" s="28" t="s">
        <v>158</v>
      </c>
      <c r="B230" s="30">
        <v>5446.4</v>
      </c>
      <c r="C230" s="23" t="s">
        <v>35</v>
      </c>
      <c r="D230" s="30">
        <v>15873.099999999999</v>
      </c>
      <c r="E230" s="30">
        <v>37468.500000000007</v>
      </c>
      <c r="F230" s="30">
        <v>331.2</v>
      </c>
      <c r="G230" s="27">
        <v>42316.100000000006</v>
      </c>
      <c r="H230" s="30">
        <v>7434</v>
      </c>
      <c r="I230" s="30">
        <f t="shared" ref="I230" si="71">SUM(B230:H230)</f>
        <v>108869.30000000002</v>
      </c>
      <c r="L230" s="53"/>
      <c r="M230" s="54"/>
      <c r="N230" s="53"/>
      <c r="O230" s="51"/>
    </row>
    <row r="231" spans="1:15" x14ac:dyDescent="0.2">
      <c r="A231" s="28" t="s">
        <v>159</v>
      </c>
      <c r="B231" s="30">
        <v>5446.4</v>
      </c>
      <c r="C231" s="23" t="s">
        <v>35</v>
      </c>
      <c r="D231" s="30">
        <v>16073.099999999999</v>
      </c>
      <c r="E231" s="30">
        <v>37971.700000000004</v>
      </c>
      <c r="F231" s="30">
        <v>331.2</v>
      </c>
      <c r="G231" s="27">
        <v>44212.100000000006</v>
      </c>
      <c r="H231" s="30">
        <v>7534.6</v>
      </c>
      <c r="I231" s="30">
        <f t="shared" ref="I231" si="72">SUM(B231:H231)</f>
        <v>111569.1</v>
      </c>
      <c r="L231" s="53"/>
      <c r="M231" s="54"/>
      <c r="N231" s="53"/>
      <c r="O231" s="51"/>
    </row>
    <row r="232" spans="1:15" x14ac:dyDescent="0.2">
      <c r="A232" s="28" t="s">
        <v>151</v>
      </c>
      <c r="B232" s="30">
        <v>5446.4</v>
      </c>
      <c r="C232" s="23" t="s">
        <v>35</v>
      </c>
      <c r="D232" s="30">
        <v>16259.899999999998</v>
      </c>
      <c r="E232" s="30">
        <v>37483.800000000003</v>
      </c>
      <c r="F232" s="30">
        <v>331.2</v>
      </c>
      <c r="G232" s="27">
        <v>44840.4</v>
      </c>
      <c r="H232" s="30">
        <v>8187.4</v>
      </c>
      <c r="I232" s="30">
        <f t="shared" ref="I232" si="73">SUM(B232:H232)</f>
        <v>112549.09999999999</v>
      </c>
      <c r="L232" s="53"/>
      <c r="M232" s="54"/>
      <c r="N232" s="53"/>
      <c r="O232" s="51"/>
    </row>
    <row r="233" spans="1:15" x14ac:dyDescent="0.2">
      <c r="A233" s="28" t="s">
        <v>160</v>
      </c>
      <c r="B233" s="30">
        <v>5446.4</v>
      </c>
      <c r="C233" s="23" t="s">
        <v>35</v>
      </c>
      <c r="D233" s="30">
        <v>16035.599999999999</v>
      </c>
      <c r="E233" s="30">
        <v>37400.80000000001</v>
      </c>
      <c r="F233" s="30">
        <v>331.2</v>
      </c>
      <c r="G233" s="27">
        <v>45275</v>
      </c>
      <c r="H233" s="30">
        <v>9002.2999999999993</v>
      </c>
      <c r="I233" s="30">
        <f t="shared" ref="I233" si="74">SUM(B233:H233)</f>
        <v>113491.3</v>
      </c>
      <c r="L233" s="53"/>
      <c r="M233" s="54"/>
      <c r="N233" s="53"/>
      <c r="O233" s="51"/>
    </row>
    <row r="234" spans="1:15" x14ac:dyDescent="0.2">
      <c r="A234" s="28" t="s">
        <v>57</v>
      </c>
      <c r="B234" s="30">
        <v>4651.6000000000004</v>
      </c>
      <c r="C234" s="23" t="s">
        <v>35</v>
      </c>
      <c r="D234" s="30">
        <v>7910.3</v>
      </c>
      <c r="E234" s="30">
        <v>50423.7</v>
      </c>
      <c r="F234" s="30">
        <v>331.2</v>
      </c>
      <c r="G234" s="27">
        <v>49612.5</v>
      </c>
      <c r="H234" s="30">
        <v>4403.1000000000004</v>
      </c>
      <c r="I234" s="30">
        <f t="shared" ref="I234" si="75">SUM(B234:H234)</f>
        <v>117332.4</v>
      </c>
      <c r="L234" s="53"/>
      <c r="M234" s="54"/>
      <c r="N234" s="53"/>
      <c r="O234" s="51"/>
    </row>
    <row r="235" spans="1:15" x14ac:dyDescent="0.2">
      <c r="A235" s="28" t="s">
        <v>152</v>
      </c>
      <c r="B235" s="30">
        <v>4680.2</v>
      </c>
      <c r="C235" s="23" t="s">
        <v>35</v>
      </c>
      <c r="D235" s="30">
        <v>12527.599999999999</v>
      </c>
      <c r="E235" s="30">
        <v>48125.500000000015</v>
      </c>
      <c r="F235" s="30">
        <v>331.2</v>
      </c>
      <c r="G235" s="27">
        <v>50193.3</v>
      </c>
      <c r="H235" s="30">
        <v>3604.2</v>
      </c>
      <c r="I235" s="30">
        <f t="shared" ref="I235" si="76">SUM(B235:H235)</f>
        <v>119462.00000000001</v>
      </c>
      <c r="L235" s="53"/>
      <c r="M235" s="54"/>
      <c r="N235" s="53"/>
      <c r="O235" s="51"/>
    </row>
    <row r="236" spans="1:15" x14ac:dyDescent="0.2">
      <c r="A236" s="45"/>
      <c r="B236" s="46"/>
      <c r="C236" s="4"/>
      <c r="D236" s="46"/>
      <c r="E236" s="46"/>
      <c r="F236" s="46"/>
      <c r="H236" s="46"/>
      <c r="I236" s="46"/>
      <c r="L236" s="53"/>
      <c r="M236" s="54"/>
      <c r="N236" s="53"/>
      <c r="O236" s="51"/>
    </row>
    <row r="237" spans="1:15" x14ac:dyDescent="0.2">
      <c r="A237" s="28" t="s">
        <v>176</v>
      </c>
      <c r="B237" s="30">
        <v>4212.5999999999995</v>
      </c>
      <c r="C237" s="23" t="s">
        <v>35</v>
      </c>
      <c r="D237" s="30">
        <v>12555</v>
      </c>
      <c r="E237" s="30">
        <v>47784.800000000003</v>
      </c>
      <c r="F237" s="30">
        <v>331.2</v>
      </c>
      <c r="G237" s="27">
        <v>51968.800000000003</v>
      </c>
      <c r="H237" s="30">
        <v>3233.1</v>
      </c>
      <c r="I237" s="30">
        <f t="shared" ref="I237" si="77">SUM(B237:H237)</f>
        <v>120085.5</v>
      </c>
      <c r="L237" s="53"/>
      <c r="M237" s="54"/>
      <c r="N237" s="53"/>
      <c r="O237" s="51"/>
    </row>
    <row r="238" spans="1:15" x14ac:dyDescent="0.2">
      <c r="A238" s="28" t="s">
        <v>163</v>
      </c>
      <c r="B238" s="30">
        <v>4178.6000000000004</v>
      </c>
      <c r="C238" s="23" t="s">
        <v>35</v>
      </c>
      <c r="D238" s="30">
        <v>12619.5</v>
      </c>
      <c r="E238" s="30">
        <v>49361.100000000006</v>
      </c>
      <c r="F238" s="30">
        <v>331.2</v>
      </c>
      <c r="G238" s="27">
        <v>53159.199999999997</v>
      </c>
      <c r="H238" s="30">
        <v>3893.4</v>
      </c>
      <c r="I238" s="30">
        <f>SUM(B238:H238)</f>
        <v>123543</v>
      </c>
      <c r="L238" s="53"/>
      <c r="M238" s="54"/>
      <c r="N238" s="53"/>
      <c r="O238" s="51"/>
    </row>
    <row r="239" spans="1:15" x14ac:dyDescent="0.2">
      <c r="A239" s="28" t="s">
        <v>164</v>
      </c>
      <c r="B239" s="30">
        <v>4205.0999999999995</v>
      </c>
      <c r="C239" s="23" t="s">
        <v>35</v>
      </c>
      <c r="D239" s="30">
        <v>12645.4</v>
      </c>
      <c r="E239" s="30">
        <v>51896.3</v>
      </c>
      <c r="F239" s="30">
        <v>331.2</v>
      </c>
      <c r="G239" s="27">
        <v>52851.3</v>
      </c>
      <c r="H239" s="30">
        <v>4941.8</v>
      </c>
      <c r="I239" s="30">
        <f t="shared" ref="I239:I240" si="78">SUM(B239:H239)</f>
        <v>126871.1</v>
      </c>
      <c r="L239" s="53"/>
      <c r="M239" s="54"/>
      <c r="N239" s="53"/>
      <c r="O239" s="51"/>
    </row>
    <row r="240" spans="1:15" x14ac:dyDescent="0.2">
      <c r="A240" s="45" t="s">
        <v>156</v>
      </c>
      <c r="B240" s="46">
        <v>4230.9000000000005</v>
      </c>
      <c r="C240" s="23" t="s">
        <v>35</v>
      </c>
      <c r="D240" s="46">
        <v>12694.8</v>
      </c>
      <c r="E240" s="46">
        <v>51979.80000000001</v>
      </c>
      <c r="F240" s="46">
        <v>331.2</v>
      </c>
      <c r="G240" s="27">
        <v>53775</v>
      </c>
      <c r="H240" s="46">
        <v>4560.2999999999993</v>
      </c>
      <c r="I240" s="46">
        <f t="shared" si="78"/>
        <v>127572.00000000001</v>
      </c>
      <c r="L240" s="53"/>
      <c r="M240" s="54"/>
      <c r="N240" s="53"/>
      <c r="O240" s="51"/>
    </row>
    <row r="241" spans="1:15" x14ac:dyDescent="0.2">
      <c r="A241" s="45" t="s">
        <v>157</v>
      </c>
      <c r="B241" s="46">
        <v>3803.8</v>
      </c>
      <c r="C241" s="23" t="s">
        <v>35</v>
      </c>
      <c r="D241" s="46">
        <v>12057.2</v>
      </c>
      <c r="E241" s="46">
        <v>52759.6</v>
      </c>
      <c r="F241" s="46">
        <v>331.2</v>
      </c>
      <c r="G241" s="27">
        <v>54735.7</v>
      </c>
      <c r="H241" s="46">
        <v>4598.5999999999995</v>
      </c>
      <c r="I241" s="46">
        <f t="shared" ref="I241:I248" si="79">SUM(B241:H241)</f>
        <v>128286.1</v>
      </c>
      <c r="L241" s="53"/>
      <c r="M241" s="54"/>
      <c r="N241" s="53"/>
      <c r="O241" s="51"/>
    </row>
    <row r="242" spans="1:15" x14ac:dyDescent="0.2">
      <c r="A242" s="45" t="s">
        <v>150</v>
      </c>
      <c r="B242" s="46">
        <v>3879.1</v>
      </c>
      <c r="C242" s="4">
        <v>301.60000000000014</v>
      </c>
      <c r="D242" s="46">
        <v>11194.099999999999</v>
      </c>
      <c r="E242" s="46">
        <v>52988.900000000009</v>
      </c>
      <c r="F242" s="46">
        <v>331.2</v>
      </c>
      <c r="G242" s="27">
        <v>54935.299999999996</v>
      </c>
      <c r="H242" s="46">
        <v>3999.6</v>
      </c>
      <c r="I242" s="46">
        <f t="shared" si="79"/>
        <v>127629.80000000002</v>
      </c>
      <c r="L242" s="53"/>
      <c r="M242" s="54"/>
      <c r="N242" s="53"/>
      <c r="O242" s="51"/>
    </row>
    <row r="243" spans="1:15" x14ac:dyDescent="0.2">
      <c r="A243" s="45" t="s">
        <v>158</v>
      </c>
      <c r="B243" s="46">
        <v>3905.7999999999997</v>
      </c>
      <c r="C243" s="4">
        <v>304.19999999999982</v>
      </c>
      <c r="D243" s="46">
        <v>26244.699999999997</v>
      </c>
      <c r="E243" s="46">
        <v>40024.800000000003</v>
      </c>
      <c r="F243" s="46">
        <v>331.2</v>
      </c>
      <c r="G243" s="27">
        <v>55424.7</v>
      </c>
      <c r="H243" s="46">
        <v>4244.2000000000007</v>
      </c>
      <c r="I243" s="46">
        <f t="shared" si="79"/>
        <v>130479.59999999999</v>
      </c>
      <c r="L243" s="53"/>
      <c r="M243" s="54"/>
      <c r="N243" s="53"/>
      <c r="O243" s="51"/>
    </row>
    <row r="244" spans="1:15" x14ac:dyDescent="0.2">
      <c r="A244" s="45" t="s">
        <v>159</v>
      </c>
      <c r="B244" s="46">
        <v>3884.5</v>
      </c>
      <c r="C244" s="4">
        <v>306.79999999999995</v>
      </c>
      <c r="D244" s="46">
        <v>26275.300000000003</v>
      </c>
      <c r="E244" s="46">
        <v>40470.6</v>
      </c>
      <c r="F244" s="46">
        <v>331.2</v>
      </c>
      <c r="G244" s="27">
        <v>56754.9</v>
      </c>
      <c r="H244" s="46">
        <v>4813.9000000000005</v>
      </c>
      <c r="I244" s="46">
        <f t="shared" si="79"/>
        <v>132837.19999999998</v>
      </c>
      <c r="L244" s="53"/>
      <c r="M244" s="54"/>
      <c r="N244" s="53"/>
      <c r="O244" s="51"/>
    </row>
    <row r="245" spans="1:15" x14ac:dyDescent="0.2">
      <c r="A245" s="45" t="s">
        <v>151</v>
      </c>
      <c r="B245" s="46">
        <v>3910.7</v>
      </c>
      <c r="C245" s="4">
        <v>301.60000000000014</v>
      </c>
      <c r="D245" s="46">
        <v>27794.5</v>
      </c>
      <c r="E245" s="46">
        <v>31767.499999999996</v>
      </c>
      <c r="F245" s="46">
        <v>331.2</v>
      </c>
      <c r="G245" s="27">
        <v>57445.9</v>
      </c>
      <c r="H245" s="46">
        <v>12712.3</v>
      </c>
      <c r="I245" s="46">
        <f t="shared" si="79"/>
        <v>134263.69999999998</v>
      </c>
      <c r="L245" s="53"/>
      <c r="M245" s="54"/>
      <c r="N245" s="53"/>
      <c r="O245" s="51"/>
    </row>
    <row r="246" spans="1:15" x14ac:dyDescent="0.2">
      <c r="A246" s="45" t="s">
        <v>160</v>
      </c>
      <c r="B246" s="46">
        <v>5166.7</v>
      </c>
      <c r="C246" s="4">
        <v>304.20000000000005</v>
      </c>
      <c r="D246" s="46">
        <v>14372.3</v>
      </c>
      <c r="E246" s="46">
        <v>44808.5</v>
      </c>
      <c r="F246" s="46">
        <v>331.2</v>
      </c>
      <c r="G246" s="27">
        <v>58328.7</v>
      </c>
      <c r="H246" s="46">
        <v>12536.3</v>
      </c>
      <c r="I246" s="46">
        <f t="shared" si="79"/>
        <v>135847.9</v>
      </c>
      <c r="L246" s="53"/>
      <c r="M246" s="54"/>
      <c r="N246" s="53"/>
      <c r="O246" s="51"/>
    </row>
    <row r="247" spans="1:15" x14ac:dyDescent="0.2">
      <c r="A247" s="45" t="s">
        <v>57</v>
      </c>
      <c r="B247" s="46">
        <v>5143.1000000000004</v>
      </c>
      <c r="C247" s="4">
        <v>306.69999999999982</v>
      </c>
      <c r="D247" s="46">
        <v>14442.300000000001</v>
      </c>
      <c r="E247" s="46">
        <v>45407.5</v>
      </c>
      <c r="F247" s="46">
        <v>331.2</v>
      </c>
      <c r="G247" s="27">
        <v>59155.5</v>
      </c>
      <c r="H247" s="46">
        <v>12467.9</v>
      </c>
      <c r="I247" s="46">
        <f t="shared" si="79"/>
        <v>137254.20000000001</v>
      </c>
      <c r="L247" s="53"/>
      <c r="M247" s="54"/>
      <c r="N247" s="53"/>
      <c r="O247" s="51"/>
    </row>
    <row r="248" spans="1:15" x14ac:dyDescent="0.2">
      <c r="A248" s="45" t="s">
        <v>152</v>
      </c>
      <c r="B248" s="46">
        <v>5477.9</v>
      </c>
      <c r="C248" s="4">
        <v>301.79999999999995</v>
      </c>
      <c r="D248" s="46">
        <v>13744.4</v>
      </c>
      <c r="E248" s="46">
        <v>45799.7</v>
      </c>
      <c r="F248" s="46">
        <v>331.2</v>
      </c>
      <c r="G248" s="27">
        <v>59948.2</v>
      </c>
      <c r="H248" s="46">
        <v>12602.6</v>
      </c>
      <c r="I248" s="46">
        <f t="shared" si="79"/>
        <v>138205.79999999999</v>
      </c>
      <c r="L248" s="53"/>
      <c r="M248" s="54"/>
      <c r="N248" s="53"/>
      <c r="O248" s="51"/>
    </row>
    <row r="249" spans="1:15" x14ac:dyDescent="0.2">
      <c r="A249" s="45"/>
      <c r="B249" s="46"/>
      <c r="C249" s="4"/>
      <c r="D249" s="46"/>
      <c r="E249" s="46"/>
      <c r="F249" s="46"/>
      <c r="H249" s="46"/>
      <c r="I249" s="46"/>
      <c r="L249" s="53"/>
      <c r="M249" s="54"/>
      <c r="N249" s="53"/>
      <c r="O249" s="51"/>
    </row>
    <row r="250" spans="1:15" x14ac:dyDescent="0.2">
      <c r="A250" s="45" t="s">
        <v>192</v>
      </c>
      <c r="B250" s="46">
        <v>4223.5</v>
      </c>
      <c r="C250" s="4">
        <v>304.29999999999995</v>
      </c>
      <c r="D250" s="46">
        <v>15068.3</v>
      </c>
      <c r="E250" s="46">
        <v>46123.8</v>
      </c>
      <c r="F250" s="46">
        <v>331.2</v>
      </c>
      <c r="G250" s="27">
        <v>60512.800000000003</v>
      </c>
      <c r="H250" s="46">
        <v>12037.500000000002</v>
      </c>
      <c r="I250" s="46">
        <f t="shared" ref="I250" si="80">SUM(B250:H250)</f>
        <v>138601.4</v>
      </c>
      <c r="L250" s="53"/>
      <c r="M250" s="54"/>
      <c r="N250" s="53"/>
      <c r="O250" s="51"/>
    </row>
    <row r="251" spans="1:15" x14ac:dyDescent="0.2">
      <c r="A251" s="45" t="s">
        <v>163</v>
      </c>
      <c r="B251" s="46">
        <v>4201.3</v>
      </c>
      <c r="C251" s="4">
        <v>306.5</v>
      </c>
      <c r="D251" s="46">
        <v>14114.900000000001</v>
      </c>
      <c r="E251" s="46">
        <v>47038.099999999991</v>
      </c>
      <c r="F251" s="46">
        <v>331.2</v>
      </c>
      <c r="G251" s="27">
        <v>58549</v>
      </c>
      <c r="H251" s="46">
        <v>12056.900000000001</v>
      </c>
      <c r="I251" s="46">
        <f t="shared" ref="I251" si="81">SUM(B251:H251)</f>
        <v>136597.9</v>
      </c>
      <c r="L251" s="53"/>
      <c r="M251" s="54"/>
      <c r="N251" s="53"/>
      <c r="O251" s="51"/>
    </row>
    <row r="252" spans="1:15" x14ac:dyDescent="0.2">
      <c r="A252" s="45" t="s">
        <v>164</v>
      </c>
      <c r="B252" s="46">
        <v>4213.8</v>
      </c>
      <c r="C252" s="4">
        <v>301.7</v>
      </c>
      <c r="D252" s="46">
        <v>14102.3</v>
      </c>
      <c r="E252" s="46">
        <v>48881.9</v>
      </c>
      <c r="F252" s="46">
        <v>331.2</v>
      </c>
      <c r="G252" s="27">
        <v>57537.100000000006</v>
      </c>
      <c r="H252" s="46">
        <v>13233.6</v>
      </c>
      <c r="I252" s="46">
        <f>SUM(B252:H252)</f>
        <v>138601.60000000001</v>
      </c>
      <c r="L252" s="53"/>
      <c r="M252" s="54"/>
      <c r="N252" s="53"/>
      <c r="O252" s="51"/>
    </row>
    <row r="253" spans="1:15" x14ac:dyDescent="0.2">
      <c r="A253" s="45" t="s">
        <v>156</v>
      </c>
      <c r="B253" s="46">
        <f>1847.7+2383.4</f>
        <v>4231.1000000000004</v>
      </c>
      <c r="C253" s="4">
        <v>304.2</v>
      </c>
      <c r="D253" s="46">
        <f>10048.3+4770.5</f>
        <v>14818.8</v>
      </c>
      <c r="E253" s="46">
        <f>47954.1+1937.3</f>
        <v>49891.4</v>
      </c>
      <c r="F253" s="46">
        <v>331.2</v>
      </c>
      <c r="G253" s="27">
        <f>19611.4+24740.6+319.6+680.2+12044</f>
        <v>57395.799999999996</v>
      </c>
      <c r="H253" s="46">
        <f>1517.9+11288.8</f>
        <v>12806.699999999999</v>
      </c>
      <c r="I253" s="46">
        <f>SUM(B253:H253)</f>
        <v>139779.20000000001</v>
      </c>
      <c r="L253" s="53"/>
      <c r="M253" s="54"/>
      <c r="N253" s="53"/>
      <c r="O253" s="51"/>
    </row>
    <row r="254" spans="1:15" x14ac:dyDescent="0.2">
      <c r="A254" s="45"/>
      <c r="B254" s="25"/>
      <c r="C254" s="13"/>
      <c r="D254" s="25"/>
      <c r="E254" s="25"/>
      <c r="F254" s="25"/>
      <c r="G254" s="13"/>
      <c r="H254" s="25"/>
      <c r="I254" s="26"/>
      <c r="J254" s="27"/>
      <c r="N254" s="27"/>
    </row>
    <row r="255" spans="1:15" hidden="1" x14ac:dyDescent="0.2">
      <c r="A255" s="33" t="s">
        <v>16</v>
      </c>
      <c r="B255" s="34"/>
      <c r="C255" s="34"/>
      <c r="D255" s="34"/>
      <c r="E255" s="34"/>
      <c r="F255" s="34"/>
      <c r="G255" s="34"/>
      <c r="H255" s="34"/>
      <c r="I255" s="35"/>
    </row>
    <row r="256" spans="1:15" hidden="1" x14ac:dyDescent="0.2">
      <c r="A256" s="36"/>
      <c r="B256" s="9"/>
      <c r="C256" s="9"/>
      <c r="D256" s="9"/>
      <c r="E256" s="9"/>
      <c r="F256" s="9"/>
      <c r="G256" s="9"/>
      <c r="H256" s="9"/>
      <c r="I256" s="37"/>
    </row>
    <row r="257" spans="1:9" x14ac:dyDescent="0.2">
      <c r="A257" s="1"/>
      <c r="B257" s="2"/>
      <c r="C257" s="2"/>
      <c r="D257" s="2"/>
      <c r="E257" s="2"/>
      <c r="F257" s="2"/>
      <c r="G257" s="2"/>
      <c r="H257" s="2"/>
      <c r="I257" s="3"/>
    </row>
    <row r="258" spans="1:9" x14ac:dyDescent="0.2">
      <c r="A258" s="49" t="s">
        <v>191</v>
      </c>
      <c r="B258" s="43"/>
      <c r="C258" s="43"/>
      <c r="D258" s="43"/>
      <c r="E258" s="43"/>
      <c r="F258" s="43"/>
      <c r="G258" s="43"/>
      <c r="H258" s="43"/>
      <c r="I258" s="44"/>
    </row>
    <row r="259" spans="1:9" x14ac:dyDescent="0.2">
      <c r="A259" s="40"/>
    </row>
    <row r="260" spans="1:9" x14ac:dyDescent="0.2">
      <c r="A260" s="41"/>
      <c r="B260" s="29"/>
      <c r="C260" s="29"/>
      <c r="D260" s="29"/>
      <c r="E260" s="29"/>
      <c r="F260" s="29"/>
      <c r="G260" s="29"/>
      <c r="H260" s="29"/>
      <c r="I260" s="42"/>
    </row>
    <row r="268" spans="1:9" x14ac:dyDescent="0.2">
      <c r="I268" s="39" t="s">
        <v>172</v>
      </c>
    </row>
  </sheetData>
  <mergeCells count="3">
    <mergeCell ref="A5:I5"/>
    <mergeCell ref="A6:I6"/>
    <mergeCell ref="A7:I7"/>
  </mergeCells>
  <phoneticPr fontId="0" type="noConversion"/>
  <printOptions horizontalCentered="1" verticalCentered="1" gridLinesSet="0"/>
  <pageMargins left="0.85" right="0.51181102362204722" top="0.51" bottom="0.51" header="0.46" footer="0.51181102362204722"/>
  <pageSetup paperSize="9" scale="56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Y39"/>
  <sheetViews>
    <sheetView topLeftCell="BU25" workbookViewId="0">
      <selection activeCell="B39" sqref="B39:BY39"/>
    </sheetView>
  </sheetViews>
  <sheetFormatPr baseColWidth="10" defaultColWidth="8.88671875" defaultRowHeight="15.75" x14ac:dyDescent="0.25"/>
  <sheetData>
    <row r="3" spans="2:77" x14ac:dyDescent="0.25">
      <c r="B3">
        <v>1740.4</v>
      </c>
      <c r="C3">
        <v>2150</v>
      </c>
      <c r="D3">
        <v>2650.1</v>
      </c>
      <c r="E3">
        <v>2650.1</v>
      </c>
      <c r="F3">
        <v>2650.1</v>
      </c>
      <c r="G3">
        <v>2650.1</v>
      </c>
      <c r="H3">
        <v>2650.1</v>
      </c>
      <c r="I3">
        <v>2650.1</v>
      </c>
      <c r="J3">
        <v>2605.1</v>
      </c>
      <c r="K3">
        <v>2605.1</v>
      </c>
      <c r="L3">
        <v>2705.2</v>
      </c>
      <c r="M3">
        <v>2305.1</v>
      </c>
      <c r="N3">
        <v>2305.1999999999998</v>
      </c>
      <c r="O3">
        <v>2315.8000000000002</v>
      </c>
      <c r="P3">
        <v>2315.8000000000002</v>
      </c>
      <c r="Q3">
        <v>2315.8000000000002</v>
      </c>
      <c r="R3">
        <v>2315.8000000000002</v>
      </c>
      <c r="S3">
        <v>2315.8000000000002</v>
      </c>
      <c r="T3">
        <v>1815.8000000000002</v>
      </c>
      <c r="U3">
        <v>1815.8000000000002</v>
      </c>
      <c r="V3">
        <v>1815.8000000000002</v>
      </c>
      <c r="W3">
        <v>1815.8000000000002</v>
      </c>
      <c r="X3">
        <v>1815.8000000000002</v>
      </c>
      <c r="Y3">
        <v>1834.8000000000002</v>
      </c>
      <c r="Z3">
        <v>1845.8000000000002</v>
      </c>
      <c r="AA3">
        <v>1873</v>
      </c>
      <c r="AB3">
        <v>1873.7</v>
      </c>
      <c r="AC3">
        <v>1901.7</v>
      </c>
      <c r="AD3">
        <v>1901.7</v>
      </c>
      <c r="AE3">
        <v>1901.7</v>
      </c>
      <c r="AF3">
        <v>1701.7</v>
      </c>
      <c r="AG3">
        <v>1501.6999999999998</v>
      </c>
      <c r="AH3">
        <v>1501.6999999999998</v>
      </c>
      <c r="AI3">
        <v>1501.6999999999998</v>
      </c>
      <c r="AJ3">
        <v>1501.6999999999998</v>
      </c>
      <c r="AK3">
        <v>1520.1999999999998</v>
      </c>
      <c r="AL3">
        <v>1520.1999999999998</v>
      </c>
      <c r="AM3">
        <v>1547.9</v>
      </c>
      <c r="AN3">
        <v>1728.4</v>
      </c>
      <c r="AO3">
        <v>1728.4</v>
      </c>
      <c r="AP3">
        <v>1726.4</v>
      </c>
      <c r="AQ3">
        <v>1526.4</v>
      </c>
      <c r="AR3">
        <v>1526.4</v>
      </c>
      <c r="AS3">
        <v>1523.8</v>
      </c>
      <c r="AT3">
        <v>1323.8</v>
      </c>
      <c r="AU3">
        <v>1323.8</v>
      </c>
      <c r="AV3">
        <v>2223.8000000000002</v>
      </c>
      <c r="AW3">
        <v>2589.8000000000002</v>
      </c>
      <c r="AX3">
        <v>2589.8000000000002</v>
      </c>
      <c r="AY3">
        <v>2659.6</v>
      </c>
      <c r="AZ3">
        <v>2659.6</v>
      </c>
      <c r="BA3">
        <v>2159.6</v>
      </c>
      <c r="BB3">
        <v>2304</v>
      </c>
      <c r="BC3">
        <v>2385.6999999999998</v>
      </c>
      <c r="BD3">
        <v>2304</v>
      </c>
      <c r="BE3">
        <v>2304</v>
      </c>
      <c r="BF3">
        <v>2304</v>
      </c>
      <c r="BG3">
        <v>2304</v>
      </c>
      <c r="BH3">
        <v>2304</v>
      </c>
      <c r="BI3">
        <v>1417.2</v>
      </c>
      <c r="BJ3">
        <v>1419.5</v>
      </c>
      <c r="BK3">
        <v>926.4</v>
      </c>
      <c r="BL3">
        <v>921</v>
      </c>
      <c r="BM3">
        <v>921.9</v>
      </c>
      <c r="BN3">
        <v>922.8</v>
      </c>
      <c r="BO3">
        <v>624.79999999999995</v>
      </c>
      <c r="BP3">
        <v>622.5</v>
      </c>
      <c r="BQ3">
        <v>624.1</v>
      </c>
      <c r="BR3">
        <v>625.5</v>
      </c>
      <c r="BS3">
        <v>626.79999999999995</v>
      </c>
      <c r="BT3">
        <v>1857.3</v>
      </c>
      <c r="BU3">
        <v>1859.4</v>
      </c>
      <c r="BV3">
        <v>2170</v>
      </c>
      <c r="BW3">
        <v>1846.4</v>
      </c>
      <c r="BX3">
        <v>1844.8</v>
      </c>
      <c r="BY3">
        <v>1842.4</v>
      </c>
    </row>
    <row r="4" spans="2:77" x14ac:dyDescent="0.25">
      <c r="B4">
        <v>438.6</v>
      </c>
      <c r="C4">
        <v>433.8</v>
      </c>
      <c r="D4">
        <v>433.8</v>
      </c>
      <c r="E4">
        <v>428.8</v>
      </c>
      <c r="F4">
        <v>423.8</v>
      </c>
      <c r="G4">
        <v>418.8</v>
      </c>
      <c r="H4">
        <v>413.6</v>
      </c>
      <c r="I4">
        <v>556.69999999999993</v>
      </c>
      <c r="J4">
        <v>551.4</v>
      </c>
      <c r="K4">
        <v>383.59999999999997</v>
      </c>
      <c r="L4">
        <v>378.2</v>
      </c>
      <c r="M4">
        <v>372.7</v>
      </c>
      <c r="N4">
        <v>384.9</v>
      </c>
      <c r="O4">
        <v>384.9</v>
      </c>
      <c r="P4">
        <v>379.2</v>
      </c>
      <c r="Q4">
        <v>379.2</v>
      </c>
      <c r="R4">
        <v>379.2</v>
      </c>
      <c r="S4">
        <v>379.2</v>
      </c>
      <c r="T4">
        <v>559.30000000000007</v>
      </c>
      <c r="U4">
        <v>559.20000000000005</v>
      </c>
      <c r="V4">
        <v>589.20000000000005</v>
      </c>
      <c r="W4">
        <v>589.20000000000005</v>
      </c>
      <c r="X4">
        <v>679.2</v>
      </c>
      <c r="Y4">
        <v>679.2</v>
      </c>
      <c r="Z4">
        <v>722.6</v>
      </c>
      <c r="AA4">
        <v>722.6</v>
      </c>
      <c r="AB4">
        <v>722.6</v>
      </c>
      <c r="AC4">
        <v>722.6</v>
      </c>
      <c r="AD4">
        <v>902.59999999999991</v>
      </c>
      <c r="AE4">
        <v>902.59999999999991</v>
      </c>
      <c r="AF4">
        <v>902.59999999999991</v>
      </c>
      <c r="AG4">
        <v>902.59999999999991</v>
      </c>
      <c r="AH4">
        <v>902.59999999999991</v>
      </c>
      <c r="AI4">
        <v>902.59999999999991</v>
      </c>
      <c r="AJ4">
        <v>851.59999999999991</v>
      </c>
      <c r="AK4">
        <v>851.59999999999991</v>
      </c>
      <c r="AL4">
        <v>910.6</v>
      </c>
      <c r="AM4">
        <v>910.6</v>
      </c>
      <c r="AN4">
        <v>2825.4</v>
      </c>
      <c r="AO4">
        <v>2825.4</v>
      </c>
      <c r="AP4">
        <v>2825.4</v>
      </c>
      <c r="AQ4">
        <v>3035.8</v>
      </c>
      <c r="AR4">
        <v>3035.8</v>
      </c>
      <c r="AS4">
        <v>3035.8</v>
      </c>
      <c r="AT4">
        <v>3121</v>
      </c>
      <c r="AU4">
        <v>3121</v>
      </c>
      <c r="AV4">
        <v>3121</v>
      </c>
      <c r="AW4">
        <v>3121</v>
      </c>
      <c r="AX4">
        <v>3142.4</v>
      </c>
      <c r="AY4">
        <v>3142.4</v>
      </c>
      <c r="AZ4">
        <v>3142.4</v>
      </c>
      <c r="BA4">
        <v>3142.4</v>
      </c>
      <c r="BB4">
        <v>3142.4</v>
      </c>
      <c r="BC4">
        <v>3142.4</v>
      </c>
      <c r="BD4">
        <v>3142.4</v>
      </c>
      <c r="BE4">
        <v>3142.4</v>
      </c>
      <c r="BF4">
        <v>3142.4</v>
      </c>
      <c r="BG4">
        <v>3142.4</v>
      </c>
      <c r="BH4">
        <v>3142.4</v>
      </c>
      <c r="BI4">
        <v>3234.4</v>
      </c>
      <c r="BJ4">
        <v>3260.7</v>
      </c>
      <c r="BK4">
        <v>3286.2</v>
      </c>
      <c r="BL4">
        <v>3257.6</v>
      </c>
      <c r="BM4">
        <v>3283.2</v>
      </c>
      <c r="BN4">
        <v>3308.1000000000004</v>
      </c>
      <c r="BO4">
        <v>3179</v>
      </c>
      <c r="BP4">
        <v>3256.6</v>
      </c>
      <c r="BQ4">
        <v>3281.7</v>
      </c>
      <c r="BR4">
        <v>3259</v>
      </c>
      <c r="BS4">
        <v>3283.8999999999996</v>
      </c>
      <c r="BT4">
        <v>3309.3999999999996</v>
      </c>
      <c r="BU4">
        <v>3283.7</v>
      </c>
      <c r="BV4">
        <v>3307.8999999999996</v>
      </c>
      <c r="BW4">
        <v>2377.1</v>
      </c>
      <c r="BX4">
        <v>2356.5</v>
      </c>
      <c r="BY4">
        <v>2371.4</v>
      </c>
    </row>
    <row r="5" spans="2:77" x14ac:dyDescent="0.25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300</v>
      </c>
      <c r="AQ5">
        <v>0</v>
      </c>
      <c r="AR5">
        <v>0</v>
      </c>
      <c r="AS5">
        <v>0</v>
      </c>
      <c r="AT5">
        <v>0</v>
      </c>
      <c r="AU5">
        <v>0</v>
      </c>
      <c r="AV5">
        <v>500</v>
      </c>
      <c r="AW5">
        <v>1000</v>
      </c>
      <c r="AX5">
        <v>500</v>
      </c>
      <c r="AY5">
        <v>500</v>
      </c>
      <c r="AZ5">
        <v>500</v>
      </c>
      <c r="BA5">
        <v>500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301.60000000000014</v>
      </c>
      <c r="BQ5">
        <v>304.19999999999982</v>
      </c>
      <c r="BR5">
        <v>306.79999999999995</v>
      </c>
      <c r="BS5">
        <v>301.60000000000014</v>
      </c>
      <c r="BT5">
        <v>304.20000000000005</v>
      </c>
      <c r="BU5">
        <v>306.69999999999982</v>
      </c>
      <c r="BV5">
        <v>301.79999999999995</v>
      </c>
      <c r="BW5">
        <v>304.29999999999995</v>
      </c>
      <c r="BX5">
        <v>306.5</v>
      </c>
      <c r="BY5">
        <v>301.7</v>
      </c>
    </row>
    <row r="6" spans="2:77" s="52" customFormat="1" x14ac:dyDescent="0.25">
      <c r="B6" s="52">
        <f>+B4+B5+B3</f>
        <v>2179</v>
      </c>
      <c r="C6" s="52">
        <f t="shared" ref="C6:BN6" si="0">+C4+C5+C3</f>
        <v>2583.8000000000002</v>
      </c>
      <c r="D6" s="52">
        <f t="shared" si="0"/>
        <v>3083.9</v>
      </c>
      <c r="E6" s="52">
        <f t="shared" si="0"/>
        <v>3078.9</v>
      </c>
      <c r="F6" s="52">
        <f t="shared" si="0"/>
        <v>3073.9</v>
      </c>
      <c r="G6" s="52">
        <f t="shared" si="0"/>
        <v>3068.9</v>
      </c>
      <c r="H6" s="52">
        <f t="shared" si="0"/>
        <v>3063.7</v>
      </c>
      <c r="I6" s="52">
        <f t="shared" si="0"/>
        <v>3206.7999999999997</v>
      </c>
      <c r="J6" s="52">
        <f t="shared" si="0"/>
        <v>3156.5</v>
      </c>
      <c r="K6" s="52">
        <f t="shared" si="0"/>
        <v>2988.7</v>
      </c>
      <c r="L6" s="52">
        <f t="shared" si="0"/>
        <v>3083.3999999999996</v>
      </c>
      <c r="M6" s="52">
        <f t="shared" si="0"/>
        <v>2677.7999999999997</v>
      </c>
      <c r="N6" s="52">
        <f t="shared" si="0"/>
        <v>2690.1</v>
      </c>
      <c r="O6" s="52">
        <f t="shared" si="0"/>
        <v>2700.7000000000003</v>
      </c>
      <c r="P6" s="52">
        <f t="shared" si="0"/>
        <v>2695</v>
      </c>
      <c r="Q6" s="52">
        <f t="shared" si="0"/>
        <v>2695</v>
      </c>
      <c r="R6" s="52">
        <f t="shared" si="0"/>
        <v>2695</v>
      </c>
      <c r="S6" s="52">
        <f t="shared" si="0"/>
        <v>2695</v>
      </c>
      <c r="T6" s="52">
        <f t="shared" si="0"/>
        <v>2375.1000000000004</v>
      </c>
      <c r="U6" s="52">
        <f t="shared" si="0"/>
        <v>2375</v>
      </c>
      <c r="V6" s="52">
        <f t="shared" si="0"/>
        <v>2405</v>
      </c>
      <c r="W6" s="52">
        <f t="shared" si="0"/>
        <v>2405</v>
      </c>
      <c r="X6" s="52">
        <f t="shared" si="0"/>
        <v>2495</v>
      </c>
      <c r="Y6" s="52">
        <f t="shared" si="0"/>
        <v>2514</v>
      </c>
      <c r="Z6" s="52">
        <f t="shared" si="0"/>
        <v>2568.4</v>
      </c>
      <c r="AA6" s="52">
        <f t="shared" si="0"/>
        <v>2595.6</v>
      </c>
      <c r="AB6" s="52">
        <f t="shared" si="0"/>
        <v>2596.3000000000002</v>
      </c>
      <c r="AC6" s="52">
        <f t="shared" si="0"/>
        <v>2624.3</v>
      </c>
      <c r="AD6" s="52">
        <f t="shared" si="0"/>
        <v>2804.3</v>
      </c>
      <c r="AE6" s="52">
        <f t="shared" si="0"/>
        <v>2804.3</v>
      </c>
      <c r="AF6" s="52">
        <f t="shared" si="0"/>
        <v>2604.3000000000002</v>
      </c>
      <c r="AG6" s="52">
        <f t="shared" si="0"/>
        <v>2404.2999999999997</v>
      </c>
      <c r="AH6" s="52">
        <f t="shared" si="0"/>
        <v>2404.2999999999997</v>
      </c>
      <c r="AI6" s="52">
        <f t="shared" si="0"/>
        <v>2404.2999999999997</v>
      </c>
      <c r="AJ6" s="52">
        <f t="shared" si="0"/>
        <v>2353.2999999999997</v>
      </c>
      <c r="AK6" s="52">
        <f t="shared" si="0"/>
        <v>2371.7999999999997</v>
      </c>
      <c r="AL6" s="52">
        <f t="shared" si="0"/>
        <v>2430.7999999999997</v>
      </c>
      <c r="AM6" s="52">
        <f t="shared" si="0"/>
        <v>2458.5</v>
      </c>
      <c r="AN6" s="52">
        <f t="shared" si="0"/>
        <v>4553.8</v>
      </c>
      <c r="AO6" s="52">
        <f t="shared" si="0"/>
        <v>4553.8</v>
      </c>
      <c r="AP6" s="52">
        <f t="shared" si="0"/>
        <v>4851.8</v>
      </c>
      <c r="AQ6" s="52">
        <f t="shared" si="0"/>
        <v>4562.2000000000007</v>
      </c>
      <c r="AR6" s="52">
        <f t="shared" si="0"/>
        <v>4562.2000000000007</v>
      </c>
      <c r="AS6" s="52">
        <f t="shared" si="0"/>
        <v>4559.6000000000004</v>
      </c>
      <c r="AT6" s="52">
        <f t="shared" si="0"/>
        <v>4444.8</v>
      </c>
      <c r="AU6" s="52">
        <f t="shared" si="0"/>
        <v>4444.8</v>
      </c>
      <c r="AV6" s="52">
        <f t="shared" si="0"/>
        <v>5844.8</v>
      </c>
      <c r="AW6" s="52">
        <f t="shared" si="0"/>
        <v>6710.8</v>
      </c>
      <c r="AX6" s="52">
        <f t="shared" si="0"/>
        <v>6232.2000000000007</v>
      </c>
      <c r="AY6" s="52">
        <f t="shared" si="0"/>
        <v>6302</v>
      </c>
      <c r="AZ6" s="52">
        <f t="shared" si="0"/>
        <v>6302</v>
      </c>
      <c r="BA6" s="52">
        <f t="shared" si="0"/>
        <v>5802</v>
      </c>
      <c r="BB6" s="52">
        <f t="shared" si="0"/>
        <v>5446.4</v>
      </c>
      <c r="BC6" s="52">
        <f t="shared" si="0"/>
        <v>5528.1</v>
      </c>
      <c r="BD6" s="52">
        <f t="shared" si="0"/>
        <v>5446.4</v>
      </c>
      <c r="BE6" s="52">
        <f t="shared" si="0"/>
        <v>5446.4</v>
      </c>
      <c r="BF6" s="52">
        <f t="shared" si="0"/>
        <v>5446.4</v>
      </c>
      <c r="BG6" s="52">
        <f t="shared" si="0"/>
        <v>5446.4</v>
      </c>
      <c r="BH6" s="52">
        <f t="shared" si="0"/>
        <v>5446.4</v>
      </c>
      <c r="BI6" s="52">
        <f t="shared" si="0"/>
        <v>4651.6000000000004</v>
      </c>
      <c r="BJ6" s="52">
        <f t="shared" si="0"/>
        <v>4680.2</v>
      </c>
      <c r="BK6" s="52">
        <f t="shared" si="0"/>
        <v>4212.5999999999995</v>
      </c>
      <c r="BL6" s="52">
        <f t="shared" si="0"/>
        <v>4178.6000000000004</v>
      </c>
      <c r="BM6" s="52">
        <f t="shared" si="0"/>
        <v>4205.0999999999995</v>
      </c>
      <c r="BN6" s="52">
        <f t="shared" si="0"/>
        <v>4230.9000000000005</v>
      </c>
      <c r="BO6" s="52">
        <f t="shared" ref="BO6:BY6" si="1">+BO4+BO5+BO3</f>
        <v>3803.8</v>
      </c>
      <c r="BP6" s="52">
        <f t="shared" si="1"/>
        <v>4180.7</v>
      </c>
      <c r="BQ6" s="52">
        <f t="shared" si="1"/>
        <v>4210</v>
      </c>
      <c r="BR6" s="52">
        <f t="shared" si="1"/>
        <v>4191.3</v>
      </c>
      <c r="BS6" s="52">
        <f t="shared" si="1"/>
        <v>4212.3</v>
      </c>
      <c r="BT6" s="52">
        <f t="shared" si="1"/>
        <v>5470.9</v>
      </c>
      <c r="BU6" s="52">
        <f t="shared" si="1"/>
        <v>5449.7999999999993</v>
      </c>
      <c r="BV6" s="52">
        <f t="shared" si="1"/>
        <v>5779.7</v>
      </c>
      <c r="BW6" s="52">
        <f t="shared" si="1"/>
        <v>4527.7999999999993</v>
      </c>
      <c r="BX6" s="52">
        <f t="shared" si="1"/>
        <v>4507.8</v>
      </c>
      <c r="BY6" s="52">
        <f t="shared" si="1"/>
        <v>4515.5</v>
      </c>
    </row>
    <row r="8" spans="2:77" x14ac:dyDescent="0.25">
      <c r="B8">
        <v>14354.799999999997</v>
      </c>
      <c r="C8">
        <v>12415.3</v>
      </c>
      <c r="D8">
        <v>12482.999999999998</v>
      </c>
      <c r="E8">
        <v>13155.499999999998</v>
      </c>
      <c r="F8">
        <v>11790.199999999999</v>
      </c>
      <c r="G8">
        <v>12044.5</v>
      </c>
      <c r="H8">
        <v>12053.599999999999</v>
      </c>
      <c r="I8">
        <v>11753.5</v>
      </c>
      <c r="J8">
        <v>12253.5</v>
      </c>
      <c r="K8">
        <v>12253.5</v>
      </c>
      <c r="L8">
        <v>12253.5</v>
      </c>
      <c r="M8">
        <v>12253.5</v>
      </c>
      <c r="N8">
        <v>13185.8</v>
      </c>
      <c r="O8">
        <v>13155.4</v>
      </c>
      <c r="P8">
        <v>13155.4</v>
      </c>
      <c r="Q8">
        <v>12755.4</v>
      </c>
      <c r="R8">
        <v>12755.4</v>
      </c>
      <c r="S8">
        <v>12755.4</v>
      </c>
      <c r="T8">
        <v>13261.1</v>
      </c>
      <c r="U8">
        <v>13261.1</v>
      </c>
      <c r="V8">
        <v>13261.1</v>
      </c>
      <c r="W8">
        <v>13261.1</v>
      </c>
      <c r="X8">
        <v>13261.1</v>
      </c>
      <c r="Y8">
        <v>13661.1</v>
      </c>
      <c r="Z8">
        <v>14170.3</v>
      </c>
      <c r="AA8">
        <v>13670.3</v>
      </c>
      <c r="AB8">
        <v>13270.3</v>
      </c>
      <c r="AC8">
        <v>13270.3</v>
      </c>
      <c r="AD8">
        <v>13270.3</v>
      </c>
      <c r="AE8">
        <v>13270.3</v>
      </c>
      <c r="AF8">
        <v>13270.3</v>
      </c>
      <c r="AG8">
        <v>13270.3</v>
      </c>
      <c r="AH8">
        <v>13270.3</v>
      </c>
      <c r="AI8">
        <v>13270.3</v>
      </c>
      <c r="AJ8">
        <v>13270.3</v>
      </c>
      <c r="AK8">
        <v>13270.3</v>
      </c>
      <c r="AL8">
        <v>14129.5</v>
      </c>
      <c r="AM8">
        <v>14129.5</v>
      </c>
      <c r="AN8">
        <v>14129.5</v>
      </c>
      <c r="AO8">
        <v>14129.5</v>
      </c>
      <c r="AP8">
        <v>14129.5</v>
      </c>
      <c r="AQ8">
        <v>14129.5</v>
      </c>
      <c r="AR8">
        <v>14129.5</v>
      </c>
      <c r="AS8">
        <v>14129.5</v>
      </c>
      <c r="AT8">
        <v>14129.5</v>
      </c>
      <c r="AU8">
        <v>13979.5</v>
      </c>
      <c r="AV8">
        <v>13829.5</v>
      </c>
      <c r="AW8">
        <v>13679.5</v>
      </c>
      <c r="AX8">
        <v>13859.3</v>
      </c>
      <c r="AY8">
        <v>13709.3</v>
      </c>
      <c r="AZ8">
        <v>13559.3</v>
      </c>
      <c r="BA8">
        <v>13401.099999999999</v>
      </c>
      <c r="BB8">
        <v>13251.099999999999</v>
      </c>
      <c r="BC8">
        <v>13101.099999999999</v>
      </c>
      <c r="BD8">
        <v>12951.099999999999</v>
      </c>
      <c r="BE8">
        <v>12951.099999999999</v>
      </c>
      <c r="BF8">
        <v>13151.099999999999</v>
      </c>
      <c r="BG8">
        <v>13331.099999999999</v>
      </c>
      <c r="BH8">
        <v>13511.099999999999</v>
      </c>
      <c r="BI8">
        <v>7150.5</v>
      </c>
      <c r="BJ8">
        <v>7908.9</v>
      </c>
      <c r="BK8">
        <v>7908.9</v>
      </c>
      <c r="BL8">
        <v>7908.9</v>
      </c>
      <c r="BM8">
        <v>7908.9</v>
      </c>
      <c r="BN8">
        <v>7908.9</v>
      </c>
      <c r="BO8">
        <v>7908.9</v>
      </c>
      <c r="BP8">
        <v>7908.9</v>
      </c>
      <c r="BQ8">
        <v>7908.9</v>
      </c>
      <c r="BR8">
        <v>7908.9</v>
      </c>
      <c r="BS8">
        <v>9381.9</v>
      </c>
      <c r="BT8">
        <v>9416.1</v>
      </c>
      <c r="BU8">
        <v>9450.6</v>
      </c>
      <c r="BV8">
        <v>9596.9</v>
      </c>
      <c r="BW8">
        <v>10385.9</v>
      </c>
      <c r="BX8">
        <v>9412.7000000000007</v>
      </c>
      <c r="BY8">
        <v>9373.5</v>
      </c>
    </row>
    <row r="9" spans="2:77" x14ac:dyDescent="0.25">
      <c r="B9">
        <v>2678.3999999999996</v>
      </c>
      <c r="C9">
        <v>1792.7</v>
      </c>
      <c r="D9">
        <v>1794.1000000000001</v>
      </c>
      <c r="E9">
        <v>1794.1000000000001</v>
      </c>
      <c r="F9">
        <v>1794.1000000000001</v>
      </c>
      <c r="G9">
        <v>1794.1000000000001</v>
      </c>
      <c r="H9">
        <v>1794.1000000000001</v>
      </c>
      <c r="I9">
        <v>1794.1000000000001</v>
      </c>
      <c r="J9">
        <v>1794.1000000000001</v>
      </c>
      <c r="K9">
        <v>1794.1000000000001</v>
      </c>
      <c r="L9">
        <v>2292.6999999999998</v>
      </c>
      <c r="M9">
        <v>2292.6999999999998</v>
      </c>
      <c r="N9">
        <v>2292.8999999999996</v>
      </c>
      <c r="O9">
        <v>2397.4</v>
      </c>
      <c r="P9">
        <v>2397.4</v>
      </c>
      <c r="Q9">
        <v>2397.3000000000002</v>
      </c>
      <c r="R9">
        <v>3397.4</v>
      </c>
      <c r="S9">
        <v>3397.4</v>
      </c>
      <c r="T9">
        <v>3397.4</v>
      </c>
      <c r="U9">
        <v>3397.4</v>
      </c>
      <c r="V9">
        <v>3397.4</v>
      </c>
      <c r="W9">
        <v>3397.4</v>
      </c>
      <c r="X9">
        <v>3397.4</v>
      </c>
      <c r="Y9">
        <v>3397.4</v>
      </c>
      <c r="Z9">
        <v>3301.2000000000003</v>
      </c>
      <c r="AA9">
        <v>3388.6</v>
      </c>
      <c r="AB9">
        <v>3388.6</v>
      </c>
      <c r="AC9">
        <v>3388.6</v>
      </c>
      <c r="AD9">
        <v>3388.6</v>
      </c>
      <c r="AE9">
        <v>3388.6</v>
      </c>
      <c r="AF9">
        <v>3388.6</v>
      </c>
      <c r="AG9">
        <v>3388.6</v>
      </c>
      <c r="AH9">
        <v>3388.6</v>
      </c>
      <c r="AI9">
        <v>3441.5</v>
      </c>
      <c r="AJ9">
        <v>3441.5</v>
      </c>
      <c r="AK9">
        <v>3467.3</v>
      </c>
      <c r="AL9">
        <v>3465.9</v>
      </c>
      <c r="AM9">
        <v>3552.7000000000003</v>
      </c>
      <c r="AN9">
        <v>3549.2</v>
      </c>
      <c r="AO9">
        <v>3549.2</v>
      </c>
      <c r="AP9">
        <v>4215.3</v>
      </c>
      <c r="AQ9">
        <v>4222.1000000000004</v>
      </c>
      <c r="AR9">
        <v>4255.1000000000004</v>
      </c>
      <c r="AS9">
        <v>4228.7999999999993</v>
      </c>
      <c r="AT9">
        <v>4228.7999999999993</v>
      </c>
      <c r="AU9">
        <v>4628.7999999999993</v>
      </c>
      <c r="AV9">
        <v>4630.1000000000004</v>
      </c>
      <c r="AW9">
        <v>4630.1000000000004</v>
      </c>
      <c r="AX9">
        <v>4630.1000000000004</v>
      </c>
      <c r="AY9">
        <v>4707</v>
      </c>
      <c r="AZ9">
        <v>4707</v>
      </c>
      <c r="BA9">
        <v>4707</v>
      </c>
      <c r="BB9">
        <v>2922</v>
      </c>
      <c r="BC9">
        <v>2922</v>
      </c>
      <c r="BD9">
        <v>2922</v>
      </c>
      <c r="BE9">
        <v>2922</v>
      </c>
      <c r="BF9">
        <v>2922</v>
      </c>
      <c r="BG9">
        <v>2928.8</v>
      </c>
      <c r="BH9">
        <v>2524.5</v>
      </c>
      <c r="BI9">
        <v>759.8</v>
      </c>
      <c r="BJ9">
        <v>4618.7</v>
      </c>
      <c r="BK9">
        <v>4646.1000000000004</v>
      </c>
      <c r="BL9">
        <v>4710.6000000000004</v>
      </c>
      <c r="BM9">
        <v>4736.5</v>
      </c>
      <c r="BN9">
        <v>4785.9000000000005</v>
      </c>
      <c r="BO9">
        <v>4148.3</v>
      </c>
      <c r="BP9">
        <v>3285.2</v>
      </c>
      <c r="BQ9">
        <v>18335.8</v>
      </c>
      <c r="BR9">
        <v>18366.400000000001</v>
      </c>
      <c r="BS9">
        <v>18412.600000000002</v>
      </c>
      <c r="BT9">
        <v>4956.2</v>
      </c>
      <c r="BU9">
        <v>4991.7000000000007</v>
      </c>
      <c r="BV9">
        <v>4147.5</v>
      </c>
      <c r="BW9">
        <v>4682.3999999999996</v>
      </c>
      <c r="BX9">
        <v>4702.2</v>
      </c>
      <c r="BY9">
        <v>4728.7999999999993</v>
      </c>
    </row>
    <row r="10" spans="2:77" s="52" customFormat="1" x14ac:dyDescent="0.25">
      <c r="B10" s="52">
        <f>+B9+B8</f>
        <v>17033.199999999997</v>
      </c>
      <c r="C10" s="52">
        <f t="shared" ref="C10:BN10" si="2">+C9+C8</f>
        <v>14208</v>
      </c>
      <c r="D10" s="52">
        <f t="shared" si="2"/>
        <v>14277.099999999999</v>
      </c>
      <c r="E10" s="52">
        <f t="shared" si="2"/>
        <v>14949.599999999999</v>
      </c>
      <c r="F10" s="52">
        <f t="shared" si="2"/>
        <v>13584.3</v>
      </c>
      <c r="G10" s="52">
        <f t="shared" si="2"/>
        <v>13838.6</v>
      </c>
      <c r="H10" s="52">
        <f t="shared" si="2"/>
        <v>13847.699999999999</v>
      </c>
      <c r="I10" s="52">
        <f t="shared" si="2"/>
        <v>13547.6</v>
      </c>
      <c r="J10" s="52">
        <f t="shared" si="2"/>
        <v>14047.6</v>
      </c>
      <c r="K10" s="52">
        <f t="shared" si="2"/>
        <v>14047.6</v>
      </c>
      <c r="L10" s="52">
        <f t="shared" si="2"/>
        <v>14546.2</v>
      </c>
      <c r="M10" s="52">
        <f t="shared" si="2"/>
        <v>14546.2</v>
      </c>
      <c r="N10" s="52">
        <f t="shared" si="2"/>
        <v>15478.699999999999</v>
      </c>
      <c r="O10" s="52">
        <f t="shared" si="2"/>
        <v>15552.8</v>
      </c>
      <c r="P10" s="52">
        <f t="shared" si="2"/>
        <v>15552.8</v>
      </c>
      <c r="Q10" s="52">
        <f t="shared" si="2"/>
        <v>15152.7</v>
      </c>
      <c r="R10" s="52">
        <f t="shared" si="2"/>
        <v>16152.8</v>
      </c>
      <c r="S10" s="52">
        <f t="shared" si="2"/>
        <v>16152.8</v>
      </c>
      <c r="T10" s="52">
        <f t="shared" si="2"/>
        <v>16658.5</v>
      </c>
      <c r="U10" s="52">
        <f t="shared" si="2"/>
        <v>16658.5</v>
      </c>
      <c r="V10" s="52">
        <f t="shared" si="2"/>
        <v>16658.5</v>
      </c>
      <c r="W10" s="52">
        <f t="shared" si="2"/>
        <v>16658.5</v>
      </c>
      <c r="X10" s="52">
        <f t="shared" si="2"/>
        <v>16658.5</v>
      </c>
      <c r="Y10" s="52">
        <f t="shared" si="2"/>
        <v>17058.5</v>
      </c>
      <c r="Z10" s="52">
        <f t="shared" si="2"/>
        <v>17471.5</v>
      </c>
      <c r="AA10" s="52">
        <f t="shared" si="2"/>
        <v>17058.899999999998</v>
      </c>
      <c r="AB10" s="52">
        <f t="shared" si="2"/>
        <v>16658.899999999998</v>
      </c>
      <c r="AC10" s="52">
        <f t="shared" si="2"/>
        <v>16658.899999999998</v>
      </c>
      <c r="AD10" s="52">
        <f t="shared" si="2"/>
        <v>16658.899999999998</v>
      </c>
      <c r="AE10" s="52">
        <f t="shared" si="2"/>
        <v>16658.899999999998</v>
      </c>
      <c r="AF10" s="52">
        <f t="shared" si="2"/>
        <v>16658.899999999998</v>
      </c>
      <c r="AG10" s="52">
        <f t="shared" si="2"/>
        <v>16658.899999999998</v>
      </c>
      <c r="AH10" s="52">
        <f t="shared" si="2"/>
        <v>16658.899999999998</v>
      </c>
      <c r="AI10" s="52">
        <f t="shared" si="2"/>
        <v>16711.8</v>
      </c>
      <c r="AJ10" s="52">
        <f t="shared" si="2"/>
        <v>16711.8</v>
      </c>
      <c r="AK10" s="52">
        <f t="shared" si="2"/>
        <v>16737.599999999999</v>
      </c>
      <c r="AL10" s="52">
        <f t="shared" si="2"/>
        <v>17595.400000000001</v>
      </c>
      <c r="AM10" s="52">
        <f t="shared" si="2"/>
        <v>17682.2</v>
      </c>
      <c r="AN10" s="52">
        <f t="shared" si="2"/>
        <v>17678.7</v>
      </c>
      <c r="AO10" s="52">
        <f t="shared" si="2"/>
        <v>17678.7</v>
      </c>
      <c r="AP10" s="52">
        <f t="shared" si="2"/>
        <v>18344.8</v>
      </c>
      <c r="AQ10" s="52">
        <f t="shared" si="2"/>
        <v>18351.599999999999</v>
      </c>
      <c r="AR10" s="52">
        <f t="shared" si="2"/>
        <v>18384.599999999999</v>
      </c>
      <c r="AS10" s="52">
        <f t="shared" si="2"/>
        <v>18358.3</v>
      </c>
      <c r="AT10" s="52">
        <f t="shared" si="2"/>
        <v>18358.3</v>
      </c>
      <c r="AU10" s="52">
        <f t="shared" si="2"/>
        <v>18608.3</v>
      </c>
      <c r="AV10" s="52">
        <f t="shared" si="2"/>
        <v>18459.599999999999</v>
      </c>
      <c r="AW10" s="52">
        <f t="shared" si="2"/>
        <v>18309.599999999999</v>
      </c>
      <c r="AX10" s="52">
        <f t="shared" si="2"/>
        <v>18489.400000000001</v>
      </c>
      <c r="AY10" s="52">
        <f t="shared" si="2"/>
        <v>18416.3</v>
      </c>
      <c r="AZ10" s="52">
        <f t="shared" si="2"/>
        <v>18266.3</v>
      </c>
      <c r="BA10" s="52">
        <f t="shared" si="2"/>
        <v>18108.099999999999</v>
      </c>
      <c r="BB10" s="52">
        <f t="shared" si="2"/>
        <v>16173.099999999999</v>
      </c>
      <c r="BC10" s="52">
        <f t="shared" si="2"/>
        <v>16023.099999999999</v>
      </c>
      <c r="BD10" s="52">
        <f t="shared" si="2"/>
        <v>15873.099999999999</v>
      </c>
      <c r="BE10" s="52">
        <f t="shared" si="2"/>
        <v>15873.099999999999</v>
      </c>
      <c r="BF10" s="52">
        <f t="shared" si="2"/>
        <v>16073.099999999999</v>
      </c>
      <c r="BG10" s="52">
        <f t="shared" si="2"/>
        <v>16259.899999999998</v>
      </c>
      <c r="BH10" s="52">
        <f t="shared" si="2"/>
        <v>16035.599999999999</v>
      </c>
      <c r="BI10" s="52">
        <f t="shared" si="2"/>
        <v>7910.3</v>
      </c>
      <c r="BJ10" s="52">
        <f t="shared" si="2"/>
        <v>12527.599999999999</v>
      </c>
      <c r="BK10" s="52">
        <f t="shared" si="2"/>
        <v>12555</v>
      </c>
      <c r="BL10" s="52">
        <f t="shared" si="2"/>
        <v>12619.5</v>
      </c>
      <c r="BM10" s="52">
        <f t="shared" si="2"/>
        <v>12645.4</v>
      </c>
      <c r="BN10" s="52">
        <f t="shared" si="2"/>
        <v>12694.8</v>
      </c>
      <c r="BO10" s="52">
        <f t="shared" ref="BO10:BY10" si="3">+BO9+BO8</f>
        <v>12057.2</v>
      </c>
      <c r="BP10" s="52">
        <f t="shared" si="3"/>
        <v>11194.099999999999</v>
      </c>
      <c r="BQ10" s="52">
        <f t="shared" si="3"/>
        <v>26244.699999999997</v>
      </c>
      <c r="BR10" s="52">
        <f t="shared" si="3"/>
        <v>26275.300000000003</v>
      </c>
      <c r="BS10" s="52">
        <f t="shared" si="3"/>
        <v>27794.5</v>
      </c>
      <c r="BT10" s="52">
        <f t="shared" si="3"/>
        <v>14372.3</v>
      </c>
      <c r="BU10" s="52">
        <f t="shared" si="3"/>
        <v>14442.300000000001</v>
      </c>
      <c r="BV10" s="52">
        <f t="shared" si="3"/>
        <v>13744.4</v>
      </c>
      <c r="BW10" s="52">
        <f t="shared" si="3"/>
        <v>15068.3</v>
      </c>
      <c r="BX10" s="52">
        <f t="shared" si="3"/>
        <v>14114.900000000001</v>
      </c>
      <c r="BY10" s="52">
        <f t="shared" si="3"/>
        <v>14102.3</v>
      </c>
    </row>
    <row r="12" spans="2:77" x14ac:dyDescent="0.25">
      <c r="B12">
        <v>1006</v>
      </c>
      <c r="C12">
        <v>1674.9</v>
      </c>
      <c r="D12">
        <v>2171.4</v>
      </c>
      <c r="E12">
        <v>1814.4</v>
      </c>
      <c r="F12">
        <v>1815</v>
      </c>
      <c r="G12">
        <v>2180</v>
      </c>
      <c r="H12">
        <v>2177.6</v>
      </c>
      <c r="I12">
        <v>2177.6999999999998</v>
      </c>
      <c r="J12">
        <v>2104.1</v>
      </c>
      <c r="K12">
        <v>2028.6</v>
      </c>
      <c r="L12">
        <v>2027.8</v>
      </c>
      <c r="M12">
        <v>2028.7</v>
      </c>
      <c r="N12">
        <v>2033.2</v>
      </c>
      <c r="O12">
        <v>2032.5</v>
      </c>
      <c r="P12">
        <v>2032.1</v>
      </c>
      <c r="Q12">
        <v>2121.1999999999998</v>
      </c>
      <c r="R12">
        <v>1921.3</v>
      </c>
      <c r="S12">
        <v>1920.4</v>
      </c>
      <c r="T12">
        <v>1975.1</v>
      </c>
      <c r="U12">
        <v>1975.8</v>
      </c>
      <c r="V12">
        <v>1476.4</v>
      </c>
      <c r="W12">
        <v>1475.8</v>
      </c>
      <c r="X12">
        <v>1476.1</v>
      </c>
      <c r="Y12">
        <v>1475.3</v>
      </c>
      <c r="Z12">
        <v>1511.1</v>
      </c>
      <c r="AA12">
        <v>1480.1999999999998</v>
      </c>
      <c r="AB12">
        <v>1480.8999999999999</v>
      </c>
      <c r="AC12">
        <v>1483.6</v>
      </c>
      <c r="AD12">
        <v>1479.6999999999998</v>
      </c>
      <c r="AE12">
        <v>1481.9</v>
      </c>
      <c r="AF12">
        <v>1497</v>
      </c>
      <c r="AG12">
        <v>1496.1</v>
      </c>
      <c r="AH12">
        <v>1497.1</v>
      </c>
      <c r="AI12">
        <v>1410.8</v>
      </c>
      <c r="AJ12">
        <v>1879.8</v>
      </c>
      <c r="AK12">
        <v>1975.5</v>
      </c>
      <c r="AL12">
        <v>2068.1999999999998</v>
      </c>
      <c r="AM12">
        <v>1918</v>
      </c>
      <c r="AN12">
        <v>1891.6</v>
      </c>
      <c r="AO12">
        <v>1391.8</v>
      </c>
      <c r="AP12">
        <v>1329.9</v>
      </c>
      <c r="AQ12">
        <v>1829.5</v>
      </c>
      <c r="AR12">
        <v>2320.6</v>
      </c>
      <c r="AS12">
        <v>2321</v>
      </c>
      <c r="AT12">
        <v>2212.5</v>
      </c>
      <c r="AU12">
        <v>2225.1</v>
      </c>
      <c r="AV12">
        <v>2225.3000000000002</v>
      </c>
      <c r="AW12">
        <v>2326.5</v>
      </c>
      <c r="AX12">
        <v>2540.6999999999998</v>
      </c>
      <c r="AY12">
        <v>2540.3000000000002</v>
      </c>
      <c r="AZ12">
        <v>2549.1999999999998</v>
      </c>
      <c r="BA12">
        <v>2547.5</v>
      </c>
      <c r="BB12">
        <v>2446.8000000000002</v>
      </c>
      <c r="BC12">
        <v>2450.6</v>
      </c>
      <c r="BD12">
        <v>2450.1999999999998</v>
      </c>
      <c r="BE12">
        <v>2424.9</v>
      </c>
      <c r="BF12">
        <v>2426.6</v>
      </c>
      <c r="BG12">
        <v>1919.3</v>
      </c>
      <c r="BH12">
        <v>1432.3</v>
      </c>
      <c r="BI12">
        <v>8239.2000000000007</v>
      </c>
      <c r="BJ12">
        <v>7702.2000000000007</v>
      </c>
      <c r="BK12">
        <v>7636.5</v>
      </c>
      <c r="BL12">
        <v>8658.7000000000007</v>
      </c>
      <c r="BM12">
        <v>10415.300000000001</v>
      </c>
      <c r="BN12">
        <v>9889.4</v>
      </c>
      <c r="BO12">
        <v>10643.199999999999</v>
      </c>
      <c r="BP12">
        <v>11102.8</v>
      </c>
      <c r="BQ12">
        <v>11356.1</v>
      </c>
      <c r="BR12">
        <v>11589.4</v>
      </c>
      <c r="BS12">
        <v>2160.6</v>
      </c>
      <c r="BT12">
        <v>2073.3000000000002</v>
      </c>
      <c r="BU12">
        <v>1973.1</v>
      </c>
      <c r="BV12">
        <v>1974.2</v>
      </c>
      <c r="BW12">
        <v>1993.4</v>
      </c>
      <c r="BX12">
        <v>1984.3999999999999</v>
      </c>
      <c r="BY12">
        <v>1983.4</v>
      </c>
    </row>
    <row r="13" spans="2:77" x14ac:dyDescent="0.25">
      <c r="B13">
        <v>10782.7</v>
      </c>
      <c r="C13">
        <v>12108.7</v>
      </c>
      <c r="D13">
        <v>12252</v>
      </c>
      <c r="E13">
        <v>12638.100000000002</v>
      </c>
      <c r="F13">
        <v>13165.099999999999</v>
      </c>
      <c r="G13">
        <v>13380.1</v>
      </c>
      <c r="H13">
        <v>13909.300000000001</v>
      </c>
      <c r="I13">
        <v>14228.000000000002</v>
      </c>
      <c r="J13">
        <v>14605.1</v>
      </c>
      <c r="K13">
        <v>14961.5</v>
      </c>
      <c r="L13">
        <v>14963.099999999999</v>
      </c>
      <c r="M13">
        <v>14989.5</v>
      </c>
      <c r="N13">
        <v>14680.199999999997</v>
      </c>
      <c r="O13">
        <v>15863.999999999998</v>
      </c>
      <c r="P13">
        <v>15892.600000000002</v>
      </c>
      <c r="Q13">
        <v>16293.3</v>
      </c>
      <c r="R13">
        <v>16490.599999999999</v>
      </c>
      <c r="S13">
        <v>16979.599999999999</v>
      </c>
      <c r="T13">
        <v>16894.699999999997</v>
      </c>
      <c r="U13">
        <v>17063.100000000002</v>
      </c>
      <c r="V13">
        <v>16919.599999999999</v>
      </c>
      <c r="W13">
        <v>17042.300000000003</v>
      </c>
      <c r="X13">
        <v>17203.899999999998</v>
      </c>
      <c r="Y13">
        <v>17435.099999999999</v>
      </c>
      <c r="Z13">
        <v>17348.2</v>
      </c>
      <c r="AA13">
        <v>18440.599999999999</v>
      </c>
      <c r="AB13">
        <v>18451.899999999998</v>
      </c>
      <c r="AC13">
        <v>18866.7</v>
      </c>
      <c r="AD13">
        <v>19302.599999999999</v>
      </c>
      <c r="AE13">
        <v>19667.099999999999</v>
      </c>
      <c r="AF13">
        <v>19961.3</v>
      </c>
      <c r="AG13">
        <v>20572.399999999998</v>
      </c>
      <c r="AH13">
        <v>20936.100000000002</v>
      </c>
      <c r="AI13">
        <v>21324.400000000001</v>
      </c>
      <c r="AJ13">
        <v>22003.8</v>
      </c>
      <c r="AK13">
        <v>22467.1</v>
      </c>
      <c r="AL13">
        <v>22691.9</v>
      </c>
      <c r="AM13">
        <v>24065.300000000003</v>
      </c>
      <c r="AN13">
        <v>23815.4</v>
      </c>
      <c r="AO13">
        <v>24184.600000000006</v>
      </c>
      <c r="AP13">
        <v>24806.799999999999</v>
      </c>
      <c r="AQ13">
        <v>25464.1</v>
      </c>
      <c r="AR13">
        <v>26329.3</v>
      </c>
      <c r="AS13">
        <v>26982.399999999998</v>
      </c>
      <c r="AT13">
        <v>27970.900000000009</v>
      </c>
      <c r="AU13">
        <v>28941.400000000005</v>
      </c>
      <c r="AV13">
        <v>28736.2</v>
      </c>
      <c r="AW13">
        <v>29328.300000000003</v>
      </c>
      <c r="AX13">
        <v>29899.499999999996</v>
      </c>
      <c r="AY13">
        <v>31274.699999999997</v>
      </c>
      <c r="AZ13">
        <v>30566</v>
      </c>
      <c r="BA13">
        <v>31321</v>
      </c>
      <c r="BB13">
        <v>34272.299999999996</v>
      </c>
      <c r="BC13">
        <v>34326.699999999997</v>
      </c>
      <c r="BD13">
        <v>34511.9</v>
      </c>
      <c r="BE13">
        <v>35043.600000000006</v>
      </c>
      <c r="BF13">
        <v>35545.100000000006</v>
      </c>
      <c r="BG13">
        <v>35564.5</v>
      </c>
      <c r="BH13">
        <v>35968.500000000007</v>
      </c>
      <c r="BI13">
        <v>42184.5</v>
      </c>
      <c r="BJ13">
        <v>40423.30000000001</v>
      </c>
      <c r="BK13">
        <v>40148.300000000003</v>
      </c>
      <c r="BL13">
        <v>40702.400000000001</v>
      </c>
      <c r="BM13">
        <v>41481</v>
      </c>
      <c r="BN13">
        <v>42090.400000000009</v>
      </c>
      <c r="BO13">
        <v>42116.4</v>
      </c>
      <c r="BP13">
        <v>41886.100000000006</v>
      </c>
      <c r="BQ13">
        <v>28668.7</v>
      </c>
      <c r="BR13">
        <v>28881.199999999997</v>
      </c>
      <c r="BS13">
        <v>29606.899999999998</v>
      </c>
      <c r="BT13">
        <v>42735.199999999997</v>
      </c>
      <c r="BU13">
        <v>43434.400000000001</v>
      </c>
      <c r="BV13">
        <v>43825.5</v>
      </c>
      <c r="BW13">
        <v>44130.400000000001</v>
      </c>
      <c r="BX13">
        <v>45053.69999999999</v>
      </c>
      <c r="BY13">
        <v>46898.5</v>
      </c>
    </row>
    <row r="14" spans="2:77" s="52" customFormat="1" x14ac:dyDescent="0.25">
      <c r="B14" s="52">
        <f>+B13+B12</f>
        <v>11788.7</v>
      </c>
      <c r="C14" s="52">
        <f t="shared" ref="C14:BN14" si="4">+C13+C12</f>
        <v>13783.6</v>
      </c>
      <c r="D14" s="52">
        <f t="shared" si="4"/>
        <v>14423.4</v>
      </c>
      <c r="E14" s="52">
        <f t="shared" si="4"/>
        <v>14452.500000000002</v>
      </c>
      <c r="F14" s="52">
        <f t="shared" si="4"/>
        <v>14980.099999999999</v>
      </c>
      <c r="G14" s="52">
        <f t="shared" si="4"/>
        <v>15560.1</v>
      </c>
      <c r="H14" s="52">
        <f t="shared" si="4"/>
        <v>16086.900000000001</v>
      </c>
      <c r="I14" s="52">
        <f t="shared" si="4"/>
        <v>16405.7</v>
      </c>
      <c r="J14" s="52">
        <f t="shared" si="4"/>
        <v>16709.2</v>
      </c>
      <c r="K14" s="52">
        <f t="shared" si="4"/>
        <v>16990.099999999999</v>
      </c>
      <c r="L14" s="52">
        <f t="shared" si="4"/>
        <v>16990.899999999998</v>
      </c>
      <c r="M14" s="52">
        <f t="shared" si="4"/>
        <v>17018.2</v>
      </c>
      <c r="N14" s="52">
        <f t="shared" si="4"/>
        <v>16713.399999999998</v>
      </c>
      <c r="O14" s="52">
        <f t="shared" si="4"/>
        <v>17896.5</v>
      </c>
      <c r="P14" s="52">
        <f t="shared" si="4"/>
        <v>17924.7</v>
      </c>
      <c r="Q14" s="52">
        <f t="shared" si="4"/>
        <v>18414.5</v>
      </c>
      <c r="R14" s="52">
        <f t="shared" si="4"/>
        <v>18411.899999999998</v>
      </c>
      <c r="S14" s="52">
        <f t="shared" si="4"/>
        <v>18900</v>
      </c>
      <c r="T14" s="52">
        <f t="shared" si="4"/>
        <v>18869.799999999996</v>
      </c>
      <c r="U14" s="52">
        <f t="shared" si="4"/>
        <v>19038.900000000001</v>
      </c>
      <c r="V14" s="52">
        <f t="shared" si="4"/>
        <v>18396</v>
      </c>
      <c r="W14" s="52">
        <f t="shared" si="4"/>
        <v>18518.100000000002</v>
      </c>
      <c r="X14" s="52">
        <f t="shared" si="4"/>
        <v>18679.999999999996</v>
      </c>
      <c r="Y14" s="52">
        <f t="shared" si="4"/>
        <v>18910.399999999998</v>
      </c>
      <c r="Z14" s="52">
        <f t="shared" si="4"/>
        <v>18859.3</v>
      </c>
      <c r="AA14" s="52">
        <f t="shared" si="4"/>
        <v>19920.8</v>
      </c>
      <c r="AB14" s="52">
        <f t="shared" si="4"/>
        <v>19932.8</v>
      </c>
      <c r="AC14" s="52">
        <f t="shared" si="4"/>
        <v>20350.3</v>
      </c>
      <c r="AD14" s="52">
        <f t="shared" si="4"/>
        <v>20782.3</v>
      </c>
      <c r="AE14" s="52">
        <f t="shared" si="4"/>
        <v>21149</v>
      </c>
      <c r="AF14" s="52">
        <f t="shared" si="4"/>
        <v>21458.3</v>
      </c>
      <c r="AG14" s="52">
        <f t="shared" si="4"/>
        <v>22068.499999999996</v>
      </c>
      <c r="AH14" s="52">
        <f t="shared" si="4"/>
        <v>22433.200000000001</v>
      </c>
      <c r="AI14" s="52">
        <f t="shared" si="4"/>
        <v>22735.200000000001</v>
      </c>
      <c r="AJ14" s="52">
        <f t="shared" si="4"/>
        <v>23883.599999999999</v>
      </c>
      <c r="AK14" s="52">
        <f t="shared" si="4"/>
        <v>24442.6</v>
      </c>
      <c r="AL14" s="52">
        <f t="shared" si="4"/>
        <v>24760.100000000002</v>
      </c>
      <c r="AM14" s="52">
        <f t="shared" si="4"/>
        <v>25983.300000000003</v>
      </c>
      <c r="AN14" s="52">
        <f t="shared" si="4"/>
        <v>25707</v>
      </c>
      <c r="AO14" s="52">
        <f t="shared" si="4"/>
        <v>25576.400000000005</v>
      </c>
      <c r="AP14" s="52">
        <f t="shared" si="4"/>
        <v>26136.7</v>
      </c>
      <c r="AQ14" s="52">
        <f t="shared" si="4"/>
        <v>27293.599999999999</v>
      </c>
      <c r="AR14" s="52">
        <f t="shared" si="4"/>
        <v>28649.899999999998</v>
      </c>
      <c r="AS14" s="52">
        <f t="shared" si="4"/>
        <v>29303.399999999998</v>
      </c>
      <c r="AT14" s="52">
        <f t="shared" si="4"/>
        <v>30183.400000000009</v>
      </c>
      <c r="AU14" s="52">
        <f t="shared" si="4"/>
        <v>31166.500000000004</v>
      </c>
      <c r="AV14" s="52">
        <f t="shared" si="4"/>
        <v>30961.5</v>
      </c>
      <c r="AW14" s="52">
        <f t="shared" si="4"/>
        <v>31654.800000000003</v>
      </c>
      <c r="AX14" s="52">
        <f t="shared" si="4"/>
        <v>32440.199999999997</v>
      </c>
      <c r="AY14" s="52">
        <f t="shared" si="4"/>
        <v>33815</v>
      </c>
      <c r="AZ14" s="52">
        <f t="shared" si="4"/>
        <v>33115.199999999997</v>
      </c>
      <c r="BA14" s="52">
        <f t="shared" si="4"/>
        <v>33868.5</v>
      </c>
      <c r="BB14" s="52">
        <f t="shared" si="4"/>
        <v>36719.1</v>
      </c>
      <c r="BC14" s="52">
        <f t="shared" si="4"/>
        <v>36777.299999999996</v>
      </c>
      <c r="BD14" s="52">
        <f t="shared" si="4"/>
        <v>36962.1</v>
      </c>
      <c r="BE14" s="52">
        <f t="shared" si="4"/>
        <v>37468.500000000007</v>
      </c>
      <c r="BF14" s="52">
        <f t="shared" si="4"/>
        <v>37971.700000000004</v>
      </c>
      <c r="BG14" s="52">
        <f t="shared" si="4"/>
        <v>37483.800000000003</v>
      </c>
      <c r="BH14" s="52">
        <f t="shared" si="4"/>
        <v>37400.80000000001</v>
      </c>
      <c r="BI14" s="52">
        <f t="shared" si="4"/>
        <v>50423.7</v>
      </c>
      <c r="BJ14" s="52">
        <f t="shared" si="4"/>
        <v>48125.500000000015</v>
      </c>
      <c r="BK14" s="52">
        <f t="shared" si="4"/>
        <v>47784.800000000003</v>
      </c>
      <c r="BL14" s="52">
        <f t="shared" si="4"/>
        <v>49361.100000000006</v>
      </c>
      <c r="BM14" s="52">
        <f t="shared" si="4"/>
        <v>51896.3</v>
      </c>
      <c r="BN14" s="52">
        <f t="shared" si="4"/>
        <v>51979.80000000001</v>
      </c>
      <c r="BO14" s="52">
        <f t="shared" ref="BO14:BY14" si="5">+BO13+BO12</f>
        <v>52759.6</v>
      </c>
      <c r="BP14" s="52">
        <f t="shared" si="5"/>
        <v>52988.900000000009</v>
      </c>
      <c r="BQ14" s="52">
        <f t="shared" si="5"/>
        <v>40024.800000000003</v>
      </c>
      <c r="BR14" s="52">
        <f t="shared" si="5"/>
        <v>40470.6</v>
      </c>
      <c r="BS14" s="52">
        <f t="shared" si="5"/>
        <v>31767.499999999996</v>
      </c>
      <c r="BT14" s="52">
        <f t="shared" si="5"/>
        <v>44808.5</v>
      </c>
      <c r="BU14" s="52">
        <f t="shared" si="5"/>
        <v>45407.5</v>
      </c>
      <c r="BV14" s="52">
        <f t="shared" si="5"/>
        <v>45799.7</v>
      </c>
      <c r="BW14" s="52">
        <f t="shared" si="5"/>
        <v>46123.8</v>
      </c>
      <c r="BX14" s="52">
        <f t="shared" si="5"/>
        <v>47038.099999999991</v>
      </c>
      <c r="BY14" s="52">
        <f t="shared" si="5"/>
        <v>48881.9</v>
      </c>
    </row>
    <row r="16" spans="2:77" x14ac:dyDescent="0.25">
      <c r="B16">
        <v>360.5</v>
      </c>
      <c r="C16">
        <v>360.5</v>
      </c>
      <c r="D16">
        <v>360.5</v>
      </c>
      <c r="E16">
        <v>360.5</v>
      </c>
      <c r="F16">
        <v>360.5</v>
      </c>
      <c r="G16">
        <v>360.5</v>
      </c>
      <c r="H16">
        <v>360.5</v>
      </c>
      <c r="I16">
        <v>360.5</v>
      </c>
      <c r="J16">
        <v>360.5</v>
      </c>
      <c r="K16">
        <v>360.5</v>
      </c>
      <c r="L16">
        <v>360.5</v>
      </c>
      <c r="M16">
        <v>360.5</v>
      </c>
      <c r="N16">
        <v>353.3</v>
      </c>
      <c r="O16">
        <v>353.3</v>
      </c>
      <c r="P16">
        <v>353.3</v>
      </c>
      <c r="Q16">
        <v>353.3</v>
      </c>
      <c r="R16">
        <v>353.3</v>
      </c>
      <c r="S16">
        <v>353.3</v>
      </c>
      <c r="T16">
        <v>353.3</v>
      </c>
      <c r="U16">
        <v>353.3</v>
      </c>
      <c r="V16">
        <v>353.3</v>
      </c>
      <c r="W16">
        <v>353.3</v>
      </c>
      <c r="X16">
        <v>353.3</v>
      </c>
      <c r="Y16">
        <v>353.3</v>
      </c>
      <c r="Z16">
        <v>346</v>
      </c>
      <c r="AA16">
        <v>346</v>
      </c>
      <c r="AB16">
        <v>346</v>
      </c>
      <c r="AC16">
        <v>346</v>
      </c>
      <c r="AD16">
        <v>346</v>
      </c>
      <c r="AE16">
        <v>346</v>
      </c>
      <c r="AF16">
        <v>346</v>
      </c>
      <c r="AG16">
        <v>346</v>
      </c>
      <c r="AH16">
        <v>346</v>
      </c>
      <c r="AI16">
        <v>346</v>
      </c>
      <c r="AJ16">
        <v>346</v>
      </c>
      <c r="AK16">
        <v>346</v>
      </c>
      <c r="AL16">
        <v>331.2</v>
      </c>
      <c r="AM16">
        <v>331.2</v>
      </c>
      <c r="AN16">
        <v>331.2</v>
      </c>
      <c r="AO16">
        <v>331.2</v>
      </c>
      <c r="AP16">
        <v>331.2</v>
      </c>
      <c r="AQ16">
        <v>331.2</v>
      </c>
      <c r="AR16">
        <v>331.2</v>
      </c>
      <c r="AS16">
        <v>331.2</v>
      </c>
      <c r="AT16">
        <v>331.2</v>
      </c>
      <c r="AU16">
        <v>331.2</v>
      </c>
      <c r="AV16">
        <v>331.2</v>
      </c>
      <c r="AW16">
        <v>331.2</v>
      </c>
      <c r="AX16">
        <v>331.2</v>
      </c>
      <c r="AY16">
        <v>331.2</v>
      </c>
      <c r="AZ16">
        <v>331.2</v>
      </c>
      <c r="BA16">
        <v>331.2</v>
      </c>
      <c r="BB16">
        <v>331.2</v>
      </c>
      <c r="BC16">
        <v>331.2</v>
      </c>
      <c r="BD16">
        <v>331.2</v>
      </c>
      <c r="BE16">
        <v>331.2</v>
      </c>
      <c r="BF16">
        <v>331.2</v>
      </c>
      <c r="BG16">
        <v>331.2</v>
      </c>
      <c r="BH16">
        <v>331.2</v>
      </c>
      <c r="BI16">
        <v>331.2</v>
      </c>
      <c r="BJ16">
        <v>331.2</v>
      </c>
      <c r="BK16">
        <v>331.2</v>
      </c>
      <c r="BL16">
        <v>331.2</v>
      </c>
      <c r="BM16">
        <v>331.2</v>
      </c>
      <c r="BN16">
        <v>331.2</v>
      </c>
      <c r="BO16">
        <v>331.2</v>
      </c>
      <c r="BP16">
        <v>331.2</v>
      </c>
      <c r="BQ16">
        <v>331.2</v>
      </c>
      <c r="BR16">
        <v>331.2</v>
      </c>
      <c r="BS16">
        <v>331.2</v>
      </c>
      <c r="BT16">
        <v>331.2</v>
      </c>
      <c r="BU16">
        <v>331.2</v>
      </c>
      <c r="BV16">
        <v>331.2</v>
      </c>
      <c r="BW16">
        <v>331.2</v>
      </c>
      <c r="BX16">
        <v>331.2</v>
      </c>
      <c r="BY16">
        <v>331.2</v>
      </c>
    </row>
    <row r="17" spans="2:77" x14ac:dyDescent="0.25">
      <c r="B17">
        <v>989.7</v>
      </c>
      <c r="C17">
        <v>989.7</v>
      </c>
      <c r="D17">
        <v>989.7</v>
      </c>
      <c r="E17">
        <v>1057</v>
      </c>
      <c r="F17">
        <v>730.3</v>
      </c>
      <c r="G17">
        <v>730.3</v>
      </c>
      <c r="H17">
        <v>751.8</v>
      </c>
      <c r="I17">
        <v>751.8</v>
      </c>
      <c r="J17">
        <v>751.8</v>
      </c>
      <c r="K17">
        <v>722</v>
      </c>
      <c r="L17">
        <v>722</v>
      </c>
      <c r="M17">
        <v>722</v>
      </c>
      <c r="N17">
        <v>734.6</v>
      </c>
      <c r="O17">
        <v>734.6</v>
      </c>
      <c r="P17">
        <v>734.6</v>
      </c>
      <c r="Q17">
        <v>773.6</v>
      </c>
      <c r="R17">
        <v>427.6</v>
      </c>
      <c r="S17">
        <v>427.6</v>
      </c>
      <c r="T17">
        <v>414.3</v>
      </c>
      <c r="U17">
        <v>414.3</v>
      </c>
      <c r="V17">
        <v>414.3</v>
      </c>
      <c r="W17">
        <v>414.3</v>
      </c>
      <c r="X17">
        <v>414.3</v>
      </c>
      <c r="Y17">
        <v>414.3</v>
      </c>
      <c r="Z17">
        <v>466.8</v>
      </c>
      <c r="AA17">
        <v>466.8</v>
      </c>
      <c r="AB17">
        <v>466.8</v>
      </c>
      <c r="AC17">
        <v>460.9</v>
      </c>
      <c r="AD17">
        <v>460.9</v>
      </c>
      <c r="AE17">
        <v>460.9</v>
      </c>
      <c r="AF17">
        <v>459.1</v>
      </c>
      <c r="AG17">
        <v>459.1</v>
      </c>
      <c r="AH17">
        <v>459.1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</row>
    <row r="18" spans="2:77" s="52" customFormat="1" x14ac:dyDescent="0.25">
      <c r="B18" s="52">
        <f>+B16+B17</f>
        <v>1350.2</v>
      </c>
      <c r="C18" s="52">
        <f t="shared" ref="C18:BN18" si="6">+C16+C17</f>
        <v>1350.2</v>
      </c>
      <c r="D18" s="52">
        <f t="shared" si="6"/>
        <v>1350.2</v>
      </c>
      <c r="E18" s="52">
        <f t="shared" si="6"/>
        <v>1417.5</v>
      </c>
      <c r="F18" s="52">
        <f t="shared" si="6"/>
        <v>1090.8</v>
      </c>
      <c r="G18" s="52">
        <f t="shared" si="6"/>
        <v>1090.8</v>
      </c>
      <c r="H18" s="52">
        <f t="shared" si="6"/>
        <v>1112.3</v>
      </c>
      <c r="I18" s="52">
        <f t="shared" si="6"/>
        <v>1112.3</v>
      </c>
      <c r="J18" s="52">
        <f t="shared" si="6"/>
        <v>1112.3</v>
      </c>
      <c r="K18" s="52">
        <f t="shared" si="6"/>
        <v>1082.5</v>
      </c>
      <c r="L18" s="52">
        <f t="shared" si="6"/>
        <v>1082.5</v>
      </c>
      <c r="M18" s="52">
        <f t="shared" si="6"/>
        <v>1082.5</v>
      </c>
      <c r="N18" s="52">
        <f t="shared" si="6"/>
        <v>1087.9000000000001</v>
      </c>
      <c r="O18" s="52">
        <f t="shared" si="6"/>
        <v>1087.9000000000001</v>
      </c>
      <c r="P18" s="52">
        <f t="shared" si="6"/>
        <v>1087.9000000000001</v>
      </c>
      <c r="Q18" s="52">
        <f t="shared" si="6"/>
        <v>1126.9000000000001</v>
      </c>
      <c r="R18" s="52">
        <f t="shared" si="6"/>
        <v>780.90000000000009</v>
      </c>
      <c r="S18" s="52">
        <f t="shared" si="6"/>
        <v>780.90000000000009</v>
      </c>
      <c r="T18" s="52">
        <f t="shared" si="6"/>
        <v>767.6</v>
      </c>
      <c r="U18" s="52">
        <f t="shared" si="6"/>
        <v>767.6</v>
      </c>
      <c r="V18" s="52">
        <f t="shared" si="6"/>
        <v>767.6</v>
      </c>
      <c r="W18" s="52">
        <f t="shared" si="6"/>
        <v>767.6</v>
      </c>
      <c r="X18" s="52">
        <f t="shared" si="6"/>
        <v>767.6</v>
      </c>
      <c r="Y18" s="52">
        <f t="shared" si="6"/>
        <v>767.6</v>
      </c>
      <c r="Z18" s="52">
        <f t="shared" si="6"/>
        <v>812.8</v>
      </c>
      <c r="AA18" s="52">
        <f t="shared" si="6"/>
        <v>812.8</v>
      </c>
      <c r="AB18" s="52">
        <f t="shared" si="6"/>
        <v>812.8</v>
      </c>
      <c r="AC18" s="52">
        <f t="shared" si="6"/>
        <v>806.9</v>
      </c>
      <c r="AD18" s="52">
        <f t="shared" si="6"/>
        <v>806.9</v>
      </c>
      <c r="AE18" s="52">
        <f t="shared" si="6"/>
        <v>806.9</v>
      </c>
      <c r="AF18" s="52">
        <f t="shared" si="6"/>
        <v>805.1</v>
      </c>
      <c r="AG18" s="52">
        <f t="shared" si="6"/>
        <v>805.1</v>
      </c>
      <c r="AH18" s="52">
        <f t="shared" si="6"/>
        <v>805.1</v>
      </c>
      <c r="AI18" s="52">
        <f t="shared" si="6"/>
        <v>346</v>
      </c>
      <c r="AJ18" s="52">
        <f t="shared" si="6"/>
        <v>346</v>
      </c>
      <c r="AK18" s="52">
        <f t="shared" si="6"/>
        <v>346</v>
      </c>
      <c r="AL18" s="52">
        <f t="shared" si="6"/>
        <v>331.2</v>
      </c>
      <c r="AM18" s="52">
        <f t="shared" si="6"/>
        <v>331.2</v>
      </c>
      <c r="AN18" s="52">
        <f t="shared" si="6"/>
        <v>331.2</v>
      </c>
      <c r="AO18" s="52">
        <f t="shared" si="6"/>
        <v>331.2</v>
      </c>
      <c r="AP18" s="52">
        <f t="shared" si="6"/>
        <v>331.2</v>
      </c>
      <c r="AQ18" s="52">
        <f t="shared" si="6"/>
        <v>331.2</v>
      </c>
      <c r="AR18" s="52">
        <f t="shared" si="6"/>
        <v>331.2</v>
      </c>
      <c r="AS18" s="52">
        <f t="shared" si="6"/>
        <v>331.2</v>
      </c>
      <c r="AT18" s="52">
        <f t="shared" si="6"/>
        <v>331.2</v>
      </c>
      <c r="AU18" s="52">
        <f t="shared" si="6"/>
        <v>331.2</v>
      </c>
      <c r="AV18" s="52">
        <f t="shared" si="6"/>
        <v>331.2</v>
      </c>
      <c r="AW18" s="52">
        <f t="shared" si="6"/>
        <v>331.2</v>
      </c>
      <c r="AX18" s="52">
        <f t="shared" si="6"/>
        <v>331.2</v>
      </c>
      <c r="AY18" s="52">
        <f t="shared" si="6"/>
        <v>331.2</v>
      </c>
      <c r="AZ18" s="52">
        <f t="shared" si="6"/>
        <v>331.2</v>
      </c>
      <c r="BA18" s="52">
        <f t="shared" si="6"/>
        <v>331.2</v>
      </c>
      <c r="BB18" s="52">
        <f t="shared" si="6"/>
        <v>331.2</v>
      </c>
      <c r="BC18" s="52">
        <f t="shared" si="6"/>
        <v>331.2</v>
      </c>
      <c r="BD18" s="52">
        <f t="shared" si="6"/>
        <v>331.2</v>
      </c>
      <c r="BE18" s="52">
        <f t="shared" si="6"/>
        <v>331.2</v>
      </c>
      <c r="BF18" s="52">
        <f t="shared" si="6"/>
        <v>331.2</v>
      </c>
      <c r="BG18" s="52">
        <f t="shared" si="6"/>
        <v>331.2</v>
      </c>
      <c r="BH18" s="52">
        <f t="shared" si="6"/>
        <v>331.2</v>
      </c>
      <c r="BI18" s="52">
        <f t="shared" si="6"/>
        <v>331.2</v>
      </c>
      <c r="BJ18" s="52">
        <f t="shared" si="6"/>
        <v>331.2</v>
      </c>
      <c r="BK18" s="52">
        <f t="shared" si="6"/>
        <v>331.2</v>
      </c>
      <c r="BL18" s="52">
        <f t="shared" si="6"/>
        <v>331.2</v>
      </c>
      <c r="BM18" s="52">
        <f t="shared" si="6"/>
        <v>331.2</v>
      </c>
      <c r="BN18" s="52">
        <f t="shared" si="6"/>
        <v>331.2</v>
      </c>
      <c r="BO18" s="52">
        <f t="shared" ref="BO18:BY18" si="7">+BO16+BO17</f>
        <v>331.2</v>
      </c>
      <c r="BP18" s="52">
        <f t="shared" si="7"/>
        <v>331.2</v>
      </c>
      <c r="BQ18" s="52">
        <f t="shared" si="7"/>
        <v>331.2</v>
      </c>
      <c r="BR18" s="52">
        <f t="shared" si="7"/>
        <v>331.2</v>
      </c>
      <c r="BS18" s="52">
        <f t="shared" si="7"/>
        <v>331.2</v>
      </c>
      <c r="BT18" s="52">
        <f t="shared" si="7"/>
        <v>331.2</v>
      </c>
      <c r="BU18" s="52">
        <f t="shared" si="7"/>
        <v>331.2</v>
      </c>
      <c r="BV18" s="52">
        <f t="shared" si="7"/>
        <v>331.2</v>
      </c>
      <c r="BW18" s="52">
        <f t="shared" si="7"/>
        <v>331.2</v>
      </c>
      <c r="BX18" s="52">
        <f t="shared" si="7"/>
        <v>331.2</v>
      </c>
      <c r="BY18" s="52">
        <f t="shared" si="7"/>
        <v>331.2</v>
      </c>
    </row>
    <row r="20" spans="2:77" x14ac:dyDescent="0.25">
      <c r="B20">
        <v>10907.5</v>
      </c>
      <c r="C20">
        <v>10920.9</v>
      </c>
      <c r="D20">
        <v>10993</v>
      </c>
      <c r="E20">
        <v>10790.1</v>
      </c>
      <c r="F20">
        <v>12236.9</v>
      </c>
      <c r="G20">
        <v>12239.1</v>
      </c>
      <c r="H20">
        <v>12240.900000000001</v>
      </c>
      <c r="I20">
        <v>12289.900000000001</v>
      </c>
      <c r="J20">
        <v>12302.2</v>
      </c>
      <c r="K20">
        <v>12483</v>
      </c>
      <c r="L20">
        <v>12586.5</v>
      </c>
      <c r="M20">
        <v>12616.900000000001</v>
      </c>
      <c r="N20">
        <v>12594.100000000002</v>
      </c>
      <c r="O20">
        <v>12662.400000000001</v>
      </c>
      <c r="P20">
        <v>12652.000000000002</v>
      </c>
      <c r="Q20">
        <v>13410.800000000001</v>
      </c>
      <c r="R20">
        <v>13304.5</v>
      </c>
      <c r="S20">
        <v>13423.7</v>
      </c>
      <c r="T20">
        <v>13507.6</v>
      </c>
      <c r="U20">
        <v>13508.8</v>
      </c>
      <c r="V20">
        <v>14321.099999999997</v>
      </c>
      <c r="W20">
        <v>14482.199999999999</v>
      </c>
      <c r="X20">
        <v>14560.699999999997</v>
      </c>
      <c r="Y20">
        <v>14624.399999999998</v>
      </c>
      <c r="Z20">
        <v>14709.8</v>
      </c>
      <c r="AA20">
        <v>14784.299999999997</v>
      </c>
      <c r="AB20">
        <v>15125.099999999999</v>
      </c>
      <c r="AC20">
        <v>15651.899999999998</v>
      </c>
      <c r="AD20">
        <v>15870.999999999998</v>
      </c>
      <c r="AE20">
        <v>16044.899999999998</v>
      </c>
      <c r="AF20">
        <v>16074.599999999999</v>
      </c>
      <c r="AG20">
        <v>16644.899999999998</v>
      </c>
      <c r="AH20">
        <v>17079.399999999998</v>
      </c>
      <c r="AI20">
        <v>17059.8</v>
      </c>
      <c r="AJ20">
        <v>16817.899999999998</v>
      </c>
      <c r="AK20">
        <v>16858.099999999999</v>
      </c>
      <c r="AL20">
        <v>16324.9</v>
      </c>
      <c r="AM20">
        <v>16640</v>
      </c>
      <c r="AN20">
        <v>16759.699999999997</v>
      </c>
      <c r="AO20">
        <v>17534.899999999998</v>
      </c>
      <c r="AP20">
        <v>17389.899999999998</v>
      </c>
      <c r="AQ20">
        <v>17622.199999999997</v>
      </c>
      <c r="AR20">
        <v>18043.599999999999</v>
      </c>
      <c r="AS20">
        <v>18869.5</v>
      </c>
      <c r="AT20">
        <v>19096.5</v>
      </c>
      <c r="AU20">
        <v>19511.399999999998</v>
      </c>
      <c r="AV20">
        <v>19455.2</v>
      </c>
      <c r="AW20">
        <v>19529.7</v>
      </c>
      <c r="AX20">
        <v>20549.899999999998</v>
      </c>
      <c r="AY20">
        <v>20795.199999999997</v>
      </c>
      <c r="AZ20">
        <v>20918.899999999998</v>
      </c>
      <c r="BA20">
        <v>21203.5</v>
      </c>
      <c r="BB20">
        <v>21439.8</v>
      </c>
      <c r="BC20">
        <v>21510.699999999997</v>
      </c>
      <c r="BD20">
        <v>21645.5</v>
      </c>
      <c r="BE20">
        <v>21649.9</v>
      </c>
      <c r="BF20">
        <v>22334.400000000001</v>
      </c>
      <c r="BG20">
        <v>21877.1</v>
      </c>
      <c r="BH20">
        <v>21714.799999999999</v>
      </c>
      <c r="BI20">
        <v>22120.6</v>
      </c>
      <c r="BJ20">
        <v>22032</v>
      </c>
      <c r="BK20">
        <v>22229.5</v>
      </c>
      <c r="BL20">
        <v>22697.5</v>
      </c>
      <c r="BM20">
        <v>23741.599999999999</v>
      </c>
      <c r="BN20">
        <v>24221.1</v>
      </c>
      <c r="BO20">
        <v>24356.400000000001</v>
      </c>
      <c r="BP20">
        <v>24347</v>
      </c>
      <c r="BQ20">
        <v>24303</v>
      </c>
      <c r="BR20">
        <v>25026.799999999999</v>
      </c>
      <c r="BS20">
        <v>25049.5</v>
      </c>
      <c r="BT20">
        <v>25020.999999999996</v>
      </c>
      <c r="BU20">
        <v>25381.1</v>
      </c>
      <c r="BV20">
        <v>26602</v>
      </c>
      <c r="BW20">
        <v>26961.199999999997</v>
      </c>
      <c r="BX20">
        <v>25047.599999999999</v>
      </c>
      <c r="BY20">
        <v>24788.600000000002</v>
      </c>
    </row>
    <row r="21" spans="2:77" x14ac:dyDescent="0.25">
      <c r="B21">
        <v>-149</v>
      </c>
      <c r="C21">
        <v>-62.599999999999994</v>
      </c>
      <c r="D21">
        <v>-2.4000000000000057</v>
      </c>
      <c r="E21">
        <v>245.3</v>
      </c>
      <c r="F21">
        <v>261.3</v>
      </c>
      <c r="G21">
        <v>360.7</v>
      </c>
      <c r="H21">
        <v>512.20000000000005</v>
      </c>
      <c r="I21">
        <v>473.4</v>
      </c>
      <c r="J21">
        <v>565.20000000000005</v>
      </c>
      <c r="K21">
        <v>645.6</v>
      </c>
      <c r="L21">
        <v>754.4</v>
      </c>
      <c r="M21">
        <v>834</v>
      </c>
      <c r="N21">
        <v>945.2</v>
      </c>
      <c r="O21">
        <v>1000</v>
      </c>
      <c r="P21">
        <v>1119.5999999999999</v>
      </c>
      <c r="Q21">
        <v>208.5</v>
      </c>
      <c r="R21">
        <v>371.4</v>
      </c>
      <c r="S21">
        <v>381.1</v>
      </c>
      <c r="T21">
        <v>446.1</v>
      </c>
      <c r="U21">
        <v>542.1</v>
      </c>
      <c r="V21">
        <v>591.9</v>
      </c>
      <c r="W21">
        <v>565.1</v>
      </c>
      <c r="X21">
        <v>621.1</v>
      </c>
      <c r="Y21">
        <v>655.6</v>
      </c>
      <c r="Z21">
        <v>581.79999999999995</v>
      </c>
      <c r="AA21">
        <v>621</v>
      </c>
      <c r="AB21">
        <v>337.4</v>
      </c>
      <c r="AC21">
        <v>-196.1</v>
      </c>
      <c r="AD21">
        <v>-239.4</v>
      </c>
      <c r="AE21">
        <v>-196.8</v>
      </c>
      <c r="AF21">
        <v>-45.5</v>
      </c>
      <c r="AG21">
        <v>2</v>
      </c>
      <c r="AH21">
        <v>-264.89999999999998</v>
      </c>
      <c r="AI21">
        <v>0</v>
      </c>
      <c r="AJ21">
        <v>329.8</v>
      </c>
      <c r="AK21">
        <v>443.7</v>
      </c>
      <c r="AL21">
        <v>1139.3</v>
      </c>
      <c r="AM21">
        <v>977.3</v>
      </c>
      <c r="AN21">
        <v>1030</v>
      </c>
      <c r="AO21">
        <v>60.3</v>
      </c>
      <c r="AP21">
        <v>307.10000000000002</v>
      </c>
      <c r="AQ21">
        <v>171.6</v>
      </c>
      <c r="AR21">
        <v>68.7</v>
      </c>
      <c r="AS21">
        <v>-377.6</v>
      </c>
      <c r="AT21">
        <v>-438.9</v>
      </c>
      <c r="AU21">
        <v>-676.8</v>
      </c>
      <c r="AV21">
        <v>-403.6</v>
      </c>
      <c r="AW21">
        <v>-103.8</v>
      </c>
      <c r="AX21">
        <v>200.6</v>
      </c>
      <c r="AY21">
        <v>199.6</v>
      </c>
      <c r="AZ21">
        <v>189.4</v>
      </c>
      <c r="BA21">
        <v>11.4</v>
      </c>
      <c r="BB21">
        <v>-60.9</v>
      </c>
      <c r="BC21">
        <v>-114.4</v>
      </c>
      <c r="BD21">
        <v>-350.3</v>
      </c>
      <c r="BE21">
        <v>-210.2</v>
      </c>
      <c r="BF21">
        <v>-255.6</v>
      </c>
      <c r="BG21">
        <v>257.89999999999998</v>
      </c>
      <c r="BH21">
        <v>420.9</v>
      </c>
      <c r="BI21">
        <v>1285.2</v>
      </c>
      <c r="BJ21">
        <v>1336.5</v>
      </c>
      <c r="BK21">
        <v>1344.3</v>
      </c>
      <c r="BL21">
        <v>1604.3</v>
      </c>
      <c r="BM21">
        <v>319.39999999999998</v>
      </c>
      <c r="BN21">
        <v>376.1</v>
      </c>
      <c r="BO21">
        <v>437.8</v>
      </c>
      <c r="BP21">
        <v>577.1</v>
      </c>
      <c r="BQ21">
        <v>764.6</v>
      </c>
      <c r="BR21">
        <v>875.4</v>
      </c>
      <c r="BS21">
        <v>1138.2</v>
      </c>
      <c r="BT21">
        <v>1356.9</v>
      </c>
      <c r="BU21">
        <v>1339.8</v>
      </c>
      <c r="BV21">
        <v>595.6</v>
      </c>
      <c r="BW21">
        <v>455.3</v>
      </c>
      <c r="BX21">
        <v>430.3</v>
      </c>
      <c r="BY21">
        <v>777.1</v>
      </c>
    </row>
    <row r="22" spans="2:77" x14ac:dyDescent="0.25">
      <c r="B22">
        <v>8388.5</v>
      </c>
      <c r="C22">
        <v>8451.4000000000015</v>
      </c>
      <c r="D22">
        <v>8498.2999999999993</v>
      </c>
      <c r="E22">
        <v>8430.6000000000022</v>
      </c>
      <c r="F22">
        <v>8490.6</v>
      </c>
      <c r="G22">
        <v>8730.0000000000018</v>
      </c>
      <c r="H22">
        <v>8886.5</v>
      </c>
      <c r="I22">
        <v>8958</v>
      </c>
      <c r="J22">
        <v>9071.4</v>
      </c>
      <c r="K22">
        <v>9247.5</v>
      </c>
      <c r="L22">
        <v>9537.7999999999993</v>
      </c>
      <c r="M22">
        <v>9661.5</v>
      </c>
      <c r="N22">
        <v>9670.9</v>
      </c>
      <c r="O22">
        <v>9725.5</v>
      </c>
      <c r="P22">
        <v>9864.7000000000007</v>
      </c>
      <c r="Q22">
        <v>9776.5000000000018</v>
      </c>
      <c r="R22">
        <v>9908.2999999999993</v>
      </c>
      <c r="S22">
        <v>10088.799999999999</v>
      </c>
      <c r="T22">
        <v>10122.700000000001</v>
      </c>
      <c r="U22">
        <v>10195.500000000002</v>
      </c>
      <c r="V22">
        <v>10277.700000000001</v>
      </c>
      <c r="W22">
        <v>10342.800000000001</v>
      </c>
      <c r="X22">
        <v>10543.6</v>
      </c>
      <c r="Y22">
        <v>10726.1</v>
      </c>
      <c r="Z22">
        <v>10875.2</v>
      </c>
      <c r="AA22">
        <v>10850.900000000001</v>
      </c>
      <c r="AB22">
        <v>10819.8</v>
      </c>
      <c r="AC22">
        <v>10746</v>
      </c>
      <c r="AD22">
        <v>10947</v>
      </c>
      <c r="AE22">
        <v>11257.5</v>
      </c>
      <c r="AF22">
        <v>11178.5</v>
      </c>
      <c r="AG22">
        <v>11263.599999999999</v>
      </c>
      <c r="AH22">
        <v>11232.199999999999</v>
      </c>
      <c r="AI22">
        <v>11456.4</v>
      </c>
      <c r="AJ22">
        <v>11636.399999999998</v>
      </c>
      <c r="AK22">
        <v>11799</v>
      </c>
      <c r="AL22">
        <v>12371.199999999999</v>
      </c>
      <c r="AM22">
        <v>12214.3</v>
      </c>
      <c r="AN22">
        <v>12242.199999999999</v>
      </c>
      <c r="AO22">
        <v>11694.6</v>
      </c>
      <c r="AP22">
        <v>11686.199999999999</v>
      </c>
      <c r="AQ22">
        <v>11731.1</v>
      </c>
      <c r="AR22">
        <v>11556.499999999998</v>
      </c>
      <c r="AS22">
        <v>11923.8</v>
      </c>
      <c r="AT22">
        <v>12001.9</v>
      </c>
      <c r="AU22">
        <v>12271</v>
      </c>
      <c r="AV22">
        <v>12564.4</v>
      </c>
      <c r="AW22">
        <v>12690.8</v>
      </c>
      <c r="AX22">
        <v>12733.7</v>
      </c>
      <c r="AY22">
        <v>12776.4</v>
      </c>
      <c r="AZ22">
        <v>12826.7</v>
      </c>
      <c r="BA22">
        <v>11801.8</v>
      </c>
      <c r="BB22">
        <v>13537.999999999998</v>
      </c>
      <c r="BC22">
        <v>13433.099999999999</v>
      </c>
      <c r="BD22">
        <v>14129.1</v>
      </c>
      <c r="BE22">
        <v>14220.2</v>
      </c>
      <c r="BF22">
        <v>15295.7</v>
      </c>
      <c r="BG22">
        <v>15611.1</v>
      </c>
      <c r="BH22">
        <v>15733.300000000001</v>
      </c>
      <c r="BI22">
        <v>18378.599999999999</v>
      </c>
      <c r="BJ22">
        <v>18848.7</v>
      </c>
      <c r="BK22">
        <v>18878.2</v>
      </c>
      <c r="BL22">
        <v>18754.699999999997</v>
      </c>
      <c r="BM22">
        <v>18459.599999999999</v>
      </c>
      <c r="BN22">
        <v>18660.099999999999</v>
      </c>
      <c r="BO22">
        <v>19625.599999999999</v>
      </c>
      <c r="BP22">
        <v>19779.3</v>
      </c>
      <c r="BQ22">
        <v>19812.2</v>
      </c>
      <c r="BR22">
        <v>20027</v>
      </c>
      <c r="BS22">
        <v>20322.2</v>
      </c>
      <c r="BT22">
        <v>20684.7</v>
      </c>
      <c r="BU22">
        <v>20725.2</v>
      </c>
      <c r="BV22">
        <v>20947.8</v>
      </c>
      <c r="BW22">
        <v>21015.200000000001</v>
      </c>
      <c r="BX22">
        <v>21108</v>
      </c>
      <c r="BY22">
        <v>19740.300000000003</v>
      </c>
    </row>
    <row r="23" spans="2:77" x14ac:dyDescent="0.25">
      <c r="B23">
        <v>1079.0999999999999</v>
      </c>
      <c r="C23">
        <v>1130</v>
      </c>
      <c r="D23">
        <v>1171.8</v>
      </c>
      <c r="E23">
        <v>209.2</v>
      </c>
      <c r="F23">
        <v>265</v>
      </c>
      <c r="G23">
        <v>496.1</v>
      </c>
      <c r="H23">
        <v>636.40000000000009</v>
      </c>
      <c r="I23">
        <v>690.5</v>
      </c>
      <c r="J23">
        <v>804.80000000000007</v>
      </c>
      <c r="K23">
        <v>978.30000000000007</v>
      </c>
      <c r="L23">
        <v>1252.3</v>
      </c>
      <c r="M23">
        <v>1370.3</v>
      </c>
      <c r="N23">
        <v>1377.4</v>
      </c>
      <c r="O23">
        <v>1431.4</v>
      </c>
      <c r="P23">
        <v>1569.9</v>
      </c>
      <c r="Q23">
        <v>370.1</v>
      </c>
      <c r="R23">
        <v>498.8</v>
      </c>
      <c r="S23">
        <v>662.8</v>
      </c>
      <c r="T23">
        <v>694</v>
      </c>
      <c r="U23">
        <v>749.19999999999993</v>
      </c>
      <c r="V23">
        <v>836.19999999999993</v>
      </c>
      <c r="W23">
        <v>900</v>
      </c>
      <c r="X23">
        <v>1104.6000000000001</v>
      </c>
      <c r="Y23">
        <v>1280.9000000000001</v>
      </c>
      <c r="Z23">
        <v>1427.1000000000001</v>
      </c>
      <c r="AA23">
        <v>1401</v>
      </c>
      <c r="AB23">
        <v>1367.3</v>
      </c>
      <c r="AC23">
        <v>224.5</v>
      </c>
      <c r="AD23">
        <v>404</v>
      </c>
      <c r="AE23">
        <v>705.7</v>
      </c>
      <c r="AF23">
        <v>622.5</v>
      </c>
      <c r="AG23">
        <v>697.5</v>
      </c>
      <c r="AH23">
        <v>828.80000000000007</v>
      </c>
      <c r="AI23">
        <v>1055.0999999999999</v>
      </c>
      <c r="AJ23">
        <v>1232.8</v>
      </c>
      <c r="AK23">
        <v>1385.6</v>
      </c>
      <c r="AL23">
        <v>1624.5</v>
      </c>
      <c r="AM23">
        <v>1453.1000000000001</v>
      </c>
      <c r="AN23">
        <v>1473.1000000000001</v>
      </c>
      <c r="AO23">
        <v>136</v>
      </c>
      <c r="AP23">
        <v>112.8</v>
      </c>
      <c r="AQ23">
        <v>143.1</v>
      </c>
      <c r="AR23">
        <v>-251.7</v>
      </c>
      <c r="AS23">
        <v>253.5</v>
      </c>
      <c r="AT23">
        <v>316.3</v>
      </c>
      <c r="AU23">
        <v>576.4</v>
      </c>
      <c r="AV23">
        <v>849.4</v>
      </c>
      <c r="AW23">
        <v>966.8</v>
      </c>
      <c r="AX23">
        <v>1003.6</v>
      </c>
      <c r="AY23">
        <v>1049.9000000000001</v>
      </c>
      <c r="AZ23">
        <v>1104.7</v>
      </c>
      <c r="BA23">
        <v>74.599999999999994</v>
      </c>
      <c r="BB23">
        <v>22.8</v>
      </c>
      <c r="BC23">
        <v>-100.2</v>
      </c>
      <c r="BD23">
        <v>607.20000000000005</v>
      </c>
      <c r="BE23">
        <v>695.6</v>
      </c>
      <c r="BF23">
        <v>840.6</v>
      </c>
      <c r="BG23">
        <v>974.4</v>
      </c>
      <c r="BH23">
        <v>1110.4000000000001</v>
      </c>
      <c r="BI23">
        <v>1040.5999999999999</v>
      </c>
      <c r="BJ23">
        <v>1210.2</v>
      </c>
      <c r="BK23">
        <v>1183.5</v>
      </c>
      <c r="BL23">
        <v>1027.5999999999999</v>
      </c>
      <c r="BM23">
        <v>54</v>
      </c>
      <c r="BN23">
        <v>254.5</v>
      </c>
      <c r="BO23">
        <v>561.1</v>
      </c>
      <c r="BP23">
        <v>714.8</v>
      </c>
      <c r="BQ23">
        <v>747.7</v>
      </c>
      <c r="BR23">
        <v>962.5</v>
      </c>
      <c r="BS23">
        <v>1257.7</v>
      </c>
      <c r="BT23">
        <v>1620.3</v>
      </c>
      <c r="BU23">
        <v>1660.7</v>
      </c>
      <c r="BV23">
        <v>1883.3</v>
      </c>
      <c r="BW23">
        <v>1950.6999999999998</v>
      </c>
      <c r="BX23">
        <v>2043.5</v>
      </c>
      <c r="BY23">
        <v>128.9</v>
      </c>
    </row>
    <row r="24" spans="2:77" x14ac:dyDescent="0.25">
      <c r="B24">
        <v>2587.6999999999998</v>
      </c>
      <c r="C24">
        <v>3118.9000000000005</v>
      </c>
      <c r="D24">
        <v>2344.5</v>
      </c>
      <c r="E24">
        <v>2619.5</v>
      </c>
      <c r="F24">
        <v>2439.5</v>
      </c>
      <c r="G24">
        <v>2460.1</v>
      </c>
      <c r="H24">
        <v>2594</v>
      </c>
      <c r="I24">
        <v>2765.2000000000003</v>
      </c>
      <c r="J24">
        <v>2930</v>
      </c>
      <c r="K24">
        <v>2776.1000000000004</v>
      </c>
      <c r="L24">
        <v>2809.4</v>
      </c>
      <c r="M24">
        <v>3054.2999999999997</v>
      </c>
      <c r="N24">
        <v>3394.7000000000003</v>
      </c>
      <c r="O24">
        <v>2418.5</v>
      </c>
      <c r="P24">
        <v>2398.1</v>
      </c>
      <c r="Q24">
        <v>2835</v>
      </c>
      <c r="R24">
        <v>2627.7</v>
      </c>
      <c r="S24">
        <v>3115.8</v>
      </c>
      <c r="T24">
        <v>3057.2</v>
      </c>
      <c r="U24">
        <v>3392.5</v>
      </c>
      <c r="V24">
        <v>3550</v>
      </c>
      <c r="W24">
        <v>3689.9</v>
      </c>
      <c r="X24">
        <v>4016.8999999999996</v>
      </c>
      <c r="Y24">
        <v>4132.6000000000004</v>
      </c>
      <c r="Z24">
        <v>3892.6</v>
      </c>
      <c r="AA24">
        <v>2846.5</v>
      </c>
      <c r="AB24">
        <v>3221.6000000000004</v>
      </c>
      <c r="AC24">
        <v>3787.2</v>
      </c>
      <c r="AD24">
        <v>3338.8999999999996</v>
      </c>
      <c r="AE24">
        <v>3456.2</v>
      </c>
      <c r="AF24">
        <v>3832.5</v>
      </c>
      <c r="AG24">
        <v>4313.8999999999996</v>
      </c>
      <c r="AH24">
        <v>4623</v>
      </c>
      <c r="AI24">
        <v>5090.8</v>
      </c>
      <c r="AJ24">
        <v>5696.5999999999995</v>
      </c>
      <c r="AK24">
        <v>6152.5</v>
      </c>
      <c r="AL24">
        <v>5602.6</v>
      </c>
      <c r="AM24">
        <v>4425.1000000000004</v>
      </c>
      <c r="AN24">
        <v>4732.4000000000005</v>
      </c>
      <c r="AO24">
        <v>5511.6</v>
      </c>
      <c r="AP24">
        <v>5785.8</v>
      </c>
      <c r="AQ24">
        <v>5778.5</v>
      </c>
      <c r="AR24">
        <v>6422.4000000000005</v>
      </c>
      <c r="AS24">
        <v>6557.5</v>
      </c>
      <c r="AT24">
        <v>7022.6</v>
      </c>
      <c r="AU24">
        <v>7085.7999999999993</v>
      </c>
      <c r="AV24">
        <v>7228</v>
      </c>
      <c r="AW24">
        <v>7620.7999999999993</v>
      </c>
      <c r="AX24">
        <v>7633.5999999999985</v>
      </c>
      <c r="AY24">
        <v>6595.3</v>
      </c>
      <c r="AZ24">
        <v>7019.2999999999993</v>
      </c>
      <c r="BA24">
        <v>7926.5</v>
      </c>
      <c r="BB24">
        <v>8529.9</v>
      </c>
      <c r="BC24">
        <v>9270.1</v>
      </c>
      <c r="BD24">
        <v>9342.2999999999993</v>
      </c>
      <c r="BE24">
        <v>9743.6</v>
      </c>
      <c r="BF24">
        <v>10042.900000000001</v>
      </c>
      <c r="BG24">
        <v>10769.999999999998</v>
      </c>
      <c r="BH24">
        <v>11233.5</v>
      </c>
      <c r="BI24">
        <v>8674.5</v>
      </c>
      <c r="BJ24">
        <v>8792.7000000000007</v>
      </c>
      <c r="BK24">
        <v>10233.4</v>
      </c>
      <c r="BL24">
        <v>10819.800000000001</v>
      </c>
      <c r="BM24">
        <v>11948.800000000001</v>
      </c>
      <c r="BN24">
        <v>11679.1</v>
      </c>
      <c r="BO24">
        <v>11671.4</v>
      </c>
      <c r="BP24">
        <v>11165.5</v>
      </c>
      <c r="BQ24">
        <v>11629.5</v>
      </c>
      <c r="BR24">
        <v>12256.400000000001</v>
      </c>
      <c r="BS24">
        <v>11931.8</v>
      </c>
      <c r="BT24">
        <v>12091.800000000001</v>
      </c>
      <c r="BU24">
        <v>12516.9</v>
      </c>
      <c r="BV24">
        <v>12799.199999999999</v>
      </c>
      <c r="BW24">
        <v>12760.3</v>
      </c>
      <c r="BX24">
        <v>12758</v>
      </c>
      <c r="BY24">
        <v>14034.2</v>
      </c>
    </row>
    <row r="25" spans="2:77" s="52" customFormat="1" x14ac:dyDescent="0.25">
      <c r="B25" s="52">
        <f>+B24+B23+B22+B21+B20</f>
        <v>22813.8</v>
      </c>
      <c r="C25" s="52">
        <f t="shared" ref="C25:BN25" si="8">+C24+C23+C22+C21+C20</f>
        <v>23558.600000000002</v>
      </c>
      <c r="D25" s="52">
        <f t="shared" si="8"/>
        <v>23005.199999999997</v>
      </c>
      <c r="E25" s="52">
        <f t="shared" si="8"/>
        <v>22294.700000000004</v>
      </c>
      <c r="F25" s="52">
        <f t="shared" si="8"/>
        <v>23693.3</v>
      </c>
      <c r="G25" s="52">
        <f t="shared" si="8"/>
        <v>24286</v>
      </c>
      <c r="H25" s="52">
        <f t="shared" si="8"/>
        <v>24870</v>
      </c>
      <c r="I25" s="52">
        <f t="shared" si="8"/>
        <v>25177</v>
      </c>
      <c r="J25" s="52">
        <f t="shared" si="8"/>
        <v>25673.600000000002</v>
      </c>
      <c r="K25" s="52">
        <f t="shared" si="8"/>
        <v>26130.5</v>
      </c>
      <c r="L25" s="52">
        <f t="shared" si="8"/>
        <v>26940.400000000001</v>
      </c>
      <c r="M25" s="52">
        <f t="shared" si="8"/>
        <v>27537</v>
      </c>
      <c r="N25" s="52">
        <f t="shared" si="8"/>
        <v>27982.300000000003</v>
      </c>
      <c r="O25" s="52">
        <f t="shared" si="8"/>
        <v>27237.800000000003</v>
      </c>
      <c r="P25" s="52">
        <f t="shared" si="8"/>
        <v>27604.300000000003</v>
      </c>
      <c r="Q25" s="52">
        <f t="shared" si="8"/>
        <v>26600.9</v>
      </c>
      <c r="R25" s="52">
        <f t="shared" si="8"/>
        <v>26710.699999999997</v>
      </c>
      <c r="S25" s="52">
        <f t="shared" si="8"/>
        <v>27672.2</v>
      </c>
      <c r="T25" s="52">
        <f t="shared" si="8"/>
        <v>27827.600000000002</v>
      </c>
      <c r="U25" s="52">
        <f t="shared" si="8"/>
        <v>28388.1</v>
      </c>
      <c r="V25" s="52">
        <f t="shared" si="8"/>
        <v>29576.899999999998</v>
      </c>
      <c r="W25" s="52">
        <f t="shared" si="8"/>
        <v>29980</v>
      </c>
      <c r="X25" s="52">
        <f t="shared" si="8"/>
        <v>30846.899999999998</v>
      </c>
      <c r="Y25" s="52">
        <f t="shared" si="8"/>
        <v>31419.599999999999</v>
      </c>
      <c r="Z25" s="52">
        <f t="shared" si="8"/>
        <v>31486.5</v>
      </c>
      <c r="AA25" s="52">
        <f t="shared" si="8"/>
        <v>30503.699999999997</v>
      </c>
      <c r="AB25" s="52">
        <f t="shared" si="8"/>
        <v>30871.199999999997</v>
      </c>
      <c r="AC25" s="52">
        <f t="shared" si="8"/>
        <v>30213.5</v>
      </c>
      <c r="AD25" s="52">
        <f t="shared" si="8"/>
        <v>30321.5</v>
      </c>
      <c r="AE25" s="52">
        <f t="shared" si="8"/>
        <v>31267.5</v>
      </c>
      <c r="AF25" s="52">
        <f t="shared" si="8"/>
        <v>31662.6</v>
      </c>
      <c r="AG25" s="52">
        <f t="shared" si="8"/>
        <v>32921.899999999994</v>
      </c>
      <c r="AH25" s="52">
        <f t="shared" si="8"/>
        <v>33498.5</v>
      </c>
      <c r="AI25" s="52">
        <f t="shared" si="8"/>
        <v>34662.1</v>
      </c>
      <c r="AJ25" s="52">
        <f t="shared" si="8"/>
        <v>35713.499999999993</v>
      </c>
      <c r="AK25" s="52">
        <f t="shared" si="8"/>
        <v>36638.899999999994</v>
      </c>
      <c r="AL25" s="52">
        <f t="shared" si="8"/>
        <v>37062.5</v>
      </c>
      <c r="AM25" s="52">
        <f t="shared" si="8"/>
        <v>35709.800000000003</v>
      </c>
      <c r="AN25" s="52">
        <f t="shared" si="8"/>
        <v>36237.399999999994</v>
      </c>
      <c r="AO25" s="52">
        <f t="shared" si="8"/>
        <v>34937.399999999994</v>
      </c>
      <c r="AP25" s="52">
        <f t="shared" si="8"/>
        <v>35281.799999999996</v>
      </c>
      <c r="AQ25" s="52">
        <f t="shared" si="8"/>
        <v>35446.5</v>
      </c>
      <c r="AR25" s="52">
        <f t="shared" si="8"/>
        <v>35839.5</v>
      </c>
      <c r="AS25" s="52">
        <f t="shared" si="8"/>
        <v>37226.699999999997</v>
      </c>
      <c r="AT25" s="52">
        <f t="shared" si="8"/>
        <v>37998.399999999994</v>
      </c>
      <c r="AU25" s="52">
        <f t="shared" si="8"/>
        <v>38767.799999999996</v>
      </c>
      <c r="AV25" s="52">
        <f t="shared" si="8"/>
        <v>39693.4</v>
      </c>
      <c r="AW25" s="52">
        <f t="shared" si="8"/>
        <v>40704.300000000003</v>
      </c>
      <c r="AX25" s="52">
        <f t="shared" si="8"/>
        <v>42121.399999999994</v>
      </c>
      <c r="AY25" s="52">
        <f t="shared" si="8"/>
        <v>41416.399999999994</v>
      </c>
      <c r="AZ25" s="52">
        <f t="shared" si="8"/>
        <v>42059</v>
      </c>
      <c r="BA25" s="52">
        <f t="shared" si="8"/>
        <v>41017.800000000003</v>
      </c>
      <c r="BB25" s="52">
        <f t="shared" si="8"/>
        <v>43469.599999999991</v>
      </c>
      <c r="BC25" s="52">
        <f t="shared" si="8"/>
        <v>43999.299999999996</v>
      </c>
      <c r="BD25" s="52">
        <f t="shared" si="8"/>
        <v>45373.8</v>
      </c>
      <c r="BE25" s="52">
        <f t="shared" si="8"/>
        <v>46099.100000000006</v>
      </c>
      <c r="BF25" s="52">
        <f t="shared" si="8"/>
        <v>48258.000000000007</v>
      </c>
      <c r="BG25" s="52">
        <f t="shared" si="8"/>
        <v>49490.5</v>
      </c>
      <c r="BH25" s="52">
        <f t="shared" si="8"/>
        <v>50212.9</v>
      </c>
      <c r="BI25" s="52">
        <f t="shared" si="8"/>
        <v>51499.5</v>
      </c>
      <c r="BJ25" s="52">
        <f t="shared" si="8"/>
        <v>52220.100000000006</v>
      </c>
      <c r="BK25" s="52">
        <f t="shared" si="8"/>
        <v>53868.899999999994</v>
      </c>
      <c r="BL25" s="52">
        <f t="shared" si="8"/>
        <v>54903.899999999994</v>
      </c>
      <c r="BM25" s="52">
        <f t="shared" si="8"/>
        <v>54523.4</v>
      </c>
      <c r="BN25" s="52">
        <f t="shared" si="8"/>
        <v>55190.899999999994</v>
      </c>
      <c r="BO25" s="52">
        <f t="shared" ref="BO25:BY25" si="9">+BO24+BO23+BO22+BO21+BO20</f>
        <v>56652.3</v>
      </c>
      <c r="BP25" s="52">
        <f t="shared" si="9"/>
        <v>56583.7</v>
      </c>
      <c r="BQ25" s="52">
        <f t="shared" si="9"/>
        <v>57257</v>
      </c>
      <c r="BR25" s="52">
        <f t="shared" si="9"/>
        <v>59148.100000000006</v>
      </c>
      <c r="BS25" s="52">
        <f t="shared" si="9"/>
        <v>59699.399999999994</v>
      </c>
      <c r="BT25" s="52">
        <f t="shared" si="9"/>
        <v>60774.7</v>
      </c>
      <c r="BU25" s="52">
        <f t="shared" si="9"/>
        <v>61623.700000000004</v>
      </c>
      <c r="BV25" s="52">
        <f t="shared" si="9"/>
        <v>62827.899999999994</v>
      </c>
      <c r="BW25" s="52">
        <f t="shared" si="9"/>
        <v>63142.7</v>
      </c>
      <c r="BX25" s="52">
        <f t="shared" si="9"/>
        <v>61387.4</v>
      </c>
      <c r="BY25" s="52">
        <f t="shared" si="9"/>
        <v>59469.100000000006</v>
      </c>
    </row>
    <row r="27" spans="2:77" x14ac:dyDescent="0.25">
      <c r="B27">
        <v>2241.4</v>
      </c>
      <c r="C27">
        <v>2085.3000000000002</v>
      </c>
      <c r="D27">
        <v>2466.2999999999997</v>
      </c>
      <c r="E27">
        <v>2358.3000000000002</v>
      </c>
      <c r="F27">
        <v>2223.6999999999998</v>
      </c>
      <c r="G27">
        <v>2689.3</v>
      </c>
      <c r="H27">
        <v>2885.1000000000004</v>
      </c>
      <c r="I27">
        <v>2888.8</v>
      </c>
      <c r="J27">
        <v>2931.3</v>
      </c>
      <c r="K27">
        <v>2829.1000000000004</v>
      </c>
      <c r="L27">
        <v>3017.4</v>
      </c>
      <c r="M27">
        <v>3002.7</v>
      </c>
      <c r="N27">
        <v>2254.6999999999998</v>
      </c>
      <c r="O27">
        <v>2143.5</v>
      </c>
      <c r="P27">
        <v>2212.1999999999998</v>
      </c>
      <c r="Q27">
        <v>2529.7000000000003</v>
      </c>
      <c r="R27">
        <v>2456.1999999999998</v>
      </c>
      <c r="S27">
        <v>2338.5</v>
      </c>
      <c r="T27">
        <v>2433.1999999999998</v>
      </c>
      <c r="U27">
        <v>2693.5</v>
      </c>
      <c r="V27">
        <v>2546.4</v>
      </c>
      <c r="W27">
        <v>2791.1</v>
      </c>
      <c r="X27">
        <v>2979.8</v>
      </c>
      <c r="Y27">
        <v>2916.5</v>
      </c>
      <c r="Z27">
        <v>2461</v>
      </c>
      <c r="AA27">
        <v>2304.5</v>
      </c>
      <c r="AB27">
        <v>2369.4</v>
      </c>
      <c r="AC27">
        <v>2543.1999999999998</v>
      </c>
      <c r="AD27">
        <v>2526.1000000000004</v>
      </c>
      <c r="AE27">
        <v>2542.6999999999998</v>
      </c>
      <c r="AF27">
        <v>2600.6999999999998</v>
      </c>
      <c r="AG27">
        <v>2874.5</v>
      </c>
      <c r="AH27">
        <v>2999.4</v>
      </c>
      <c r="AI27">
        <v>2911.3</v>
      </c>
      <c r="AJ27">
        <v>3665.2</v>
      </c>
      <c r="AK27">
        <v>3226</v>
      </c>
      <c r="AL27">
        <v>2553.1</v>
      </c>
      <c r="AM27">
        <v>3002.1</v>
      </c>
      <c r="AN27">
        <v>2543.5</v>
      </c>
      <c r="AO27">
        <v>2813.6000000000004</v>
      </c>
      <c r="AP27">
        <v>2867.7</v>
      </c>
      <c r="AQ27">
        <v>2987.6</v>
      </c>
      <c r="AR27">
        <v>3037.2999999999997</v>
      </c>
      <c r="AS27">
        <v>2968.3</v>
      </c>
      <c r="AT27">
        <v>3040</v>
      </c>
      <c r="AU27">
        <v>3204.3</v>
      </c>
      <c r="AV27">
        <v>3226.4</v>
      </c>
      <c r="AW27">
        <v>3259.5</v>
      </c>
      <c r="AX27">
        <v>3322.2</v>
      </c>
      <c r="AY27">
        <v>3270</v>
      </c>
      <c r="AZ27">
        <v>3140.5</v>
      </c>
      <c r="BA27">
        <v>3835.9</v>
      </c>
      <c r="BB27">
        <v>3562.1</v>
      </c>
      <c r="BC27">
        <v>3761.9</v>
      </c>
      <c r="BD27">
        <v>3876.9</v>
      </c>
      <c r="BE27">
        <v>4346.5999999999995</v>
      </c>
      <c r="BF27">
        <v>4329.3</v>
      </c>
      <c r="BG27">
        <v>4511.7000000000007</v>
      </c>
      <c r="BH27">
        <v>5174.7999999999993</v>
      </c>
      <c r="BI27">
        <v>3556.7000000000003</v>
      </c>
      <c r="BJ27">
        <v>2787.6</v>
      </c>
      <c r="BK27">
        <v>2516.5</v>
      </c>
      <c r="BL27">
        <v>3176.3</v>
      </c>
      <c r="BM27">
        <v>3323.7000000000003</v>
      </c>
      <c r="BN27">
        <v>3398.8999999999996</v>
      </c>
      <c r="BO27">
        <v>3243.0999999999995</v>
      </c>
      <c r="BP27">
        <v>3066</v>
      </c>
      <c r="BQ27">
        <v>3159.6000000000004</v>
      </c>
      <c r="BR27">
        <v>3383.2000000000003</v>
      </c>
      <c r="BS27">
        <v>11716.5</v>
      </c>
      <c r="BT27">
        <v>11710.599999999999</v>
      </c>
      <c r="BU27">
        <v>11660.4</v>
      </c>
      <c r="BV27">
        <v>11606.2</v>
      </c>
      <c r="BW27">
        <v>11358.300000000001</v>
      </c>
      <c r="BX27">
        <v>11262.000000000002</v>
      </c>
      <c r="BY27">
        <v>11430.5</v>
      </c>
    </row>
    <row r="28" spans="2:77" x14ac:dyDescent="0.25">
      <c r="B28">
        <v>1902.5</v>
      </c>
      <c r="C28">
        <v>2352.2000000000003</v>
      </c>
      <c r="D28">
        <v>1483.3999999999999</v>
      </c>
      <c r="E28">
        <v>1750.7</v>
      </c>
      <c r="F28">
        <v>1517.1</v>
      </c>
      <c r="G28">
        <v>1618.2</v>
      </c>
      <c r="H28">
        <v>1700.8</v>
      </c>
      <c r="I28">
        <v>1822.6000000000001</v>
      </c>
      <c r="J28">
        <v>1946.1</v>
      </c>
      <c r="K28">
        <v>1807.1000000000001</v>
      </c>
      <c r="L28">
        <v>1887.3</v>
      </c>
      <c r="M28">
        <v>2073.8999999999996</v>
      </c>
      <c r="N28">
        <v>2460.7000000000003</v>
      </c>
      <c r="O28">
        <v>1433.1999999999998</v>
      </c>
      <c r="P28">
        <v>1385.3</v>
      </c>
      <c r="Q28">
        <v>1814.1999999999998</v>
      </c>
      <c r="R28">
        <v>1572.3</v>
      </c>
      <c r="S28">
        <v>2059.4</v>
      </c>
      <c r="T28">
        <v>1972.3999999999999</v>
      </c>
      <c r="U28">
        <v>2230.6</v>
      </c>
      <c r="V28">
        <v>2312.1</v>
      </c>
      <c r="W28">
        <v>2320.3000000000002</v>
      </c>
      <c r="X28">
        <v>2702.7</v>
      </c>
      <c r="Y28">
        <v>2815.3000000000006</v>
      </c>
      <c r="Z28">
        <v>2576.1</v>
      </c>
      <c r="AA28">
        <v>1312</v>
      </c>
      <c r="AB28">
        <v>1550.3</v>
      </c>
      <c r="AC28">
        <v>2178.1</v>
      </c>
      <c r="AD28">
        <v>1693.6</v>
      </c>
      <c r="AE28">
        <v>1916.9999999999998</v>
      </c>
      <c r="AF28">
        <v>2154.1</v>
      </c>
      <c r="AG28">
        <v>2500.7999999999997</v>
      </c>
      <c r="AH28">
        <v>2570.3000000000002</v>
      </c>
      <c r="AI28">
        <v>3041.3</v>
      </c>
      <c r="AJ28">
        <v>2849.2999999999997</v>
      </c>
      <c r="AK28">
        <v>3137.5</v>
      </c>
      <c r="AL28">
        <v>2492.4000000000005</v>
      </c>
      <c r="AM28">
        <v>1055.5999999999999</v>
      </c>
      <c r="AN28">
        <v>1158.2</v>
      </c>
      <c r="AO28">
        <v>1881.4</v>
      </c>
      <c r="AP28">
        <v>1968.4</v>
      </c>
      <c r="AQ28">
        <v>1759.7000000000003</v>
      </c>
      <c r="AR28">
        <v>2103.5</v>
      </c>
      <c r="AS28">
        <v>2184.6</v>
      </c>
      <c r="AT28">
        <v>2443.5</v>
      </c>
      <c r="AU28">
        <v>2490.4</v>
      </c>
      <c r="AV28">
        <v>2623.7</v>
      </c>
      <c r="AW28">
        <v>2825.7999999999997</v>
      </c>
      <c r="AX28">
        <v>2875.6</v>
      </c>
      <c r="AY28">
        <v>1537.8000000000002</v>
      </c>
      <c r="AZ28">
        <v>1664.5</v>
      </c>
      <c r="BA28">
        <v>1869.9999999999998</v>
      </c>
      <c r="BB28">
        <v>2083.3999999999996</v>
      </c>
      <c r="BC28">
        <v>2541</v>
      </c>
      <c r="BD28">
        <v>2951.6</v>
      </c>
      <c r="BE28">
        <v>3087.4</v>
      </c>
      <c r="BF28">
        <v>3205.3</v>
      </c>
      <c r="BG28">
        <v>3675.6999999999994</v>
      </c>
      <c r="BH28">
        <v>3827.5000000000005</v>
      </c>
      <c r="BI28">
        <v>846.40000000000009</v>
      </c>
      <c r="BJ28">
        <v>816.6</v>
      </c>
      <c r="BK28">
        <v>716.6</v>
      </c>
      <c r="BL28">
        <v>717.09999999999991</v>
      </c>
      <c r="BM28">
        <v>1618.1</v>
      </c>
      <c r="BN28">
        <v>1161.4000000000001</v>
      </c>
      <c r="BO28">
        <v>1355.5</v>
      </c>
      <c r="BP28">
        <v>933.6</v>
      </c>
      <c r="BQ28">
        <v>1084.5999999999999</v>
      </c>
      <c r="BR28">
        <v>1430.7</v>
      </c>
      <c r="BS28">
        <v>995.80000000000007</v>
      </c>
      <c r="BT28">
        <v>825.7</v>
      </c>
      <c r="BU28">
        <v>807.5</v>
      </c>
      <c r="BV28">
        <v>996.4</v>
      </c>
      <c r="BW28">
        <v>679.2</v>
      </c>
      <c r="BX28">
        <v>794.90000000000009</v>
      </c>
      <c r="BY28">
        <v>1803.1</v>
      </c>
    </row>
    <row r="29" spans="2:77" s="52" customFormat="1" x14ac:dyDescent="0.25">
      <c r="B29" s="52">
        <f>+B27+B28</f>
        <v>4143.8999999999996</v>
      </c>
      <c r="C29" s="52">
        <f t="shared" ref="C29:BN29" si="10">+C27+C28</f>
        <v>4437.5</v>
      </c>
      <c r="D29" s="52">
        <f t="shared" si="10"/>
        <v>3949.7</v>
      </c>
      <c r="E29" s="52">
        <f t="shared" si="10"/>
        <v>4109</v>
      </c>
      <c r="F29" s="52">
        <f t="shared" si="10"/>
        <v>3740.7999999999997</v>
      </c>
      <c r="G29" s="52">
        <f t="shared" si="10"/>
        <v>4307.5</v>
      </c>
      <c r="H29" s="52">
        <f t="shared" si="10"/>
        <v>4585.9000000000005</v>
      </c>
      <c r="I29" s="52">
        <f t="shared" si="10"/>
        <v>4711.4000000000005</v>
      </c>
      <c r="J29" s="52">
        <f t="shared" si="10"/>
        <v>4877.3999999999996</v>
      </c>
      <c r="K29" s="52">
        <f t="shared" si="10"/>
        <v>4636.2000000000007</v>
      </c>
      <c r="L29" s="52">
        <f t="shared" si="10"/>
        <v>4904.7</v>
      </c>
      <c r="M29" s="52">
        <f t="shared" si="10"/>
        <v>5076.5999999999995</v>
      </c>
      <c r="N29" s="52">
        <f t="shared" si="10"/>
        <v>4715.3999999999996</v>
      </c>
      <c r="O29" s="52">
        <f t="shared" si="10"/>
        <v>3576.7</v>
      </c>
      <c r="P29" s="52">
        <f t="shared" si="10"/>
        <v>3597.5</v>
      </c>
      <c r="Q29" s="52">
        <f t="shared" si="10"/>
        <v>4343.8999999999996</v>
      </c>
      <c r="R29" s="52">
        <f t="shared" si="10"/>
        <v>4028.5</v>
      </c>
      <c r="S29" s="52">
        <f t="shared" si="10"/>
        <v>4397.8999999999996</v>
      </c>
      <c r="T29" s="52">
        <f t="shared" si="10"/>
        <v>4405.5999999999995</v>
      </c>
      <c r="U29" s="52">
        <f t="shared" si="10"/>
        <v>4924.1000000000004</v>
      </c>
      <c r="V29" s="52">
        <f t="shared" si="10"/>
        <v>4858.5</v>
      </c>
      <c r="W29" s="52">
        <f t="shared" si="10"/>
        <v>5111.3999999999996</v>
      </c>
      <c r="X29" s="52">
        <f t="shared" si="10"/>
        <v>5682.5</v>
      </c>
      <c r="Y29" s="52">
        <f t="shared" si="10"/>
        <v>5731.8000000000011</v>
      </c>
      <c r="Z29" s="52">
        <f t="shared" si="10"/>
        <v>5037.1000000000004</v>
      </c>
      <c r="AA29" s="52">
        <f t="shared" si="10"/>
        <v>3616.5</v>
      </c>
      <c r="AB29" s="52">
        <f t="shared" si="10"/>
        <v>3919.7</v>
      </c>
      <c r="AC29" s="52">
        <f t="shared" si="10"/>
        <v>4721.2999999999993</v>
      </c>
      <c r="AD29" s="52">
        <f t="shared" si="10"/>
        <v>4219.7000000000007</v>
      </c>
      <c r="AE29" s="52">
        <f t="shared" si="10"/>
        <v>4459.7</v>
      </c>
      <c r="AF29" s="52">
        <f t="shared" si="10"/>
        <v>4754.7999999999993</v>
      </c>
      <c r="AG29" s="52">
        <f t="shared" si="10"/>
        <v>5375.2999999999993</v>
      </c>
      <c r="AH29" s="52">
        <f t="shared" si="10"/>
        <v>5569.7000000000007</v>
      </c>
      <c r="AI29" s="52">
        <f t="shared" si="10"/>
        <v>5952.6</v>
      </c>
      <c r="AJ29" s="52">
        <f t="shared" si="10"/>
        <v>6514.5</v>
      </c>
      <c r="AK29" s="52">
        <f t="shared" si="10"/>
        <v>6363.5</v>
      </c>
      <c r="AL29" s="52">
        <f t="shared" si="10"/>
        <v>5045.5</v>
      </c>
      <c r="AM29" s="52">
        <f t="shared" si="10"/>
        <v>4057.7</v>
      </c>
      <c r="AN29" s="52">
        <f t="shared" si="10"/>
        <v>3701.7</v>
      </c>
      <c r="AO29" s="52">
        <f t="shared" si="10"/>
        <v>4695</v>
      </c>
      <c r="AP29" s="52">
        <f t="shared" si="10"/>
        <v>4836.1000000000004</v>
      </c>
      <c r="AQ29" s="52">
        <f t="shared" si="10"/>
        <v>4747.3</v>
      </c>
      <c r="AR29" s="52">
        <f t="shared" si="10"/>
        <v>5140.7999999999993</v>
      </c>
      <c r="AS29" s="52">
        <f t="shared" si="10"/>
        <v>5152.8999999999996</v>
      </c>
      <c r="AT29" s="52">
        <f t="shared" si="10"/>
        <v>5483.5</v>
      </c>
      <c r="AU29" s="52">
        <f t="shared" si="10"/>
        <v>5694.7000000000007</v>
      </c>
      <c r="AV29" s="52">
        <f t="shared" si="10"/>
        <v>5850.1</v>
      </c>
      <c r="AW29" s="52">
        <f t="shared" si="10"/>
        <v>6085.2999999999993</v>
      </c>
      <c r="AX29" s="52">
        <f t="shared" si="10"/>
        <v>6197.7999999999993</v>
      </c>
      <c r="AY29" s="52">
        <f t="shared" si="10"/>
        <v>4807.8</v>
      </c>
      <c r="AZ29" s="52">
        <f t="shared" si="10"/>
        <v>4805</v>
      </c>
      <c r="BA29" s="52">
        <f t="shared" si="10"/>
        <v>5705.9</v>
      </c>
      <c r="BB29" s="52">
        <f t="shared" si="10"/>
        <v>5645.5</v>
      </c>
      <c r="BC29" s="52">
        <f t="shared" si="10"/>
        <v>6302.9</v>
      </c>
      <c r="BD29" s="52">
        <f t="shared" si="10"/>
        <v>6828.5</v>
      </c>
      <c r="BE29" s="52">
        <f t="shared" si="10"/>
        <v>7434</v>
      </c>
      <c r="BF29" s="52">
        <f t="shared" si="10"/>
        <v>7534.6</v>
      </c>
      <c r="BG29" s="52">
        <f t="shared" si="10"/>
        <v>8187.4</v>
      </c>
      <c r="BH29" s="52">
        <f t="shared" si="10"/>
        <v>9002.2999999999993</v>
      </c>
      <c r="BI29" s="52">
        <f t="shared" si="10"/>
        <v>4403.1000000000004</v>
      </c>
      <c r="BJ29" s="52">
        <f t="shared" si="10"/>
        <v>3604.2</v>
      </c>
      <c r="BK29" s="52">
        <f t="shared" si="10"/>
        <v>3233.1</v>
      </c>
      <c r="BL29" s="52">
        <f t="shared" si="10"/>
        <v>3893.4</v>
      </c>
      <c r="BM29" s="52">
        <f t="shared" si="10"/>
        <v>4941.8</v>
      </c>
      <c r="BN29" s="52">
        <f t="shared" si="10"/>
        <v>4560.2999999999993</v>
      </c>
      <c r="BO29" s="52">
        <f t="shared" ref="BO29:BY29" si="11">+BO27+BO28</f>
        <v>4598.5999999999995</v>
      </c>
      <c r="BP29" s="52">
        <f t="shared" si="11"/>
        <v>3999.6</v>
      </c>
      <c r="BQ29" s="52">
        <f t="shared" si="11"/>
        <v>4244.2000000000007</v>
      </c>
      <c r="BR29" s="52">
        <f t="shared" si="11"/>
        <v>4813.9000000000005</v>
      </c>
      <c r="BS29" s="52">
        <f t="shared" si="11"/>
        <v>12712.3</v>
      </c>
      <c r="BT29" s="52">
        <f t="shared" si="11"/>
        <v>12536.3</v>
      </c>
      <c r="BU29" s="52">
        <f t="shared" si="11"/>
        <v>12467.9</v>
      </c>
      <c r="BV29" s="52">
        <f t="shared" si="11"/>
        <v>12602.6</v>
      </c>
      <c r="BW29" s="52">
        <f t="shared" si="11"/>
        <v>12037.500000000002</v>
      </c>
      <c r="BX29" s="52">
        <f t="shared" si="11"/>
        <v>12056.900000000001</v>
      </c>
      <c r="BY29" s="52">
        <f t="shared" si="11"/>
        <v>13233.6</v>
      </c>
    </row>
    <row r="34" spans="2:77" x14ac:dyDescent="0.25">
      <c r="B34">
        <v>10907.5</v>
      </c>
      <c r="C34">
        <v>10920.9</v>
      </c>
      <c r="D34">
        <v>10993</v>
      </c>
      <c r="E34">
        <v>10790.1</v>
      </c>
      <c r="F34">
        <v>12236.9</v>
      </c>
      <c r="G34">
        <v>12239.1</v>
      </c>
      <c r="H34">
        <v>12240.900000000001</v>
      </c>
      <c r="I34">
        <v>12289.900000000001</v>
      </c>
      <c r="J34">
        <v>12302.2</v>
      </c>
      <c r="K34">
        <v>12483</v>
      </c>
      <c r="L34">
        <v>12586.5</v>
      </c>
      <c r="M34">
        <v>12616.900000000001</v>
      </c>
      <c r="N34">
        <v>12594.100000000002</v>
      </c>
      <c r="O34">
        <v>12662.400000000001</v>
      </c>
      <c r="P34">
        <v>12652.000000000002</v>
      </c>
      <c r="Q34">
        <v>13410.800000000001</v>
      </c>
      <c r="R34">
        <v>13304.5</v>
      </c>
      <c r="S34">
        <v>13423.7</v>
      </c>
      <c r="T34">
        <v>13507.6</v>
      </c>
      <c r="U34">
        <v>13508.8</v>
      </c>
      <c r="V34">
        <v>14321.099999999997</v>
      </c>
      <c r="W34">
        <v>14482.199999999999</v>
      </c>
      <c r="X34">
        <v>14560.699999999997</v>
      </c>
      <c r="Y34">
        <v>14624.399999999998</v>
      </c>
      <c r="Z34">
        <v>14709.8</v>
      </c>
      <c r="AA34">
        <v>14784.299999999997</v>
      </c>
      <c r="AB34">
        <v>15125.099999999999</v>
      </c>
      <c r="AC34">
        <v>15651.899999999998</v>
      </c>
      <c r="AD34">
        <v>15870.999999999998</v>
      </c>
      <c r="AE34">
        <v>16044.899999999998</v>
      </c>
      <c r="AF34">
        <v>16074.599999999999</v>
      </c>
      <c r="AG34">
        <v>16644.899999999998</v>
      </c>
      <c r="AH34">
        <v>17079.399999999998</v>
      </c>
      <c r="AI34">
        <v>17059.8</v>
      </c>
      <c r="AJ34">
        <v>16817.899999999998</v>
      </c>
      <c r="AK34">
        <v>16858.099999999999</v>
      </c>
      <c r="AL34">
        <v>16324.9</v>
      </c>
      <c r="AM34">
        <v>16640</v>
      </c>
      <c r="AN34">
        <v>16759.699999999997</v>
      </c>
      <c r="AO34">
        <v>17534.899999999998</v>
      </c>
      <c r="AP34">
        <v>17389.899999999998</v>
      </c>
      <c r="AQ34">
        <v>17622.199999999997</v>
      </c>
      <c r="AR34">
        <v>18043.599999999999</v>
      </c>
      <c r="AS34">
        <v>18869.5</v>
      </c>
      <c r="AT34">
        <v>19096.5</v>
      </c>
      <c r="AU34">
        <v>19511.399999999998</v>
      </c>
      <c r="AV34">
        <v>19455.2</v>
      </c>
      <c r="AW34">
        <v>19529.7</v>
      </c>
      <c r="AX34">
        <v>20549.899999999998</v>
      </c>
      <c r="AY34">
        <v>20795.199999999997</v>
      </c>
      <c r="AZ34">
        <v>20918.899999999998</v>
      </c>
      <c r="BA34">
        <v>21203.5</v>
      </c>
      <c r="BB34">
        <v>21439.8</v>
      </c>
      <c r="BC34">
        <v>21510.699999999997</v>
      </c>
      <c r="BD34">
        <v>21645.5</v>
      </c>
      <c r="BE34">
        <v>21649.9</v>
      </c>
      <c r="BF34">
        <v>22334.400000000001</v>
      </c>
      <c r="BG34">
        <v>21877.1</v>
      </c>
      <c r="BH34">
        <v>21714.799999999999</v>
      </c>
      <c r="BI34">
        <v>22120.6</v>
      </c>
      <c r="BJ34">
        <v>22032</v>
      </c>
      <c r="BK34">
        <v>22229.5</v>
      </c>
      <c r="BL34">
        <v>22697.5</v>
      </c>
      <c r="BM34">
        <v>23741.599999999999</v>
      </c>
      <c r="BN34">
        <v>24221.1</v>
      </c>
      <c r="BO34">
        <v>24356.400000000001</v>
      </c>
      <c r="BP34">
        <v>24347</v>
      </c>
      <c r="BQ34">
        <v>24303</v>
      </c>
      <c r="BR34">
        <v>25026.799999999999</v>
      </c>
      <c r="BS34">
        <v>25049.5</v>
      </c>
      <c r="BT34">
        <v>25020.999999999996</v>
      </c>
      <c r="BU34">
        <v>25381.1</v>
      </c>
      <c r="BV34">
        <v>26602</v>
      </c>
      <c r="BW34">
        <v>26961.199999999997</v>
      </c>
      <c r="BX34">
        <v>25047.599999999999</v>
      </c>
      <c r="BY34">
        <v>24788.600000000002</v>
      </c>
    </row>
    <row r="35" spans="2:77" x14ac:dyDescent="0.25">
      <c r="B35">
        <v>-149</v>
      </c>
      <c r="C35">
        <v>-62.599999999999994</v>
      </c>
      <c r="D35">
        <v>-2.4000000000000057</v>
      </c>
      <c r="E35">
        <v>245.3</v>
      </c>
      <c r="F35">
        <v>261.3</v>
      </c>
      <c r="G35">
        <v>360.7</v>
      </c>
      <c r="H35">
        <v>512.20000000000005</v>
      </c>
      <c r="I35">
        <v>473.4</v>
      </c>
      <c r="J35">
        <v>565.20000000000005</v>
      </c>
      <c r="K35">
        <v>645.6</v>
      </c>
      <c r="L35">
        <v>754.4</v>
      </c>
      <c r="M35">
        <v>834</v>
      </c>
      <c r="N35">
        <v>945.2</v>
      </c>
      <c r="O35">
        <v>1000</v>
      </c>
      <c r="P35">
        <v>1119.5999999999999</v>
      </c>
      <c r="Q35">
        <v>208.5</v>
      </c>
      <c r="R35">
        <v>371.4</v>
      </c>
      <c r="S35">
        <v>381.1</v>
      </c>
      <c r="T35">
        <v>446.1</v>
      </c>
      <c r="U35">
        <v>542.1</v>
      </c>
      <c r="V35">
        <v>591.9</v>
      </c>
      <c r="W35">
        <v>565.1</v>
      </c>
      <c r="X35">
        <v>621.1</v>
      </c>
      <c r="Y35">
        <v>655.6</v>
      </c>
      <c r="Z35">
        <v>581.79999999999995</v>
      </c>
      <c r="AA35">
        <v>621</v>
      </c>
      <c r="AB35">
        <v>337.4</v>
      </c>
      <c r="AC35">
        <v>-196.1</v>
      </c>
      <c r="AD35">
        <v>-239.4</v>
      </c>
      <c r="AE35">
        <v>-196.8</v>
      </c>
      <c r="AF35">
        <v>-45.5</v>
      </c>
      <c r="AG35">
        <v>2</v>
      </c>
      <c r="AH35">
        <v>-264.89999999999998</v>
      </c>
      <c r="AI35">
        <v>0</v>
      </c>
      <c r="AJ35">
        <v>329.8</v>
      </c>
      <c r="AK35">
        <v>443.7</v>
      </c>
      <c r="AL35">
        <v>1139.3</v>
      </c>
      <c r="AM35">
        <v>977.3</v>
      </c>
      <c r="AN35">
        <v>1030</v>
      </c>
      <c r="AO35">
        <v>60.3</v>
      </c>
      <c r="AP35">
        <v>307.10000000000002</v>
      </c>
      <c r="AQ35">
        <v>171.6</v>
      </c>
      <c r="AR35">
        <v>68.7</v>
      </c>
      <c r="AS35">
        <v>-377.6</v>
      </c>
      <c r="AT35">
        <v>-438.9</v>
      </c>
      <c r="AU35">
        <v>-676.8</v>
      </c>
      <c r="AV35">
        <v>-403.6</v>
      </c>
      <c r="AW35">
        <v>-103.8</v>
      </c>
      <c r="AX35">
        <v>200.6</v>
      </c>
      <c r="AY35">
        <v>199.6</v>
      </c>
      <c r="AZ35">
        <v>189.4</v>
      </c>
      <c r="BA35">
        <v>11.4</v>
      </c>
      <c r="BB35">
        <v>-60.9</v>
      </c>
      <c r="BC35">
        <v>-114.4</v>
      </c>
      <c r="BD35">
        <v>-350.3</v>
      </c>
      <c r="BE35">
        <v>-210.2</v>
      </c>
      <c r="BF35">
        <v>-255.6</v>
      </c>
      <c r="BG35">
        <v>257.89999999999998</v>
      </c>
      <c r="BH35">
        <v>420.9</v>
      </c>
      <c r="BI35">
        <v>1285.2</v>
      </c>
      <c r="BJ35">
        <v>1336.5</v>
      </c>
      <c r="BK35">
        <v>1344.3</v>
      </c>
      <c r="BL35">
        <v>1604.3</v>
      </c>
      <c r="BM35">
        <v>319.39999999999998</v>
      </c>
      <c r="BN35">
        <v>376.1</v>
      </c>
      <c r="BO35">
        <v>437.8</v>
      </c>
      <c r="BP35">
        <v>577.1</v>
      </c>
      <c r="BQ35">
        <v>764.6</v>
      </c>
      <c r="BR35">
        <v>875.4</v>
      </c>
      <c r="BS35">
        <v>1138.2</v>
      </c>
      <c r="BT35">
        <v>1356.9</v>
      </c>
      <c r="BU35">
        <v>1339.8</v>
      </c>
      <c r="BV35">
        <v>595.6</v>
      </c>
      <c r="BW35">
        <v>455.3</v>
      </c>
      <c r="BX35">
        <v>430.3</v>
      </c>
      <c r="BY35">
        <v>777.1</v>
      </c>
    </row>
    <row r="36" spans="2:77" x14ac:dyDescent="0.25">
      <c r="B36">
        <v>685.2</v>
      </c>
      <c r="C36">
        <v>766.7</v>
      </c>
      <c r="D36">
        <v>861.09999999999991</v>
      </c>
      <c r="E36">
        <v>868.80000000000018</v>
      </c>
      <c r="F36">
        <v>922.40000000000009</v>
      </c>
      <c r="G36">
        <v>841.9</v>
      </c>
      <c r="H36">
        <v>893.19999999999993</v>
      </c>
      <c r="I36">
        <v>942.6</v>
      </c>
      <c r="J36">
        <v>983.90000000000009</v>
      </c>
      <c r="K36">
        <v>969</v>
      </c>
      <c r="L36">
        <v>922.1</v>
      </c>
      <c r="M36">
        <v>980.4</v>
      </c>
      <c r="N36">
        <v>933.99999999999989</v>
      </c>
      <c r="O36">
        <v>985.3</v>
      </c>
      <c r="P36">
        <v>1012.8</v>
      </c>
      <c r="Q36">
        <v>1020.8</v>
      </c>
      <c r="R36">
        <v>1055.3999999999999</v>
      </c>
      <c r="S36">
        <v>1056.3999999999999</v>
      </c>
      <c r="T36">
        <v>1084.8</v>
      </c>
      <c r="U36">
        <v>1161.8999999999999</v>
      </c>
      <c r="V36">
        <v>1237.9000000000001</v>
      </c>
      <c r="W36">
        <v>1369.6</v>
      </c>
      <c r="X36">
        <v>1314.2</v>
      </c>
      <c r="Y36">
        <v>1317.3</v>
      </c>
      <c r="Z36">
        <v>1316.5</v>
      </c>
      <c r="AA36">
        <v>1534.5</v>
      </c>
      <c r="AB36">
        <v>1671.3000000000002</v>
      </c>
      <c r="AC36">
        <v>1609.1</v>
      </c>
      <c r="AD36">
        <v>1645.3</v>
      </c>
      <c r="AE36">
        <v>1539.1999999999998</v>
      </c>
      <c r="AF36">
        <v>1678.3999999999999</v>
      </c>
      <c r="AG36">
        <v>1813.1</v>
      </c>
      <c r="AH36">
        <v>2052.6999999999998</v>
      </c>
      <c r="AI36">
        <v>2049.5</v>
      </c>
      <c r="AJ36">
        <v>2847.2999999999997</v>
      </c>
      <c r="AK36">
        <v>3014.9999999999995</v>
      </c>
      <c r="AL36">
        <v>3110.2</v>
      </c>
      <c r="AM36">
        <v>3369.5</v>
      </c>
      <c r="AN36">
        <v>3574.2000000000003</v>
      </c>
      <c r="AO36">
        <v>3630.2000000000003</v>
      </c>
      <c r="AP36">
        <v>3817.4</v>
      </c>
      <c r="AQ36">
        <v>4018.8</v>
      </c>
      <c r="AR36">
        <v>4318.9000000000005</v>
      </c>
      <c r="AS36">
        <v>4372.8999999999996</v>
      </c>
      <c r="AT36">
        <v>4579.1000000000004</v>
      </c>
      <c r="AU36">
        <v>4595.3999999999996</v>
      </c>
      <c r="AV36">
        <v>4604.3</v>
      </c>
      <c r="AW36">
        <v>4795</v>
      </c>
      <c r="AX36">
        <v>4757.9999999999991</v>
      </c>
      <c r="AY36">
        <v>5057.5</v>
      </c>
      <c r="AZ36">
        <v>5354.7999999999993</v>
      </c>
      <c r="BA36">
        <v>6056.5</v>
      </c>
      <c r="BB36">
        <v>6446.5</v>
      </c>
      <c r="BC36">
        <v>6729.1</v>
      </c>
      <c r="BD36">
        <v>6390.7</v>
      </c>
      <c r="BE36">
        <v>6656.2000000000007</v>
      </c>
      <c r="BF36">
        <v>6837.6</v>
      </c>
      <c r="BG36">
        <v>7094.2999999999993</v>
      </c>
      <c r="BH36">
        <v>7406</v>
      </c>
      <c r="BI36">
        <v>7828.1</v>
      </c>
      <c r="BJ36">
        <v>7976.1</v>
      </c>
      <c r="BK36">
        <v>9516.7999999999993</v>
      </c>
      <c r="BL36">
        <v>10102.700000000001</v>
      </c>
      <c r="BM36">
        <v>10330.700000000001</v>
      </c>
      <c r="BN36">
        <v>10517.7</v>
      </c>
      <c r="BO36">
        <v>10315.9</v>
      </c>
      <c r="BP36">
        <v>10231.9</v>
      </c>
      <c r="BQ36">
        <v>10544.9</v>
      </c>
      <c r="BR36">
        <v>10825.7</v>
      </c>
      <c r="BS36">
        <v>10936</v>
      </c>
      <c r="BT36">
        <v>11266.1</v>
      </c>
      <c r="BU36">
        <v>11709.4</v>
      </c>
      <c r="BV36">
        <v>11802.8</v>
      </c>
      <c r="BW36">
        <v>12081.099999999999</v>
      </c>
      <c r="BX36">
        <v>11963.1</v>
      </c>
      <c r="BY36">
        <v>12231.1</v>
      </c>
    </row>
    <row r="37" spans="2:77" x14ac:dyDescent="0.25">
      <c r="B37">
        <v>1079.0999999999999</v>
      </c>
      <c r="C37">
        <v>1130</v>
      </c>
      <c r="D37">
        <v>1171.8</v>
      </c>
      <c r="E37">
        <v>209.2</v>
      </c>
      <c r="F37">
        <v>265</v>
      </c>
      <c r="G37">
        <v>496.1</v>
      </c>
      <c r="H37">
        <v>636.40000000000009</v>
      </c>
      <c r="I37">
        <v>690.5</v>
      </c>
      <c r="J37">
        <v>804.80000000000007</v>
      </c>
      <c r="K37">
        <v>978.30000000000007</v>
      </c>
      <c r="L37">
        <v>1252.3</v>
      </c>
      <c r="M37">
        <v>1370.3</v>
      </c>
      <c r="N37">
        <v>1377.4</v>
      </c>
      <c r="O37">
        <v>1431.4</v>
      </c>
      <c r="P37">
        <v>1569.9</v>
      </c>
      <c r="Q37">
        <v>370.1</v>
      </c>
      <c r="R37">
        <v>498.8</v>
      </c>
      <c r="S37">
        <v>662.8</v>
      </c>
      <c r="T37">
        <v>694</v>
      </c>
      <c r="U37">
        <v>749.19999999999993</v>
      </c>
      <c r="V37">
        <v>836.19999999999993</v>
      </c>
      <c r="W37">
        <v>900</v>
      </c>
      <c r="X37">
        <v>1104.6000000000001</v>
      </c>
      <c r="Y37">
        <v>1280.9000000000001</v>
      </c>
      <c r="Z37">
        <v>1427.1000000000001</v>
      </c>
      <c r="AA37">
        <v>1401</v>
      </c>
      <c r="AB37">
        <v>1367.3</v>
      </c>
      <c r="AC37">
        <v>224.5</v>
      </c>
      <c r="AD37">
        <v>404</v>
      </c>
      <c r="AE37">
        <v>705.7</v>
      </c>
      <c r="AF37">
        <v>622.5</v>
      </c>
      <c r="AG37">
        <v>697.5</v>
      </c>
      <c r="AH37">
        <v>828.80000000000007</v>
      </c>
      <c r="AI37">
        <v>1055.0999999999999</v>
      </c>
      <c r="AJ37">
        <v>1232.8</v>
      </c>
      <c r="AK37">
        <v>1385.6</v>
      </c>
      <c r="AL37">
        <v>1624.5</v>
      </c>
      <c r="AM37">
        <v>1453.1000000000001</v>
      </c>
      <c r="AN37">
        <v>1473.1000000000001</v>
      </c>
      <c r="AO37">
        <v>136</v>
      </c>
      <c r="AP37">
        <v>112.8</v>
      </c>
      <c r="AQ37">
        <v>143.1</v>
      </c>
      <c r="AR37">
        <v>-251.7</v>
      </c>
      <c r="AS37">
        <v>253.5</v>
      </c>
      <c r="AT37">
        <v>316.3</v>
      </c>
      <c r="AU37">
        <v>576.4</v>
      </c>
      <c r="AV37">
        <v>849.4</v>
      </c>
      <c r="AW37">
        <v>966.8</v>
      </c>
      <c r="AX37">
        <v>1003.6</v>
      </c>
      <c r="AY37">
        <v>1049.9000000000001</v>
      </c>
      <c r="AZ37">
        <v>1104.7</v>
      </c>
      <c r="BA37">
        <v>74.599999999999994</v>
      </c>
      <c r="BB37">
        <v>22.8</v>
      </c>
      <c r="BC37">
        <v>-100.2</v>
      </c>
      <c r="BD37">
        <v>607.20000000000005</v>
      </c>
      <c r="BE37">
        <v>695.6</v>
      </c>
      <c r="BF37">
        <v>840.6</v>
      </c>
      <c r="BG37">
        <v>974.4</v>
      </c>
      <c r="BH37">
        <v>1110.4000000000001</v>
      </c>
      <c r="BI37">
        <v>1040.5999999999999</v>
      </c>
      <c r="BJ37">
        <v>1210.2</v>
      </c>
      <c r="BK37">
        <v>1183.5</v>
      </c>
      <c r="BL37">
        <v>1027.5999999999999</v>
      </c>
      <c r="BM37">
        <v>54</v>
      </c>
      <c r="BN37">
        <v>254.5</v>
      </c>
      <c r="BO37">
        <v>561.1</v>
      </c>
      <c r="BP37">
        <v>714.8</v>
      </c>
      <c r="BQ37">
        <v>747.7</v>
      </c>
      <c r="BR37">
        <v>962.5</v>
      </c>
      <c r="BS37">
        <v>1257.7</v>
      </c>
      <c r="BT37">
        <v>1620.3</v>
      </c>
      <c r="BU37">
        <v>1660.7</v>
      </c>
      <c r="BV37">
        <v>1883.3</v>
      </c>
      <c r="BW37">
        <v>1950.6999999999998</v>
      </c>
      <c r="BX37">
        <v>2043.5</v>
      </c>
      <c r="BY37">
        <v>128.9</v>
      </c>
    </row>
    <row r="38" spans="2:77" x14ac:dyDescent="0.25">
      <c r="B38">
        <v>7309.4000000000005</v>
      </c>
      <c r="C38">
        <v>7321.4000000000005</v>
      </c>
      <c r="D38">
        <v>7326.5</v>
      </c>
      <c r="E38">
        <v>8221.4000000000015</v>
      </c>
      <c r="F38">
        <v>8225.6</v>
      </c>
      <c r="G38">
        <v>8233.9000000000015</v>
      </c>
      <c r="H38">
        <v>8250.1</v>
      </c>
      <c r="I38">
        <v>8267.5</v>
      </c>
      <c r="J38">
        <v>8266.6</v>
      </c>
      <c r="K38">
        <v>8269.2000000000007</v>
      </c>
      <c r="L38">
        <v>8285.5</v>
      </c>
      <c r="M38">
        <v>8291.2000000000007</v>
      </c>
      <c r="N38">
        <v>8293.5</v>
      </c>
      <c r="O38">
        <v>8294.1</v>
      </c>
      <c r="P38">
        <v>8294.8000000000011</v>
      </c>
      <c r="Q38">
        <v>9406.4000000000015</v>
      </c>
      <c r="R38">
        <v>9409.5</v>
      </c>
      <c r="S38">
        <v>9426</v>
      </c>
      <c r="T38">
        <v>9428.7000000000007</v>
      </c>
      <c r="U38">
        <v>9446.3000000000011</v>
      </c>
      <c r="V38">
        <v>9441.5</v>
      </c>
      <c r="W38">
        <v>9442.8000000000011</v>
      </c>
      <c r="X38">
        <v>9439</v>
      </c>
      <c r="Y38">
        <v>9445.2000000000007</v>
      </c>
      <c r="Z38">
        <v>9448.1</v>
      </c>
      <c r="AA38">
        <v>9449.9000000000015</v>
      </c>
      <c r="AB38">
        <v>9452.5</v>
      </c>
      <c r="AC38">
        <v>10521.5</v>
      </c>
      <c r="AD38">
        <v>10543</v>
      </c>
      <c r="AE38">
        <v>10551.8</v>
      </c>
      <c r="AF38">
        <v>10556</v>
      </c>
      <c r="AG38">
        <v>10566.099999999999</v>
      </c>
      <c r="AH38">
        <v>10403.4</v>
      </c>
      <c r="AI38">
        <v>10401.299999999999</v>
      </c>
      <c r="AJ38">
        <v>10403.599999999999</v>
      </c>
      <c r="AK38">
        <v>10413.4</v>
      </c>
      <c r="AL38">
        <v>10746.699999999999</v>
      </c>
      <c r="AM38">
        <v>10761.199999999999</v>
      </c>
      <c r="AN38">
        <v>10769.099999999999</v>
      </c>
      <c r="AO38">
        <v>11558.6</v>
      </c>
      <c r="AP38">
        <v>11573.4</v>
      </c>
      <c r="AQ38">
        <v>11588</v>
      </c>
      <c r="AR38">
        <v>11808.199999999999</v>
      </c>
      <c r="AS38">
        <v>11670.3</v>
      </c>
      <c r="AT38">
        <v>11685.6</v>
      </c>
      <c r="AU38">
        <v>11694.6</v>
      </c>
      <c r="AV38">
        <v>11715</v>
      </c>
      <c r="AW38">
        <v>11724</v>
      </c>
      <c r="AX38">
        <v>11730.1</v>
      </c>
      <c r="AY38">
        <v>11726.5</v>
      </c>
      <c r="AZ38">
        <v>11722</v>
      </c>
      <c r="BA38">
        <v>11727.199999999999</v>
      </c>
      <c r="BB38">
        <v>13515.199999999999</v>
      </c>
      <c r="BC38">
        <v>13533.3</v>
      </c>
      <c r="BD38">
        <v>13521.9</v>
      </c>
      <c r="BE38">
        <v>13524.6</v>
      </c>
      <c r="BF38">
        <v>14455.1</v>
      </c>
      <c r="BG38">
        <v>14636.7</v>
      </c>
      <c r="BH38">
        <v>14622.900000000001</v>
      </c>
      <c r="BI38">
        <v>17338</v>
      </c>
      <c r="BJ38">
        <v>17638.5</v>
      </c>
      <c r="BK38">
        <v>17694.7</v>
      </c>
      <c r="BL38">
        <v>17727.099999999999</v>
      </c>
      <c r="BM38">
        <v>18405.599999999999</v>
      </c>
      <c r="BN38">
        <v>18405.599999999999</v>
      </c>
      <c r="BO38">
        <v>19064.5</v>
      </c>
      <c r="BP38">
        <v>19064.5</v>
      </c>
      <c r="BQ38">
        <v>19064.5</v>
      </c>
      <c r="BR38">
        <v>19064.5</v>
      </c>
      <c r="BS38">
        <v>19064.5</v>
      </c>
      <c r="BT38">
        <v>19064.400000000001</v>
      </c>
      <c r="BU38">
        <v>19064.5</v>
      </c>
      <c r="BV38">
        <v>19064.5</v>
      </c>
      <c r="BW38">
        <v>19064.5</v>
      </c>
      <c r="BX38">
        <v>19064.5</v>
      </c>
      <c r="BY38">
        <v>19611.400000000001</v>
      </c>
    </row>
    <row r="39" spans="2:77" x14ac:dyDescent="0.25">
      <c r="B39">
        <f>+B38+B37+B36+B35+B34</f>
        <v>19832.2</v>
      </c>
      <c r="C39">
        <f t="shared" ref="C39:BN39" si="12">+C38+C37+C36+C35+C34</f>
        <v>20076.400000000001</v>
      </c>
      <c r="D39">
        <f t="shared" si="12"/>
        <v>20350</v>
      </c>
      <c r="E39">
        <f t="shared" si="12"/>
        <v>20334.800000000003</v>
      </c>
      <c r="F39">
        <f t="shared" si="12"/>
        <v>21911.199999999997</v>
      </c>
      <c r="G39">
        <f t="shared" si="12"/>
        <v>22171.700000000004</v>
      </c>
      <c r="H39">
        <f t="shared" si="12"/>
        <v>22532.800000000003</v>
      </c>
      <c r="I39">
        <f t="shared" si="12"/>
        <v>22663.9</v>
      </c>
      <c r="J39">
        <f t="shared" si="12"/>
        <v>22922.7</v>
      </c>
      <c r="K39">
        <f t="shared" si="12"/>
        <v>23345.1</v>
      </c>
      <c r="L39">
        <f t="shared" si="12"/>
        <v>23800.799999999999</v>
      </c>
      <c r="M39">
        <f t="shared" si="12"/>
        <v>24092.800000000003</v>
      </c>
      <c r="N39">
        <f t="shared" si="12"/>
        <v>24144.200000000004</v>
      </c>
      <c r="O39">
        <f t="shared" si="12"/>
        <v>24373.200000000001</v>
      </c>
      <c r="P39">
        <f t="shared" si="12"/>
        <v>24649.100000000002</v>
      </c>
      <c r="Q39">
        <f t="shared" si="12"/>
        <v>24416.600000000002</v>
      </c>
      <c r="R39">
        <f t="shared" si="12"/>
        <v>24639.599999999999</v>
      </c>
      <c r="S39">
        <f t="shared" si="12"/>
        <v>24950</v>
      </c>
      <c r="T39">
        <f t="shared" si="12"/>
        <v>25161.200000000001</v>
      </c>
      <c r="U39">
        <f t="shared" si="12"/>
        <v>25408.300000000003</v>
      </c>
      <c r="V39">
        <f t="shared" si="12"/>
        <v>26428.6</v>
      </c>
      <c r="W39">
        <f t="shared" si="12"/>
        <v>26759.7</v>
      </c>
      <c r="X39">
        <f t="shared" si="12"/>
        <v>27039.599999999999</v>
      </c>
      <c r="Y39">
        <f t="shared" si="12"/>
        <v>27323.399999999998</v>
      </c>
      <c r="Z39">
        <f t="shared" si="12"/>
        <v>27483.3</v>
      </c>
      <c r="AA39">
        <f t="shared" si="12"/>
        <v>27790.699999999997</v>
      </c>
      <c r="AB39">
        <f t="shared" si="12"/>
        <v>27953.599999999999</v>
      </c>
      <c r="AC39">
        <f t="shared" si="12"/>
        <v>27810.899999999998</v>
      </c>
      <c r="AD39">
        <f t="shared" si="12"/>
        <v>28223.899999999998</v>
      </c>
      <c r="AE39">
        <f t="shared" si="12"/>
        <v>28644.799999999999</v>
      </c>
      <c r="AF39">
        <f t="shared" si="12"/>
        <v>28886</v>
      </c>
      <c r="AG39">
        <f t="shared" si="12"/>
        <v>29723.599999999999</v>
      </c>
      <c r="AH39">
        <f t="shared" si="12"/>
        <v>30099.399999999994</v>
      </c>
      <c r="AI39">
        <f t="shared" si="12"/>
        <v>30565.699999999997</v>
      </c>
      <c r="AJ39">
        <f t="shared" si="12"/>
        <v>31631.399999999994</v>
      </c>
      <c r="AK39">
        <f t="shared" si="12"/>
        <v>32115.8</v>
      </c>
      <c r="AL39">
        <f t="shared" si="12"/>
        <v>32945.599999999999</v>
      </c>
      <c r="AM39">
        <f t="shared" si="12"/>
        <v>33201.1</v>
      </c>
      <c r="AN39">
        <f t="shared" si="12"/>
        <v>33606.1</v>
      </c>
      <c r="AO39">
        <f t="shared" si="12"/>
        <v>32920</v>
      </c>
      <c r="AP39">
        <f t="shared" si="12"/>
        <v>33200.6</v>
      </c>
      <c r="AQ39">
        <f t="shared" si="12"/>
        <v>33543.699999999997</v>
      </c>
      <c r="AR39">
        <f t="shared" si="12"/>
        <v>33987.699999999997</v>
      </c>
      <c r="AS39">
        <f t="shared" si="12"/>
        <v>34788.6</v>
      </c>
      <c r="AT39">
        <f t="shared" si="12"/>
        <v>35238.6</v>
      </c>
      <c r="AU39">
        <f t="shared" si="12"/>
        <v>35701</v>
      </c>
      <c r="AV39">
        <f t="shared" si="12"/>
        <v>36220.300000000003</v>
      </c>
      <c r="AW39">
        <f t="shared" si="12"/>
        <v>36911.699999999997</v>
      </c>
      <c r="AX39">
        <f t="shared" si="12"/>
        <v>38242.199999999997</v>
      </c>
      <c r="AY39">
        <f t="shared" si="12"/>
        <v>38828.699999999997</v>
      </c>
      <c r="AZ39">
        <f t="shared" si="12"/>
        <v>39289.800000000003</v>
      </c>
      <c r="BA39">
        <f t="shared" si="12"/>
        <v>39073.199999999997</v>
      </c>
      <c r="BB39">
        <f t="shared" si="12"/>
        <v>41363.399999999994</v>
      </c>
      <c r="BC39">
        <f t="shared" si="12"/>
        <v>41558.499999999993</v>
      </c>
      <c r="BD39">
        <f t="shared" si="12"/>
        <v>41815</v>
      </c>
      <c r="BE39">
        <f t="shared" si="12"/>
        <v>42316.100000000006</v>
      </c>
      <c r="BF39">
        <f t="shared" si="12"/>
        <v>44212.100000000006</v>
      </c>
      <c r="BG39">
        <f t="shared" si="12"/>
        <v>44840.4</v>
      </c>
      <c r="BH39">
        <f t="shared" si="12"/>
        <v>45275</v>
      </c>
      <c r="BI39">
        <f t="shared" si="12"/>
        <v>49612.5</v>
      </c>
      <c r="BJ39">
        <f t="shared" si="12"/>
        <v>50193.3</v>
      </c>
      <c r="BK39">
        <f t="shared" si="12"/>
        <v>51968.800000000003</v>
      </c>
      <c r="BL39">
        <f t="shared" si="12"/>
        <v>53159.199999999997</v>
      </c>
      <c r="BM39">
        <f t="shared" si="12"/>
        <v>52851.3</v>
      </c>
      <c r="BN39">
        <f t="shared" si="12"/>
        <v>53775</v>
      </c>
      <c r="BO39">
        <f t="shared" ref="BO39:BY39" si="13">+BO38+BO37+BO36+BO35+BO34</f>
        <v>54735.7</v>
      </c>
      <c r="BP39">
        <f t="shared" si="13"/>
        <v>54935.299999999996</v>
      </c>
      <c r="BQ39">
        <f t="shared" si="13"/>
        <v>55424.7</v>
      </c>
      <c r="BR39">
        <f t="shared" si="13"/>
        <v>56754.9</v>
      </c>
      <c r="BS39">
        <f t="shared" si="13"/>
        <v>57445.9</v>
      </c>
      <c r="BT39">
        <f t="shared" si="13"/>
        <v>58328.7</v>
      </c>
      <c r="BU39">
        <f t="shared" si="13"/>
        <v>59155.5</v>
      </c>
      <c r="BV39">
        <f t="shared" si="13"/>
        <v>59948.2</v>
      </c>
      <c r="BW39">
        <f t="shared" si="13"/>
        <v>60512.800000000003</v>
      </c>
      <c r="BX39">
        <f t="shared" si="13"/>
        <v>58549</v>
      </c>
      <c r="BY39">
        <f t="shared" si="13"/>
        <v>57537.100000000006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ii5-2sitconso des etsfinapassif</vt:lpstr>
      <vt:lpstr>Sheet1</vt:lpstr>
      <vt:lpstr>'ii5-2sitconso des etsfinapassif'!Zone_d_impression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SAHINGUVU Vianney</cp:lastModifiedBy>
  <cp:lastPrinted>2017-07-11T06:10:58Z</cp:lastPrinted>
  <dcterms:created xsi:type="dcterms:W3CDTF">2000-09-11T06:53:43Z</dcterms:created>
  <dcterms:modified xsi:type="dcterms:W3CDTF">2017-07-11T06:11:07Z</dcterms:modified>
</cp:coreProperties>
</file>