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détenteurs'!$A$1:$O$172</definedName>
    <definedName name="Zone_impres_MI">'ii8 dépôts par détenteurs'!$A$1:$O$168</definedName>
  </definedNames>
  <calcPr calcId="152511"/>
</workbook>
</file>

<file path=xl/calcChain.xml><?xml version="1.0" encoding="utf-8"?>
<calcChain xmlns="http://schemas.openxmlformats.org/spreadsheetml/2006/main">
  <c r="O167" i="1" l="1"/>
  <c r="H167" i="1"/>
  <c r="E167" i="1"/>
  <c r="O27" i="1" l="1"/>
  <c r="H27" i="1"/>
  <c r="E27" i="1"/>
  <c r="O114" i="1"/>
  <c r="H114" i="1"/>
  <c r="E114" i="1"/>
  <c r="O165" i="1"/>
  <c r="E165" i="1"/>
  <c r="H165" i="1"/>
  <c r="O164" i="1" l="1"/>
  <c r="H164" i="1"/>
  <c r="E164" i="1"/>
  <c r="O48" i="1" l="1"/>
  <c r="H48" i="1"/>
  <c r="E48" i="1"/>
  <c r="O113" i="1"/>
  <c r="H113" i="1"/>
  <c r="E113" i="1"/>
  <c r="O163" i="1" l="1"/>
  <c r="H163" i="1"/>
  <c r="E163" i="1"/>
  <c r="O162" i="1" l="1"/>
  <c r="E162" i="1"/>
  <c r="H162" i="1" s="1"/>
  <c r="O47" i="1" l="1"/>
  <c r="E47" i="1"/>
  <c r="H47" i="1" s="1"/>
  <c r="E152" i="1" l="1"/>
  <c r="H152" i="1" l="1"/>
  <c r="H151" i="1"/>
  <c r="E154" i="1"/>
  <c r="H154" i="1" s="1"/>
  <c r="E161" i="1"/>
  <c r="E160" i="1"/>
  <c r="E159" i="1"/>
  <c r="E158" i="1"/>
  <c r="E157" i="1"/>
  <c r="E156" i="1"/>
  <c r="E155" i="1"/>
  <c r="O161" i="1" l="1"/>
  <c r="H161" i="1"/>
  <c r="O160" i="1" l="1"/>
  <c r="H160" i="1"/>
  <c r="O159" i="1" l="1"/>
  <c r="H159" i="1"/>
  <c r="O158" i="1" l="1"/>
  <c r="H158" i="1"/>
  <c r="O157" i="1" l="1"/>
  <c r="H157" i="1"/>
  <c r="O26" i="1" l="1"/>
  <c r="O45" i="1"/>
  <c r="N44" i="1"/>
  <c r="K44" i="1"/>
  <c r="J44" i="1"/>
  <c r="I44" i="1"/>
  <c r="E44" i="1"/>
  <c r="H44" i="1" s="1"/>
  <c r="N43" i="1"/>
  <c r="K43" i="1"/>
  <c r="J43" i="1"/>
  <c r="I43" i="1"/>
  <c r="E43" i="1"/>
  <c r="H43" i="1" s="1"/>
  <c r="O44" i="1" l="1"/>
  <c r="O43" i="1"/>
  <c r="O156" i="1" l="1"/>
  <c r="H156" i="1"/>
  <c r="N42" i="1" l="1"/>
  <c r="L42" i="1"/>
  <c r="K42" i="1"/>
  <c r="J42" i="1"/>
  <c r="I42" i="1"/>
  <c r="E42" i="1"/>
  <c r="H42" i="1" s="1"/>
  <c r="O42" i="1" l="1"/>
  <c r="O155" i="1" l="1"/>
  <c r="H155" i="1"/>
  <c r="O154" i="1" l="1"/>
  <c r="O152" i="1" l="1"/>
  <c r="O151" i="1" l="1"/>
  <c r="N150" i="1" l="1"/>
  <c r="K150" i="1"/>
  <c r="J150" i="1"/>
  <c r="I150" i="1"/>
  <c r="E150" i="1"/>
  <c r="O150" i="1" l="1"/>
  <c r="H150" i="1"/>
  <c r="N25" i="1" l="1"/>
  <c r="L25" i="1"/>
  <c r="K25" i="1"/>
  <c r="J25" i="1"/>
  <c r="H25" i="1"/>
  <c r="N40" i="1"/>
  <c r="L40" i="1"/>
  <c r="K40" i="1"/>
  <c r="J40" i="1"/>
  <c r="H40" i="1"/>
  <c r="O40" i="1" l="1"/>
  <c r="O25" i="1"/>
  <c r="N149" i="1"/>
  <c r="K149" i="1"/>
  <c r="J149" i="1"/>
  <c r="I149" i="1"/>
  <c r="E149" i="1"/>
  <c r="H149" i="1" s="1"/>
  <c r="O149" i="1" l="1"/>
  <c r="N148" i="1"/>
  <c r="K148" i="1"/>
  <c r="J148" i="1"/>
  <c r="I148" i="1"/>
  <c r="E148" i="1"/>
  <c r="O148" i="1" l="1"/>
  <c r="H148" i="1"/>
  <c r="N39" i="1" l="1"/>
  <c r="L39" i="1"/>
  <c r="K39" i="1"/>
  <c r="J39" i="1"/>
  <c r="I39" i="1"/>
  <c r="E39" i="1"/>
  <c r="H39" i="1" s="1"/>
  <c r="N38" i="1"/>
  <c r="L38" i="1"/>
  <c r="K38" i="1"/>
  <c r="J38" i="1"/>
  <c r="I38" i="1"/>
  <c r="E38" i="1"/>
  <c r="H38" i="1" s="1"/>
  <c r="O38" i="1" l="1"/>
  <c r="O39" i="1"/>
  <c r="K147" i="1"/>
  <c r="J147" i="1"/>
  <c r="I147" i="1"/>
  <c r="E147" i="1"/>
  <c r="N147" i="1" l="1"/>
  <c r="O147" i="1" s="1"/>
  <c r="H147" i="1"/>
  <c r="K146" i="1" l="1"/>
  <c r="J146" i="1"/>
  <c r="I146" i="1"/>
  <c r="E146" i="1"/>
  <c r="H146" i="1" s="1"/>
  <c r="N146" i="1" l="1"/>
  <c r="O146" i="1" s="1"/>
  <c r="N145" i="1" l="1"/>
  <c r="K145" i="1"/>
  <c r="J145" i="1"/>
  <c r="I145" i="1"/>
  <c r="E145" i="1"/>
  <c r="H145" i="1" s="1"/>
  <c r="O145" i="1"/>
  <c r="E144" i="1" l="1"/>
  <c r="H144" i="1" s="1"/>
  <c r="N144" i="1" l="1"/>
  <c r="K144" i="1"/>
  <c r="J144" i="1"/>
  <c r="I144" i="1"/>
  <c r="O144" i="1" l="1"/>
  <c r="E143" i="1" l="1"/>
  <c r="H143" i="1" s="1"/>
  <c r="N143" i="1" l="1"/>
  <c r="L143" i="1"/>
  <c r="K143" i="1"/>
  <c r="J143" i="1"/>
  <c r="I143" i="1"/>
  <c r="O143" i="1" l="1"/>
  <c r="N142" i="1" l="1"/>
  <c r="L142" i="1"/>
  <c r="K142" i="1"/>
  <c r="J142" i="1"/>
  <c r="I142" i="1"/>
  <c r="E142" i="1"/>
  <c r="H142" i="1" s="1"/>
  <c r="O142" i="1" l="1"/>
  <c r="N141" i="1" l="1"/>
  <c r="L141" i="1"/>
  <c r="K141" i="1"/>
  <c r="J141" i="1"/>
  <c r="I141" i="1"/>
  <c r="E141" i="1"/>
  <c r="O141" i="1" l="1"/>
  <c r="H141" i="1"/>
  <c r="N138" i="1" l="1"/>
  <c r="K138" i="1" l="1"/>
  <c r="K137" i="1"/>
  <c r="N139" i="1" l="1"/>
  <c r="L138" i="1"/>
  <c r="L137" i="1"/>
  <c r="L139" i="1"/>
  <c r="K139" i="1"/>
  <c r="J139" i="1"/>
  <c r="H139" i="1"/>
  <c r="O139" i="1" l="1"/>
  <c r="J138" i="1"/>
  <c r="I138" i="1"/>
  <c r="E138" i="1"/>
  <c r="H138" i="1" s="1"/>
  <c r="O138" i="1" l="1"/>
  <c r="J137" i="1"/>
  <c r="I137" i="1"/>
  <c r="E137" i="1"/>
  <c r="N137" i="1" l="1"/>
  <c r="O137" i="1"/>
  <c r="H137" i="1"/>
  <c r="O33" i="1" l="1"/>
  <c r="H33" i="1"/>
  <c r="O34" i="1" l="1"/>
  <c r="H34" i="1"/>
  <c r="E120" i="1" l="1"/>
  <c r="E119" i="1"/>
  <c r="N136" i="1" l="1"/>
  <c r="L136" i="1" l="1"/>
  <c r="K136" i="1"/>
  <c r="J136" i="1"/>
  <c r="I136" i="1"/>
  <c r="E136" i="1"/>
  <c r="H136" i="1" s="1"/>
  <c r="O136" i="1" l="1"/>
  <c r="L37" i="1"/>
  <c r="K37" i="1"/>
  <c r="J37" i="1"/>
  <c r="I37" i="1"/>
  <c r="E37" i="1"/>
  <c r="H37" i="1" s="1"/>
  <c r="O37" i="1" l="1"/>
  <c r="L135" i="1"/>
  <c r="I135" i="1"/>
  <c r="K135" i="1" l="1"/>
  <c r="J135" i="1"/>
  <c r="E135" i="1" l="1"/>
  <c r="N135" i="1" l="1"/>
  <c r="O135" i="1"/>
  <c r="H135" i="1"/>
  <c r="N134" i="1" l="1"/>
  <c r="I134" i="1"/>
  <c r="L134" i="1"/>
  <c r="K134" i="1"/>
  <c r="J134" i="1"/>
  <c r="E134" i="1"/>
  <c r="O134" i="1" l="1"/>
  <c r="H134" i="1"/>
  <c r="N133" i="1" l="1"/>
  <c r="L133" i="1"/>
  <c r="K133" i="1"/>
  <c r="J133" i="1"/>
  <c r="I133" i="1"/>
  <c r="E133" i="1"/>
  <c r="O133" i="1" l="1"/>
  <c r="H133" i="1"/>
  <c r="L132" i="1" l="1"/>
  <c r="K132" i="1"/>
  <c r="J132" i="1"/>
  <c r="I132" i="1"/>
  <c r="E132" i="1"/>
  <c r="H132" i="1" s="1"/>
  <c r="O132" i="1" l="1"/>
  <c r="L131" i="1"/>
  <c r="K131" i="1"/>
  <c r="J131" i="1"/>
  <c r="I131" i="1"/>
  <c r="E131" i="1"/>
  <c r="O131" i="1" l="1"/>
  <c r="H131" i="1"/>
  <c r="O24" i="1" l="1"/>
  <c r="H24" i="1"/>
  <c r="O35" i="1"/>
  <c r="H35" i="1"/>
  <c r="O106" i="1"/>
  <c r="H106" i="1"/>
  <c r="L130" i="1"/>
  <c r="K130" i="1"/>
  <c r="J130" i="1"/>
  <c r="I130" i="1"/>
  <c r="E130" i="1"/>
  <c r="O130" i="1" l="1"/>
  <c r="H130" i="1"/>
  <c r="L129" i="1" l="1"/>
  <c r="K129" i="1"/>
  <c r="J129" i="1"/>
  <c r="I129" i="1"/>
  <c r="E129" i="1"/>
  <c r="H129" i="1" s="1"/>
  <c r="O129" i="1" l="1"/>
  <c r="O22" i="1"/>
  <c r="H22" i="1"/>
  <c r="O31" i="1"/>
  <c r="H31" i="1"/>
  <c r="O21" i="1"/>
  <c r="H21" i="1"/>
  <c r="O20" i="1"/>
  <c r="H20" i="1"/>
  <c r="O19" i="1"/>
  <c r="H19" i="1"/>
  <c r="O18" i="1"/>
  <c r="H18" i="1"/>
  <c r="H62" i="1"/>
  <c r="O62" i="1"/>
  <c r="O128" i="1" l="1"/>
  <c r="H128" i="1"/>
  <c r="E125" i="1" l="1"/>
  <c r="H49" i="1"/>
  <c r="O49" i="1"/>
  <c r="H126" i="1" l="1"/>
  <c r="H127" i="1" l="1"/>
  <c r="O125" i="1" l="1"/>
  <c r="O126" i="1"/>
  <c r="O127" i="1"/>
  <c r="O50" i="1" l="1"/>
  <c r="O51" i="1"/>
  <c r="O52" i="1"/>
  <c r="O53" i="1"/>
  <c r="O54" i="1"/>
  <c r="O55" i="1"/>
  <c r="O56" i="1"/>
  <c r="O57" i="1"/>
  <c r="O58" i="1"/>
  <c r="O59" i="1"/>
  <c r="O60" i="1"/>
  <c r="O63" i="1"/>
  <c r="O64" i="1"/>
  <c r="O65" i="1"/>
  <c r="O66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3" i="1"/>
  <c r="O84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1" i="1"/>
  <c r="O102" i="1"/>
  <c r="O103" i="1"/>
  <c r="O104" i="1"/>
  <c r="O105" i="1"/>
  <c r="O107" i="1"/>
  <c r="O108" i="1"/>
  <c r="O109" i="1"/>
  <c r="O110" i="1"/>
  <c r="O111" i="1"/>
  <c r="O112" i="1"/>
  <c r="O116" i="1"/>
  <c r="O117" i="1"/>
  <c r="O118" i="1"/>
  <c r="O119" i="1"/>
  <c r="O120" i="1"/>
  <c r="O121" i="1"/>
  <c r="O122" i="1"/>
  <c r="O123" i="1"/>
  <c r="O124" i="1"/>
  <c r="H50" i="1" l="1"/>
  <c r="H51" i="1"/>
  <c r="H52" i="1"/>
  <c r="H53" i="1"/>
  <c r="H54" i="1"/>
  <c r="H55" i="1"/>
  <c r="H56" i="1"/>
  <c r="H57" i="1"/>
  <c r="H58" i="1"/>
  <c r="H59" i="1"/>
  <c r="H60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7" i="1"/>
  <c r="H108" i="1"/>
  <c r="H109" i="1"/>
  <c r="H110" i="1"/>
  <c r="H111" i="1"/>
  <c r="H112" i="1"/>
  <c r="H116" i="1"/>
  <c r="H117" i="1"/>
  <c r="H118" i="1"/>
  <c r="H119" i="1"/>
  <c r="H120" i="1"/>
  <c r="H121" i="1"/>
  <c r="H122" i="1"/>
  <c r="H123" i="1"/>
  <c r="H124" i="1"/>
  <c r="H125" i="1"/>
  <c r="O23" i="1" l="1"/>
  <c r="H23" i="1"/>
</calcChain>
</file>

<file path=xl/sharedStrings.xml><?xml version="1.0" encoding="utf-8"?>
<sst xmlns="http://schemas.openxmlformats.org/spreadsheetml/2006/main" count="171" uniqueCount="148">
  <si>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</si>
  <si>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</si>
  <si>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</si>
  <si>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</si>
  <si>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</si>
  <si>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</si>
  <si>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</si>
  <si>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</si>
  <si>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</si>
  <si>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</si>
  <si>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</si>
  <si>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</si>
  <si>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</si>
  <si>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</si>
  <si>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</si>
  <si>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</si>
  <si>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</si>
  <si>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</si>
  <si>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</si>
  <si>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</si>
  <si>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</si>
  <si>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</si>
  <si>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</si>
  <si>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</si>
  <si>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</si>
  <si>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</si>
  <si>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</si>
  <si>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</si>
  <si>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</si>
  <si>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</si>
  <si>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</si>
  <si>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</si>
  <si>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</si>
  <si>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</si>
  <si>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</si>
  <si>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</si>
  <si>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</si>
  <si>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</si>
  <si>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</si>
  <si>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</si>
  <si>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</si>
  <si>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</si>
  <si>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</si>
  <si>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</si>
  <si>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</si>
  <si>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</si>
  <si>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</si>
  <si>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</si>
  <si>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</si>
  <si>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</si>
  <si>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</si>
  <si>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</si>
  <si>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</si>
  <si>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</si>
  <si>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</si>
  <si>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</si>
  <si>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</si>
  <si>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</si>
  <si>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</si>
  <si>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</si>
  <si>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</si>
  <si>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</si>
  <si>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</si>
  <si>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</si>
  <si>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</si>
  <si>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</si>
  <si>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</si>
  <si>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</si>
  <si>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</si>
  <si>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</si>
  <si>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 xml:space="preserve"> II.9.1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</si>
  <si>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</si>
  <si>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</si>
  <si>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</si>
  <si>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</si>
  <si>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</si>
  <si>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</si>
  <si>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</si>
  <si>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</si>
  <si>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</si>
  <si>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</si>
  <si>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</si>
  <si>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</si>
  <si>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</si>
  <si>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</si>
  <si>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 la BRB,des banques commerciales et des CCP.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</si>
  <si>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</si>
  <si>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</si>
  <si>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</si>
  <si>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</si>
  <si>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</si>
  <si>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</si>
  <si>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</si>
  <si>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</si>
  <si>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</si>
  <si>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</si>
  <si>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</si>
  <si>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</si>
  <si>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</si>
  <si>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</si>
  <si>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</si>
  <si>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</si>
  <si>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 xml:space="preserve">          Juillet</t>
  </si>
  <si>
    <t>2015 Janvier</t>
  </si>
  <si>
    <t xml:space="preserve">          Février</t>
  </si>
  <si>
    <t xml:space="preserve">          Mars</t>
  </si>
  <si>
    <t>2015 Mars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</si>
  <si>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</si>
  <si>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</si>
  <si>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</si>
  <si>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</si>
  <si>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</si>
  <si>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</si>
  <si>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          Avril</t>
  </si>
  <si>
    <t xml:space="preserve">          Mai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</si>
  <si>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</si>
  <si>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</si>
  <si>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</si>
  <si>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2013 Mars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</si>
  <si>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</si>
  <si>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</si>
  <si>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</si>
  <si>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r>
      <t>2013 Juin</t>
    </r>
    <r>
      <rPr>
        <vertAlign val="superscript"/>
        <sz val="10"/>
        <rFont val="Helv"/>
      </rPr>
      <t/>
    </r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</si>
  <si>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</si>
  <si>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</si>
  <si>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</si>
  <si>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</si>
  <si>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</si>
  <si>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</si>
  <si>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</si>
  <si>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</si>
  <si>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r>
      <t>2013 Septembre</t>
    </r>
    <r>
      <rPr>
        <vertAlign val="superscript"/>
        <sz val="10"/>
        <rFont val="Helv"/>
      </rPr>
      <t xml:space="preserve"> </t>
    </r>
  </si>
  <si>
    <r>
      <t xml:space="preserve">         Septembre</t>
    </r>
    <r>
      <rPr>
        <vertAlign val="superscript"/>
        <sz val="10"/>
        <rFont val="Helv"/>
      </rPr>
      <t>(p)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</si>
  <si>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</si>
  <si>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</si>
  <si>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</si>
  <si>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</si>
  <si>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</si>
  <si>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</si>
  <si>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</si>
  <si>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t xml:space="preserve">                  Rubriques</t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</si>
  <si>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</si>
  <si>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</si>
  <si>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r>
      <t>2013 Décembre</t>
    </r>
    <r>
      <rPr>
        <vertAlign val="superscript"/>
        <sz val="10"/>
        <rFont val="Helv"/>
      </rPr>
      <t xml:space="preserve"> </t>
    </r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</si>
  <si>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</si>
  <si>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</si>
  <si>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</si>
  <si>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r>
      <t>2017 Janvier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</si>
</sst>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0"/>
      <color rgb="FF00B05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5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0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8" xfId="0" applyFont="1" applyFill="1" applyBorder="1"/>
    <xf numFmtId="165" fontId="1" fillId="2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>
      <alignment horizontal="right"/>
    </xf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6" fontId="5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Z176"/>
  <sheetViews>
    <sheetView showGridLines="0" tabSelected="1" view="pageBreakPreview" topLeftCell="A2" zoomScale="60" zoomScaleNormal="100" workbookViewId="0">
      <pane xSplit="1" ySplit="15" topLeftCell="G17" activePane="bottomRight" state="frozen"/>
      <selection activeCell="A2" sqref="A2"/>
      <selection pane="topRight" activeCell="B2" sqref="B2"/>
      <selection pane="bottomLeft" activeCell="A17" sqref="A17"/>
      <selection pane="bottomRight" activeCell="K27" sqref="K27"/>
    </sheetView>
  </sheetViews>
  <sheetFormatPr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47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7" customWidth="1"/>
    <col min="15" max="15" width="9.21875" style="9" customWidth="1"/>
    <col min="16" max="17" width="12.6640625" style="9"/>
    <col min="18" max="18" width="12.6640625" style="47"/>
    <col min="19" max="16384" width="12.6640625" style="9"/>
  </cols>
  <sheetData>
    <row r="1" spans="1:2314" s="5" customFormat="1" x14ac:dyDescent="0.2">
      <c r="A1" s="1"/>
      <c r="B1" s="2"/>
      <c r="C1" s="2"/>
      <c r="D1" s="2"/>
      <c r="E1" s="2"/>
      <c r="F1" s="2"/>
      <c r="G1" s="38"/>
      <c r="H1" s="2"/>
      <c r="I1" s="2"/>
      <c r="J1" s="3"/>
      <c r="K1" s="2"/>
      <c r="L1" s="2"/>
      <c r="M1" s="2"/>
      <c r="N1" s="38"/>
      <c r="O1" s="4"/>
      <c r="R1" s="39"/>
    </row>
    <row r="2" spans="1:2314" ht="12.75" customHeight="1" x14ac:dyDescent="0.2">
      <c r="A2" s="6"/>
      <c r="B2" s="5"/>
      <c r="C2" s="5"/>
      <c r="D2" s="5"/>
      <c r="E2" s="5"/>
      <c r="F2" s="5"/>
      <c r="G2" s="39"/>
      <c r="H2" s="5"/>
      <c r="I2" s="5"/>
      <c r="J2" s="7"/>
      <c r="K2" s="5"/>
      <c r="L2" s="5"/>
      <c r="M2" s="5"/>
      <c r="N2" s="39"/>
      <c r="O2" s="8"/>
    </row>
    <row r="3" spans="1:2314" ht="12.75" customHeight="1" x14ac:dyDescent="0.2">
      <c r="A3" s="10" t="s">
        <v>0</v>
      </c>
      <c r="B3" s="5"/>
      <c r="C3" s="5"/>
      <c r="D3" s="5"/>
      <c r="E3" s="5"/>
      <c r="F3" s="5"/>
      <c r="G3" s="39"/>
      <c r="H3" s="5"/>
      <c r="I3" s="5"/>
      <c r="J3" s="7"/>
      <c r="K3" s="5"/>
      <c r="L3" s="5"/>
      <c r="M3" s="5"/>
      <c r="N3" s="39"/>
      <c r="O3" s="11" t="s">
        <v>70</v>
      </c>
    </row>
    <row r="4" spans="1:2314" s="12" customFormat="1" ht="12.75" customHeight="1" x14ac:dyDescent="0.2">
      <c r="A4" s="83" t="s">
        <v>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Q4" s="36"/>
      <c r="R4" s="52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</row>
    <row r="5" spans="1:2314" ht="12.75" customHeight="1" x14ac:dyDescent="0.2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2314" ht="12.75" customHeight="1" x14ac:dyDescent="0.2">
      <c r="A6" s="6"/>
      <c r="B6" s="5"/>
      <c r="C6" s="5"/>
      <c r="D6" s="5"/>
      <c r="E6" s="5"/>
      <c r="F6" s="5"/>
      <c r="G6" s="39"/>
      <c r="H6" s="5"/>
      <c r="I6" s="5"/>
      <c r="J6" s="7"/>
      <c r="K6" s="5"/>
      <c r="L6" s="5"/>
      <c r="M6" s="5"/>
      <c r="N6" s="39"/>
      <c r="O6" s="8"/>
    </row>
    <row r="7" spans="1:2314" x14ac:dyDescent="0.2">
      <c r="A7" s="13"/>
      <c r="B7" s="14"/>
      <c r="C7" s="14"/>
      <c r="D7" s="14"/>
      <c r="E7" s="14"/>
      <c r="F7" s="14"/>
      <c r="G7" s="40"/>
      <c r="H7" s="14"/>
      <c r="I7" s="14"/>
      <c r="J7" s="15"/>
      <c r="K7" s="14"/>
      <c r="L7" s="14"/>
      <c r="M7" s="14"/>
      <c r="N7" s="40"/>
      <c r="O7" s="16"/>
    </row>
    <row r="8" spans="1:2314" x14ac:dyDescent="0.2">
      <c r="A8" s="17"/>
      <c r="B8" s="18"/>
      <c r="C8" s="19"/>
      <c r="D8" s="19"/>
      <c r="E8" s="19"/>
      <c r="F8" s="19"/>
      <c r="G8" s="41"/>
      <c r="H8" s="20"/>
      <c r="I8" s="18"/>
      <c r="J8" s="19"/>
      <c r="K8" s="19"/>
      <c r="L8" s="19"/>
      <c r="M8" s="19"/>
      <c r="N8" s="41"/>
      <c r="O8" s="20"/>
    </row>
    <row r="9" spans="1:2314" x14ac:dyDescent="0.2">
      <c r="A9" s="80" t="s">
        <v>140</v>
      </c>
      <c r="B9" s="54"/>
      <c r="C9" s="58"/>
      <c r="D9" s="82" t="s">
        <v>145</v>
      </c>
      <c r="E9" s="55"/>
      <c r="F9" s="55"/>
      <c r="G9" s="56"/>
      <c r="H9" s="57"/>
      <c r="I9" s="54"/>
      <c r="J9" s="7"/>
      <c r="K9" s="36" t="s">
        <v>146</v>
      </c>
      <c r="L9" s="55"/>
      <c r="M9" s="55"/>
      <c r="N9" s="56"/>
      <c r="O9" s="57"/>
    </row>
    <row r="10" spans="1:2314" x14ac:dyDescent="0.2">
      <c r="A10" s="81"/>
      <c r="B10" s="13"/>
      <c r="C10" s="14"/>
      <c r="D10" s="14"/>
      <c r="E10" s="14"/>
      <c r="F10" s="14"/>
      <c r="G10" s="40"/>
      <c r="H10" s="16"/>
      <c r="I10" s="13"/>
      <c r="J10" s="14"/>
      <c r="K10" s="14"/>
      <c r="L10" s="14"/>
      <c r="M10" s="14"/>
      <c r="N10" s="40"/>
      <c r="O10" s="16"/>
    </row>
    <row r="11" spans="1:2314" x14ac:dyDescent="0.2">
      <c r="A11" s="80"/>
      <c r="B11" s="21"/>
      <c r="C11" s="8"/>
      <c r="D11" s="5"/>
      <c r="E11" s="6"/>
      <c r="F11" s="6"/>
      <c r="G11" s="42"/>
      <c r="H11" s="21"/>
      <c r="I11" s="5"/>
      <c r="J11" s="21"/>
      <c r="K11" s="5"/>
      <c r="L11" s="6"/>
      <c r="M11" s="6"/>
      <c r="N11" s="42"/>
      <c r="O11" s="21"/>
    </row>
    <row r="12" spans="1:2314" x14ac:dyDescent="0.2">
      <c r="A12" s="80"/>
      <c r="B12" s="23" t="s">
        <v>1</v>
      </c>
      <c r="C12" s="24" t="s">
        <v>2</v>
      </c>
      <c r="D12" s="22" t="s">
        <v>3</v>
      </c>
      <c r="E12" s="25" t="s">
        <v>4</v>
      </c>
      <c r="F12" s="25" t="s">
        <v>17</v>
      </c>
      <c r="G12" s="43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5" t="s">
        <v>4</v>
      </c>
      <c r="M12" s="25" t="s">
        <v>17</v>
      </c>
      <c r="N12" s="43" t="s">
        <v>65</v>
      </c>
      <c r="O12" s="23" t="s">
        <v>11</v>
      </c>
    </row>
    <row r="13" spans="1:2314" x14ac:dyDescent="0.2">
      <c r="A13" s="80"/>
      <c r="B13" s="21"/>
      <c r="C13" s="24" t="s">
        <v>6</v>
      </c>
      <c r="D13" s="22" t="s">
        <v>7</v>
      </c>
      <c r="E13" s="25" t="s">
        <v>8</v>
      </c>
      <c r="F13" s="25" t="s">
        <v>18</v>
      </c>
      <c r="G13" s="43" t="s">
        <v>66</v>
      </c>
      <c r="H13" s="21"/>
      <c r="I13" s="5"/>
      <c r="J13" s="23" t="s">
        <v>6</v>
      </c>
      <c r="K13" s="22" t="s">
        <v>7</v>
      </c>
      <c r="L13" s="25" t="s">
        <v>8</v>
      </c>
      <c r="M13" s="25" t="s">
        <v>18</v>
      </c>
      <c r="N13" s="43" t="s">
        <v>66</v>
      </c>
      <c r="O13" s="21"/>
    </row>
    <row r="14" spans="1:2314" x14ac:dyDescent="0.2">
      <c r="A14" s="80"/>
      <c r="B14" s="21"/>
      <c r="C14" s="8"/>
      <c r="D14" s="22" t="s">
        <v>9</v>
      </c>
      <c r="E14" s="6"/>
      <c r="F14" s="6"/>
      <c r="G14" s="42"/>
      <c r="H14" s="21"/>
      <c r="I14" s="5"/>
      <c r="J14" s="21"/>
      <c r="K14" s="22" t="s">
        <v>10</v>
      </c>
      <c r="L14" s="6"/>
      <c r="M14" s="6"/>
      <c r="N14" s="42"/>
      <c r="O14" s="21"/>
    </row>
    <row r="15" spans="1:2314" ht="10.5" customHeight="1" x14ac:dyDescent="0.2">
      <c r="A15" s="80" t="s">
        <v>12</v>
      </c>
      <c r="B15" s="21"/>
      <c r="C15" s="8"/>
      <c r="D15" s="22"/>
      <c r="E15" s="6"/>
      <c r="F15" s="6"/>
      <c r="G15" s="42"/>
      <c r="H15" s="21"/>
      <c r="I15" s="5"/>
      <c r="J15" s="21"/>
      <c r="K15" s="22"/>
      <c r="L15" s="6"/>
      <c r="M15" s="6"/>
      <c r="N15" s="42"/>
      <c r="O15" s="21"/>
    </row>
    <row r="16" spans="1:2314" x14ac:dyDescent="0.2">
      <c r="A16" s="26"/>
      <c r="B16" s="26"/>
      <c r="C16" s="16"/>
      <c r="D16" s="14"/>
      <c r="E16" s="13"/>
      <c r="F16" s="13"/>
      <c r="G16" s="44"/>
      <c r="H16" s="26"/>
      <c r="I16" s="14"/>
      <c r="J16" s="26"/>
      <c r="K16" s="14"/>
      <c r="L16" s="13"/>
      <c r="M16" s="13"/>
      <c r="N16" s="44"/>
      <c r="O16" s="26"/>
    </row>
    <row r="17" spans="1:21" x14ac:dyDescent="0.2">
      <c r="A17" s="18"/>
      <c r="B17" s="17"/>
      <c r="C17" s="19"/>
      <c r="D17" s="17"/>
      <c r="E17" s="19"/>
      <c r="F17" s="17"/>
      <c r="G17" s="45"/>
      <c r="H17" s="19"/>
      <c r="I17" s="17"/>
      <c r="J17" s="19"/>
      <c r="K17" s="17"/>
      <c r="L17" s="19"/>
      <c r="M17" s="17"/>
      <c r="N17" s="49"/>
      <c r="O17" s="20"/>
    </row>
    <row r="18" spans="1:21" ht="13.5" hidden="1" customHeight="1" x14ac:dyDescent="0.2">
      <c r="A18" s="28" t="s">
        <v>72</v>
      </c>
      <c r="B18" s="29">
        <v>103932.4</v>
      </c>
      <c r="C18" s="30">
        <v>40671.000000000007</v>
      </c>
      <c r="D18" s="59">
        <v>21363.199999999997</v>
      </c>
      <c r="E18" s="64">
        <v>39031.300000000003</v>
      </c>
      <c r="F18" s="59">
        <v>1730.5</v>
      </c>
      <c r="G18" s="61">
        <v>333.5</v>
      </c>
      <c r="H18" s="60">
        <f t="shared" ref="H18:H22" si="0">SUM(B18:G18)</f>
        <v>207061.89999999997</v>
      </c>
      <c r="I18" s="59">
        <v>63450.8</v>
      </c>
      <c r="J18" s="60">
        <v>11550.8</v>
      </c>
      <c r="K18" s="59">
        <v>9384.2000000000007</v>
      </c>
      <c r="L18" s="60">
        <v>14877.299999999997</v>
      </c>
      <c r="M18" s="59">
        <v>550</v>
      </c>
      <c r="N18" s="62">
        <v>25.9</v>
      </c>
      <c r="O18" s="63">
        <f t="shared" ref="O18:O22" si="1">SUM(I18:N18)</f>
        <v>99839</v>
      </c>
      <c r="P18" s="31"/>
      <c r="Q18" s="31"/>
      <c r="R18" s="53"/>
      <c r="S18" s="31"/>
      <c r="T18" s="31"/>
      <c r="U18" s="31"/>
    </row>
    <row r="19" spans="1:21" ht="13.5" hidden="1" customHeight="1" x14ac:dyDescent="0.2">
      <c r="A19" s="28" t="s">
        <v>73</v>
      </c>
      <c r="B19" s="29">
        <v>135849.70000000001</v>
      </c>
      <c r="C19" s="30">
        <v>48040.500000000007</v>
      </c>
      <c r="D19" s="59">
        <v>16952.3</v>
      </c>
      <c r="E19" s="60">
        <v>42146.000000000007</v>
      </c>
      <c r="F19" s="59">
        <v>2249</v>
      </c>
      <c r="G19" s="61">
        <v>973.4000000000002</v>
      </c>
      <c r="H19" s="60">
        <f t="shared" si="0"/>
        <v>246210.9</v>
      </c>
      <c r="I19" s="59">
        <v>79802.900000000009</v>
      </c>
      <c r="J19" s="60">
        <v>15644.599999999999</v>
      </c>
      <c r="K19" s="59">
        <v>9351.7999999999993</v>
      </c>
      <c r="L19" s="60">
        <v>11732.1</v>
      </c>
      <c r="M19" s="59">
        <v>400</v>
      </c>
      <c r="N19" s="62">
        <v>6.5</v>
      </c>
      <c r="O19" s="63">
        <f t="shared" si="1"/>
        <v>116937.90000000001</v>
      </c>
      <c r="P19" s="31"/>
      <c r="Q19" s="31"/>
      <c r="R19" s="53"/>
      <c r="S19" s="31"/>
      <c r="T19" s="31"/>
      <c r="U19" s="31"/>
    </row>
    <row r="20" spans="1:21" ht="13.5" hidden="1" customHeight="1" x14ac:dyDescent="0.2">
      <c r="A20" s="28" t="s">
        <v>74</v>
      </c>
      <c r="B20" s="29">
        <v>164955</v>
      </c>
      <c r="C20" s="30">
        <v>68245.215502999999</v>
      </c>
      <c r="D20" s="59">
        <v>21443.200000000001</v>
      </c>
      <c r="E20" s="60">
        <v>56149.984497000005</v>
      </c>
      <c r="F20" s="59">
        <v>2545.3000000000002</v>
      </c>
      <c r="G20" s="61">
        <v>420.3</v>
      </c>
      <c r="H20" s="60">
        <f t="shared" si="0"/>
        <v>313759</v>
      </c>
      <c r="I20" s="59">
        <v>95000.5</v>
      </c>
      <c r="J20" s="60">
        <v>19048.699999999997</v>
      </c>
      <c r="K20" s="59">
        <v>13557.199999999999</v>
      </c>
      <c r="L20" s="60">
        <v>16003.1</v>
      </c>
      <c r="M20" s="59">
        <v>530</v>
      </c>
      <c r="N20" s="62">
        <v>7.9</v>
      </c>
      <c r="O20" s="63">
        <f t="shared" si="1"/>
        <v>144147.4</v>
      </c>
      <c r="P20" s="31"/>
      <c r="Q20" s="31"/>
      <c r="R20" s="53"/>
      <c r="S20" s="31"/>
      <c r="T20" s="31"/>
      <c r="U20" s="31"/>
    </row>
    <row r="21" spans="1:21" ht="13.5" hidden="1" customHeight="1" x14ac:dyDescent="0.2">
      <c r="A21" s="28" t="s">
        <v>75</v>
      </c>
      <c r="B21" s="29">
        <v>167377.79999999999</v>
      </c>
      <c r="C21" s="30">
        <v>57811.200000000004</v>
      </c>
      <c r="D21" s="59">
        <v>21500.100000000002</v>
      </c>
      <c r="E21" s="60">
        <v>56104</v>
      </c>
      <c r="F21" s="59">
        <v>848.1</v>
      </c>
      <c r="G21" s="61">
        <v>723.5</v>
      </c>
      <c r="H21" s="60">
        <f t="shared" si="0"/>
        <v>304364.69999999995</v>
      </c>
      <c r="I21" s="59">
        <v>99610.4</v>
      </c>
      <c r="J21" s="60">
        <v>34009.299999999996</v>
      </c>
      <c r="K21" s="59">
        <v>23138</v>
      </c>
      <c r="L21" s="60">
        <v>21827.9</v>
      </c>
      <c r="M21" s="59">
        <v>230</v>
      </c>
      <c r="N21" s="62">
        <v>5.4</v>
      </c>
      <c r="O21" s="63">
        <f t="shared" si="1"/>
        <v>178820.99999999997</v>
      </c>
      <c r="P21" s="31"/>
      <c r="Q21" s="31"/>
      <c r="R21" s="53"/>
      <c r="S21" s="31"/>
      <c r="T21" s="31"/>
      <c r="U21" s="31"/>
    </row>
    <row r="22" spans="1:21" ht="13.5" customHeight="1" x14ac:dyDescent="0.2">
      <c r="A22" s="28" t="s">
        <v>67</v>
      </c>
      <c r="B22" s="29">
        <v>176823.4</v>
      </c>
      <c r="C22" s="30">
        <v>82976.299999999988</v>
      </c>
      <c r="D22" s="59">
        <v>16096.800000000001</v>
      </c>
      <c r="E22" s="60">
        <v>59898.199999999983</v>
      </c>
      <c r="F22" s="59">
        <v>3398.2000000000003</v>
      </c>
      <c r="G22" s="61">
        <v>482.40000000000003</v>
      </c>
      <c r="H22" s="60">
        <f t="shared" si="0"/>
        <v>339675.3</v>
      </c>
      <c r="I22" s="59">
        <v>99093.400000000009</v>
      </c>
      <c r="J22" s="60">
        <v>22695.800000000003</v>
      </c>
      <c r="K22" s="59">
        <v>24065.600000000002</v>
      </c>
      <c r="L22" s="60">
        <v>48173.100000000006</v>
      </c>
      <c r="M22" s="59">
        <v>430</v>
      </c>
      <c r="N22" s="62">
        <v>48.2</v>
      </c>
      <c r="O22" s="63">
        <f t="shared" si="1"/>
        <v>194506.10000000003</v>
      </c>
      <c r="P22" s="31"/>
      <c r="Q22" s="31"/>
      <c r="R22" s="53"/>
      <c r="S22" s="31"/>
      <c r="T22" s="31"/>
      <c r="U22" s="31"/>
    </row>
    <row r="23" spans="1:21" ht="13.5" hidden="1" customHeight="1" x14ac:dyDescent="0.2">
      <c r="A23" s="28" t="s">
        <v>77</v>
      </c>
      <c r="B23" s="29">
        <v>75869.600000000006</v>
      </c>
      <c r="C23" s="30">
        <v>36647.800000000003</v>
      </c>
      <c r="D23" s="59">
        <v>16425.8</v>
      </c>
      <c r="E23" s="60">
        <v>40064</v>
      </c>
      <c r="F23" s="59">
        <v>2745.9</v>
      </c>
      <c r="G23" s="61"/>
      <c r="H23" s="60">
        <f t="shared" ref="H23" si="2">SUM(B23:G23)</f>
        <v>171753.1</v>
      </c>
      <c r="I23" s="59">
        <v>53787.6</v>
      </c>
      <c r="J23" s="60">
        <v>12869.1</v>
      </c>
      <c r="K23" s="59">
        <v>5073.8</v>
      </c>
      <c r="L23" s="60">
        <v>21347.9</v>
      </c>
      <c r="M23" s="59">
        <v>250</v>
      </c>
      <c r="N23" s="62"/>
      <c r="O23" s="63">
        <f t="shared" ref="O23" si="3">SUM(I23:N23)</f>
        <v>93328.4</v>
      </c>
      <c r="P23" s="31"/>
      <c r="Q23" s="31"/>
      <c r="R23" s="53"/>
      <c r="S23" s="31"/>
      <c r="T23" s="31"/>
      <c r="U23" s="31"/>
    </row>
    <row r="24" spans="1:21" ht="13.5" customHeight="1" x14ac:dyDescent="0.2">
      <c r="A24" s="28" t="s">
        <v>77</v>
      </c>
      <c r="B24" s="29">
        <v>166576.5</v>
      </c>
      <c r="C24" s="30">
        <v>90279.8</v>
      </c>
      <c r="D24" s="59">
        <v>25706.699999999997</v>
      </c>
      <c r="E24" s="60">
        <v>101626.59999999999</v>
      </c>
      <c r="F24" s="59">
        <v>3308.7</v>
      </c>
      <c r="G24" s="61">
        <v>998.5</v>
      </c>
      <c r="H24" s="60">
        <f t="shared" ref="H24" si="4">SUM(B24:G24)</f>
        <v>388496.8</v>
      </c>
      <c r="I24" s="59">
        <v>107914.40000000001</v>
      </c>
      <c r="J24" s="60">
        <v>24661.4</v>
      </c>
      <c r="K24" s="59">
        <v>21172.699999999997</v>
      </c>
      <c r="L24" s="60">
        <v>71547.7</v>
      </c>
      <c r="M24" s="59">
        <v>430</v>
      </c>
      <c r="N24" s="62">
        <v>18.2</v>
      </c>
      <c r="O24" s="63">
        <f t="shared" ref="O24" si="5">SUM(I24:N24)</f>
        <v>225744.40000000002</v>
      </c>
      <c r="P24" s="31"/>
      <c r="Q24" s="31"/>
      <c r="R24" s="53"/>
      <c r="S24" s="31"/>
      <c r="T24" s="31"/>
      <c r="U24" s="31"/>
    </row>
    <row r="25" spans="1:21" ht="13.5" customHeight="1" x14ac:dyDescent="0.2">
      <c r="A25" s="28" t="s">
        <v>87</v>
      </c>
      <c r="B25" s="29">
        <v>177388.3</v>
      </c>
      <c r="C25" s="30">
        <v>115720.4</v>
      </c>
      <c r="D25" s="59">
        <v>18060.5</v>
      </c>
      <c r="E25" s="64">
        <v>121909.3</v>
      </c>
      <c r="F25" s="59">
        <v>2610.1</v>
      </c>
      <c r="G25" s="61">
        <v>2147.5</v>
      </c>
      <c r="H25" s="60">
        <f t="shared" ref="H25" si="6">SUM(B25:G25)</f>
        <v>437836.09999999992</v>
      </c>
      <c r="I25" s="59">
        <v>113152.6</v>
      </c>
      <c r="J25" s="60">
        <f>34376.4+229.1</f>
        <v>34605.5</v>
      </c>
      <c r="K25" s="59">
        <f>13576.9+135.9</f>
        <v>13712.8</v>
      </c>
      <c r="L25" s="60">
        <f>80560.1+278.5</f>
        <v>80838.600000000006</v>
      </c>
      <c r="M25" s="59">
        <v>230</v>
      </c>
      <c r="N25" s="62">
        <f>14.2+0.7</f>
        <v>14.899999999999999</v>
      </c>
      <c r="O25" s="63">
        <f t="shared" ref="O25" si="7">SUM(I25:N25)</f>
        <v>242554.4</v>
      </c>
      <c r="P25" s="31"/>
      <c r="Q25" s="31"/>
      <c r="R25" s="53"/>
      <c r="S25" s="31"/>
      <c r="T25" s="31"/>
      <c r="U25" s="31"/>
    </row>
    <row r="26" spans="1:21" ht="13.5" customHeight="1" x14ac:dyDescent="0.2">
      <c r="A26" s="28" t="s">
        <v>116</v>
      </c>
      <c r="B26" s="29">
        <v>187050.6</v>
      </c>
      <c r="C26" s="30">
        <v>123242.6</v>
      </c>
      <c r="D26" s="59">
        <v>22953.3</v>
      </c>
      <c r="E26" s="64">
        <v>83389.7</v>
      </c>
      <c r="F26" s="59">
        <v>7505.3</v>
      </c>
      <c r="G26" s="61">
        <v>1823.1</v>
      </c>
      <c r="H26" s="60">
        <v>436138.7</v>
      </c>
      <c r="I26" s="59">
        <v>116799</v>
      </c>
      <c r="J26" s="60">
        <v>60016.9</v>
      </c>
      <c r="K26" s="59">
        <v>21163.4</v>
      </c>
      <c r="L26" s="60">
        <v>73250</v>
      </c>
      <c r="M26" s="59">
        <v>8529.9</v>
      </c>
      <c r="N26" s="62">
        <v>831.7</v>
      </c>
      <c r="O26" s="63">
        <f t="shared" ref="O26" si="8">SUM(I26:N26)</f>
        <v>280590.90000000002</v>
      </c>
      <c r="P26" s="31"/>
      <c r="Q26" s="31"/>
      <c r="R26" s="53"/>
      <c r="S26" s="31"/>
      <c r="T26" s="31"/>
      <c r="U26" s="31"/>
    </row>
    <row r="27" spans="1:21" ht="15.75" x14ac:dyDescent="0.2">
      <c r="A27" s="28" t="s">
        <v>144</v>
      </c>
      <c r="B27" s="70">
        <v>202379.4</v>
      </c>
      <c r="C27" s="71">
        <v>198146.8</v>
      </c>
      <c r="D27" s="70">
        <v>26923.8</v>
      </c>
      <c r="E27" s="71">
        <f>86145.6+11279.7</f>
        <v>97425.3</v>
      </c>
      <c r="F27" s="74">
        <v>6477.2</v>
      </c>
      <c r="G27" s="74">
        <v>3304.7</v>
      </c>
      <c r="H27" s="75">
        <f>SUM(B27:G27)</f>
        <v>534657.19999999984</v>
      </c>
      <c r="I27" s="74">
        <v>122735.7</v>
      </c>
      <c r="J27" s="75">
        <v>54656.3</v>
      </c>
      <c r="K27" s="74">
        <v>13533.6</v>
      </c>
      <c r="L27" s="75">
        <v>64676.1</v>
      </c>
      <c r="M27" s="74">
        <v>8653</v>
      </c>
      <c r="N27" s="77">
        <v>33.299999999999997</v>
      </c>
      <c r="O27" s="78">
        <f t="shared" ref="O27" si="9">SUM(I27:N27)</f>
        <v>264288</v>
      </c>
      <c r="P27" s="72"/>
      <c r="Q27" s="72"/>
      <c r="R27" s="73"/>
      <c r="S27" s="72"/>
      <c r="T27" s="72"/>
      <c r="U27" s="72"/>
    </row>
    <row r="28" spans="1:21" ht="13.5" customHeight="1" x14ac:dyDescent="0.2">
      <c r="A28" s="10"/>
      <c r="B28" s="29"/>
      <c r="C28" s="30"/>
      <c r="D28" s="59"/>
      <c r="E28" s="60"/>
      <c r="F28" s="59"/>
      <c r="G28" s="61"/>
      <c r="H28" s="60"/>
      <c r="I28" s="59"/>
      <c r="J28" s="60"/>
      <c r="K28" s="59"/>
      <c r="L28" s="60"/>
      <c r="M28" s="59"/>
      <c r="N28" s="62"/>
      <c r="O28" s="63"/>
      <c r="P28" s="31"/>
      <c r="Q28" s="31"/>
      <c r="R28" s="53"/>
      <c r="S28" s="31"/>
      <c r="T28" s="31"/>
      <c r="U28" s="31"/>
    </row>
    <row r="29" spans="1:21" ht="13.5" hidden="1" customHeight="1" x14ac:dyDescent="0.2">
      <c r="A29" s="10" t="s">
        <v>63</v>
      </c>
      <c r="B29" s="29">
        <v>164955</v>
      </c>
      <c r="C29" s="30">
        <v>68245.215502999999</v>
      </c>
      <c r="D29" s="59">
        <v>21443.200000000001</v>
      </c>
      <c r="E29" s="60">
        <v>56149.984497000005</v>
      </c>
      <c r="F29" s="59">
        <v>2545.3000000000002</v>
      </c>
      <c r="G29" s="61">
        <v>420.3</v>
      </c>
      <c r="H29" s="60">
        <v>313759</v>
      </c>
      <c r="I29" s="59">
        <v>95000.5</v>
      </c>
      <c r="J29" s="60">
        <v>19048.699999999997</v>
      </c>
      <c r="K29" s="59">
        <v>13557.199999999999</v>
      </c>
      <c r="L29" s="60">
        <v>16215.5</v>
      </c>
      <c r="M29" s="59">
        <v>530</v>
      </c>
      <c r="N29" s="62">
        <v>7.9</v>
      </c>
      <c r="O29" s="63">
        <v>144359.79999999999</v>
      </c>
      <c r="P29" s="31"/>
      <c r="Q29" s="31"/>
      <c r="R29" s="53"/>
      <c r="S29" s="31"/>
      <c r="T29" s="31"/>
      <c r="U29" s="31"/>
    </row>
    <row r="30" spans="1:21" ht="13.5" hidden="1" customHeight="1" x14ac:dyDescent="0.2">
      <c r="A30" s="10"/>
      <c r="B30" s="29"/>
      <c r="C30" s="30"/>
      <c r="D30" s="59"/>
      <c r="E30" s="60"/>
      <c r="F30" s="59"/>
      <c r="G30" s="61"/>
      <c r="H30" s="60"/>
      <c r="I30" s="59"/>
      <c r="J30" s="60"/>
      <c r="K30" s="59"/>
      <c r="L30" s="60"/>
      <c r="M30" s="59"/>
      <c r="N30" s="62"/>
      <c r="O30" s="63"/>
      <c r="P30" s="31"/>
      <c r="Q30" s="31"/>
      <c r="R30" s="53"/>
      <c r="S30" s="31"/>
      <c r="T30" s="31"/>
      <c r="U30" s="31"/>
    </row>
    <row r="31" spans="1:21" ht="13.5" hidden="1" customHeight="1" x14ac:dyDescent="0.2">
      <c r="A31" s="10" t="s">
        <v>112</v>
      </c>
      <c r="B31" s="29">
        <v>176823.4</v>
      </c>
      <c r="C31" s="30">
        <v>82976.299999999988</v>
      </c>
      <c r="D31" s="59">
        <v>16096.800000000001</v>
      </c>
      <c r="E31" s="60">
        <v>59898.199999999983</v>
      </c>
      <c r="F31" s="59">
        <v>3398.2000000000003</v>
      </c>
      <c r="G31" s="61">
        <v>482.40000000000003</v>
      </c>
      <c r="H31" s="60">
        <f t="shared" ref="H31" si="10">SUM(B31:G31)</f>
        <v>339675.3</v>
      </c>
      <c r="I31" s="59">
        <v>99093.400000000009</v>
      </c>
      <c r="J31" s="60">
        <v>22695.800000000003</v>
      </c>
      <c r="K31" s="59">
        <v>24065.600000000002</v>
      </c>
      <c r="L31" s="60">
        <v>48173.100000000006</v>
      </c>
      <c r="M31" s="59">
        <v>430</v>
      </c>
      <c r="N31" s="62">
        <v>48.2</v>
      </c>
      <c r="O31" s="63">
        <f t="shared" ref="O31" si="11">SUM(I31:N31)</f>
        <v>194506.10000000003</v>
      </c>
      <c r="P31" s="31"/>
      <c r="Q31" s="31"/>
      <c r="R31" s="53"/>
      <c r="S31" s="31"/>
      <c r="T31" s="31"/>
      <c r="U31" s="31"/>
    </row>
    <row r="32" spans="1:21" ht="13.5" hidden="1" customHeight="1" x14ac:dyDescent="0.2">
      <c r="A32" s="69" t="s">
        <v>118</v>
      </c>
      <c r="B32" s="70">
        <v>155983.49999999997</v>
      </c>
      <c r="C32" s="71">
        <v>68620.400000000009</v>
      </c>
      <c r="D32" s="74">
        <v>21604.9</v>
      </c>
      <c r="E32" s="75">
        <v>102386.2</v>
      </c>
      <c r="F32" s="74">
        <v>2931</v>
      </c>
      <c r="G32" s="76">
        <v>948.7</v>
      </c>
      <c r="H32" s="75">
        <v>352474.69999999995</v>
      </c>
      <c r="I32" s="74">
        <v>94170.200000000012</v>
      </c>
      <c r="J32" s="75">
        <v>26058.3</v>
      </c>
      <c r="K32" s="74">
        <v>24791.8</v>
      </c>
      <c r="L32" s="75">
        <v>55008.5</v>
      </c>
      <c r="M32" s="74">
        <v>430</v>
      </c>
      <c r="N32" s="77">
        <v>42.7</v>
      </c>
      <c r="O32" s="78">
        <v>200501.50000000003</v>
      </c>
      <c r="P32" s="72"/>
      <c r="Q32" s="72"/>
      <c r="R32" s="73"/>
      <c r="S32" s="72"/>
      <c r="T32" s="72"/>
      <c r="U32" s="72"/>
    </row>
    <row r="33" spans="1:21" ht="13.5" hidden="1" customHeight="1" x14ac:dyDescent="0.2">
      <c r="A33" s="69" t="s">
        <v>122</v>
      </c>
      <c r="B33" s="29">
        <v>164538.70000000001</v>
      </c>
      <c r="C33" s="30">
        <v>71022.3</v>
      </c>
      <c r="D33" s="59">
        <v>22204</v>
      </c>
      <c r="E33" s="60">
        <v>98503.4</v>
      </c>
      <c r="F33" s="59">
        <v>3057.5</v>
      </c>
      <c r="G33" s="61">
        <v>742.1</v>
      </c>
      <c r="H33" s="60">
        <f t="shared" ref="H33" si="12">SUM(B33:G33)</f>
        <v>360068</v>
      </c>
      <c r="I33" s="59">
        <v>97700.4</v>
      </c>
      <c r="J33" s="60">
        <v>28731.599999999995</v>
      </c>
      <c r="K33" s="59">
        <v>21937.199999999997</v>
      </c>
      <c r="L33" s="60">
        <v>58804.5</v>
      </c>
      <c r="M33" s="59">
        <v>1904.8</v>
      </c>
      <c r="N33" s="62">
        <v>44.5</v>
      </c>
      <c r="O33" s="63">
        <f t="shared" ref="O33:O35" si="13">SUM(I33:N33)</f>
        <v>209122.99999999997</v>
      </c>
      <c r="P33" s="31"/>
      <c r="Q33" s="31"/>
      <c r="R33" s="53"/>
      <c r="S33" s="31"/>
      <c r="T33" s="31"/>
      <c r="U33" s="31"/>
    </row>
    <row r="34" spans="1:21" ht="13.5" hidden="1" customHeight="1" x14ac:dyDescent="0.2">
      <c r="A34" s="10" t="s">
        <v>131</v>
      </c>
      <c r="B34" s="29">
        <v>167508.4</v>
      </c>
      <c r="C34" s="30">
        <v>86568</v>
      </c>
      <c r="D34" s="59">
        <v>23146.6</v>
      </c>
      <c r="E34" s="60">
        <v>92157.7</v>
      </c>
      <c r="F34" s="59">
        <v>4808.5</v>
      </c>
      <c r="G34" s="61">
        <v>936.70000000000016</v>
      </c>
      <c r="H34" s="60">
        <f t="shared" ref="H34" si="14">SUM(B34:G34)</f>
        <v>375125.9</v>
      </c>
      <c r="I34" s="59">
        <v>101900.50000000001</v>
      </c>
      <c r="J34" s="60">
        <v>22586.799999999999</v>
      </c>
      <c r="K34" s="59">
        <v>23132.3</v>
      </c>
      <c r="L34" s="60">
        <v>69004.399999999994</v>
      </c>
      <c r="M34" s="59">
        <v>200</v>
      </c>
      <c r="N34" s="62">
        <v>12.7</v>
      </c>
      <c r="O34" s="63">
        <f t="shared" si="13"/>
        <v>216836.7</v>
      </c>
      <c r="P34" s="31"/>
      <c r="Q34" s="31"/>
      <c r="R34" s="53"/>
      <c r="S34" s="31"/>
      <c r="T34" s="31"/>
      <c r="U34" s="31"/>
    </row>
    <row r="35" spans="1:21" ht="13.5" hidden="1" customHeight="1" x14ac:dyDescent="0.2">
      <c r="A35" s="10" t="s">
        <v>143</v>
      </c>
      <c r="B35" s="29">
        <v>166576.5</v>
      </c>
      <c r="C35" s="30">
        <v>90279.8</v>
      </c>
      <c r="D35" s="59">
        <v>25706.699999999997</v>
      </c>
      <c r="E35" s="60">
        <v>101626.59999999999</v>
      </c>
      <c r="F35" s="59">
        <v>3308.7</v>
      </c>
      <c r="G35" s="61">
        <v>998.5</v>
      </c>
      <c r="H35" s="60">
        <f t="shared" ref="H35" si="15">SUM(B35:G35)</f>
        <v>388496.8</v>
      </c>
      <c r="I35" s="59">
        <v>107914.40000000001</v>
      </c>
      <c r="J35" s="60">
        <v>24661.4</v>
      </c>
      <c r="K35" s="59">
        <v>21172.699999999997</v>
      </c>
      <c r="L35" s="60">
        <v>71547.7</v>
      </c>
      <c r="M35" s="59">
        <v>430</v>
      </c>
      <c r="N35" s="62">
        <v>18.2</v>
      </c>
      <c r="O35" s="63">
        <f t="shared" si="13"/>
        <v>225744.40000000002</v>
      </c>
      <c r="P35" s="31"/>
      <c r="Q35" s="31"/>
      <c r="R35" s="53"/>
      <c r="S35" s="31"/>
      <c r="T35" s="31"/>
      <c r="U35" s="31"/>
    </row>
    <row r="36" spans="1:21" ht="13.5" hidden="1" customHeight="1" x14ac:dyDescent="0.2">
      <c r="A36" s="10"/>
      <c r="B36" s="29"/>
      <c r="C36" s="30"/>
      <c r="D36" s="59"/>
      <c r="E36" s="60"/>
      <c r="F36" s="59"/>
      <c r="G36" s="61"/>
      <c r="H36" s="60"/>
      <c r="I36" s="59"/>
      <c r="J36" s="60"/>
      <c r="K36" s="59"/>
      <c r="L36" s="60"/>
      <c r="M36" s="59"/>
      <c r="N36" s="62"/>
      <c r="O36" s="63"/>
      <c r="P36" s="31"/>
      <c r="Q36" s="31"/>
      <c r="R36" s="53"/>
      <c r="S36" s="31"/>
      <c r="T36" s="31"/>
      <c r="U36" s="31"/>
    </row>
    <row r="37" spans="1:21" ht="13.5" customHeight="1" x14ac:dyDescent="0.2">
      <c r="A37" s="10" t="s">
        <v>90</v>
      </c>
      <c r="B37" s="29">
        <v>156316.5</v>
      </c>
      <c r="C37" s="30">
        <v>91318.2</v>
      </c>
      <c r="D37" s="59">
        <v>20251.599999999999</v>
      </c>
      <c r="E37" s="64">
        <f>79511.1+12258.5</f>
        <v>91769.600000000006</v>
      </c>
      <c r="F37" s="59">
        <v>1510.2</v>
      </c>
      <c r="G37" s="61">
        <v>1109.8</v>
      </c>
      <c r="H37" s="60">
        <f t="shared" ref="H37" si="16">SUM(B37:G37)</f>
        <v>362275.9</v>
      </c>
      <c r="I37" s="59">
        <f>111466.1+1203.8</f>
        <v>112669.90000000001</v>
      </c>
      <c r="J37" s="60">
        <f>31805.8+496.8</f>
        <v>32302.6</v>
      </c>
      <c r="K37" s="59">
        <f>16955.7+175</f>
        <v>17130.7</v>
      </c>
      <c r="L37" s="60">
        <f>82732.5+249.9</f>
        <v>82982.399999999994</v>
      </c>
      <c r="M37" s="59">
        <v>430</v>
      </c>
      <c r="N37" s="62">
        <v>19.2</v>
      </c>
      <c r="O37" s="63">
        <f t="shared" ref="O37" si="17">SUM(I37:N37)</f>
        <v>245534.80000000002</v>
      </c>
      <c r="P37" s="31"/>
      <c r="Q37" s="31"/>
      <c r="R37" s="53"/>
      <c r="S37" s="31"/>
      <c r="T37" s="31"/>
      <c r="U37" s="31"/>
    </row>
    <row r="38" spans="1:21" ht="13.5" customHeight="1" x14ac:dyDescent="0.2">
      <c r="A38" s="10" t="s">
        <v>98</v>
      </c>
      <c r="B38" s="29">
        <v>167311.70000000001</v>
      </c>
      <c r="C38" s="30">
        <v>105983.6</v>
      </c>
      <c r="D38" s="59">
        <v>26298.3</v>
      </c>
      <c r="E38" s="64">
        <f>88820.1+14152.5</f>
        <v>102972.6</v>
      </c>
      <c r="F38" s="59">
        <v>2518.1</v>
      </c>
      <c r="G38" s="61">
        <v>881.6</v>
      </c>
      <c r="H38" s="60">
        <f t="shared" ref="H38" si="18">SUM(B38:G38)</f>
        <v>405965.9</v>
      </c>
      <c r="I38" s="59">
        <f>113990.8+1466.3</f>
        <v>115457.1</v>
      </c>
      <c r="J38" s="60">
        <f>29828.6+777.1</f>
        <v>30605.699999999997</v>
      </c>
      <c r="K38" s="59">
        <f>13641.1+195.2</f>
        <v>13836.300000000001</v>
      </c>
      <c r="L38" s="60">
        <f>85505.6+338.7</f>
        <v>85844.3</v>
      </c>
      <c r="M38" s="59">
        <v>250</v>
      </c>
      <c r="N38" s="62">
        <f>8.5+0.1</f>
        <v>8.6</v>
      </c>
      <c r="O38" s="63">
        <f t="shared" ref="O38:O39" si="19">SUM(I38:N38)</f>
        <v>246001.99999999997</v>
      </c>
      <c r="P38" s="31"/>
      <c r="Q38" s="31"/>
      <c r="R38" s="53"/>
      <c r="S38" s="31"/>
      <c r="T38" s="31"/>
      <c r="U38" s="31"/>
    </row>
    <row r="39" spans="1:21" ht="13.5" customHeight="1" x14ac:dyDescent="0.2">
      <c r="A39" s="10" t="s">
        <v>93</v>
      </c>
      <c r="B39" s="29">
        <v>169187.1</v>
      </c>
      <c r="C39" s="30">
        <v>107153.4</v>
      </c>
      <c r="D39" s="59">
        <v>17472.5</v>
      </c>
      <c r="E39" s="64">
        <f>77976.6+29869.4</f>
        <v>107846</v>
      </c>
      <c r="F39" s="59">
        <v>3842.1</v>
      </c>
      <c r="G39" s="61">
        <v>1429.1</v>
      </c>
      <c r="H39" s="60">
        <f t="shared" ref="H39" si="20">SUM(B39:G39)</f>
        <v>406930.19999999995</v>
      </c>
      <c r="I39" s="59">
        <f>120234.8+1867</f>
        <v>122101.8</v>
      </c>
      <c r="J39" s="60">
        <f>29105.9+1088.8</f>
        <v>30194.7</v>
      </c>
      <c r="K39" s="59">
        <f>13969.1+261.3</f>
        <v>14230.4</v>
      </c>
      <c r="L39" s="60">
        <f>73175.3+405</f>
        <v>73580.3</v>
      </c>
      <c r="M39" s="59">
        <v>230</v>
      </c>
      <c r="N39" s="62">
        <f>8.8+0.1</f>
        <v>8.9</v>
      </c>
      <c r="O39" s="63">
        <f t="shared" si="19"/>
        <v>240346.1</v>
      </c>
      <c r="P39" s="60"/>
      <c r="Q39" s="31"/>
      <c r="R39" s="53"/>
      <c r="S39" s="31"/>
      <c r="T39" s="31"/>
      <c r="U39" s="31"/>
    </row>
    <row r="40" spans="1:21" ht="13.5" customHeight="1" x14ac:dyDescent="0.2">
      <c r="A40" s="10" t="s">
        <v>96</v>
      </c>
      <c r="B40" s="29">
        <v>177388.3</v>
      </c>
      <c r="C40" s="30">
        <v>115720.4</v>
      </c>
      <c r="D40" s="59">
        <v>18060.5</v>
      </c>
      <c r="E40" s="64">
        <v>121909.3</v>
      </c>
      <c r="F40" s="59">
        <v>2610.1</v>
      </c>
      <c r="G40" s="61">
        <v>2147.5</v>
      </c>
      <c r="H40" s="60">
        <f t="shared" ref="H40" si="21">SUM(B40:G40)</f>
        <v>437836.09999999992</v>
      </c>
      <c r="I40" s="59">
        <v>113152.6</v>
      </c>
      <c r="J40" s="60">
        <f>34376.4+229.1</f>
        <v>34605.5</v>
      </c>
      <c r="K40" s="59">
        <f>13576.9+135.9</f>
        <v>13712.8</v>
      </c>
      <c r="L40" s="60">
        <f>80560.1+278.5</f>
        <v>80838.600000000006</v>
      </c>
      <c r="M40" s="59">
        <v>230</v>
      </c>
      <c r="N40" s="62">
        <f>14.2+0.7</f>
        <v>14.899999999999999</v>
      </c>
      <c r="O40" s="63">
        <f t="shared" ref="O40" si="22">SUM(I40:N40)</f>
        <v>242554.4</v>
      </c>
      <c r="P40" s="31"/>
      <c r="Q40" s="31"/>
      <c r="R40" s="53"/>
      <c r="S40" s="31"/>
      <c r="T40" s="31"/>
      <c r="U40" s="31"/>
    </row>
    <row r="41" spans="1:21" ht="13.5" customHeight="1" x14ac:dyDescent="0.2">
      <c r="A41" s="10"/>
      <c r="B41" s="29"/>
      <c r="C41" s="30"/>
      <c r="D41" s="59"/>
      <c r="E41" s="64"/>
      <c r="F41" s="59"/>
      <c r="G41" s="61"/>
      <c r="H41" s="60"/>
      <c r="I41" s="59"/>
      <c r="J41" s="60"/>
      <c r="K41" s="59"/>
      <c r="L41" s="60"/>
      <c r="M41" s="59"/>
      <c r="N41" s="62"/>
      <c r="O41" s="63"/>
      <c r="P41" s="31"/>
      <c r="Q41" s="31"/>
      <c r="R41" s="53"/>
      <c r="S41" s="31"/>
      <c r="T41" s="31"/>
      <c r="U41" s="31"/>
    </row>
    <row r="42" spans="1:21" ht="13.5" customHeight="1" x14ac:dyDescent="0.2">
      <c r="A42" s="10" t="s">
        <v>106</v>
      </c>
      <c r="B42" s="29">
        <v>173455</v>
      </c>
      <c r="C42" s="30">
        <v>83726.100000000006</v>
      </c>
      <c r="D42" s="59">
        <v>18307.5</v>
      </c>
      <c r="E42" s="64">
        <f>98366.4+20578</f>
        <v>118944.4</v>
      </c>
      <c r="F42" s="59">
        <v>2390.1999999999998</v>
      </c>
      <c r="G42" s="61">
        <v>1300.5999999999999</v>
      </c>
      <c r="H42" s="60">
        <f t="shared" ref="H42" si="23">SUM(B42:G42)</f>
        <v>398123.8</v>
      </c>
      <c r="I42" s="59">
        <f>115690+1159.8</f>
        <v>116849.8</v>
      </c>
      <c r="J42" s="60">
        <f>34602.3+333.5</f>
        <v>34935.800000000003</v>
      </c>
      <c r="K42" s="59">
        <f>11345.7+108.7</f>
        <v>11454.400000000001</v>
      </c>
      <c r="L42" s="60">
        <f>86186.1+421.4</f>
        <v>86607.5</v>
      </c>
      <c r="M42" s="59">
        <v>1483.6</v>
      </c>
      <c r="N42" s="62">
        <f>14.5+0.9</f>
        <v>15.4</v>
      </c>
      <c r="O42" s="63">
        <f t="shared" ref="O42:O43" si="24">SUM(I42:N42)</f>
        <v>251346.5</v>
      </c>
      <c r="P42" s="31"/>
      <c r="Q42" s="31"/>
      <c r="R42" s="53"/>
      <c r="S42" s="31"/>
      <c r="T42" s="31"/>
      <c r="U42" s="31"/>
    </row>
    <row r="43" spans="1:21" ht="13.5" customHeight="1" x14ac:dyDescent="0.2">
      <c r="A43" s="10" t="s">
        <v>115</v>
      </c>
      <c r="B43" s="29">
        <v>177302</v>
      </c>
      <c r="C43" s="30">
        <v>100016.2</v>
      </c>
      <c r="D43" s="59">
        <v>22315.5</v>
      </c>
      <c r="E43" s="64">
        <f>97183.8+16460.3</f>
        <v>113644.1</v>
      </c>
      <c r="F43" s="59">
        <v>7055.2</v>
      </c>
      <c r="G43" s="61">
        <v>1101.0999999999999</v>
      </c>
      <c r="H43" s="60">
        <f t="shared" ref="H43" si="25">SUM(B43:G43)</f>
        <v>421434.10000000003</v>
      </c>
      <c r="I43" s="59">
        <f>132565.1+1750.3</f>
        <v>134315.4</v>
      </c>
      <c r="J43" s="60">
        <f>32345.9+527.5</f>
        <v>32873.4</v>
      </c>
      <c r="K43" s="59">
        <f>9803.8+105</f>
        <v>9908.7999999999993</v>
      </c>
      <c r="L43" s="60">
        <v>82188</v>
      </c>
      <c r="M43" s="59">
        <v>2203.8000000000002</v>
      </c>
      <c r="N43" s="62">
        <f>14.6+0.9</f>
        <v>15.5</v>
      </c>
      <c r="O43" s="63">
        <f t="shared" si="24"/>
        <v>261504.89999999997</v>
      </c>
      <c r="P43" s="31"/>
      <c r="Q43" s="31"/>
      <c r="R43" s="53"/>
      <c r="S43" s="31"/>
      <c r="T43" s="31"/>
      <c r="U43" s="31"/>
    </row>
    <row r="44" spans="1:21" ht="13.5" customHeight="1" x14ac:dyDescent="0.2">
      <c r="A44" s="10" t="s">
        <v>93</v>
      </c>
      <c r="B44" s="29">
        <v>170381.3</v>
      </c>
      <c r="C44" s="30">
        <v>121700.4</v>
      </c>
      <c r="D44" s="59">
        <v>31042.799999999999</v>
      </c>
      <c r="E44" s="64">
        <f>99102.3+13718.3</f>
        <v>112820.6</v>
      </c>
      <c r="F44" s="59">
        <v>8434.4</v>
      </c>
      <c r="G44" s="61">
        <v>1008.5</v>
      </c>
      <c r="H44" s="60">
        <f t="shared" ref="H44" si="26">SUM(B44:G44)</f>
        <v>445388</v>
      </c>
      <c r="I44" s="59">
        <f>142706.8+3953.6</f>
        <v>146660.4</v>
      </c>
      <c r="J44" s="60">
        <f>29747+797.6</f>
        <v>30544.6</v>
      </c>
      <c r="K44" s="59">
        <f>11967.4+107.2</f>
        <v>12074.6</v>
      </c>
      <c r="L44" s="60">
        <v>74232.7</v>
      </c>
      <c r="M44" s="59">
        <v>2466.6999999999998</v>
      </c>
      <c r="N44" s="62">
        <f>14.5+4.9</f>
        <v>19.399999999999999</v>
      </c>
      <c r="O44" s="63">
        <f t="shared" ref="O44" si="27">SUM(I44:N44)</f>
        <v>265998.40000000002</v>
      </c>
      <c r="P44" s="31"/>
      <c r="Q44" s="31"/>
      <c r="R44" s="53"/>
      <c r="S44" s="31"/>
      <c r="T44" s="31"/>
      <c r="U44" s="31"/>
    </row>
    <row r="45" spans="1:21" ht="13.5" customHeight="1" x14ac:dyDescent="0.2">
      <c r="A45" s="10" t="s">
        <v>96</v>
      </c>
      <c r="B45" s="29">
        <v>187050.6</v>
      </c>
      <c r="C45" s="30">
        <v>123242.6</v>
      </c>
      <c r="D45" s="59">
        <v>22953.3</v>
      </c>
      <c r="E45" s="64">
        <v>83389.7</v>
      </c>
      <c r="F45" s="59">
        <v>7505.3</v>
      </c>
      <c r="G45" s="61">
        <v>1823.1</v>
      </c>
      <c r="H45" s="60">
        <v>436138.7</v>
      </c>
      <c r="I45" s="59">
        <v>116799</v>
      </c>
      <c r="J45" s="60">
        <v>60016.9</v>
      </c>
      <c r="K45" s="59">
        <v>21163.4</v>
      </c>
      <c r="L45" s="60">
        <v>73250</v>
      </c>
      <c r="M45" s="59">
        <v>8529.9</v>
      </c>
      <c r="N45" s="62">
        <v>831.7</v>
      </c>
      <c r="O45" s="63">
        <f t="shared" ref="O45" si="28">SUM(I45:N45)</f>
        <v>280590.90000000002</v>
      </c>
      <c r="P45" s="31"/>
      <c r="Q45" s="31"/>
      <c r="R45" s="53"/>
      <c r="S45" s="31"/>
      <c r="T45" s="31"/>
      <c r="U45" s="31"/>
    </row>
    <row r="46" spans="1:21" ht="13.5" customHeight="1" x14ac:dyDescent="0.2">
      <c r="A46" s="10"/>
      <c r="B46" s="29"/>
      <c r="C46" s="30"/>
      <c r="D46" s="59"/>
      <c r="E46" s="64"/>
      <c r="F46" s="59"/>
      <c r="G46" s="61"/>
      <c r="H46" s="60"/>
      <c r="I46" s="59"/>
      <c r="J46" s="60"/>
      <c r="K46" s="59"/>
      <c r="L46" s="60"/>
      <c r="M46" s="59"/>
      <c r="N46" s="62"/>
      <c r="O46" s="63"/>
      <c r="P46" s="31"/>
      <c r="Q46" s="31"/>
      <c r="R46" s="53"/>
      <c r="S46" s="31"/>
      <c r="T46" s="31"/>
      <c r="U46" s="31"/>
    </row>
    <row r="47" spans="1:21" ht="13.5" customHeight="1" x14ac:dyDescent="0.2">
      <c r="A47" s="69" t="s">
        <v>127</v>
      </c>
      <c r="B47" s="70">
        <v>166906.5</v>
      </c>
      <c r="C47" s="70">
        <v>126774.20000000001</v>
      </c>
      <c r="D47" s="70">
        <v>18832.599999999999</v>
      </c>
      <c r="E47" s="70">
        <f>91833.3+11839.4</f>
        <v>103672.7</v>
      </c>
      <c r="F47" s="74">
        <v>8109</v>
      </c>
      <c r="G47" s="74">
        <v>1014.9</v>
      </c>
      <c r="H47" s="75">
        <f t="shared" ref="H47" si="29">SUM(B47:G47)</f>
        <v>425309.9</v>
      </c>
      <c r="I47" s="74">
        <v>120352.1</v>
      </c>
      <c r="J47" s="75">
        <v>57290.5</v>
      </c>
      <c r="K47" s="74">
        <v>21043.8</v>
      </c>
      <c r="L47" s="75">
        <v>77306.2</v>
      </c>
      <c r="M47" s="74">
        <v>8565.2000000000007</v>
      </c>
      <c r="N47" s="77">
        <v>39.200000000000003</v>
      </c>
      <c r="O47" s="78">
        <f t="shared" ref="O47:O48" si="30">SUM(I47:N47)</f>
        <v>284597</v>
      </c>
      <c r="P47" s="72"/>
      <c r="Q47" s="72"/>
      <c r="R47" s="73"/>
      <c r="S47" s="72"/>
      <c r="T47" s="72"/>
      <c r="U47" s="72"/>
    </row>
    <row r="48" spans="1:21" ht="13.5" customHeight="1" x14ac:dyDescent="0.2">
      <c r="A48" s="69" t="s">
        <v>137</v>
      </c>
      <c r="B48" s="70">
        <v>177539.8</v>
      </c>
      <c r="C48" s="70">
        <v>136168.4</v>
      </c>
      <c r="D48" s="70">
        <v>21219.1</v>
      </c>
      <c r="E48" s="70">
        <f>92305.1+11935.4</f>
        <v>104240.5</v>
      </c>
      <c r="F48" s="74">
        <v>3656.3</v>
      </c>
      <c r="G48" s="74">
        <v>650.9</v>
      </c>
      <c r="H48" s="75">
        <f t="shared" ref="H48" si="31">SUM(B48:G48)</f>
        <v>443474.99999999994</v>
      </c>
      <c r="I48" s="74">
        <v>121984.3</v>
      </c>
      <c r="J48" s="75">
        <v>63241</v>
      </c>
      <c r="K48" s="74">
        <v>13861.7</v>
      </c>
      <c r="L48" s="75">
        <v>70469</v>
      </c>
      <c r="M48" s="74">
        <v>8610.4</v>
      </c>
      <c r="N48" s="77">
        <v>56.1</v>
      </c>
      <c r="O48" s="78">
        <f t="shared" si="30"/>
        <v>278222.5</v>
      </c>
      <c r="P48" s="72"/>
      <c r="Q48" s="72"/>
      <c r="R48" s="73"/>
      <c r="S48" s="72"/>
      <c r="T48" s="72"/>
      <c r="U48" s="72"/>
    </row>
    <row r="49" spans="1:21" ht="13.5" hidden="1" customHeight="1" x14ac:dyDescent="0.2">
      <c r="A49" s="10" t="s">
        <v>20</v>
      </c>
      <c r="B49" s="29">
        <v>83676</v>
      </c>
      <c r="C49" s="30">
        <v>29542.6</v>
      </c>
      <c r="D49" s="59">
        <v>13204.1</v>
      </c>
      <c r="E49" s="60">
        <v>28295.9</v>
      </c>
      <c r="F49" s="59">
        <v>1396.6</v>
      </c>
      <c r="G49" s="61">
        <v>590.79999999999995</v>
      </c>
      <c r="H49" s="60">
        <f t="shared" ref="H49:H119" si="32">SUM(B49:G49)</f>
        <v>156706</v>
      </c>
      <c r="I49" s="59">
        <v>55681.9</v>
      </c>
      <c r="J49" s="60">
        <v>12579.199999999999</v>
      </c>
      <c r="K49" s="59">
        <v>4522.7</v>
      </c>
      <c r="L49" s="60">
        <v>13115.199999999999</v>
      </c>
      <c r="M49" s="59">
        <v>44</v>
      </c>
      <c r="N49" s="62">
        <v>20.5</v>
      </c>
      <c r="O49" s="63">
        <f t="shared" ref="O49:O119" si="33">SUM(I49:N49)</f>
        <v>85963.5</v>
      </c>
      <c r="P49" s="31"/>
      <c r="Q49" s="31"/>
      <c r="R49" s="53"/>
      <c r="S49" s="31"/>
      <c r="T49" s="31"/>
      <c r="U49" s="31"/>
    </row>
    <row r="50" spans="1:21" ht="13.5" hidden="1" customHeight="1" x14ac:dyDescent="0.2">
      <c r="A50" s="10" t="s">
        <v>26</v>
      </c>
      <c r="B50" s="29">
        <v>78128.899999999994</v>
      </c>
      <c r="C50" s="30">
        <v>33565.599999999999</v>
      </c>
      <c r="D50" s="59">
        <v>13664.900000000001</v>
      </c>
      <c r="E50" s="60">
        <v>28028.399999999998</v>
      </c>
      <c r="F50" s="59">
        <v>3051.2</v>
      </c>
      <c r="G50" s="61">
        <v>525.79999999999995</v>
      </c>
      <c r="H50" s="60">
        <f t="shared" si="32"/>
        <v>156964.79999999999</v>
      </c>
      <c r="I50" s="59">
        <v>55703.8</v>
      </c>
      <c r="J50" s="60">
        <v>16088.6</v>
      </c>
      <c r="K50" s="59">
        <v>5543.2</v>
      </c>
      <c r="L50" s="60">
        <v>11487</v>
      </c>
      <c r="M50" s="59">
        <v>294</v>
      </c>
      <c r="N50" s="62">
        <v>20.2</v>
      </c>
      <c r="O50" s="63">
        <f t="shared" si="33"/>
        <v>89136.8</v>
      </c>
      <c r="P50" s="31"/>
      <c r="Q50" s="31"/>
      <c r="R50" s="53"/>
      <c r="S50" s="31"/>
      <c r="T50" s="31"/>
      <c r="U50" s="31"/>
    </row>
    <row r="51" spans="1:21" ht="13.5" hidden="1" customHeight="1" x14ac:dyDescent="0.2">
      <c r="A51" s="10" t="s">
        <v>21</v>
      </c>
      <c r="B51" s="29">
        <v>80105.399999999994</v>
      </c>
      <c r="C51" s="30">
        <v>34274.400000000001</v>
      </c>
      <c r="D51" s="59">
        <v>19149.599999999999</v>
      </c>
      <c r="E51" s="60">
        <v>32743.3</v>
      </c>
      <c r="F51" s="59">
        <v>2190.1999999999998</v>
      </c>
      <c r="G51" s="61">
        <v>469.40000000000003</v>
      </c>
      <c r="H51" s="60">
        <f t="shared" si="32"/>
        <v>168932.3</v>
      </c>
      <c r="I51" s="59">
        <v>56164</v>
      </c>
      <c r="J51" s="60">
        <v>13744.9</v>
      </c>
      <c r="K51" s="59">
        <v>6064.5</v>
      </c>
      <c r="L51" s="60">
        <v>12795.9</v>
      </c>
      <c r="M51" s="59">
        <v>294</v>
      </c>
      <c r="N51" s="62">
        <v>20.2</v>
      </c>
      <c r="O51" s="63">
        <f t="shared" si="33"/>
        <v>89083.499999999985</v>
      </c>
      <c r="P51" s="31"/>
      <c r="Q51" s="31"/>
      <c r="R51" s="53"/>
      <c r="S51" s="31"/>
      <c r="T51" s="31"/>
      <c r="U51" s="31"/>
    </row>
    <row r="52" spans="1:21" ht="13.5" hidden="1" customHeight="1" x14ac:dyDescent="0.2">
      <c r="A52" s="10" t="s">
        <v>27</v>
      </c>
      <c r="B52" s="29">
        <v>80417.899999999994</v>
      </c>
      <c r="C52" s="30">
        <v>35784.299999999996</v>
      </c>
      <c r="D52" s="59">
        <v>15644.500000000002</v>
      </c>
      <c r="E52" s="60">
        <v>29869.8</v>
      </c>
      <c r="F52" s="59">
        <v>2679</v>
      </c>
      <c r="G52" s="61">
        <v>380</v>
      </c>
      <c r="H52" s="60">
        <f t="shared" si="32"/>
        <v>164775.49999999997</v>
      </c>
      <c r="I52" s="59">
        <v>56964.9</v>
      </c>
      <c r="J52" s="60">
        <v>13887.099999999999</v>
      </c>
      <c r="K52" s="59">
        <v>5045.2</v>
      </c>
      <c r="L52" s="60">
        <v>12201.499999999998</v>
      </c>
      <c r="M52" s="59">
        <v>294</v>
      </c>
      <c r="N52" s="62">
        <v>20.399999999999999</v>
      </c>
      <c r="O52" s="63">
        <f t="shared" si="33"/>
        <v>88413.099999999991</v>
      </c>
      <c r="P52" s="31"/>
      <c r="Q52" s="31"/>
      <c r="R52" s="53"/>
      <c r="S52" s="31"/>
      <c r="T52" s="31"/>
      <c r="U52" s="31"/>
    </row>
    <row r="53" spans="1:21" ht="13.5" hidden="1" customHeight="1" x14ac:dyDescent="0.2">
      <c r="A53" s="10" t="s">
        <v>28</v>
      </c>
      <c r="B53" s="29">
        <v>74950.700000000012</v>
      </c>
      <c r="C53" s="30">
        <v>32884.5</v>
      </c>
      <c r="D53" s="59">
        <v>14710.599999999999</v>
      </c>
      <c r="E53" s="60">
        <v>31168.5</v>
      </c>
      <c r="F53" s="59">
        <v>2287.6</v>
      </c>
      <c r="G53" s="61">
        <v>460.9</v>
      </c>
      <c r="H53" s="60">
        <f t="shared" si="32"/>
        <v>156462.80000000002</v>
      </c>
      <c r="I53" s="59">
        <v>56922.200000000004</v>
      </c>
      <c r="J53" s="60">
        <v>13838.300000000001</v>
      </c>
      <c r="K53" s="59">
        <v>5589.7</v>
      </c>
      <c r="L53" s="60">
        <v>12985.7</v>
      </c>
      <c r="M53" s="59">
        <v>294</v>
      </c>
      <c r="N53" s="62">
        <v>20.399999999999999</v>
      </c>
      <c r="O53" s="63">
        <f t="shared" si="33"/>
        <v>89650.299999999988</v>
      </c>
      <c r="P53" s="31"/>
      <c r="Q53" s="31"/>
      <c r="R53" s="53"/>
      <c r="S53" s="31"/>
      <c r="T53" s="31"/>
      <c r="U53" s="31"/>
    </row>
    <row r="54" spans="1:21" ht="13.5" hidden="1" customHeight="1" x14ac:dyDescent="0.2">
      <c r="A54" s="10" t="s">
        <v>30</v>
      </c>
      <c r="B54" s="29">
        <v>78501.300000000017</v>
      </c>
      <c r="C54" s="30">
        <v>36647.800000000003</v>
      </c>
      <c r="D54" s="59">
        <v>16425.8</v>
      </c>
      <c r="E54" s="60">
        <v>32079.4</v>
      </c>
      <c r="F54" s="59">
        <v>2745.9000000000005</v>
      </c>
      <c r="G54" s="61">
        <v>631.70000000000005</v>
      </c>
      <c r="H54" s="60">
        <f t="shared" si="32"/>
        <v>167031.90000000002</v>
      </c>
      <c r="I54" s="59">
        <v>54282</v>
      </c>
      <c r="J54" s="60">
        <v>13208.199999999999</v>
      </c>
      <c r="K54" s="59">
        <v>5389.2999999999993</v>
      </c>
      <c r="L54" s="60">
        <v>13698.4</v>
      </c>
      <c r="M54" s="59">
        <v>250</v>
      </c>
      <c r="N54" s="62">
        <v>20.7</v>
      </c>
      <c r="O54" s="63">
        <f t="shared" si="33"/>
        <v>86848.599999999991</v>
      </c>
      <c r="P54" s="31"/>
      <c r="Q54" s="31"/>
      <c r="R54" s="53"/>
      <c r="S54" s="31"/>
      <c r="T54" s="31"/>
      <c r="U54" s="31"/>
    </row>
    <row r="55" spans="1:21" ht="13.5" hidden="1" customHeight="1" x14ac:dyDescent="0.2">
      <c r="A55" s="10" t="s">
        <v>31</v>
      </c>
      <c r="B55" s="29">
        <v>81612.999999999985</v>
      </c>
      <c r="C55" s="30">
        <v>36525.599999999999</v>
      </c>
      <c r="D55" s="59">
        <v>14267.000000000002</v>
      </c>
      <c r="E55" s="60">
        <v>33669.599999999999</v>
      </c>
      <c r="F55" s="59">
        <v>1906.8999999999999</v>
      </c>
      <c r="G55" s="61">
        <v>623.29999999999995</v>
      </c>
      <c r="H55" s="60">
        <f t="shared" si="32"/>
        <v>168605.39999999997</v>
      </c>
      <c r="I55" s="59">
        <v>57375.4</v>
      </c>
      <c r="J55" s="60">
        <v>12182.200000000003</v>
      </c>
      <c r="K55" s="59">
        <v>7829.1</v>
      </c>
      <c r="L55" s="60">
        <v>12960.599999999999</v>
      </c>
      <c r="M55" s="59">
        <v>844</v>
      </c>
      <c r="N55" s="62">
        <v>19.899999999999999</v>
      </c>
      <c r="O55" s="63">
        <f t="shared" si="33"/>
        <v>91211.200000000012</v>
      </c>
      <c r="P55" s="31"/>
      <c r="Q55" s="31"/>
      <c r="R55" s="53"/>
      <c r="S55" s="31"/>
      <c r="T55" s="31"/>
      <c r="U55" s="31"/>
    </row>
    <row r="56" spans="1:21" ht="13.5" hidden="1" customHeight="1" x14ac:dyDescent="0.2">
      <c r="A56" s="10" t="s">
        <v>32</v>
      </c>
      <c r="B56" s="29">
        <v>82561.599999999991</v>
      </c>
      <c r="C56" s="30">
        <v>41761.699999999997</v>
      </c>
      <c r="D56" s="59">
        <v>13902.8</v>
      </c>
      <c r="E56" s="60">
        <v>36383.9</v>
      </c>
      <c r="F56" s="59">
        <v>1927</v>
      </c>
      <c r="G56" s="61">
        <v>534.5</v>
      </c>
      <c r="H56" s="60">
        <f t="shared" si="32"/>
        <v>177071.49999999997</v>
      </c>
      <c r="I56" s="59">
        <v>55962.400000000009</v>
      </c>
      <c r="J56" s="60">
        <v>12724.3</v>
      </c>
      <c r="K56" s="59">
        <v>8819.4</v>
      </c>
      <c r="L56" s="60">
        <v>14379.7</v>
      </c>
      <c r="M56" s="59">
        <v>900</v>
      </c>
      <c r="N56" s="62">
        <v>20.099999999999998</v>
      </c>
      <c r="O56" s="63">
        <f t="shared" si="33"/>
        <v>92805.900000000009</v>
      </c>
      <c r="P56" s="31"/>
      <c r="Q56" s="31"/>
      <c r="R56" s="53"/>
      <c r="S56" s="31"/>
      <c r="T56" s="31"/>
      <c r="U56" s="31"/>
    </row>
    <row r="57" spans="1:21" ht="13.5" hidden="1" customHeight="1" x14ac:dyDescent="0.2">
      <c r="A57" s="10" t="s">
        <v>33</v>
      </c>
      <c r="B57" s="29">
        <v>87265.7</v>
      </c>
      <c r="C57" s="30">
        <v>42839</v>
      </c>
      <c r="D57" s="59">
        <v>15153.500000000002</v>
      </c>
      <c r="E57" s="60">
        <v>37224.699999999997</v>
      </c>
      <c r="F57" s="59">
        <v>1820</v>
      </c>
      <c r="G57" s="61">
        <v>534.70000000000005</v>
      </c>
      <c r="H57" s="60">
        <f t="shared" si="32"/>
        <v>184837.60000000003</v>
      </c>
      <c r="I57" s="59">
        <v>58563.700000000004</v>
      </c>
      <c r="J57" s="60">
        <v>12029.800000000001</v>
      </c>
      <c r="K57" s="59">
        <v>8505.6</v>
      </c>
      <c r="L57" s="60">
        <v>14850.7</v>
      </c>
      <c r="M57" s="59">
        <v>550</v>
      </c>
      <c r="N57" s="62">
        <v>20.099999999999998</v>
      </c>
      <c r="O57" s="63">
        <f t="shared" si="33"/>
        <v>94519.900000000009</v>
      </c>
      <c r="P57" s="31"/>
      <c r="Q57" s="31"/>
      <c r="R57" s="53"/>
      <c r="S57" s="31"/>
      <c r="T57" s="31"/>
      <c r="U57" s="31"/>
    </row>
    <row r="58" spans="1:21" ht="13.5" hidden="1" customHeight="1" x14ac:dyDescent="0.2">
      <c r="A58" s="10" t="s">
        <v>34</v>
      </c>
      <c r="B58" s="29">
        <v>89849.8</v>
      </c>
      <c r="C58" s="30">
        <v>40843.300000000003</v>
      </c>
      <c r="D58" s="59">
        <v>18895.999999999996</v>
      </c>
      <c r="E58" s="60">
        <v>35123.299999999996</v>
      </c>
      <c r="F58" s="59">
        <v>2347.2999999999997</v>
      </c>
      <c r="G58" s="61">
        <v>430.30000000000007</v>
      </c>
      <c r="H58" s="60">
        <f t="shared" si="32"/>
        <v>187489.99999999997</v>
      </c>
      <c r="I58" s="59">
        <v>59651.9</v>
      </c>
      <c r="J58" s="60">
        <v>12154.3</v>
      </c>
      <c r="K58" s="59">
        <v>9789.1</v>
      </c>
      <c r="L58" s="60">
        <v>14347.900000000001</v>
      </c>
      <c r="M58" s="59">
        <v>550</v>
      </c>
      <c r="N58" s="62">
        <v>20.2</v>
      </c>
      <c r="O58" s="63">
        <f t="shared" si="33"/>
        <v>96513.400000000009</v>
      </c>
      <c r="P58" s="31"/>
      <c r="Q58" s="31"/>
      <c r="R58" s="53"/>
      <c r="S58" s="31"/>
      <c r="T58" s="31"/>
      <c r="U58" s="31"/>
    </row>
    <row r="59" spans="1:21" ht="13.5" hidden="1" customHeight="1" x14ac:dyDescent="0.2">
      <c r="A59" s="10" t="s">
        <v>35</v>
      </c>
      <c r="B59" s="29">
        <v>92275.000000000015</v>
      </c>
      <c r="C59" s="30">
        <v>39465.100000000006</v>
      </c>
      <c r="D59" s="59">
        <v>17696.600000000002</v>
      </c>
      <c r="E59" s="60">
        <v>35466.199999999997</v>
      </c>
      <c r="F59" s="59">
        <v>1238.7</v>
      </c>
      <c r="G59" s="61">
        <v>420.7</v>
      </c>
      <c r="H59" s="60">
        <f t="shared" si="32"/>
        <v>186562.30000000005</v>
      </c>
      <c r="I59" s="59">
        <v>61460.7</v>
      </c>
      <c r="J59" s="60">
        <v>12387.600000000002</v>
      </c>
      <c r="K59" s="59">
        <v>9616.1</v>
      </c>
      <c r="L59" s="60">
        <v>15146.2</v>
      </c>
      <c r="M59" s="59">
        <v>550</v>
      </c>
      <c r="N59" s="62">
        <v>20.299999999999997</v>
      </c>
      <c r="O59" s="63">
        <f t="shared" si="33"/>
        <v>99180.900000000009</v>
      </c>
      <c r="P59" s="31"/>
      <c r="Q59" s="31"/>
      <c r="R59" s="53"/>
      <c r="S59" s="31"/>
      <c r="T59" s="31"/>
      <c r="U59" s="31"/>
    </row>
    <row r="60" spans="1:21" ht="13.5" hidden="1" customHeight="1" x14ac:dyDescent="0.2">
      <c r="A60" s="10" t="s">
        <v>36</v>
      </c>
      <c r="B60" s="29">
        <v>103932.4</v>
      </c>
      <c r="C60" s="30">
        <v>40671.000000000007</v>
      </c>
      <c r="D60" s="59">
        <v>21363.199999999997</v>
      </c>
      <c r="E60" s="64">
        <v>39031.300000000003</v>
      </c>
      <c r="F60" s="59">
        <v>1730.5</v>
      </c>
      <c r="G60" s="61">
        <v>333.5</v>
      </c>
      <c r="H60" s="60">
        <f t="shared" si="32"/>
        <v>207061.89999999997</v>
      </c>
      <c r="I60" s="59">
        <v>63450.8</v>
      </c>
      <c r="J60" s="60">
        <v>11550.8</v>
      </c>
      <c r="K60" s="59">
        <v>9384.2000000000007</v>
      </c>
      <c r="L60" s="60">
        <v>14877.299999999997</v>
      </c>
      <c r="M60" s="59">
        <v>550</v>
      </c>
      <c r="N60" s="62">
        <v>25.9</v>
      </c>
      <c r="O60" s="63">
        <f t="shared" si="33"/>
        <v>99839</v>
      </c>
      <c r="P60" s="31"/>
      <c r="Q60" s="31"/>
      <c r="R60" s="53"/>
      <c r="S60" s="31"/>
      <c r="T60" s="31"/>
      <c r="U60" s="31"/>
    </row>
    <row r="61" spans="1:21" ht="13.5" hidden="1" customHeight="1" x14ac:dyDescent="0.2">
      <c r="A61" s="10"/>
      <c r="B61" s="29"/>
      <c r="C61" s="30"/>
      <c r="D61" s="59"/>
      <c r="E61" s="64"/>
      <c r="F61" s="59"/>
      <c r="G61" s="61"/>
      <c r="H61" s="60"/>
      <c r="I61" s="59"/>
      <c r="J61" s="60"/>
      <c r="K61" s="59"/>
      <c r="L61" s="60"/>
      <c r="M61" s="59"/>
      <c r="N61" s="62"/>
      <c r="O61" s="63"/>
      <c r="P61" s="31"/>
      <c r="Q61" s="31"/>
      <c r="R61" s="53"/>
      <c r="S61" s="31"/>
      <c r="T61" s="31"/>
      <c r="U61" s="31"/>
    </row>
    <row r="62" spans="1:21" ht="13.5" hidden="1" customHeight="1" x14ac:dyDescent="0.2">
      <c r="A62" s="10" t="s">
        <v>22</v>
      </c>
      <c r="B62" s="29">
        <v>100318</v>
      </c>
      <c r="C62" s="30">
        <v>39964.300000000003</v>
      </c>
      <c r="D62" s="59">
        <v>16798.000000000004</v>
      </c>
      <c r="E62" s="60">
        <v>40749.9</v>
      </c>
      <c r="F62" s="59">
        <v>1639.7</v>
      </c>
      <c r="G62" s="61">
        <v>303.89999999999998</v>
      </c>
      <c r="H62" s="60">
        <f t="shared" si="32"/>
        <v>199773.8</v>
      </c>
      <c r="I62" s="59">
        <v>61687.6</v>
      </c>
      <c r="J62" s="60">
        <v>13367.499999999998</v>
      </c>
      <c r="K62" s="59">
        <v>10833.2</v>
      </c>
      <c r="L62" s="60">
        <v>12348.8</v>
      </c>
      <c r="M62" s="59">
        <v>250</v>
      </c>
      <c r="N62" s="62">
        <v>37.9</v>
      </c>
      <c r="O62" s="63">
        <f t="shared" si="33"/>
        <v>98524.999999999985</v>
      </c>
      <c r="P62" s="31"/>
      <c r="Q62" s="31"/>
      <c r="R62" s="53"/>
      <c r="S62" s="31"/>
      <c r="T62" s="31"/>
      <c r="U62" s="31"/>
    </row>
    <row r="63" spans="1:21" ht="13.5" hidden="1" customHeight="1" x14ac:dyDescent="0.2">
      <c r="A63" s="10" t="s">
        <v>37</v>
      </c>
      <c r="B63" s="29">
        <v>102915.4</v>
      </c>
      <c r="C63" s="30">
        <v>38831.799999999996</v>
      </c>
      <c r="D63" s="59">
        <v>17193.7</v>
      </c>
      <c r="E63" s="60">
        <v>34826.6</v>
      </c>
      <c r="F63" s="59">
        <v>1217.0999999999999</v>
      </c>
      <c r="G63" s="61">
        <v>163</v>
      </c>
      <c r="H63" s="60">
        <f t="shared" si="32"/>
        <v>195147.6</v>
      </c>
      <c r="I63" s="59">
        <v>63509.200000000004</v>
      </c>
      <c r="J63" s="60">
        <v>10754.2</v>
      </c>
      <c r="K63" s="59">
        <v>10488.400000000001</v>
      </c>
      <c r="L63" s="60">
        <v>15282.3</v>
      </c>
      <c r="M63" s="59">
        <v>250</v>
      </c>
      <c r="N63" s="62">
        <v>25.6</v>
      </c>
      <c r="O63" s="63">
        <f t="shared" si="33"/>
        <v>100309.70000000003</v>
      </c>
      <c r="P63" s="31"/>
      <c r="Q63" s="31"/>
      <c r="R63" s="53"/>
      <c r="S63" s="31"/>
      <c r="T63" s="31"/>
      <c r="U63" s="31"/>
    </row>
    <row r="64" spans="1:21" ht="13.5" hidden="1" customHeight="1" x14ac:dyDescent="0.2">
      <c r="A64" s="10" t="s">
        <v>23</v>
      </c>
      <c r="B64" s="29">
        <v>103519.59999999998</v>
      </c>
      <c r="C64" s="30">
        <v>36016.199999999997</v>
      </c>
      <c r="D64" s="59">
        <v>16601.900000000001</v>
      </c>
      <c r="E64" s="60">
        <v>46042.600000000006</v>
      </c>
      <c r="F64" s="59">
        <v>1079.1999999999998</v>
      </c>
      <c r="G64" s="61">
        <v>338.8</v>
      </c>
      <c r="H64" s="60">
        <f t="shared" si="32"/>
        <v>203598.3</v>
      </c>
      <c r="I64" s="59">
        <v>64357.499999999993</v>
      </c>
      <c r="J64" s="60">
        <v>11339.100000000002</v>
      </c>
      <c r="K64" s="59">
        <v>9096.5</v>
      </c>
      <c r="L64" s="60">
        <v>14524.6</v>
      </c>
      <c r="M64" s="59">
        <v>650</v>
      </c>
      <c r="N64" s="62">
        <v>25.9</v>
      </c>
      <c r="O64" s="63">
        <f t="shared" si="33"/>
        <v>99993.599999999991</v>
      </c>
      <c r="P64" s="31"/>
      <c r="Q64" s="31"/>
      <c r="R64" s="53"/>
      <c r="S64" s="31"/>
      <c r="T64" s="31"/>
      <c r="U64" s="31"/>
    </row>
    <row r="65" spans="1:21" ht="13.5" hidden="1" customHeight="1" x14ac:dyDescent="0.2">
      <c r="A65" s="10" t="s">
        <v>38</v>
      </c>
      <c r="B65" s="29">
        <v>109338.30000000002</v>
      </c>
      <c r="C65" s="30">
        <v>37772.799999999996</v>
      </c>
      <c r="D65" s="59">
        <v>15613.699999999999</v>
      </c>
      <c r="E65" s="60">
        <v>36961.800000000003</v>
      </c>
      <c r="F65" s="59">
        <v>946.2</v>
      </c>
      <c r="G65" s="61">
        <v>188.1</v>
      </c>
      <c r="H65" s="60">
        <f t="shared" si="32"/>
        <v>200820.90000000005</v>
      </c>
      <c r="I65" s="59">
        <v>65108.200000000004</v>
      </c>
      <c r="J65" s="60">
        <v>10386.299999999999</v>
      </c>
      <c r="K65" s="59">
        <v>10526</v>
      </c>
      <c r="L65" s="60">
        <v>16348.099999999999</v>
      </c>
      <c r="M65" s="59">
        <v>250</v>
      </c>
      <c r="N65" s="62">
        <v>26</v>
      </c>
      <c r="O65" s="63">
        <f t="shared" si="33"/>
        <v>102644.6</v>
      </c>
      <c r="P65" s="31"/>
      <c r="Q65" s="31"/>
      <c r="R65" s="53"/>
      <c r="S65" s="31"/>
      <c r="T65" s="31"/>
      <c r="U65" s="31"/>
    </row>
    <row r="66" spans="1:21" ht="13.5" hidden="1" customHeight="1" x14ac:dyDescent="0.2">
      <c r="A66" s="10" t="s">
        <v>40</v>
      </c>
      <c r="B66" s="29">
        <v>103729.09999999999</v>
      </c>
      <c r="C66" s="30">
        <v>40619.799999999996</v>
      </c>
      <c r="D66" s="59">
        <v>13233.900000000001</v>
      </c>
      <c r="E66" s="60">
        <v>37366.099999999991</v>
      </c>
      <c r="F66" s="59">
        <v>904.40000000000009</v>
      </c>
      <c r="G66" s="61">
        <v>191.7</v>
      </c>
      <c r="H66" s="60">
        <f t="shared" si="32"/>
        <v>196044.99999999997</v>
      </c>
      <c r="I66" s="59">
        <v>67749.2</v>
      </c>
      <c r="J66" s="60">
        <v>10147.300000000001</v>
      </c>
      <c r="K66" s="59">
        <v>10424.099999999999</v>
      </c>
      <c r="L66" s="60">
        <v>16823.7</v>
      </c>
      <c r="M66" s="59">
        <v>250</v>
      </c>
      <c r="N66" s="62">
        <v>21.900000000000002</v>
      </c>
      <c r="O66" s="63">
        <f t="shared" si="33"/>
        <v>105416.2</v>
      </c>
      <c r="P66" s="31"/>
      <c r="Q66" s="31"/>
      <c r="R66" s="53"/>
      <c r="S66" s="31"/>
      <c r="T66" s="31"/>
      <c r="U66" s="31"/>
    </row>
    <row r="67" spans="1:21" ht="13.5" hidden="1" customHeight="1" x14ac:dyDescent="0.2">
      <c r="A67" s="10" t="s">
        <v>42</v>
      </c>
      <c r="B67" s="29">
        <v>107846.5</v>
      </c>
      <c r="C67" s="30">
        <v>41764.899999999994</v>
      </c>
      <c r="D67" s="59">
        <v>14119.099999999997</v>
      </c>
      <c r="E67" s="60">
        <v>37440.5</v>
      </c>
      <c r="F67" s="59">
        <v>1345.2</v>
      </c>
      <c r="G67" s="61">
        <v>205.59999999999997</v>
      </c>
      <c r="H67" s="60">
        <f t="shared" si="32"/>
        <v>202721.80000000002</v>
      </c>
      <c r="I67" s="59">
        <v>69651.399999999994</v>
      </c>
      <c r="J67" s="60">
        <v>11601.8</v>
      </c>
      <c r="K67" s="59">
        <v>10286.799999999999</v>
      </c>
      <c r="L67" s="60">
        <v>15119.4</v>
      </c>
      <c r="M67" s="59">
        <v>250</v>
      </c>
      <c r="N67" s="62">
        <v>6.2</v>
      </c>
      <c r="O67" s="63">
        <f t="shared" si="33"/>
        <v>106915.59999999999</v>
      </c>
      <c r="P67" s="31"/>
      <c r="Q67" s="31"/>
      <c r="R67" s="53"/>
      <c r="S67" s="31"/>
      <c r="T67" s="31"/>
      <c r="U67" s="31"/>
    </row>
    <row r="68" spans="1:21" ht="13.5" hidden="1" customHeight="1" x14ac:dyDescent="0.2">
      <c r="A68" s="10" t="s">
        <v>43</v>
      </c>
      <c r="B68" s="29">
        <v>104268.7</v>
      </c>
      <c r="C68" s="30">
        <v>40159.19999999999</v>
      </c>
      <c r="D68" s="59">
        <v>13548.9</v>
      </c>
      <c r="E68" s="60">
        <v>37773.9</v>
      </c>
      <c r="F68" s="59">
        <v>618.1</v>
      </c>
      <c r="G68" s="61">
        <v>282.60000000000002</v>
      </c>
      <c r="H68" s="60">
        <f t="shared" si="32"/>
        <v>196651.4</v>
      </c>
      <c r="I68" s="59">
        <v>68774.7</v>
      </c>
      <c r="J68" s="60">
        <v>12408.900000000001</v>
      </c>
      <c r="K68" s="59">
        <v>9773.3999999999978</v>
      </c>
      <c r="L68" s="60">
        <v>16260.9</v>
      </c>
      <c r="M68" s="59">
        <v>250</v>
      </c>
      <c r="N68" s="62">
        <v>6.5</v>
      </c>
      <c r="O68" s="63">
        <f t="shared" si="33"/>
        <v>107474.4</v>
      </c>
      <c r="P68" s="31"/>
      <c r="Q68" s="31"/>
      <c r="R68" s="53"/>
      <c r="S68" s="31"/>
      <c r="T68" s="31"/>
      <c r="U68" s="31"/>
    </row>
    <row r="69" spans="1:21" ht="13.5" hidden="1" customHeight="1" x14ac:dyDescent="0.2">
      <c r="A69" s="10" t="s">
        <v>44</v>
      </c>
      <c r="B69" s="29">
        <v>107737.8</v>
      </c>
      <c r="C69" s="30">
        <v>42012.1</v>
      </c>
      <c r="D69" s="59">
        <v>13748.999999999998</v>
      </c>
      <c r="E69" s="60">
        <v>41189.699999999997</v>
      </c>
      <c r="F69" s="59">
        <v>874.90000000000009</v>
      </c>
      <c r="G69" s="61">
        <v>230.89999999999998</v>
      </c>
      <c r="H69" s="60">
        <f t="shared" si="32"/>
        <v>205794.39999999997</v>
      </c>
      <c r="I69" s="59">
        <v>69235.399999999994</v>
      </c>
      <c r="J69" s="60">
        <v>11935.300000000001</v>
      </c>
      <c r="K69" s="59">
        <v>11096.8</v>
      </c>
      <c r="L69" s="60">
        <v>12767.800000000001</v>
      </c>
      <c r="M69" s="59">
        <v>250</v>
      </c>
      <c r="N69" s="62">
        <v>6.6</v>
      </c>
      <c r="O69" s="63">
        <f t="shared" si="33"/>
        <v>105291.90000000001</v>
      </c>
      <c r="P69" s="31"/>
      <c r="Q69" s="31"/>
      <c r="R69" s="53"/>
      <c r="S69" s="31"/>
      <c r="T69" s="31"/>
      <c r="U69" s="31"/>
    </row>
    <row r="70" spans="1:21" ht="13.5" hidden="1" customHeight="1" x14ac:dyDescent="0.2">
      <c r="A70" s="10" t="s">
        <v>45</v>
      </c>
      <c r="B70" s="29">
        <v>112286.00000000001</v>
      </c>
      <c r="C70" s="30">
        <v>46851.799999999996</v>
      </c>
      <c r="D70" s="59">
        <v>16743.099999999999</v>
      </c>
      <c r="E70" s="60">
        <v>51077.9</v>
      </c>
      <c r="F70" s="59">
        <v>1385.7</v>
      </c>
      <c r="G70" s="61">
        <v>492.1</v>
      </c>
      <c r="H70" s="60">
        <f t="shared" si="32"/>
        <v>228836.60000000003</v>
      </c>
      <c r="I70" s="59">
        <v>69047.299999999988</v>
      </c>
      <c r="J70" s="60">
        <v>12566.5</v>
      </c>
      <c r="K70" s="59">
        <v>8850.7000000000007</v>
      </c>
      <c r="L70" s="60">
        <v>10803.599999999997</v>
      </c>
      <c r="M70" s="59">
        <v>250</v>
      </c>
      <c r="N70" s="62">
        <v>6.8000000000000007</v>
      </c>
      <c r="O70" s="63">
        <f t="shared" si="33"/>
        <v>101524.89999999998</v>
      </c>
      <c r="P70" s="31"/>
      <c r="Q70" s="31"/>
      <c r="R70" s="53"/>
      <c r="S70" s="31"/>
      <c r="T70" s="31"/>
      <c r="U70" s="31"/>
    </row>
    <row r="71" spans="1:21" ht="13.5" hidden="1" customHeight="1" x14ac:dyDescent="0.2">
      <c r="A71" s="10" t="s">
        <v>46</v>
      </c>
      <c r="B71" s="29">
        <v>116031.29999999999</v>
      </c>
      <c r="C71" s="30">
        <v>45037.599999999991</v>
      </c>
      <c r="D71" s="59">
        <v>15812.5</v>
      </c>
      <c r="E71" s="60">
        <v>39818.899999999994</v>
      </c>
      <c r="F71" s="59">
        <v>1623.6</v>
      </c>
      <c r="G71" s="61">
        <v>591.6</v>
      </c>
      <c r="H71" s="60">
        <f t="shared" si="32"/>
        <v>218915.49999999997</v>
      </c>
      <c r="I71" s="59">
        <v>73659.8</v>
      </c>
      <c r="J71" s="60">
        <v>14396.400000000001</v>
      </c>
      <c r="K71" s="59">
        <v>8743.6999999999989</v>
      </c>
      <c r="L71" s="60">
        <v>13280.099999999999</v>
      </c>
      <c r="M71" s="59">
        <v>250</v>
      </c>
      <c r="N71" s="62">
        <v>6.7</v>
      </c>
      <c r="O71" s="63">
        <f t="shared" si="33"/>
        <v>110336.7</v>
      </c>
      <c r="P71" s="31"/>
      <c r="Q71" s="31"/>
      <c r="R71" s="53"/>
      <c r="S71" s="31"/>
      <c r="T71" s="31"/>
      <c r="U71" s="31"/>
    </row>
    <row r="72" spans="1:21" ht="13.5" hidden="1" customHeight="1" x14ac:dyDescent="0.2">
      <c r="A72" s="10" t="s">
        <v>47</v>
      </c>
      <c r="B72" s="29">
        <v>113923.90000000002</v>
      </c>
      <c r="C72" s="30">
        <v>39842.9</v>
      </c>
      <c r="D72" s="59">
        <v>13702.2</v>
      </c>
      <c r="E72" s="60">
        <v>40051.599999999999</v>
      </c>
      <c r="F72" s="59">
        <v>1941.6999999999998</v>
      </c>
      <c r="G72" s="61">
        <v>877.9</v>
      </c>
      <c r="H72" s="60">
        <f t="shared" si="32"/>
        <v>210340.20000000004</v>
      </c>
      <c r="I72" s="59">
        <v>77590.5</v>
      </c>
      <c r="J72" s="60">
        <v>14261</v>
      </c>
      <c r="K72" s="59">
        <v>9845.2999999999993</v>
      </c>
      <c r="L72" s="60">
        <v>13793.599999999999</v>
      </c>
      <c r="M72" s="59">
        <v>250</v>
      </c>
      <c r="N72" s="62">
        <v>6.7</v>
      </c>
      <c r="O72" s="63">
        <f t="shared" si="33"/>
        <v>115747.09999999999</v>
      </c>
      <c r="P72" s="31"/>
      <c r="Q72" s="31"/>
      <c r="R72" s="53"/>
      <c r="S72" s="31"/>
      <c r="T72" s="31"/>
      <c r="U72" s="31"/>
    </row>
    <row r="73" spans="1:21" ht="13.5" hidden="1" customHeight="1" x14ac:dyDescent="0.2">
      <c r="A73" s="10" t="s">
        <v>48</v>
      </c>
      <c r="B73" s="29">
        <v>135849.70000000001</v>
      </c>
      <c r="C73" s="30">
        <v>48040.500000000007</v>
      </c>
      <c r="D73" s="59">
        <v>16952.3</v>
      </c>
      <c r="E73" s="60">
        <v>42146.000000000007</v>
      </c>
      <c r="F73" s="59">
        <v>2249</v>
      </c>
      <c r="G73" s="61">
        <v>973.4000000000002</v>
      </c>
      <c r="H73" s="60">
        <f t="shared" si="32"/>
        <v>246210.9</v>
      </c>
      <c r="I73" s="59">
        <v>79802.900000000009</v>
      </c>
      <c r="J73" s="60">
        <v>15644.599999999999</v>
      </c>
      <c r="K73" s="59">
        <v>9351.7999999999993</v>
      </c>
      <c r="L73" s="60">
        <v>11732.1</v>
      </c>
      <c r="M73" s="59">
        <v>400</v>
      </c>
      <c r="N73" s="62">
        <v>6.5</v>
      </c>
      <c r="O73" s="63">
        <f t="shared" si="33"/>
        <v>116937.90000000001</v>
      </c>
      <c r="P73" s="31"/>
      <c r="Q73" s="31"/>
      <c r="R73" s="53"/>
      <c r="S73" s="31"/>
      <c r="T73" s="31"/>
      <c r="U73" s="31"/>
    </row>
    <row r="74" spans="1:21" ht="13.5" hidden="1" customHeight="1" x14ac:dyDescent="0.2">
      <c r="A74" s="10"/>
      <c r="B74" s="29"/>
      <c r="C74" s="30"/>
      <c r="D74" s="59"/>
      <c r="E74" s="60"/>
      <c r="F74" s="59"/>
      <c r="G74" s="61"/>
      <c r="H74" s="60"/>
      <c r="I74" s="59"/>
      <c r="J74" s="60"/>
      <c r="K74" s="59"/>
      <c r="L74" s="60"/>
      <c r="M74" s="59"/>
      <c r="N74" s="62"/>
      <c r="O74" s="63"/>
      <c r="P74" s="31"/>
      <c r="Q74" s="31"/>
      <c r="R74" s="53"/>
      <c r="S74" s="31"/>
      <c r="T74" s="31"/>
      <c r="U74" s="31"/>
    </row>
    <row r="75" spans="1:21" ht="13.5" hidden="1" customHeight="1" x14ac:dyDescent="0.2">
      <c r="A75" s="10" t="s">
        <v>25</v>
      </c>
      <c r="B75" s="29">
        <v>128631.1</v>
      </c>
      <c r="C75" s="30">
        <v>50186.400000000001</v>
      </c>
      <c r="D75" s="59">
        <v>16738</v>
      </c>
      <c r="E75" s="60">
        <v>43394.700000000004</v>
      </c>
      <c r="F75" s="59">
        <v>2048.6000000000004</v>
      </c>
      <c r="G75" s="61">
        <v>598.80000000000007</v>
      </c>
      <c r="H75" s="60">
        <f t="shared" si="32"/>
        <v>241597.6</v>
      </c>
      <c r="I75" s="59">
        <v>79703.700000000012</v>
      </c>
      <c r="J75" s="60">
        <v>15721.300000000001</v>
      </c>
      <c r="K75" s="59">
        <v>8493.4</v>
      </c>
      <c r="L75" s="60">
        <v>11067.900000000001</v>
      </c>
      <c r="M75" s="59">
        <v>700</v>
      </c>
      <c r="N75" s="62">
        <v>47.20000000000001</v>
      </c>
      <c r="O75" s="63">
        <f t="shared" si="33"/>
        <v>115733.50000000001</v>
      </c>
      <c r="P75" s="31"/>
      <c r="Q75" s="31"/>
      <c r="R75" s="53"/>
      <c r="S75" s="31"/>
      <c r="T75" s="31"/>
      <c r="U75" s="31"/>
    </row>
    <row r="76" spans="1:21" ht="13.5" hidden="1" customHeight="1" x14ac:dyDescent="0.2">
      <c r="A76" s="10" t="s">
        <v>49</v>
      </c>
      <c r="B76" s="29">
        <v>132827.1</v>
      </c>
      <c r="C76" s="30">
        <v>53163.3</v>
      </c>
      <c r="D76" s="59">
        <v>15195.5</v>
      </c>
      <c r="E76" s="60">
        <v>39828.5</v>
      </c>
      <c r="F76" s="59">
        <v>3054.8</v>
      </c>
      <c r="G76" s="61">
        <v>698.4</v>
      </c>
      <c r="H76" s="60">
        <f t="shared" si="32"/>
        <v>244767.6</v>
      </c>
      <c r="I76" s="59">
        <v>78923.399999999994</v>
      </c>
      <c r="J76" s="60">
        <v>16005.2</v>
      </c>
      <c r="K76" s="59">
        <v>9308.8999999999978</v>
      </c>
      <c r="L76" s="60">
        <v>12115.2</v>
      </c>
      <c r="M76" s="59">
        <v>700</v>
      </c>
      <c r="N76" s="62">
        <v>35.5</v>
      </c>
      <c r="O76" s="63">
        <f t="shared" si="33"/>
        <v>117088.19999999998</v>
      </c>
      <c r="P76" s="31"/>
      <c r="Q76" s="31"/>
      <c r="R76" s="53"/>
      <c r="S76" s="31"/>
      <c r="T76" s="31"/>
      <c r="U76" s="31"/>
    </row>
    <row r="77" spans="1:21" ht="13.5" hidden="1" customHeight="1" x14ac:dyDescent="0.2">
      <c r="A77" s="10" t="s">
        <v>29</v>
      </c>
      <c r="B77" s="29">
        <v>135664.9</v>
      </c>
      <c r="C77" s="30">
        <v>53144.6</v>
      </c>
      <c r="D77" s="59">
        <v>13697.300000000001</v>
      </c>
      <c r="E77" s="60">
        <v>51067.199999999997</v>
      </c>
      <c r="F77" s="59">
        <v>3089.7</v>
      </c>
      <c r="G77" s="61">
        <v>965.09999999999991</v>
      </c>
      <c r="H77" s="60">
        <f t="shared" si="32"/>
        <v>257628.80000000002</v>
      </c>
      <c r="I77" s="59">
        <v>79263.200000000012</v>
      </c>
      <c r="J77" s="60">
        <v>17826.300000000003</v>
      </c>
      <c r="K77" s="59">
        <v>9883.4</v>
      </c>
      <c r="L77" s="60">
        <v>14258.4</v>
      </c>
      <c r="M77" s="59">
        <v>700</v>
      </c>
      <c r="N77" s="62">
        <v>32.700000000000003</v>
      </c>
      <c r="O77" s="63">
        <f t="shared" si="33"/>
        <v>121964</v>
      </c>
      <c r="P77" s="31"/>
      <c r="Q77" s="31"/>
      <c r="R77" s="53"/>
      <c r="S77" s="31"/>
      <c r="T77" s="31"/>
      <c r="U77" s="31"/>
    </row>
    <row r="78" spans="1:21" ht="13.5" hidden="1" customHeight="1" x14ac:dyDescent="0.2">
      <c r="A78" s="10" t="s">
        <v>52</v>
      </c>
      <c r="B78" s="29">
        <v>135708.19999999998</v>
      </c>
      <c r="C78" s="30">
        <v>51093.799999999996</v>
      </c>
      <c r="D78" s="59">
        <v>15904.699999999999</v>
      </c>
      <c r="E78" s="60">
        <v>43907.799999999996</v>
      </c>
      <c r="F78" s="59">
        <v>1963.4999999999998</v>
      </c>
      <c r="G78" s="61">
        <v>1073.3000000000002</v>
      </c>
      <c r="H78" s="60">
        <f t="shared" si="32"/>
        <v>249651.29999999996</v>
      </c>
      <c r="I78" s="59">
        <v>80479.700000000012</v>
      </c>
      <c r="J78" s="60">
        <v>16098.2</v>
      </c>
      <c r="K78" s="59">
        <v>12021.699999999999</v>
      </c>
      <c r="L78" s="60">
        <v>15928.599999999999</v>
      </c>
      <c r="M78" s="59">
        <v>1050</v>
      </c>
      <c r="N78" s="62">
        <v>34.200000000000003</v>
      </c>
      <c r="O78" s="63">
        <f t="shared" si="33"/>
        <v>125612.40000000001</v>
      </c>
      <c r="P78" s="31"/>
      <c r="Q78" s="31"/>
      <c r="R78" s="53"/>
      <c r="S78" s="31"/>
      <c r="T78" s="31"/>
      <c r="U78" s="31"/>
    </row>
    <row r="79" spans="1:21" ht="13.5" hidden="1" customHeight="1" x14ac:dyDescent="0.2">
      <c r="A79" s="10" t="s">
        <v>53</v>
      </c>
      <c r="B79" s="29">
        <v>132781.90000000002</v>
      </c>
      <c r="C79" s="30">
        <v>42458</v>
      </c>
      <c r="D79" s="59">
        <v>18397.100000000002</v>
      </c>
      <c r="E79" s="60">
        <v>42728</v>
      </c>
      <c r="F79" s="59">
        <v>1862.6</v>
      </c>
      <c r="G79" s="61">
        <v>480.90000000000003</v>
      </c>
      <c r="H79" s="60">
        <f t="shared" si="32"/>
        <v>238708.50000000003</v>
      </c>
      <c r="I79" s="59">
        <v>83314.7</v>
      </c>
      <c r="J79" s="60">
        <v>15940.699999999999</v>
      </c>
      <c r="K79" s="59">
        <v>8410.6999999999989</v>
      </c>
      <c r="L79" s="60">
        <v>13825.300000000001</v>
      </c>
      <c r="M79" s="59">
        <v>1550</v>
      </c>
      <c r="N79" s="62">
        <v>24.9</v>
      </c>
      <c r="O79" s="63">
        <f t="shared" si="33"/>
        <v>123066.29999999999</v>
      </c>
      <c r="P79" s="31"/>
      <c r="Q79" s="31"/>
      <c r="R79" s="53"/>
      <c r="S79" s="31"/>
      <c r="T79" s="31"/>
      <c r="U79" s="31"/>
    </row>
    <row r="80" spans="1:21" ht="13.5" hidden="1" customHeight="1" x14ac:dyDescent="0.2">
      <c r="A80" s="10" t="s">
        <v>54</v>
      </c>
      <c r="B80" s="29">
        <v>142462.1</v>
      </c>
      <c r="C80" s="30">
        <v>49844.608999999997</v>
      </c>
      <c r="D80" s="59">
        <v>12756.699999999999</v>
      </c>
      <c r="E80" s="60">
        <v>45754.291000000005</v>
      </c>
      <c r="F80" s="59">
        <v>1791.8</v>
      </c>
      <c r="G80" s="61">
        <v>668.4</v>
      </c>
      <c r="H80" s="60">
        <f t="shared" si="32"/>
        <v>253277.9</v>
      </c>
      <c r="I80" s="59">
        <v>83970.4</v>
      </c>
      <c r="J80" s="60">
        <v>16086.6</v>
      </c>
      <c r="K80" s="59">
        <v>11377.8</v>
      </c>
      <c r="L80" s="60">
        <v>14581.1</v>
      </c>
      <c r="M80" s="59">
        <v>1050</v>
      </c>
      <c r="N80" s="62">
        <v>11.899999999999999</v>
      </c>
      <c r="O80" s="63">
        <f t="shared" si="33"/>
        <v>127077.8</v>
      </c>
      <c r="P80" s="31"/>
      <c r="Q80" s="31"/>
      <c r="R80" s="53"/>
      <c r="S80" s="31"/>
      <c r="T80" s="31"/>
      <c r="U80" s="31"/>
    </row>
    <row r="81" spans="1:21" ht="13.5" hidden="1" customHeight="1" x14ac:dyDescent="0.2">
      <c r="A81" s="10" t="s">
        <v>55</v>
      </c>
      <c r="B81" s="29">
        <v>151397.69999999998</v>
      </c>
      <c r="C81" s="30">
        <v>53973.708999999995</v>
      </c>
      <c r="D81" s="59">
        <v>11127.5</v>
      </c>
      <c r="E81" s="60">
        <v>44436.091</v>
      </c>
      <c r="F81" s="59">
        <v>2679.2</v>
      </c>
      <c r="G81" s="61">
        <v>468.99999999999994</v>
      </c>
      <c r="H81" s="60">
        <f t="shared" si="32"/>
        <v>264083.20000000001</v>
      </c>
      <c r="I81" s="59">
        <v>85868.3</v>
      </c>
      <c r="J81" s="60">
        <v>16974.5</v>
      </c>
      <c r="K81" s="59">
        <v>13593.4</v>
      </c>
      <c r="L81" s="60">
        <v>13516.800000000001</v>
      </c>
      <c r="M81" s="59">
        <v>1450</v>
      </c>
      <c r="N81" s="62">
        <v>12</v>
      </c>
      <c r="O81" s="63">
        <f t="shared" si="33"/>
        <v>131415</v>
      </c>
      <c r="P81" s="31"/>
      <c r="Q81" s="31"/>
      <c r="R81" s="53"/>
      <c r="S81" s="31"/>
      <c r="T81" s="31"/>
      <c r="U81" s="31"/>
    </row>
    <row r="82" spans="1:21" ht="13.5" hidden="1" customHeight="1" x14ac:dyDescent="0.2">
      <c r="A82" s="10" t="s">
        <v>59</v>
      </c>
      <c r="B82" s="29">
        <v>146368.79999999999</v>
      </c>
      <c r="C82" s="30">
        <v>67101.409</v>
      </c>
      <c r="D82" s="59">
        <v>14798.199999999999</v>
      </c>
      <c r="E82" s="60">
        <v>46249.991000000002</v>
      </c>
      <c r="F82" s="59">
        <v>2221.4</v>
      </c>
      <c r="G82" s="61">
        <v>395</v>
      </c>
      <c r="H82" s="60">
        <f t="shared" si="32"/>
        <v>277134.8</v>
      </c>
      <c r="I82" s="59">
        <v>87966.200000000012</v>
      </c>
      <c r="J82" s="60">
        <v>18738.3</v>
      </c>
      <c r="K82" s="59">
        <v>14217.300000000001</v>
      </c>
      <c r="L82" s="60">
        <v>13324.1</v>
      </c>
      <c r="M82" s="59">
        <v>950</v>
      </c>
      <c r="N82" s="62">
        <v>20</v>
      </c>
      <c r="O82" s="63">
        <f t="shared" si="33"/>
        <v>135215.90000000002</v>
      </c>
      <c r="P82" s="31"/>
      <c r="Q82" s="31"/>
      <c r="R82" s="53"/>
      <c r="S82" s="31"/>
      <c r="T82" s="31"/>
      <c r="U82" s="31"/>
    </row>
    <row r="83" spans="1:21" ht="13.5" hidden="1" customHeight="1" x14ac:dyDescent="0.2">
      <c r="A83" s="10" t="s">
        <v>60</v>
      </c>
      <c r="B83" s="29">
        <v>147778.80000000002</v>
      </c>
      <c r="C83" s="30">
        <v>68967.608999999997</v>
      </c>
      <c r="D83" s="59">
        <v>13568.899999999998</v>
      </c>
      <c r="E83" s="60">
        <v>47258.391000000003</v>
      </c>
      <c r="F83" s="59">
        <v>3568.1000000000004</v>
      </c>
      <c r="G83" s="61">
        <v>298.89999999999998</v>
      </c>
      <c r="H83" s="60">
        <f t="shared" si="32"/>
        <v>281440.7</v>
      </c>
      <c r="I83" s="59">
        <v>86859.1</v>
      </c>
      <c r="J83" s="60">
        <v>18036.099999999999</v>
      </c>
      <c r="K83" s="59">
        <v>15823.8</v>
      </c>
      <c r="L83" s="60">
        <v>14222.1</v>
      </c>
      <c r="M83" s="59">
        <v>550</v>
      </c>
      <c r="N83" s="62">
        <v>5.6000000000000005</v>
      </c>
      <c r="O83" s="63">
        <f t="shared" si="33"/>
        <v>135496.70000000001</v>
      </c>
      <c r="P83" s="31"/>
      <c r="Q83" s="31"/>
      <c r="R83" s="53"/>
      <c r="S83" s="31"/>
      <c r="T83" s="31"/>
      <c r="U83" s="31"/>
    </row>
    <row r="84" spans="1:21" ht="13.5" hidden="1" customHeight="1" x14ac:dyDescent="0.2">
      <c r="A84" s="10" t="s">
        <v>61</v>
      </c>
      <c r="B84" s="29">
        <v>145277.9</v>
      </c>
      <c r="C84" s="30">
        <v>62945.308999999994</v>
      </c>
      <c r="D84" s="59">
        <v>12563.300000000001</v>
      </c>
      <c r="E84" s="60">
        <v>49615.891000000003</v>
      </c>
      <c r="F84" s="59">
        <v>3509.4</v>
      </c>
      <c r="G84" s="61">
        <v>263.5</v>
      </c>
      <c r="H84" s="60">
        <f t="shared" si="32"/>
        <v>274175.3</v>
      </c>
      <c r="I84" s="59">
        <v>89904.4</v>
      </c>
      <c r="J84" s="60">
        <v>19066.300000000003</v>
      </c>
      <c r="K84" s="59">
        <v>15867.7</v>
      </c>
      <c r="L84" s="60">
        <v>13822.600000000002</v>
      </c>
      <c r="M84" s="59">
        <v>610</v>
      </c>
      <c r="N84" s="62">
        <v>13.100000000000001</v>
      </c>
      <c r="O84" s="63">
        <f t="shared" si="33"/>
        <v>139284.1</v>
      </c>
      <c r="P84" s="31"/>
      <c r="Q84" s="31"/>
      <c r="R84" s="53"/>
      <c r="S84" s="31"/>
      <c r="T84" s="31"/>
      <c r="U84" s="31"/>
    </row>
    <row r="85" spans="1:21" ht="14.25" hidden="1" customHeight="1" x14ac:dyDescent="0.2">
      <c r="A85" s="10" t="s">
        <v>62</v>
      </c>
      <c r="B85" s="29">
        <v>148828.40000000002</v>
      </c>
      <c r="C85" s="30">
        <v>71129.008999999991</v>
      </c>
      <c r="D85" s="59">
        <v>17922.400000000001</v>
      </c>
      <c r="E85" s="60">
        <v>44410.290999999997</v>
      </c>
      <c r="F85" s="59">
        <v>5429.8</v>
      </c>
      <c r="G85" s="61">
        <v>389.5</v>
      </c>
      <c r="H85" s="60">
        <f t="shared" si="32"/>
        <v>288109.39999999997</v>
      </c>
      <c r="I85" s="59">
        <v>89257.5</v>
      </c>
      <c r="J85" s="60">
        <v>17785.3</v>
      </c>
      <c r="K85" s="59">
        <v>14920.1</v>
      </c>
      <c r="L85" s="60">
        <v>14428.1</v>
      </c>
      <c r="M85" s="59">
        <v>610</v>
      </c>
      <c r="N85" s="62">
        <v>13.2</v>
      </c>
      <c r="O85" s="63">
        <f t="shared" si="33"/>
        <v>137014.20000000001</v>
      </c>
      <c r="P85" s="31"/>
      <c r="Q85" s="31"/>
      <c r="R85" s="53"/>
      <c r="S85" s="31"/>
      <c r="T85" s="31"/>
      <c r="U85" s="31"/>
    </row>
    <row r="86" spans="1:21" ht="13.5" hidden="1" customHeight="1" x14ac:dyDescent="0.2">
      <c r="A86" s="10" t="s">
        <v>63</v>
      </c>
      <c r="B86" s="29">
        <v>164955</v>
      </c>
      <c r="C86" s="30">
        <v>68245.215502999999</v>
      </c>
      <c r="D86" s="59">
        <v>21443.200000000001</v>
      </c>
      <c r="E86" s="60">
        <v>56149.984497000005</v>
      </c>
      <c r="F86" s="59">
        <v>2545.3000000000002</v>
      </c>
      <c r="G86" s="61">
        <v>420.3</v>
      </c>
      <c r="H86" s="60">
        <f t="shared" si="32"/>
        <v>313759</v>
      </c>
      <c r="I86" s="59">
        <v>95000.5</v>
      </c>
      <c r="J86" s="60">
        <v>19048.699999999997</v>
      </c>
      <c r="K86" s="59">
        <v>13557.199999999999</v>
      </c>
      <c r="L86" s="60">
        <v>16003.1</v>
      </c>
      <c r="M86" s="59">
        <v>530</v>
      </c>
      <c r="N86" s="62">
        <v>7.9</v>
      </c>
      <c r="O86" s="63">
        <f t="shared" si="33"/>
        <v>144147.4</v>
      </c>
      <c r="P86" s="31"/>
      <c r="Q86" s="31"/>
      <c r="R86" s="53"/>
      <c r="S86" s="31"/>
      <c r="T86" s="31"/>
      <c r="U86" s="31"/>
    </row>
    <row r="87" spans="1:21" ht="13.5" hidden="1" customHeight="1" x14ac:dyDescent="0.2">
      <c r="A87" s="10"/>
      <c r="B87" s="29"/>
      <c r="C87" s="30"/>
      <c r="D87" s="59"/>
      <c r="E87" s="60"/>
      <c r="F87" s="59"/>
      <c r="G87" s="61"/>
      <c r="H87" s="60"/>
      <c r="I87" s="59"/>
      <c r="J87" s="60"/>
      <c r="K87" s="59"/>
      <c r="L87" s="60"/>
      <c r="M87" s="59"/>
      <c r="N87" s="62"/>
      <c r="O87" s="63"/>
      <c r="P87" s="31"/>
      <c r="Q87" s="31"/>
      <c r="R87" s="53"/>
      <c r="S87" s="31"/>
      <c r="T87" s="31"/>
      <c r="U87" s="31"/>
    </row>
    <row r="88" spans="1:21" ht="13.5" hidden="1" customHeight="1" x14ac:dyDescent="0.2">
      <c r="A88" s="10" t="s">
        <v>39</v>
      </c>
      <c r="B88" s="29">
        <v>155755.5</v>
      </c>
      <c r="C88" s="30">
        <v>70259.381567999997</v>
      </c>
      <c r="D88" s="59">
        <v>23495.200000000001</v>
      </c>
      <c r="E88" s="60">
        <v>53331.518431999983</v>
      </c>
      <c r="F88" s="59">
        <v>2749.9</v>
      </c>
      <c r="G88" s="61">
        <v>711.40000000000009</v>
      </c>
      <c r="H88" s="60">
        <f t="shared" si="32"/>
        <v>306302.90000000002</v>
      </c>
      <c r="I88" s="59">
        <v>95711.3</v>
      </c>
      <c r="J88" s="60">
        <v>20561.100000000002</v>
      </c>
      <c r="K88" s="59">
        <v>10619</v>
      </c>
      <c r="L88" s="60">
        <v>16924.199999999997</v>
      </c>
      <c r="M88" s="59">
        <v>230</v>
      </c>
      <c r="N88" s="62">
        <v>5.8000000000000007</v>
      </c>
      <c r="O88" s="63">
        <f t="shared" si="33"/>
        <v>144051.4</v>
      </c>
      <c r="P88" s="31"/>
      <c r="Q88" s="31"/>
      <c r="R88" s="53"/>
      <c r="S88" s="31"/>
      <c r="T88" s="31"/>
      <c r="U88" s="31"/>
    </row>
    <row r="89" spans="1:21" ht="13.5" hidden="1" customHeight="1" x14ac:dyDescent="0.2">
      <c r="A89" s="10" t="s">
        <v>64</v>
      </c>
      <c r="B89" s="29">
        <v>153432.20000000001</v>
      </c>
      <c r="C89" s="30">
        <v>79919.3</v>
      </c>
      <c r="D89" s="59">
        <v>17038.8</v>
      </c>
      <c r="E89" s="60">
        <v>49714</v>
      </c>
      <c r="F89" s="59">
        <v>2844.3</v>
      </c>
      <c r="G89" s="61">
        <v>683.80000000000007</v>
      </c>
      <c r="H89" s="60">
        <f t="shared" si="32"/>
        <v>303632.39999999997</v>
      </c>
      <c r="I89" s="59">
        <v>94823.5</v>
      </c>
      <c r="J89" s="60">
        <v>19595.899999999998</v>
      </c>
      <c r="K89" s="59">
        <v>11777.099999999999</v>
      </c>
      <c r="L89" s="60">
        <v>17664.500000000004</v>
      </c>
      <c r="M89" s="59">
        <v>230</v>
      </c>
      <c r="N89" s="62">
        <v>5.8000000000000007</v>
      </c>
      <c r="O89" s="63">
        <f t="shared" si="33"/>
        <v>144096.79999999999</v>
      </c>
      <c r="P89" s="31"/>
      <c r="Q89" s="31"/>
      <c r="R89" s="53"/>
      <c r="S89" s="31"/>
      <c r="T89" s="31"/>
      <c r="U89" s="31"/>
    </row>
    <row r="90" spans="1:21" ht="13.5" hidden="1" customHeight="1" x14ac:dyDescent="0.2">
      <c r="A90" s="10" t="s">
        <v>41</v>
      </c>
      <c r="B90" s="29">
        <v>158189.1</v>
      </c>
      <c r="C90" s="30">
        <v>65314.316288000002</v>
      </c>
      <c r="D90" s="59">
        <v>19329.5</v>
      </c>
      <c r="E90" s="60">
        <v>71575.183711999984</v>
      </c>
      <c r="F90" s="59">
        <v>1890.4</v>
      </c>
      <c r="G90" s="61">
        <v>728</v>
      </c>
      <c r="H90" s="60">
        <f t="shared" si="32"/>
        <v>317026.5</v>
      </c>
      <c r="I90" s="59">
        <v>98373.5</v>
      </c>
      <c r="J90" s="60">
        <v>22563.599999999999</v>
      </c>
      <c r="K90" s="59">
        <v>9694.9999999999982</v>
      </c>
      <c r="L90" s="60">
        <v>18237.999999999996</v>
      </c>
      <c r="M90" s="59">
        <v>230</v>
      </c>
      <c r="N90" s="62">
        <v>7.5000000000000009</v>
      </c>
      <c r="O90" s="63">
        <f t="shared" si="33"/>
        <v>149107.6</v>
      </c>
      <c r="P90" s="31"/>
      <c r="Q90" s="31"/>
      <c r="R90" s="53"/>
      <c r="S90" s="31"/>
      <c r="T90" s="31"/>
      <c r="U90" s="31"/>
    </row>
    <row r="91" spans="1:21" ht="13.5" hidden="1" customHeight="1" x14ac:dyDescent="0.2">
      <c r="A91" s="10" t="s">
        <v>14</v>
      </c>
      <c r="B91" s="29">
        <v>169937.30000000002</v>
      </c>
      <c r="C91" s="30">
        <v>67581.2</v>
      </c>
      <c r="D91" s="59">
        <v>26949.699999999993</v>
      </c>
      <c r="E91" s="60">
        <v>51177.2</v>
      </c>
      <c r="F91" s="59">
        <v>2570.3999999999996</v>
      </c>
      <c r="G91" s="61">
        <v>640.59999999999991</v>
      </c>
      <c r="H91" s="60">
        <f t="shared" si="32"/>
        <v>318856.40000000002</v>
      </c>
      <c r="I91" s="59">
        <v>95990.499999999985</v>
      </c>
      <c r="J91" s="60">
        <v>20826.899999999998</v>
      </c>
      <c r="K91" s="59">
        <v>11249.199999999999</v>
      </c>
      <c r="L91" s="60">
        <v>20325.900000000001</v>
      </c>
      <c r="M91" s="59">
        <v>230</v>
      </c>
      <c r="N91" s="62">
        <v>8.6999999999999993</v>
      </c>
      <c r="O91" s="63">
        <f t="shared" si="33"/>
        <v>148631.19999999998</v>
      </c>
      <c r="P91" s="31"/>
      <c r="Q91" s="31"/>
      <c r="R91" s="53"/>
      <c r="S91" s="31"/>
      <c r="T91" s="31"/>
      <c r="U91" s="31"/>
    </row>
    <row r="92" spans="1:21" ht="13.5" hidden="1" customHeight="1" x14ac:dyDescent="0.2">
      <c r="A92" s="10" t="s">
        <v>15</v>
      </c>
      <c r="B92" s="29">
        <v>171750.3</v>
      </c>
      <c r="C92" s="30">
        <v>64712.316288000009</v>
      </c>
      <c r="D92" s="59">
        <v>25363.799999999996</v>
      </c>
      <c r="E92" s="60">
        <v>50223.88371200001</v>
      </c>
      <c r="F92" s="59">
        <v>2591.6999999999998</v>
      </c>
      <c r="G92" s="61">
        <v>744.6</v>
      </c>
      <c r="H92" s="60">
        <f t="shared" si="32"/>
        <v>315386.59999999998</v>
      </c>
      <c r="I92" s="59">
        <v>95854.2</v>
      </c>
      <c r="J92" s="60">
        <v>23722.6</v>
      </c>
      <c r="K92" s="59">
        <v>14347.5</v>
      </c>
      <c r="L92" s="60">
        <v>19255.600000000006</v>
      </c>
      <c r="M92" s="59">
        <v>230</v>
      </c>
      <c r="N92" s="62">
        <v>8.8000000000000007</v>
      </c>
      <c r="O92" s="63">
        <f t="shared" si="33"/>
        <v>153418.69999999998</v>
      </c>
      <c r="P92" s="31"/>
      <c r="Q92" s="31"/>
      <c r="R92" s="53"/>
      <c r="S92" s="31"/>
      <c r="T92" s="31"/>
      <c r="U92" s="31"/>
    </row>
    <row r="93" spans="1:21" ht="13.5" hidden="1" customHeight="1" x14ac:dyDescent="0.2">
      <c r="A93" s="10" t="s">
        <v>19</v>
      </c>
      <c r="B93" s="29">
        <v>171985.7</v>
      </c>
      <c r="C93" s="30">
        <v>62727.208724999997</v>
      </c>
      <c r="D93" s="59">
        <v>23321.100000000002</v>
      </c>
      <c r="E93" s="60">
        <v>55968.291275000011</v>
      </c>
      <c r="F93" s="59">
        <v>2967.5</v>
      </c>
      <c r="G93" s="61">
        <v>640.9</v>
      </c>
      <c r="H93" s="60">
        <f t="shared" si="32"/>
        <v>317610.70000000007</v>
      </c>
      <c r="I93" s="59">
        <v>96190.599999999991</v>
      </c>
      <c r="J93" s="60">
        <v>24376</v>
      </c>
      <c r="K93" s="59">
        <v>20506.300000000003</v>
      </c>
      <c r="L93" s="60">
        <v>18915.5</v>
      </c>
      <c r="M93" s="59">
        <v>230</v>
      </c>
      <c r="N93" s="62">
        <v>8.8000000000000007</v>
      </c>
      <c r="O93" s="63">
        <f t="shared" si="33"/>
        <v>160227.19999999998</v>
      </c>
      <c r="P93" s="31"/>
      <c r="Q93" s="31"/>
      <c r="R93" s="53"/>
      <c r="S93" s="31"/>
      <c r="T93" s="31"/>
      <c r="U93" s="31"/>
    </row>
    <row r="94" spans="1:21" ht="13.5" hidden="1" customHeight="1" x14ac:dyDescent="0.2">
      <c r="A94" s="10" t="s">
        <v>24</v>
      </c>
      <c r="B94" s="29">
        <v>172655.2</v>
      </c>
      <c r="C94" s="30">
        <v>63759.547308999994</v>
      </c>
      <c r="D94" s="59">
        <v>27019.599999999999</v>
      </c>
      <c r="E94" s="60">
        <v>53874.852690999993</v>
      </c>
      <c r="F94" s="59">
        <v>1563.1</v>
      </c>
      <c r="G94" s="61">
        <v>596.69999999999993</v>
      </c>
      <c r="H94" s="60">
        <f t="shared" si="32"/>
        <v>319468.99999999994</v>
      </c>
      <c r="I94" s="59">
        <v>94365.4</v>
      </c>
      <c r="J94" s="60">
        <v>31877.100000000002</v>
      </c>
      <c r="K94" s="59">
        <v>21554.9</v>
      </c>
      <c r="L94" s="60">
        <v>17183.8</v>
      </c>
      <c r="M94" s="59">
        <v>230</v>
      </c>
      <c r="N94" s="62">
        <v>8.8000000000000007</v>
      </c>
      <c r="O94" s="63">
        <f t="shared" si="33"/>
        <v>165219.99999999997</v>
      </c>
      <c r="P94" s="31"/>
      <c r="Q94" s="31"/>
      <c r="R94" s="53"/>
      <c r="S94" s="31"/>
      <c r="T94" s="31"/>
      <c r="U94" s="31"/>
    </row>
    <row r="95" spans="1:21" ht="13.5" hidden="1" customHeight="1" x14ac:dyDescent="0.2">
      <c r="A95" s="10" t="s">
        <v>16</v>
      </c>
      <c r="B95" s="29">
        <v>166057.29999999999</v>
      </c>
      <c r="C95" s="30">
        <v>68073.516918999987</v>
      </c>
      <c r="D95" s="59">
        <v>21789.299999999996</v>
      </c>
      <c r="E95" s="60">
        <v>52920.183081000003</v>
      </c>
      <c r="F95" s="59">
        <v>2275.4</v>
      </c>
      <c r="G95" s="61">
        <v>663.90000000000009</v>
      </c>
      <c r="H95" s="60">
        <f t="shared" si="32"/>
        <v>311779.60000000003</v>
      </c>
      <c r="I95" s="59">
        <v>100255.4</v>
      </c>
      <c r="J95" s="60">
        <v>26336</v>
      </c>
      <c r="K95" s="59">
        <v>22489</v>
      </c>
      <c r="L95" s="60">
        <v>22518.399999999998</v>
      </c>
      <c r="M95" s="59">
        <v>230</v>
      </c>
      <c r="N95" s="62">
        <v>15</v>
      </c>
      <c r="O95" s="63">
        <f t="shared" si="33"/>
        <v>171843.8</v>
      </c>
      <c r="P95" s="31"/>
      <c r="Q95" s="31"/>
      <c r="R95" s="53"/>
      <c r="S95" s="31"/>
      <c r="T95" s="31"/>
      <c r="U95" s="31"/>
    </row>
    <row r="96" spans="1:21" ht="13.5" hidden="1" customHeight="1" x14ac:dyDescent="0.2">
      <c r="A96" s="10" t="s">
        <v>13</v>
      </c>
      <c r="B96" s="29">
        <v>159049.69999999998</v>
      </c>
      <c r="C96" s="30">
        <v>57747.700000000004</v>
      </c>
      <c r="D96" s="59">
        <v>18754.2</v>
      </c>
      <c r="E96" s="60">
        <v>52985.899999999994</v>
      </c>
      <c r="F96" s="59">
        <v>3422.7</v>
      </c>
      <c r="G96" s="61">
        <v>630.69999999999993</v>
      </c>
      <c r="H96" s="60">
        <f t="shared" si="32"/>
        <v>292590.90000000002</v>
      </c>
      <c r="I96" s="59">
        <v>97322.2</v>
      </c>
      <c r="J96" s="60">
        <v>30341.100000000002</v>
      </c>
      <c r="K96" s="59">
        <v>24591.899999999994</v>
      </c>
      <c r="L96" s="60">
        <v>21344.399999999998</v>
      </c>
      <c r="M96" s="59">
        <v>230</v>
      </c>
      <c r="N96" s="62">
        <v>15</v>
      </c>
      <c r="O96" s="63">
        <f t="shared" si="33"/>
        <v>173844.6</v>
      </c>
      <c r="P96" s="31"/>
      <c r="Q96" s="31"/>
      <c r="R96" s="53"/>
      <c r="S96" s="31"/>
      <c r="T96" s="31"/>
      <c r="U96" s="31"/>
    </row>
    <row r="97" spans="1:21" ht="13.5" hidden="1" customHeight="1" x14ac:dyDescent="0.2">
      <c r="A97" s="10" t="s">
        <v>50</v>
      </c>
      <c r="B97" s="29">
        <v>163340.4</v>
      </c>
      <c r="C97" s="30">
        <v>57605.176397999996</v>
      </c>
      <c r="D97" s="59">
        <v>16083.599999999999</v>
      </c>
      <c r="E97" s="60">
        <v>62905.423601999995</v>
      </c>
      <c r="F97" s="59">
        <v>2162.6999999999998</v>
      </c>
      <c r="G97" s="61">
        <v>678.5</v>
      </c>
      <c r="H97" s="60">
        <f t="shared" si="32"/>
        <v>302775.8</v>
      </c>
      <c r="I97" s="59">
        <v>94394.2</v>
      </c>
      <c r="J97" s="60">
        <v>29593.300000000007</v>
      </c>
      <c r="K97" s="59">
        <v>25946.399999999998</v>
      </c>
      <c r="L97" s="60">
        <v>22255.399999999998</v>
      </c>
      <c r="M97" s="59">
        <v>230</v>
      </c>
      <c r="N97" s="62">
        <v>15</v>
      </c>
      <c r="O97" s="63">
        <f t="shared" si="33"/>
        <v>172434.3</v>
      </c>
      <c r="P97" s="31"/>
      <c r="Q97" s="31"/>
      <c r="R97" s="53"/>
      <c r="S97" s="31"/>
      <c r="T97" s="31"/>
      <c r="U97" s="31"/>
    </row>
    <row r="98" spans="1:21" ht="13.5" hidden="1" customHeight="1" x14ac:dyDescent="0.2">
      <c r="A98" s="10" t="s">
        <v>51</v>
      </c>
      <c r="B98" s="29">
        <v>159255.4</v>
      </c>
      <c r="C98" s="30">
        <v>53362.606783999996</v>
      </c>
      <c r="D98" s="59">
        <v>16704.400000000001</v>
      </c>
      <c r="E98" s="60">
        <v>53586.093216000001</v>
      </c>
      <c r="F98" s="59">
        <v>1547.9</v>
      </c>
      <c r="G98" s="61">
        <v>728.30000000000007</v>
      </c>
      <c r="H98" s="60">
        <f t="shared" si="32"/>
        <v>285184.7</v>
      </c>
      <c r="I98" s="59">
        <v>96582.7</v>
      </c>
      <c r="J98" s="60">
        <v>30989.100000000006</v>
      </c>
      <c r="K98" s="59">
        <v>23387.1</v>
      </c>
      <c r="L98" s="60">
        <v>26166.400000000001</v>
      </c>
      <c r="M98" s="59">
        <v>230</v>
      </c>
      <c r="N98" s="62">
        <v>5.6999999999999993</v>
      </c>
      <c r="O98" s="63">
        <f t="shared" si="33"/>
        <v>177361</v>
      </c>
      <c r="P98" s="31"/>
      <c r="Q98" s="31"/>
      <c r="R98" s="53"/>
      <c r="S98" s="31"/>
      <c r="T98" s="31"/>
      <c r="U98" s="31"/>
    </row>
    <row r="99" spans="1:21" ht="13.5" hidden="1" customHeight="1" x14ac:dyDescent="0.2">
      <c r="A99" s="10" t="s">
        <v>56</v>
      </c>
      <c r="B99" s="29">
        <v>167377.79999999999</v>
      </c>
      <c r="C99" s="30">
        <v>57811.200000000004</v>
      </c>
      <c r="D99" s="59">
        <v>21500.100000000002</v>
      </c>
      <c r="E99" s="60">
        <v>56104</v>
      </c>
      <c r="F99" s="59">
        <v>848.1</v>
      </c>
      <c r="G99" s="61">
        <v>723.5</v>
      </c>
      <c r="H99" s="60">
        <f t="shared" si="32"/>
        <v>304364.69999999995</v>
      </c>
      <c r="I99" s="59">
        <v>99610.4</v>
      </c>
      <c r="J99" s="60">
        <v>34009.299999999996</v>
      </c>
      <c r="K99" s="59">
        <v>23138</v>
      </c>
      <c r="L99" s="60">
        <v>21827.9</v>
      </c>
      <c r="M99" s="59">
        <v>230</v>
      </c>
      <c r="N99" s="62">
        <v>5.4</v>
      </c>
      <c r="O99" s="63">
        <f t="shared" si="33"/>
        <v>178820.99999999997</v>
      </c>
      <c r="P99" s="31"/>
      <c r="Q99" s="31"/>
      <c r="R99" s="53"/>
      <c r="S99" s="31"/>
      <c r="T99" s="31"/>
      <c r="U99" s="31"/>
    </row>
    <row r="100" spans="1:21" ht="13.5" hidden="1" customHeight="1" x14ac:dyDescent="0.2">
      <c r="A100" s="10"/>
      <c r="B100" s="29"/>
      <c r="C100" s="30"/>
      <c r="D100" s="59"/>
      <c r="E100" s="60"/>
      <c r="F100" s="59"/>
      <c r="G100" s="61"/>
      <c r="H100" s="60"/>
      <c r="I100" s="59"/>
      <c r="J100" s="60"/>
      <c r="K100" s="59"/>
      <c r="L100" s="60"/>
      <c r="M100" s="59"/>
      <c r="N100" s="62"/>
      <c r="O100" s="63"/>
      <c r="P100" s="31"/>
      <c r="Q100" s="31"/>
      <c r="R100" s="53"/>
      <c r="S100" s="31"/>
      <c r="T100" s="31"/>
      <c r="U100" s="31"/>
    </row>
    <row r="101" spans="1:21" ht="13.5" hidden="1" customHeight="1" x14ac:dyDescent="0.2">
      <c r="A101" s="10" t="s">
        <v>57</v>
      </c>
      <c r="B101" s="29">
        <v>172096.4</v>
      </c>
      <c r="C101" s="30">
        <v>60866.331158999987</v>
      </c>
      <c r="D101" s="59">
        <v>19839.599999999999</v>
      </c>
      <c r="E101" s="60">
        <v>56337.268841000012</v>
      </c>
      <c r="F101" s="59">
        <v>1398.9</v>
      </c>
      <c r="G101" s="61">
        <v>1300.7</v>
      </c>
      <c r="H101" s="60">
        <f t="shared" si="32"/>
        <v>311839.2</v>
      </c>
      <c r="I101" s="59">
        <v>94277.900000000009</v>
      </c>
      <c r="J101" s="60">
        <v>22126.2</v>
      </c>
      <c r="K101" s="59">
        <v>23627.899999999998</v>
      </c>
      <c r="L101" s="60">
        <v>27919.200000000004</v>
      </c>
      <c r="M101" s="59">
        <v>230</v>
      </c>
      <c r="N101" s="62">
        <v>6.6999999999999993</v>
      </c>
      <c r="O101" s="63">
        <f t="shared" si="33"/>
        <v>168187.90000000002</v>
      </c>
      <c r="P101" s="31"/>
      <c r="Q101" s="31"/>
      <c r="R101" s="53"/>
      <c r="S101" s="31"/>
      <c r="T101" s="31"/>
      <c r="U101" s="31"/>
    </row>
    <row r="102" spans="1:21" ht="13.5" hidden="1" customHeight="1" x14ac:dyDescent="0.2">
      <c r="A102" s="10" t="s">
        <v>76</v>
      </c>
      <c r="B102" s="29">
        <v>171127.69999999998</v>
      </c>
      <c r="C102" s="30">
        <v>55959.637975999998</v>
      </c>
      <c r="D102" s="59">
        <v>21644.6</v>
      </c>
      <c r="E102" s="60">
        <v>54294.062023999999</v>
      </c>
      <c r="F102" s="59">
        <v>2281.6000000000004</v>
      </c>
      <c r="G102" s="61">
        <v>619.1</v>
      </c>
      <c r="H102" s="60">
        <f t="shared" si="32"/>
        <v>305926.69999999995</v>
      </c>
      <c r="I102" s="59">
        <v>98140.2</v>
      </c>
      <c r="J102" s="60">
        <v>22060.5</v>
      </c>
      <c r="K102" s="59">
        <v>22353.200000000001</v>
      </c>
      <c r="L102" s="60">
        <v>25523.999999999996</v>
      </c>
      <c r="M102" s="59">
        <v>230</v>
      </c>
      <c r="N102" s="62">
        <v>3.7</v>
      </c>
      <c r="O102" s="63">
        <f t="shared" si="33"/>
        <v>168311.6</v>
      </c>
      <c r="P102" s="31"/>
      <c r="Q102" s="31"/>
      <c r="R102" s="53"/>
      <c r="S102" s="31"/>
      <c r="T102" s="31"/>
      <c r="U102" s="31"/>
    </row>
    <row r="103" spans="1:21" ht="13.5" hidden="1" customHeight="1" x14ac:dyDescent="0.2">
      <c r="A103" s="10" t="s">
        <v>58</v>
      </c>
      <c r="B103" s="29">
        <v>162195.4</v>
      </c>
      <c r="C103" s="30">
        <v>56490.400000000009</v>
      </c>
      <c r="D103" s="59">
        <v>19824</v>
      </c>
      <c r="E103" s="60">
        <v>54730.000000000015</v>
      </c>
      <c r="F103" s="59">
        <v>1198.3999999999999</v>
      </c>
      <c r="G103" s="61">
        <v>609.29999999999995</v>
      </c>
      <c r="H103" s="60">
        <f t="shared" si="32"/>
        <v>295047.5</v>
      </c>
      <c r="I103" s="59">
        <v>100035.1</v>
      </c>
      <c r="J103" s="60">
        <v>27998.900000000005</v>
      </c>
      <c r="K103" s="59">
        <v>22373.699999999997</v>
      </c>
      <c r="L103" s="60">
        <v>21971.800000000003</v>
      </c>
      <c r="M103" s="59">
        <v>230</v>
      </c>
      <c r="N103" s="62">
        <v>3.8</v>
      </c>
      <c r="O103" s="63">
        <f t="shared" si="33"/>
        <v>172613.3</v>
      </c>
      <c r="P103" s="31"/>
      <c r="Q103" s="31"/>
      <c r="R103" s="53"/>
      <c r="S103" s="31"/>
      <c r="T103" s="31"/>
      <c r="U103" s="31"/>
    </row>
    <row r="104" spans="1:21" ht="13.5" hidden="1" customHeight="1" x14ac:dyDescent="0.2">
      <c r="A104" s="10" t="s">
        <v>78</v>
      </c>
      <c r="B104" s="29">
        <v>163741.1</v>
      </c>
      <c r="C104" s="30">
        <v>62741.017701000004</v>
      </c>
      <c r="D104" s="59">
        <v>20564.599999999999</v>
      </c>
      <c r="E104" s="60">
        <v>50648.682299000007</v>
      </c>
      <c r="F104" s="59">
        <v>1153.6999999999998</v>
      </c>
      <c r="G104" s="61">
        <v>481.50000000000006</v>
      </c>
      <c r="H104" s="60">
        <f t="shared" si="32"/>
        <v>299330.60000000003</v>
      </c>
      <c r="I104" s="59">
        <v>100211.2</v>
      </c>
      <c r="J104" s="60">
        <v>25940.000000000004</v>
      </c>
      <c r="K104" s="59">
        <v>21544.6</v>
      </c>
      <c r="L104" s="60">
        <v>25441.300000000003</v>
      </c>
      <c r="M104" s="59">
        <v>230</v>
      </c>
      <c r="N104" s="62">
        <v>3.9</v>
      </c>
      <c r="O104" s="63">
        <f t="shared" si="33"/>
        <v>173370.99999999997</v>
      </c>
      <c r="P104" s="31"/>
      <c r="Q104" s="31"/>
      <c r="R104" s="53"/>
      <c r="S104" s="31"/>
      <c r="T104" s="31"/>
      <c r="U104" s="31"/>
    </row>
    <row r="105" spans="1:21" ht="13.5" hidden="1" customHeight="1" x14ac:dyDescent="0.2">
      <c r="A105" s="10" t="s">
        <v>79</v>
      </c>
      <c r="B105" s="29">
        <v>158838</v>
      </c>
      <c r="C105" s="30">
        <v>66747.434687999994</v>
      </c>
      <c r="D105" s="59">
        <v>22618.899999999998</v>
      </c>
      <c r="E105" s="60">
        <v>52602.665311999997</v>
      </c>
      <c r="F105" s="59">
        <v>1791.6</v>
      </c>
      <c r="G105" s="61">
        <v>449.6</v>
      </c>
      <c r="H105" s="60">
        <f t="shared" si="32"/>
        <v>303048.19999999995</v>
      </c>
      <c r="I105" s="59">
        <v>86348.799999999988</v>
      </c>
      <c r="J105" s="60">
        <v>18222.100000000002</v>
      </c>
      <c r="K105" s="59">
        <v>22776.5</v>
      </c>
      <c r="L105" s="60">
        <v>43972.500000000007</v>
      </c>
      <c r="M105" s="59">
        <v>1230</v>
      </c>
      <c r="N105" s="62">
        <v>4</v>
      </c>
      <c r="O105" s="63">
        <f t="shared" si="33"/>
        <v>172553.9</v>
      </c>
      <c r="P105" s="31"/>
      <c r="Q105" s="31"/>
      <c r="R105" s="53"/>
      <c r="S105" s="31"/>
      <c r="T105" s="31"/>
      <c r="U105" s="31"/>
    </row>
    <row r="106" spans="1:21" ht="13.5" hidden="1" customHeight="1" x14ac:dyDescent="0.2">
      <c r="A106" s="10" t="s">
        <v>80</v>
      </c>
      <c r="B106" s="29">
        <v>164538.70000000001</v>
      </c>
      <c r="C106" s="30">
        <v>71022.3</v>
      </c>
      <c r="D106" s="59">
        <v>22213.899999999998</v>
      </c>
      <c r="E106" s="60">
        <v>98503.4</v>
      </c>
      <c r="F106" s="59">
        <v>3757.5</v>
      </c>
      <c r="G106" s="61">
        <v>742.1</v>
      </c>
      <c r="H106" s="60">
        <f t="shared" si="32"/>
        <v>360777.89999999997</v>
      </c>
      <c r="I106" s="59">
        <v>97700.4</v>
      </c>
      <c r="J106" s="60">
        <v>28731.599999999995</v>
      </c>
      <c r="K106" s="59">
        <v>21937.199999999997</v>
      </c>
      <c r="L106" s="60">
        <v>58804.5</v>
      </c>
      <c r="M106" s="59">
        <v>1204.8</v>
      </c>
      <c r="N106" s="62">
        <v>44.5</v>
      </c>
      <c r="O106" s="63">
        <f t="shared" si="33"/>
        <v>208422.99999999997</v>
      </c>
      <c r="P106" s="31"/>
      <c r="Q106" s="31"/>
      <c r="R106" s="53"/>
      <c r="S106" s="31"/>
      <c r="T106" s="31"/>
      <c r="U106" s="31"/>
    </row>
    <row r="107" spans="1:21" ht="13.5" hidden="1" customHeight="1" x14ac:dyDescent="0.2">
      <c r="A107" s="10" t="s">
        <v>81</v>
      </c>
      <c r="B107" s="29">
        <v>155761.60000000001</v>
      </c>
      <c r="C107" s="30">
        <v>72882.319455999997</v>
      </c>
      <c r="D107" s="59">
        <v>18152.599999999999</v>
      </c>
      <c r="E107" s="60">
        <v>51836.880544000014</v>
      </c>
      <c r="F107" s="59">
        <v>2804.7</v>
      </c>
      <c r="G107" s="61">
        <v>422.6</v>
      </c>
      <c r="H107" s="60">
        <f t="shared" si="32"/>
        <v>301860.7</v>
      </c>
      <c r="I107" s="59">
        <v>85655</v>
      </c>
      <c r="J107" s="60">
        <v>19487.899999999998</v>
      </c>
      <c r="K107" s="59">
        <v>20748</v>
      </c>
      <c r="L107" s="60">
        <v>45254.599999999991</v>
      </c>
      <c r="M107" s="59">
        <v>730</v>
      </c>
      <c r="N107" s="62">
        <v>4.0999999999999996</v>
      </c>
      <c r="O107" s="63">
        <f t="shared" si="33"/>
        <v>171879.6</v>
      </c>
      <c r="P107" s="31"/>
      <c r="Q107" s="31"/>
      <c r="R107" s="53"/>
      <c r="S107" s="31"/>
      <c r="T107" s="31"/>
      <c r="U107" s="31"/>
    </row>
    <row r="108" spans="1:21" ht="13.5" hidden="1" customHeight="1" x14ac:dyDescent="0.2">
      <c r="A108" s="10" t="s">
        <v>82</v>
      </c>
      <c r="B108" s="29">
        <v>156444.80000000002</v>
      </c>
      <c r="C108" s="30">
        <v>82664.646432000009</v>
      </c>
      <c r="D108" s="59">
        <v>19013</v>
      </c>
      <c r="E108" s="60">
        <v>49629.953567999997</v>
      </c>
      <c r="F108" s="59">
        <v>1282</v>
      </c>
      <c r="G108" s="61">
        <v>472.3</v>
      </c>
      <c r="H108" s="60">
        <f t="shared" si="32"/>
        <v>309506.7</v>
      </c>
      <c r="I108" s="59">
        <v>82286.100000000006</v>
      </c>
      <c r="J108" s="60">
        <v>22242.600000000002</v>
      </c>
      <c r="K108" s="59">
        <v>20294.099999999995</v>
      </c>
      <c r="L108" s="60">
        <v>47026.399999999987</v>
      </c>
      <c r="M108" s="59">
        <v>730</v>
      </c>
      <c r="N108" s="62">
        <v>3.8000000000000003</v>
      </c>
      <c r="O108" s="63">
        <f t="shared" si="33"/>
        <v>172582.99999999997</v>
      </c>
      <c r="P108" s="31"/>
      <c r="Q108" s="31"/>
      <c r="R108" s="53"/>
      <c r="S108" s="31"/>
      <c r="T108" s="31"/>
      <c r="U108" s="31"/>
    </row>
    <row r="109" spans="1:21" ht="13.5" hidden="1" customHeight="1" x14ac:dyDescent="0.2">
      <c r="A109" s="10" t="s">
        <v>83</v>
      </c>
      <c r="B109" s="29">
        <v>158175.5</v>
      </c>
      <c r="C109" s="30">
        <v>78968.499999999985</v>
      </c>
      <c r="D109" s="59">
        <v>15858.113999999998</v>
      </c>
      <c r="E109" s="60">
        <v>55075.700000000004</v>
      </c>
      <c r="F109" s="59">
        <v>1188.7</v>
      </c>
      <c r="G109" s="61">
        <v>427.89999999999992</v>
      </c>
      <c r="H109" s="60">
        <f t="shared" si="32"/>
        <v>309694.41400000005</v>
      </c>
      <c r="I109" s="59">
        <v>83175.199999999997</v>
      </c>
      <c r="J109" s="60">
        <v>18717.3</v>
      </c>
      <c r="K109" s="59">
        <v>19966.899999999998</v>
      </c>
      <c r="L109" s="60">
        <v>49284.100000000006</v>
      </c>
      <c r="M109" s="59">
        <v>500</v>
      </c>
      <c r="N109" s="62">
        <v>3.9</v>
      </c>
      <c r="O109" s="63">
        <f t="shared" si="33"/>
        <v>171647.4</v>
      </c>
      <c r="P109" s="31"/>
      <c r="Q109" s="31"/>
      <c r="R109" s="53"/>
      <c r="S109" s="31"/>
      <c r="T109" s="31"/>
      <c r="U109" s="31"/>
    </row>
    <row r="110" spans="1:21" ht="13.5" hidden="1" customHeight="1" x14ac:dyDescent="0.2">
      <c r="A110" s="10" t="s">
        <v>84</v>
      </c>
      <c r="B110" s="29">
        <v>161860.1</v>
      </c>
      <c r="C110" s="30">
        <v>74333.099999999991</v>
      </c>
      <c r="D110" s="59">
        <v>17611.5</v>
      </c>
      <c r="E110" s="60">
        <v>62580.299999999988</v>
      </c>
      <c r="F110" s="59">
        <v>2797.5</v>
      </c>
      <c r="G110" s="61">
        <v>441.8</v>
      </c>
      <c r="H110" s="60">
        <f t="shared" si="32"/>
        <v>319624.3</v>
      </c>
      <c r="I110" s="59">
        <v>90243</v>
      </c>
      <c r="J110" s="60">
        <v>21395.200000000001</v>
      </c>
      <c r="K110" s="59">
        <v>21683.1</v>
      </c>
      <c r="L110" s="60">
        <v>42466.700000000004</v>
      </c>
      <c r="M110" s="59">
        <v>730</v>
      </c>
      <c r="N110" s="62">
        <v>6.3</v>
      </c>
      <c r="O110" s="63">
        <f t="shared" si="33"/>
        <v>176524.3</v>
      </c>
      <c r="P110" s="31"/>
      <c r="Q110" s="31"/>
      <c r="R110" s="53"/>
      <c r="S110" s="31"/>
      <c r="T110" s="31"/>
      <c r="U110" s="31"/>
    </row>
    <row r="111" spans="1:21" ht="13.5" hidden="1" customHeight="1" x14ac:dyDescent="0.2">
      <c r="A111" s="10" t="s">
        <v>86</v>
      </c>
      <c r="B111" s="29">
        <v>163836.9</v>
      </c>
      <c r="C111" s="30">
        <v>76400.3</v>
      </c>
      <c r="D111" s="59">
        <v>21771.399999999998</v>
      </c>
      <c r="E111" s="60">
        <v>56269.399999999994</v>
      </c>
      <c r="F111" s="59">
        <v>4113.7999999999993</v>
      </c>
      <c r="G111" s="61">
        <v>608.9</v>
      </c>
      <c r="H111" s="60">
        <f t="shared" si="32"/>
        <v>323000.7</v>
      </c>
      <c r="I111" s="59">
        <v>93876.099999999991</v>
      </c>
      <c r="J111" s="60">
        <v>21454.400000000001</v>
      </c>
      <c r="K111" s="59">
        <v>20612.099999999999</v>
      </c>
      <c r="L111" s="60">
        <v>50652.099999999991</v>
      </c>
      <c r="M111" s="59">
        <v>430</v>
      </c>
      <c r="N111" s="62">
        <v>46.9</v>
      </c>
      <c r="O111" s="63">
        <f t="shared" si="33"/>
        <v>187071.6</v>
      </c>
      <c r="P111" s="31"/>
      <c r="Q111" s="31"/>
      <c r="R111" s="53"/>
      <c r="S111" s="31"/>
      <c r="T111" s="31"/>
      <c r="U111" s="31"/>
    </row>
    <row r="112" spans="1:21" ht="13.5" hidden="1" customHeight="1" x14ac:dyDescent="0.2">
      <c r="A112" s="10" t="s">
        <v>88</v>
      </c>
      <c r="B112" s="29">
        <v>176823.4</v>
      </c>
      <c r="C112" s="30">
        <v>82976.299999999988</v>
      </c>
      <c r="D112" s="59">
        <v>16096.800000000001</v>
      </c>
      <c r="E112" s="60">
        <v>59898.199999999983</v>
      </c>
      <c r="F112" s="59">
        <v>3398.2000000000003</v>
      </c>
      <c r="G112" s="61">
        <v>482.40000000000003</v>
      </c>
      <c r="H112" s="60">
        <f t="shared" si="32"/>
        <v>339675.3</v>
      </c>
      <c r="I112" s="59">
        <v>99093.400000000009</v>
      </c>
      <c r="J112" s="60">
        <v>22695.800000000003</v>
      </c>
      <c r="K112" s="59">
        <v>24065.600000000002</v>
      </c>
      <c r="L112" s="60">
        <v>48173.100000000006</v>
      </c>
      <c r="M112" s="59">
        <v>430</v>
      </c>
      <c r="N112" s="62">
        <v>48.2</v>
      </c>
      <c r="O112" s="63">
        <f t="shared" si="33"/>
        <v>194506.10000000003</v>
      </c>
      <c r="P112" s="31"/>
      <c r="Q112" s="31"/>
      <c r="R112" s="53"/>
      <c r="S112" s="31"/>
      <c r="T112" s="31"/>
      <c r="U112" s="31"/>
    </row>
    <row r="113" spans="1:21" ht="13.5" customHeight="1" x14ac:dyDescent="0.2">
      <c r="A113" s="69" t="s">
        <v>132</v>
      </c>
      <c r="B113" s="70">
        <v>173617.4</v>
      </c>
      <c r="C113" s="71">
        <v>182336.1</v>
      </c>
      <c r="D113" s="70">
        <v>21206.400000000001</v>
      </c>
      <c r="E113" s="71">
        <f>77322.6+7907.7</f>
        <v>85230.3</v>
      </c>
      <c r="F113" s="74">
        <v>7192.6</v>
      </c>
      <c r="G113" s="74">
        <v>1581.5</v>
      </c>
      <c r="H113" s="75">
        <f>SUM(B113:G113)</f>
        <v>471164.3</v>
      </c>
      <c r="I113" s="74">
        <v>117796.4</v>
      </c>
      <c r="J113" s="75">
        <v>64394.3</v>
      </c>
      <c r="K113" s="74">
        <v>13957.1</v>
      </c>
      <c r="L113" s="75">
        <v>64718.1</v>
      </c>
      <c r="M113" s="74">
        <v>9113.9</v>
      </c>
      <c r="N113" s="77">
        <v>40.299999999999997</v>
      </c>
      <c r="O113" s="78">
        <f t="shared" si="33"/>
        <v>270020.10000000003</v>
      </c>
      <c r="P113" s="72"/>
      <c r="Q113" s="72"/>
      <c r="R113" s="73"/>
      <c r="S113" s="72"/>
      <c r="T113" s="72"/>
      <c r="U113" s="72"/>
    </row>
    <row r="114" spans="1:21" ht="13.5" customHeight="1" x14ac:dyDescent="0.2">
      <c r="A114" s="69" t="s">
        <v>141</v>
      </c>
      <c r="B114" s="70">
        <v>202379.4</v>
      </c>
      <c r="C114" s="71">
        <v>198146.8</v>
      </c>
      <c r="D114" s="70">
        <v>26923.8</v>
      </c>
      <c r="E114" s="71">
        <f>86145.6+11279.7</f>
        <v>97425.3</v>
      </c>
      <c r="F114" s="74">
        <v>6477.2</v>
      </c>
      <c r="G114" s="74">
        <v>3304.7</v>
      </c>
      <c r="H114" s="75">
        <f>SUM(B114:G114)</f>
        <v>534657.19999999984</v>
      </c>
      <c r="I114" s="74">
        <v>122735.7</v>
      </c>
      <c r="J114" s="75">
        <v>54656.3</v>
      </c>
      <c r="K114" s="74">
        <v>13533.6</v>
      </c>
      <c r="L114" s="75">
        <v>64676.1</v>
      </c>
      <c r="M114" s="74">
        <v>8653</v>
      </c>
      <c r="N114" s="77">
        <v>33.299999999999997</v>
      </c>
      <c r="O114" s="78">
        <f t="shared" si="33"/>
        <v>264288</v>
      </c>
      <c r="P114" s="72"/>
      <c r="Q114" s="72"/>
      <c r="R114" s="73"/>
      <c r="S114" s="72"/>
      <c r="T114" s="72"/>
      <c r="U114" s="72"/>
    </row>
    <row r="115" spans="1:21" ht="13.5" customHeight="1" x14ac:dyDescent="0.2">
      <c r="A115" s="10"/>
      <c r="B115" s="29"/>
      <c r="C115" s="30"/>
      <c r="D115" s="59"/>
      <c r="E115" s="60"/>
      <c r="F115" s="59"/>
      <c r="G115" s="61"/>
      <c r="H115" s="60"/>
      <c r="I115" s="59"/>
      <c r="J115" s="60"/>
      <c r="K115" s="59"/>
      <c r="L115" s="60"/>
      <c r="M115" s="59"/>
      <c r="N115" s="62"/>
      <c r="O115" s="63"/>
      <c r="P115" s="31"/>
      <c r="Q115" s="31"/>
      <c r="R115" s="53"/>
      <c r="S115" s="31"/>
      <c r="T115" s="31"/>
      <c r="U115" s="31"/>
    </row>
    <row r="116" spans="1:21" ht="13.5" hidden="1" customHeight="1" x14ac:dyDescent="0.2">
      <c r="A116" s="10" t="s">
        <v>68</v>
      </c>
      <c r="B116" s="29">
        <v>179280.8</v>
      </c>
      <c r="C116" s="30">
        <v>73167</v>
      </c>
      <c r="D116" s="59">
        <v>14107</v>
      </c>
      <c r="E116" s="60">
        <v>62639.399999999994</v>
      </c>
      <c r="F116" s="59">
        <v>4524.1000000000004</v>
      </c>
      <c r="G116" s="61">
        <v>524.1</v>
      </c>
      <c r="H116" s="60">
        <f t="shared" si="32"/>
        <v>334242.39999999991</v>
      </c>
      <c r="I116" s="59">
        <v>99151.9</v>
      </c>
      <c r="J116" s="60">
        <v>24211.300000000003</v>
      </c>
      <c r="K116" s="59">
        <v>23741.9</v>
      </c>
      <c r="L116" s="60">
        <v>49261.599999999991</v>
      </c>
      <c r="M116" s="59">
        <v>430</v>
      </c>
      <c r="N116" s="62">
        <v>48.2</v>
      </c>
      <c r="O116" s="63">
        <f t="shared" si="33"/>
        <v>196844.90000000002</v>
      </c>
      <c r="P116" s="31"/>
      <c r="Q116" s="31"/>
      <c r="R116" s="53"/>
      <c r="S116" s="31"/>
      <c r="T116" s="51"/>
      <c r="U116" s="51"/>
    </row>
    <row r="117" spans="1:21" ht="13.5" hidden="1" customHeight="1" x14ac:dyDescent="0.2">
      <c r="A117" s="10" t="s">
        <v>89</v>
      </c>
      <c r="B117" s="29">
        <v>146479.19999999998</v>
      </c>
      <c r="C117" s="30">
        <v>75833.10000000002</v>
      </c>
      <c r="D117" s="59">
        <v>21370.500000000004</v>
      </c>
      <c r="E117" s="60">
        <v>102569.40000000001</v>
      </c>
      <c r="F117" s="59">
        <v>3443.7999999999997</v>
      </c>
      <c r="G117" s="61">
        <v>414.99999999999994</v>
      </c>
      <c r="H117" s="60">
        <f t="shared" si="32"/>
        <v>350111</v>
      </c>
      <c r="I117" s="59">
        <v>82393.799999999988</v>
      </c>
      <c r="J117" s="60">
        <v>23723.8</v>
      </c>
      <c r="K117" s="59">
        <v>24182.100000000002</v>
      </c>
      <c r="L117" s="60">
        <v>62885.900000000009</v>
      </c>
      <c r="M117" s="59">
        <v>430</v>
      </c>
      <c r="N117" s="62">
        <v>49.2</v>
      </c>
      <c r="O117" s="63">
        <f t="shared" si="33"/>
        <v>193664.80000000002</v>
      </c>
      <c r="P117" s="31"/>
      <c r="Q117" s="31"/>
      <c r="R117" s="53"/>
      <c r="S117" s="31"/>
      <c r="T117" s="31"/>
      <c r="U117" s="31"/>
    </row>
    <row r="118" spans="1:21" ht="13.5" hidden="1" customHeight="1" x14ac:dyDescent="0.2">
      <c r="A118" s="10" t="s">
        <v>69</v>
      </c>
      <c r="B118" s="29">
        <v>155983.49999999997</v>
      </c>
      <c r="C118" s="30">
        <v>68620.400000000009</v>
      </c>
      <c r="D118" s="59">
        <v>21604.9</v>
      </c>
      <c r="E118" s="60">
        <v>102386.2</v>
      </c>
      <c r="F118" s="59">
        <v>2931</v>
      </c>
      <c r="G118" s="61">
        <v>948.7</v>
      </c>
      <c r="H118" s="60">
        <f t="shared" si="32"/>
        <v>352474.69999999995</v>
      </c>
      <c r="I118" s="59">
        <v>94170.200000000012</v>
      </c>
      <c r="J118" s="60">
        <v>26058.3</v>
      </c>
      <c r="K118" s="59">
        <v>24791.8</v>
      </c>
      <c r="L118" s="60">
        <v>55008.5</v>
      </c>
      <c r="M118" s="59">
        <v>430</v>
      </c>
      <c r="N118" s="62">
        <v>42.7</v>
      </c>
      <c r="O118" s="63">
        <f t="shared" si="33"/>
        <v>200501.50000000003</v>
      </c>
      <c r="P118" s="31"/>
      <c r="Q118" s="31"/>
      <c r="R118" s="53"/>
      <c r="S118" s="31"/>
      <c r="T118" s="31"/>
      <c r="U118" s="31"/>
    </row>
    <row r="119" spans="1:21" ht="13.5" hidden="1" customHeight="1" x14ac:dyDescent="0.2">
      <c r="A119" s="10" t="s">
        <v>91</v>
      </c>
      <c r="B119" s="29">
        <v>160425.79999999999</v>
      </c>
      <c r="C119" s="30">
        <v>74972.099999999991</v>
      </c>
      <c r="D119" s="59">
        <v>23200.600000000002</v>
      </c>
      <c r="E119" s="60">
        <f>81435.3+10820.4</f>
        <v>92255.7</v>
      </c>
      <c r="F119" s="59">
        <v>2840.3</v>
      </c>
      <c r="G119" s="61">
        <v>670.90000000000009</v>
      </c>
      <c r="H119" s="60">
        <f t="shared" si="32"/>
        <v>354365.39999999997</v>
      </c>
      <c r="I119" s="59">
        <v>101035.1</v>
      </c>
      <c r="J119" s="60">
        <v>24220.2</v>
      </c>
      <c r="K119" s="59">
        <v>23959.199999999997</v>
      </c>
      <c r="L119" s="60">
        <v>61886.000000000007</v>
      </c>
      <c r="M119" s="59">
        <v>430</v>
      </c>
      <c r="N119" s="62">
        <v>43.2</v>
      </c>
      <c r="O119" s="63">
        <f t="shared" si="33"/>
        <v>211573.7</v>
      </c>
      <c r="P119" s="31"/>
      <c r="Q119" s="31"/>
      <c r="R119" s="53"/>
      <c r="S119" s="31"/>
      <c r="T119" s="31"/>
      <c r="U119" s="31"/>
    </row>
    <row r="120" spans="1:21" ht="13.5" hidden="1" customHeight="1" x14ac:dyDescent="0.2">
      <c r="A120" s="10" t="s">
        <v>99</v>
      </c>
      <c r="B120" s="29">
        <v>161911.79999999999</v>
      </c>
      <c r="C120" s="30">
        <v>77589.600000000006</v>
      </c>
      <c r="D120" s="59">
        <v>21476.7</v>
      </c>
      <c r="E120" s="60">
        <f>85186.6+10440.6</f>
        <v>95627.200000000012</v>
      </c>
      <c r="F120" s="59">
        <v>2882.6000000000004</v>
      </c>
      <c r="G120" s="61">
        <v>917.5</v>
      </c>
      <c r="H120" s="60">
        <f t="shared" ref="H120:H128" si="34">SUM(B120:G120)</f>
        <v>360405.4</v>
      </c>
      <c r="I120" s="59">
        <v>101086.90000000002</v>
      </c>
      <c r="J120" s="60">
        <v>26115.799999999996</v>
      </c>
      <c r="K120" s="59">
        <v>23533.1</v>
      </c>
      <c r="L120" s="60">
        <v>60243.4</v>
      </c>
      <c r="M120" s="59">
        <v>430</v>
      </c>
      <c r="N120" s="62">
        <v>43.8</v>
      </c>
      <c r="O120" s="63">
        <f t="shared" ref="O120:O128" si="35">SUM(I120:N120)</f>
        <v>211453</v>
      </c>
      <c r="P120" s="31"/>
      <c r="Q120" s="31"/>
      <c r="R120" s="53"/>
      <c r="S120" s="31"/>
      <c r="T120" s="51"/>
      <c r="U120" s="31"/>
    </row>
    <row r="121" spans="1:21" ht="13.5" hidden="1" customHeight="1" x14ac:dyDescent="0.2">
      <c r="A121" s="10" t="s">
        <v>100</v>
      </c>
      <c r="B121" s="29">
        <v>164538.70000000001</v>
      </c>
      <c r="C121" s="30">
        <v>71022.3</v>
      </c>
      <c r="D121" s="59">
        <v>22204</v>
      </c>
      <c r="E121" s="60">
        <v>98503.4</v>
      </c>
      <c r="F121" s="59">
        <v>3057.5</v>
      </c>
      <c r="G121" s="61">
        <v>742.1</v>
      </c>
      <c r="H121" s="60">
        <f t="shared" si="34"/>
        <v>360068</v>
      </c>
      <c r="I121" s="59">
        <v>97700.4</v>
      </c>
      <c r="J121" s="60">
        <v>28731.599999999995</v>
      </c>
      <c r="K121" s="59">
        <v>21937.199999999997</v>
      </c>
      <c r="L121" s="60">
        <v>58804.5</v>
      </c>
      <c r="M121" s="59">
        <v>1904.8</v>
      </c>
      <c r="N121" s="62">
        <v>44.5</v>
      </c>
      <c r="O121" s="63">
        <f t="shared" si="35"/>
        <v>209122.99999999997</v>
      </c>
      <c r="P121" s="31"/>
      <c r="Q121" s="31"/>
      <c r="R121" s="53"/>
      <c r="S121" s="31"/>
      <c r="T121" s="31"/>
      <c r="U121" s="31"/>
    </row>
    <row r="122" spans="1:21" ht="13.5" hidden="1" customHeight="1" x14ac:dyDescent="0.2">
      <c r="A122" s="10" t="s">
        <v>101</v>
      </c>
      <c r="B122" s="29">
        <v>153440.29999999999</v>
      </c>
      <c r="C122" s="30">
        <v>83558.600000000006</v>
      </c>
      <c r="D122" s="59">
        <v>20884.599999999999</v>
      </c>
      <c r="E122" s="60">
        <v>92181.699999999983</v>
      </c>
      <c r="F122" s="59">
        <v>2202.6</v>
      </c>
      <c r="G122" s="61">
        <v>868.80000000000007</v>
      </c>
      <c r="H122" s="60">
        <f t="shared" si="34"/>
        <v>353136.59999999992</v>
      </c>
      <c r="I122" s="59">
        <v>96446.2</v>
      </c>
      <c r="J122" s="60">
        <v>26367.5</v>
      </c>
      <c r="K122" s="59">
        <v>18010.400000000001</v>
      </c>
      <c r="L122" s="60">
        <v>62030.099999999991</v>
      </c>
      <c r="M122" s="59">
        <v>1930</v>
      </c>
      <c r="N122" s="62">
        <v>25.200000000000003</v>
      </c>
      <c r="O122" s="63">
        <f t="shared" si="35"/>
        <v>204809.40000000002</v>
      </c>
      <c r="P122" s="31"/>
      <c r="Q122" s="31"/>
      <c r="R122" s="53"/>
      <c r="S122" s="31"/>
      <c r="T122" s="31"/>
      <c r="U122" s="31"/>
    </row>
    <row r="123" spans="1:21" ht="13.5" hidden="1" customHeight="1" x14ac:dyDescent="0.2">
      <c r="A123" s="10" t="s">
        <v>107</v>
      </c>
      <c r="B123" s="29">
        <v>161083.29999999999</v>
      </c>
      <c r="C123" s="30">
        <v>92912</v>
      </c>
      <c r="D123" s="59">
        <v>25913.599999999999</v>
      </c>
      <c r="E123" s="60">
        <v>95618.10000000002</v>
      </c>
      <c r="F123" s="59">
        <v>2824.1000000000004</v>
      </c>
      <c r="G123" s="61">
        <v>828.10000000000014</v>
      </c>
      <c r="H123" s="60">
        <f t="shared" si="34"/>
        <v>379179.19999999995</v>
      </c>
      <c r="I123" s="59">
        <v>97976.8</v>
      </c>
      <c r="J123" s="60">
        <v>23922.600000000002</v>
      </c>
      <c r="K123" s="59">
        <v>20897.999999999996</v>
      </c>
      <c r="L123" s="60">
        <v>66648.7</v>
      </c>
      <c r="M123" s="59">
        <v>430</v>
      </c>
      <c r="N123" s="62">
        <v>22</v>
      </c>
      <c r="O123" s="63">
        <f t="shared" si="35"/>
        <v>209898.09999999998</v>
      </c>
      <c r="P123" s="31"/>
      <c r="Q123" s="31"/>
      <c r="R123" s="53"/>
      <c r="S123" s="31"/>
      <c r="T123" s="31"/>
      <c r="U123" s="31"/>
    </row>
    <row r="124" spans="1:21" ht="13.5" hidden="1" customHeight="1" x14ac:dyDescent="0.2">
      <c r="A124" s="10" t="s">
        <v>108</v>
      </c>
      <c r="B124" s="29">
        <v>167508.4</v>
      </c>
      <c r="C124" s="30">
        <v>86568</v>
      </c>
      <c r="D124" s="59">
        <v>23146.6</v>
      </c>
      <c r="E124" s="60">
        <v>92157.7</v>
      </c>
      <c r="F124" s="59">
        <v>4808.5</v>
      </c>
      <c r="G124" s="61">
        <v>936.70000000000016</v>
      </c>
      <c r="H124" s="60">
        <f t="shared" si="34"/>
        <v>375125.9</v>
      </c>
      <c r="I124" s="59">
        <v>101900.50000000001</v>
      </c>
      <c r="J124" s="60">
        <v>22586.799999999999</v>
      </c>
      <c r="K124" s="59">
        <v>23132.3</v>
      </c>
      <c r="L124" s="60">
        <v>69004.399999999994</v>
      </c>
      <c r="M124" s="59">
        <v>200</v>
      </c>
      <c r="N124" s="62">
        <v>12.7</v>
      </c>
      <c r="O124" s="63">
        <f t="shared" si="35"/>
        <v>216836.7</v>
      </c>
      <c r="P124" s="31"/>
      <c r="Q124" s="31"/>
      <c r="R124" s="53"/>
      <c r="S124" s="31"/>
      <c r="T124" s="31"/>
      <c r="U124" s="31"/>
    </row>
    <row r="125" spans="1:21" ht="13.5" hidden="1" customHeight="1" x14ac:dyDescent="0.2">
      <c r="A125" s="10" t="s">
        <v>109</v>
      </c>
      <c r="B125" s="29">
        <v>162092.4</v>
      </c>
      <c r="C125" s="30">
        <v>93729.3</v>
      </c>
      <c r="D125" s="59">
        <v>23666.1</v>
      </c>
      <c r="E125" s="60">
        <f>99703.3-61</f>
        <v>99642.3</v>
      </c>
      <c r="F125" s="59">
        <v>3969.1000000000004</v>
      </c>
      <c r="G125" s="61">
        <v>807.30000000000007</v>
      </c>
      <c r="H125" s="60">
        <f t="shared" si="34"/>
        <v>383906.49999999994</v>
      </c>
      <c r="I125" s="59">
        <v>99046.6</v>
      </c>
      <c r="J125" s="60">
        <v>25034.899999999998</v>
      </c>
      <c r="K125" s="59">
        <v>22377.199999999997</v>
      </c>
      <c r="L125" s="60">
        <v>68898.5</v>
      </c>
      <c r="M125" s="59">
        <v>430</v>
      </c>
      <c r="N125" s="62">
        <v>19.700000000000003</v>
      </c>
      <c r="O125" s="63">
        <f t="shared" si="35"/>
        <v>215806.90000000002</v>
      </c>
      <c r="P125" s="31"/>
      <c r="Q125" s="31"/>
      <c r="R125" s="53"/>
      <c r="S125" s="31"/>
      <c r="T125" s="31"/>
      <c r="U125" s="31"/>
    </row>
    <row r="126" spans="1:21" ht="13.5" hidden="1" customHeight="1" x14ac:dyDescent="0.2">
      <c r="A126" s="10" t="s">
        <v>110</v>
      </c>
      <c r="B126" s="29">
        <v>164280.1</v>
      </c>
      <c r="C126" s="30">
        <v>85657.5</v>
      </c>
      <c r="D126" s="59">
        <v>27260.7</v>
      </c>
      <c r="E126" s="60">
        <v>93852.9</v>
      </c>
      <c r="F126" s="59">
        <v>3077.7</v>
      </c>
      <c r="G126" s="61">
        <v>1140</v>
      </c>
      <c r="H126" s="60">
        <f t="shared" si="34"/>
        <v>375268.89999999997</v>
      </c>
      <c r="I126" s="59">
        <v>104360.4</v>
      </c>
      <c r="J126" s="60">
        <v>26129.200000000001</v>
      </c>
      <c r="K126" s="59">
        <v>21890.799999999999</v>
      </c>
      <c r="L126" s="60">
        <v>71059.999999999985</v>
      </c>
      <c r="M126" s="59">
        <v>430</v>
      </c>
      <c r="N126" s="62">
        <v>19.8</v>
      </c>
      <c r="O126" s="63">
        <f t="shared" si="35"/>
        <v>223890.19999999995</v>
      </c>
      <c r="P126" s="31"/>
      <c r="Q126" s="31"/>
      <c r="R126" s="53"/>
      <c r="S126" s="31"/>
      <c r="T126" s="31"/>
      <c r="U126" s="31"/>
    </row>
    <row r="127" spans="1:21" ht="13.5" hidden="1" customHeight="1" x14ac:dyDescent="0.2">
      <c r="A127" s="10" t="s">
        <v>111</v>
      </c>
      <c r="B127" s="29">
        <v>166576.5</v>
      </c>
      <c r="C127" s="30">
        <v>90279.8</v>
      </c>
      <c r="D127" s="59">
        <v>25706.699999999997</v>
      </c>
      <c r="E127" s="60">
        <v>101626.59999999999</v>
      </c>
      <c r="F127" s="59">
        <v>3308.7</v>
      </c>
      <c r="G127" s="61">
        <v>998.5</v>
      </c>
      <c r="H127" s="60">
        <f t="shared" si="34"/>
        <v>388496.8</v>
      </c>
      <c r="I127" s="59">
        <v>107914.40000000001</v>
      </c>
      <c r="J127" s="60">
        <v>24661.4</v>
      </c>
      <c r="K127" s="59">
        <v>21172.699999999997</v>
      </c>
      <c r="L127" s="60">
        <v>71547.7</v>
      </c>
      <c r="M127" s="59">
        <v>430</v>
      </c>
      <c r="N127" s="62">
        <v>18.2</v>
      </c>
      <c r="O127" s="63">
        <f t="shared" si="35"/>
        <v>225744.40000000002</v>
      </c>
      <c r="P127" s="31"/>
      <c r="Q127" s="31"/>
      <c r="R127" s="53"/>
      <c r="S127" s="31"/>
      <c r="T127" s="31"/>
      <c r="U127" s="31"/>
    </row>
    <row r="128" spans="1:21" ht="13.5" hidden="1" customHeight="1" x14ac:dyDescent="0.2">
      <c r="A128" s="10" t="s">
        <v>97</v>
      </c>
      <c r="B128" s="29">
        <v>163816.79999999999</v>
      </c>
      <c r="C128" s="30">
        <v>88264.4</v>
      </c>
      <c r="D128" s="59">
        <v>19263.7</v>
      </c>
      <c r="E128" s="64">
        <v>91132.9</v>
      </c>
      <c r="F128" s="59">
        <v>2438</v>
      </c>
      <c r="G128" s="61">
        <v>1212.1000000000001</v>
      </c>
      <c r="H128" s="60">
        <f t="shared" si="34"/>
        <v>366127.89999999991</v>
      </c>
      <c r="I128" s="59">
        <v>112183.8</v>
      </c>
      <c r="J128" s="60">
        <v>33209.000000000007</v>
      </c>
      <c r="K128" s="59">
        <v>16722.899999999998</v>
      </c>
      <c r="L128" s="60">
        <v>68967.100000000006</v>
      </c>
      <c r="M128" s="59">
        <v>430</v>
      </c>
      <c r="N128" s="62">
        <v>21.2</v>
      </c>
      <c r="O128" s="63">
        <f t="shared" si="35"/>
        <v>231534.00000000003</v>
      </c>
      <c r="P128" s="31"/>
      <c r="Q128" s="31"/>
      <c r="R128" s="53"/>
      <c r="S128" s="31"/>
      <c r="T128" s="31"/>
      <c r="U128" s="31"/>
    </row>
    <row r="129" spans="1:21" ht="13.5" hidden="1" customHeight="1" x14ac:dyDescent="0.2">
      <c r="A129" s="10" t="s">
        <v>117</v>
      </c>
      <c r="B129" s="29">
        <v>159613.1</v>
      </c>
      <c r="C129" s="30">
        <v>82144.100000000006</v>
      </c>
      <c r="D129" s="59">
        <v>20840.400000000001</v>
      </c>
      <c r="E129" s="64">
        <f>77669.9+11321.8</f>
        <v>88991.7</v>
      </c>
      <c r="F129" s="59">
        <v>2146.3000000000002</v>
      </c>
      <c r="G129" s="61">
        <v>1019</v>
      </c>
      <c r="H129" s="60">
        <f t="shared" ref="H129" si="36">SUM(B129:G129)</f>
        <v>354754.60000000003</v>
      </c>
      <c r="I129" s="59">
        <f>110796.5+1142.8</f>
        <v>111939.3</v>
      </c>
      <c r="J129" s="60">
        <f>31598.4+400.6</f>
        <v>31999</v>
      </c>
      <c r="K129" s="59">
        <f>17166.2+142.3</f>
        <v>17308.5</v>
      </c>
      <c r="L129" s="60">
        <f>83016.4+271.1</f>
        <v>83287.5</v>
      </c>
      <c r="M129" s="59">
        <v>430</v>
      </c>
      <c r="N129" s="62">
        <v>19.2</v>
      </c>
      <c r="O129" s="63">
        <f t="shared" ref="O129" si="37">SUM(I129:N129)</f>
        <v>244983.5</v>
      </c>
      <c r="P129" s="31"/>
      <c r="Q129" s="31"/>
      <c r="R129" s="53"/>
      <c r="S129" s="31"/>
      <c r="T129" s="31"/>
      <c r="U129" s="31"/>
    </row>
    <row r="130" spans="1:21" ht="13.5" hidden="1" customHeight="1" x14ac:dyDescent="0.2">
      <c r="A130" s="10" t="s">
        <v>90</v>
      </c>
      <c r="B130" s="29">
        <v>156316.5</v>
      </c>
      <c r="C130" s="30">
        <v>91318.2</v>
      </c>
      <c r="D130" s="59">
        <v>20251.599999999999</v>
      </c>
      <c r="E130" s="64">
        <f>79511.1+12258.5</f>
        <v>91769.600000000006</v>
      </c>
      <c r="F130" s="59">
        <v>1510.2</v>
      </c>
      <c r="G130" s="61">
        <v>1109.8</v>
      </c>
      <c r="H130" s="60">
        <f t="shared" ref="H130" si="38">SUM(B130:G130)</f>
        <v>362275.9</v>
      </c>
      <c r="I130" s="59">
        <f>111466.1+1203.8</f>
        <v>112669.90000000001</v>
      </c>
      <c r="J130" s="60">
        <f>31805.8+496.8</f>
        <v>32302.6</v>
      </c>
      <c r="K130" s="59">
        <f>16955.7+175</f>
        <v>17130.7</v>
      </c>
      <c r="L130" s="60">
        <f>82732.5+249.9</f>
        <v>82982.399999999994</v>
      </c>
      <c r="M130" s="59">
        <v>430</v>
      </c>
      <c r="N130" s="62">
        <v>19.2</v>
      </c>
      <c r="O130" s="63">
        <f t="shared" ref="O130" si="39">SUM(I130:N130)</f>
        <v>245534.80000000002</v>
      </c>
      <c r="P130" s="31"/>
      <c r="Q130" s="31"/>
      <c r="R130" s="53"/>
      <c r="S130" s="31"/>
      <c r="T130" s="31"/>
      <c r="U130" s="31"/>
    </row>
    <row r="131" spans="1:21" ht="13.5" hidden="1" customHeight="1" x14ac:dyDescent="0.2">
      <c r="A131" s="69" t="s">
        <v>119</v>
      </c>
      <c r="B131" s="29">
        <v>166623.5</v>
      </c>
      <c r="C131" s="30">
        <v>93493.7</v>
      </c>
      <c r="D131" s="59">
        <v>24940</v>
      </c>
      <c r="E131" s="64">
        <f>83458.6+12246.5</f>
        <v>95705.1</v>
      </c>
      <c r="F131" s="59">
        <v>2351</v>
      </c>
      <c r="G131" s="61">
        <v>875.3</v>
      </c>
      <c r="H131" s="60">
        <f t="shared" ref="H131" si="40">SUM(B131:G131)</f>
        <v>383988.60000000003</v>
      </c>
      <c r="I131" s="59">
        <f>111951.4+1271.8</f>
        <v>113223.2</v>
      </c>
      <c r="J131" s="60">
        <f>31737.6+566.3</f>
        <v>32303.899999999998</v>
      </c>
      <c r="K131" s="59">
        <f>15876.2+162</f>
        <v>16038.2</v>
      </c>
      <c r="L131" s="60">
        <f>86641.7+270.7</f>
        <v>86912.4</v>
      </c>
      <c r="M131" s="59">
        <v>430</v>
      </c>
      <c r="N131" s="62">
        <v>19.3</v>
      </c>
      <c r="O131" s="63">
        <f t="shared" ref="O131" si="41">SUM(I131:N131)</f>
        <v>248927</v>
      </c>
      <c r="P131" s="31"/>
      <c r="Q131" s="31"/>
      <c r="R131" s="53"/>
      <c r="S131" s="31"/>
      <c r="T131" s="31"/>
      <c r="U131" s="31"/>
    </row>
    <row r="132" spans="1:21" ht="13.5" hidden="1" customHeight="1" x14ac:dyDescent="0.2">
      <c r="A132" s="69" t="s">
        <v>120</v>
      </c>
      <c r="B132" s="29">
        <v>163655.9</v>
      </c>
      <c r="C132" s="30">
        <v>95638.6</v>
      </c>
      <c r="D132" s="59">
        <v>23059.9</v>
      </c>
      <c r="E132" s="64">
        <f>80745.8+11673.3</f>
        <v>92419.1</v>
      </c>
      <c r="F132" s="59">
        <v>2446</v>
      </c>
      <c r="G132" s="61">
        <v>1108.5</v>
      </c>
      <c r="H132" s="60">
        <f t="shared" ref="H132" si="42">SUM(B132:G132)</f>
        <v>378328</v>
      </c>
      <c r="I132" s="59">
        <f>114206.1+1435.3</f>
        <v>115641.40000000001</v>
      </c>
      <c r="J132" s="60">
        <f>32536+678.7</f>
        <v>33214.699999999997</v>
      </c>
      <c r="K132" s="59">
        <f>13743+163.3</f>
        <v>13906.3</v>
      </c>
      <c r="L132" s="60">
        <f>85927.8+354.2</f>
        <v>86282</v>
      </c>
      <c r="M132" s="59">
        <v>480</v>
      </c>
      <c r="N132" s="62">
        <v>8.3000000000000007</v>
      </c>
      <c r="O132" s="63">
        <f t="shared" ref="O132" si="43">SUM(I132:N132)</f>
        <v>249532.69999999998</v>
      </c>
      <c r="P132" s="31"/>
      <c r="Q132" s="31"/>
      <c r="R132" s="53"/>
      <c r="S132" s="31"/>
      <c r="T132" s="31"/>
      <c r="U132" s="31"/>
    </row>
    <row r="133" spans="1:21" ht="13.5" hidden="1" customHeight="1" x14ac:dyDescent="0.2">
      <c r="A133" s="10" t="s">
        <v>121</v>
      </c>
      <c r="B133" s="29">
        <v>167311.70000000001</v>
      </c>
      <c r="C133" s="30">
        <v>105983.6</v>
      </c>
      <c r="D133" s="59">
        <v>26298.3</v>
      </c>
      <c r="E133" s="64">
        <f>88820.1+14152.5</f>
        <v>102972.6</v>
      </c>
      <c r="F133" s="59">
        <v>2518.1</v>
      </c>
      <c r="G133" s="61">
        <v>881.6</v>
      </c>
      <c r="H133" s="60">
        <f t="shared" ref="H133" si="44">SUM(B133:G133)</f>
        <v>405965.9</v>
      </c>
      <c r="I133" s="59">
        <f>113990.8+1466.3</f>
        <v>115457.1</v>
      </c>
      <c r="J133" s="60">
        <f>29828.6+777.1</f>
        <v>30605.699999999997</v>
      </c>
      <c r="K133" s="59">
        <f>13641.1+195.2</f>
        <v>13836.300000000001</v>
      </c>
      <c r="L133" s="60">
        <f>85505.6+338.7</f>
        <v>85844.3</v>
      </c>
      <c r="M133" s="59">
        <v>250</v>
      </c>
      <c r="N133" s="62">
        <f>8.5+0.1</f>
        <v>8.6</v>
      </c>
      <c r="O133" s="63">
        <f t="shared" ref="O133" si="45">SUM(I133:N133)</f>
        <v>246001.99999999997</v>
      </c>
      <c r="P133" s="31"/>
      <c r="Q133" s="31"/>
      <c r="R133" s="53"/>
      <c r="S133" s="31"/>
      <c r="T133" s="31"/>
      <c r="U133" s="31"/>
    </row>
    <row r="134" spans="1:21" ht="13.5" hidden="1" customHeight="1" x14ac:dyDescent="0.2">
      <c r="A134" s="10" t="s">
        <v>126</v>
      </c>
      <c r="B134" s="29">
        <v>168384.1</v>
      </c>
      <c r="C134" s="30">
        <v>120283.5</v>
      </c>
      <c r="D134" s="59">
        <v>24183.3</v>
      </c>
      <c r="E134" s="64">
        <f>84584.3+13909.6</f>
        <v>98493.900000000009</v>
      </c>
      <c r="F134" s="59">
        <v>2400.5</v>
      </c>
      <c r="G134" s="61">
        <v>886.5</v>
      </c>
      <c r="H134" s="60">
        <f t="shared" ref="H134" si="46">SUM(B134:G134)</f>
        <v>414631.8</v>
      </c>
      <c r="I134" s="59">
        <f>121114.9+1663.9</f>
        <v>122778.79999999999</v>
      </c>
      <c r="J134" s="60">
        <f>29967.1+892.6</f>
        <v>30859.699999999997</v>
      </c>
      <c r="K134" s="59">
        <f>15567.1+226</f>
        <v>15793.1</v>
      </c>
      <c r="L134" s="60">
        <f>84443+384.5</f>
        <v>84827.5</v>
      </c>
      <c r="M134" s="59">
        <v>280</v>
      </c>
      <c r="N134" s="62">
        <f>8.5+0.1</f>
        <v>8.6</v>
      </c>
      <c r="O134" s="63">
        <f t="shared" ref="O134" si="47">SUM(I134:N134)</f>
        <v>254547.7</v>
      </c>
      <c r="P134" s="31"/>
      <c r="Q134" s="31"/>
      <c r="R134" s="53"/>
      <c r="S134" s="31"/>
      <c r="T134" s="31"/>
      <c r="U134" s="31"/>
    </row>
    <row r="135" spans="1:21" ht="13.5" hidden="1" customHeight="1" x14ac:dyDescent="0.2">
      <c r="A135" s="10" t="s">
        <v>125</v>
      </c>
      <c r="B135" s="29">
        <v>172990.7</v>
      </c>
      <c r="C135" s="30">
        <v>122969.2</v>
      </c>
      <c r="D135" s="59">
        <v>20977.1</v>
      </c>
      <c r="E135" s="64">
        <f>82470.6+12210</f>
        <v>94680.6</v>
      </c>
      <c r="F135" s="59">
        <v>2309.6</v>
      </c>
      <c r="G135" s="61">
        <v>1542.2</v>
      </c>
      <c r="H135" s="60">
        <f t="shared" ref="H135" si="48">SUM(B135:G135)</f>
        <v>415469.39999999997</v>
      </c>
      <c r="I135" s="59">
        <f>127668.6+1924.9</f>
        <v>129593.5</v>
      </c>
      <c r="J135" s="60">
        <f>34417.7+1008.7</f>
        <v>35426.399999999994</v>
      </c>
      <c r="K135" s="59">
        <f>15322.1+209.1</f>
        <v>15531.2</v>
      </c>
      <c r="L135" s="60">
        <f>72486.3+474.1</f>
        <v>72960.400000000009</v>
      </c>
      <c r="M135" s="59">
        <v>280</v>
      </c>
      <c r="N135" s="62">
        <f>8.5+0.1</f>
        <v>8.6</v>
      </c>
      <c r="O135" s="63">
        <f t="shared" ref="O135:O136" si="49">SUM(I135:N135)</f>
        <v>253800.1</v>
      </c>
      <c r="P135" s="31"/>
      <c r="Q135" s="31"/>
      <c r="R135" s="53"/>
      <c r="S135" s="31"/>
      <c r="T135" s="31"/>
      <c r="U135" s="31"/>
    </row>
    <row r="136" spans="1:21" ht="13.5" hidden="1" customHeight="1" x14ac:dyDescent="0.2">
      <c r="A136" s="10" t="s">
        <v>130</v>
      </c>
      <c r="B136" s="29">
        <v>169187.1</v>
      </c>
      <c r="C136" s="30">
        <v>107153.4</v>
      </c>
      <c r="D136" s="59">
        <v>17472.5</v>
      </c>
      <c r="E136" s="64">
        <f>77976.6+29869.4</f>
        <v>107846</v>
      </c>
      <c r="F136" s="59">
        <v>3842.1</v>
      </c>
      <c r="G136" s="61">
        <v>1429.1</v>
      </c>
      <c r="H136" s="60">
        <f t="shared" ref="H136" si="50">SUM(B136:G136)</f>
        <v>406930.19999999995</v>
      </c>
      <c r="I136" s="59">
        <f>120234.8+1867</f>
        <v>122101.8</v>
      </c>
      <c r="J136" s="60">
        <f>29105.9+1088.8</f>
        <v>30194.7</v>
      </c>
      <c r="K136" s="59">
        <f>13969.1+261.3</f>
        <v>14230.4</v>
      </c>
      <c r="L136" s="60">
        <f>73175.3+405</f>
        <v>73580.3</v>
      </c>
      <c r="M136" s="59">
        <v>230</v>
      </c>
      <c r="N136" s="62">
        <f>8.8+0.1</f>
        <v>8.9</v>
      </c>
      <c r="O136" s="63">
        <f t="shared" si="49"/>
        <v>240346.1</v>
      </c>
      <c r="P136" s="60"/>
      <c r="Q136" s="31"/>
      <c r="R136" s="53"/>
      <c r="S136" s="31"/>
      <c r="T136" s="31"/>
      <c r="U136" s="31"/>
    </row>
    <row r="137" spans="1:21" ht="13.5" hidden="1" customHeight="1" x14ac:dyDescent="0.2">
      <c r="A137" s="10" t="s">
        <v>134</v>
      </c>
      <c r="B137" s="29">
        <v>180662.1</v>
      </c>
      <c r="C137" s="30">
        <v>132062.6</v>
      </c>
      <c r="D137" s="59">
        <v>18619.5</v>
      </c>
      <c r="E137" s="64">
        <f>94288.4+13096.8</f>
        <v>107385.2</v>
      </c>
      <c r="F137" s="59">
        <v>3804.1</v>
      </c>
      <c r="G137" s="61">
        <v>1297.0999999999999</v>
      </c>
      <c r="H137" s="60">
        <f t="shared" ref="H137" si="51">SUM(B137:G137)</f>
        <v>443830.6</v>
      </c>
      <c r="I137" s="59">
        <f>112858.4+1869.3</f>
        <v>114727.7</v>
      </c>
      <c r="J137" s="60">
        <f>36083.5+1212.7</f>
        <v>37296.199999999997</v>
      </c>
      <c r="K137" s="59">
        <f>14130.8+273.9</f>
        <v>14404.699999999999</v>
      </c>
      <c r="L137" s="60">
        <f>73525.5+467.7</f>
        <v>73993.2</v>
      </c>
      <c r="M137" s="59">
        <v>230</v>
      </c>
      <c r="N137" s="62">
        <f>8.8+0.1</f>
        <v>8.9</v>
      </c>
      <c r="O137" s="63">
        <f t="shared" ref="O137:O138" si="52">SUM(I137:N137)</f>
        <v>240660.69999999998</v>
      </c>
      <c r="P137" s="60"/>
      <c r="Q137" s="31"/>
      <c r="R137" s="53"/>
      <c r="S137" s="31"/>
      <c r="T137" s="31"/>
      <c r="U137" s="31"/>
    </row>
    <row r="138" spans="1:21" ht="13.5" hidden="1" customHeight="1" x14ac:dyDescent="0.2">
      <c r="A138" s="10" t="s">
        <v>138</v>
      </c>
      <c r="B138" s="29">
        <v>175293.1</v>
      </c>
      <c r="C138" s="30">
        <v>119980.2</v>
      </c>
      <c r="D138" s="59">
        <v>15798.8</v>
      </c>
      <c r="E138" s="64">
        <f>89154.6+15045.3</f>
        <v>104199.90000000001</v>
      </c>
      <c r="F138" s="59">
        <v>2993.9</v>
      </c>
      <c r="G138" s="61">
        <v>1194.5</v>
      </c>
      <c r="H138" s="60">
        <f t="shared" ref="H138" si="53">SUM(B138:G138)</f>
        <v>419460.4</v>
      </c>
      <c r="I138" s="59">
        <f>107520.4+1842.4</f>
        <v>109362.79999999999</v>
      </c>
      <c r="J138" s="60">
        <f>35933+1231</f>
        <v>37164</v>
      </c>
      <c r="K138" s="59">
        <f>15295.4+171.1</f>
        <v>15466.5</v>
      </c>
      <c r="L138" s="60">
        <f>77480.1+575.5</f>
        <v>78055.600000000006</v>
      </c>
      <c r="M138" s="59">
        <v>230</v>
      </c>
      <c r="N138" s="62">
        <f>8.9+1</f>
        <v>9.9</v>
      </c>
      <c r="O138" s="63">
        <f t="shared" si="52"/>
        <v>240288.8</v>
      </c>
      <c r="P138" s="31"/>
      <c r="Q138" s="31"/>
      <c r="R138" s="53"/>
      <c r="S138" s="31"/>
      <c r="T138" s="31"/>
      <c r="U138" s="31"/>
    </row>
    <row r="139" spans="1:21" ht="13.5" hidden="1" customHeight="1" x14ac:dyDescent="0.2">
      <c r="A139" s="10" t="s">
        <v>142</v>
      </c>
      <c r="B139" s="29">
        <v>177388.3</v>
      </c>
      <c r="C139" s="30">
        <v>115720.4</v>
      </c>
      <c r="D139" s="59">
        <v>18060.5</v>
      </c>
      <c r="E139" s="64">
        <v>121909.3</v>
      </c>
      <c r="F139" s="59">
        <v>2610.1</v>
      </c>
      <c r="G139" s="61">
        <v>2147.5</v>
      </c>
      <c r="H139" s="60">
        <f t="shared" ref="H139" si="54">SUM(B139:G139)</f>
        <v>437836.09999999992</v>
      </c>
      <c r="I139" s="59">
        <v>113152.6</v>
      </c>
      <c r="J139" s="60">
        <f>34376.4+229.1</f>
        <v>34605.5</v>
      </c>
      <c r="K139" s="59">
        <f>13576.9+135.9</f>
        <v>13712.8</v>
      </c>
      <c r="L139" s="60">
        <f>80560.1+278.5</f>
        <v>80838.600000000006</v>
      </c>
      <c r="M139" s="59">
        <v>230</v>
      </c>
      <c r="N139" s="62">
        <f>14.2+0.7</f>
        <v>14.899999999999999</v>
      </c>
      <c r="O139" s="63">
        <f t="shared" ref="O139" si="55">SUM(I139:N139)</f>
        <v>242554.4</v>
      </c>
      <c r="P139" s="31"/>
      <c r="Q139" s="31"/>
      <c r="R139" s="53"/>
      <c r="S139" s="31"/>
      <c r="T139" s="31"/>
      <c r="U139" s="31"/>
    </row>
    <row r="140" spans="1:21" ht="13.5" hidden="1" customHeight="1" x14ac:dyDescent="0.2">
      <c r="A140" s="10"/>
      <c r="B140" s="29"/>
      <c r="C140" s="30"/>
      <c r="D140" s="59"/>
      <c r="E140" s="64"/>
      <c r="F140" s="59"/>
      <c r="G140" s="61"/>
      <c r="H140" s="68"/>
      <c r="I140" s="59"/>
      <c r="J140" s="60"/>
      <c r="K140" s="59"/>
      <c r="L140" s="60"/>
      <c r="M140" s="59"/>
      <c r="N140" s="62"/>
      <c r="O140" s="63"/>
      <c r="P140" s="31"/>
      <c r="Q140" s="31"/>
      <c r="R140" s="53"/>
      <c r="S140" s="31"/>
      <c r="T140" s="31"/>
      <c r="U140" s="31"/>
    </row>
    <row r="141" spans="1:21" ht="13.5" customHeight="1" x14ac:dyDescent="0.2">
      <c r="A141" s="10" t="s">
        <v>103</v>
      </c>
      <c r="B141" s="29">
        <v>182235</v>
      </c>
      <c r="C141" s="30">
        <v>111738.5</v>
      </c>
      <c r="D141" s="59">
        <v>18024.5</v>
      </c>
      <c r="E141" s="64">
        <f>93302.1+11778</f>
        <v>105080.1</v>
      </c>
      <c r="F141" s="59">
        <v>1825.3</v>
      </c>
      <c r="G141" s="61">
        <v>1250.4000000000001</v>
      </c>
      <c r="H141" s="60">
        <f t="shared" ref="H141" si="56">SUM(B141:G141)</f>
        <v>420153.8</v>
      </c>
      <c r="I141" s="59">
        <f>107160+1057</f>
        <v>108217</v>
      </c>
      <c r="J141" s="60">
        <f>33678.6+186.3</f>
        <v>33864.9</v>
      </c>
      <c r="K141" s="59">
        <f>11636.6+157.3</f>
        <v>11793.9</v>
      </c>
      <c r="L141" s="60">
        <f>88144+318.3</f>
        <v>88462.3</v>
      </c>
      <c r="M141" s="59">
        <v>730</v>
      </c>
      <c r="N141" s="62">
        <f>14.1+83.8</f>
        <v>97.899999999999991</v>
      </c>
      <c r="O141" s="63">
        <f t="shared" ref="O141" si="57">SUM(I141:N141)</f>
        <v>243165.99999999997</v>
      </c>
      <c r="P141" s="31"/>
      <c r="Q141" s="31"/>
      <c r="R141" s="53"/>
      <c r="S141" s="31"/>
      <c r="T141" s="31"/>
      <c r="U141" s="31"/>
    </row>
    <row r="142" spans="1:21" ht="13.5" customHeight="1" x14ac:dyDescent="0.2">
      <c r="A142" s="10" t="s">
        <v>104</v>
      </c>
      <c r="B142" s="29">
        <v>178626.5</v>
      </c>
      <c r="C142" s="30">
        <v>104843.7</v>
      </c>
      <c r="D142" s="59">
        <v>18329.5</v>
      </c>
      <c r="E142" s="64">
        <f>98773.9+18858.1</f>
        <v>117632</v>
      </c>
      <c r="F142" s="59">
        <v>3400.3</v>
      </c>
      <c r="G142" s="61">
        <v>1147.7</v>
      </c>
      <c r="H142" s="60">
        <f>SUM(B142:G142)</f>
        <v>423979.7</v>
      </c>
      <c r="I142" s="59">
        <f>114613.4+1099.7</f>
        <v>115713.09999999999</v>
      </c>
      <c r="J142" s="60">
        <f>35662.3+293.5</f>
        <v>35955.800000000003</v>
      </c>
      <c r="K142" s="59">
        <f>11115.4+76.6</f>
        <v>11192</v>
      </c>
      <c r="L142" s="60">
        <f>86340.1+415.4</f>
        <v>86755.5</v>
      </c>
      <c r="M142" s="59">
        <v>630</v>
      </c>
      <c r="N142" s="62">
        <f>14.3+83.1</f>
        <v>97.399999999999991</v>
      </c>
      <c r="O142" s="63">
        <f t="shared" ref="O142" si="58">SUM(I142:N142)</f>
        <v>250343.8</v>
      </c>
      <c r="P142" s="31"/>
      <c r="Q142" s="31"/>
      <c r="R142" s="53"/>
      <c r="S142" s="31"/>
      <c r="T142" s="31"/>
      <c r="U142" s="31"/>
    </row>
    <row r="143" spans="1:21" ht="13.5" customHeight="1" x14ac:dyDescent="0.2">
      <c r="A143" s="10" t="s">
        <v>105</v>
      </c>
      <c r="B143" s="29">
        <v>173455</v>
      </c>
      <c r="C143" s="30">
        <v>83726.100000000006</v>
      </c>
      <c r="D143" s="59">
        <v>18307.5</v>
      </c>
      <c r="E143" s="64">
        <f>98366.4+20578</f>
        <v>118944.4</v>
      </c>
      <c r="F143" s="59">
        <v>2390.1999999999998</v>
      </c>
      <c r="G143" s="61">
        <v>1300.5999999999999</v>
      </c>
      <c r="H143" s="60">
        <f>SUM(B143:G143)</f>
        <v>398123.8</v>
      </c>
      <c r="I143" s="59">
        <f>115690+1159.8</f>
        <v>116849.8</v>
      </c>
      <c r="J143" s="60">
        <f>34602.3+333.5</f>
        <v>34935.800000000003</v>
      </c>
      <c r="K143" s="59">
        <f>11345.7+108.7</f>
        <v>11454.400000000001</v>
      </c>
      <c r="L143" s="60">
        <f>86186.1+421.4</f>
        <v>86607.5</v>
      </c>
      <c r="M143" s="59">
        <v>1483.6</v>
      </c>
      <c r="N143" s="62">
        <f>14.5+0.9</f>
        <v>15.4</v>
      </c>
      <c r="O143" s="63">
        <f t="shared" ref="O143" si="59">SUM(I143:N143)</f>
        <v>251346.5</v>
      </c>
      <c r="P143" s="31"/>
      <c r="Q143" s="31"/>
      <c r="R143" s="53"/>
      <c r="S143" s="31"/>
      <c r="T143" s="31"/>
      <c r="U143" s="31"/>
    </row>
    <row r="144" spans="1:21" ht="13.5" customHeight="1" x14ac:dyDescent="0.2">
      <c r="A144" s="10" t="s">
        <v>113</v>
      </c>
      <c r="B144" s="29">
        <v>181661.6</v>
      </c>
      <c r="C144" s="30">
        <v>91822.8</v>
      </c>
      <c r="D144" s="59">
        <v>20817.400000000001</v>
      </c>
      <c r="E144" s="64">
        <f>102498.3+13803.7</f>
        <v>116302</v>
      </c>
      <c r="F144" s="59">
        <v>5883.6</v>
      </c>
      <c r="G144" s="61">
        <v>1374.8</v>
      </c>
      <c r="H144" s="60">
        <f>SUM(B144:G144)</f>
        <v>417862.2</v>
      </c>
      <c r="I144" s="59">
        <f>129663.1+1248.1</f>
        <v>130911.20000000001</v>
      </c>
      <c r="J144" s="60">
        <f>35636.4+491</f>
        <v>36127.4</v>
      </c>
      <c r="K144" s="59">
        <f>9998.4+93.4</f>
        <v>10091.799999999999</v>
      </c>
      <c r="L144" s="60">
        <v>78703.399999999994</v>
      </c>
      <c r="M144" s="59">
        <v>930</v>
      </c>
      <c r="N144" s="62">
        <f>14.5+0.6</f>
        <v>15.1</v>
      </c>
      <c r="O144" s="63">
        <f t="shared" ref="O144" si="60">SUM(I144:N144)</f>
        <v>256778.9</v>
      </c>
      <c r="P144" s="31"/>
      <c r="Q144" s="31"/>
      <c r="R144" s="53"/>
      <c r="S144" s="31"/>
      <c r="T144" s="31"/>
      <c r="U144" s="31"/>
    </row>
    <row r="145" spans="1:21" ht="13.5" customHeight="1" x14ac:dyDescent="0.2">
      <c r="A145" s="10" t="s">
        <v>114</v>
      </c>
      <c r="B145" s="29">
        <v>190074.8</v>
      </c>
      <c r="C145" s="30">
        <v>105928</v>
      </c>
      <c r="D145" s="59">
        <v>22861.599999999999</v>
      </c>
      <c r="E145" s="64">
        <f>105862.2+13257.3</f>
        <v>119119.5</v>
      </c>
      <c r="F145" s="59">
        <v>7423</v>
      </c>
      <c r="G145" s="61">
        <v>1365</v>
      </c>
      <c r="H145" s="60">
        <f>SUM(B145:G145)</f>
        <v>446771.89999999997</v>
      </c>
      <c r="I145" s="59">
        <f>130947.2+1663.8</f>
        <v>132611</v>
      </c>
      <c r="J145" s="60">
        <f>34081.7+583.5</f>
        <v>34665.199999999997</v>
      </c>
      <c r="K145" s="59">
        <f>9756.8+113.4</f>
        <v>9870.1999999999989</v>
      </c>
      <c r="L145" s="60">
        <v>78386.2</v>
      </c>
      <c r="M145" s="59">
        <v>1433.8</v>
      </c>
      <c r="N145" s="62">
        <f>14.6+0.9</f>
        <v>15.5</v>
      </c>
      <c r="O145" s="63">
        <f t="shared" ref="O145" si="61">SUM(I145:N145)</f>
        <v>256981.90000000002</v>
      </c>
      <c r="P145" s="31"/>
      <c r="Q145" s="31"/>
      <c r="R145" s="53"/>
      <c r="S145" s="31"/>
      <c r="T145" s="31"/>
      <c r="U145" s="31"/>
    </row>
    <row r="146" spans="1:21" ht="13.5" customHeight="1" x14ac:dyDescent="0.2">
      <c r="A146" s="10" t="s">
        <v>115</v>
      </c>
      <c r="B146" s="29">
        <v>177302</v>
      </c>
      <c r="C146" s="30">
        <v>100016.2</v>
      </c>
      <c r="D146" s="59">
        <v>22315.5</v>
      </c>
      <c r="E146" s="64">
        <f>97183.8+16460.3</f>
        <v>113644.1</v>
      </c>
      <c r="F146" s="59">
        <v>7055.2</v>
      </c>
      <c r="G146" s="61">
        <v>1101.0999999999999</v>
      </c>
      <c r="H146" s="60">
        <f>SUM(B146:G146)</f>
        <v>421434.10000000003</v>
      </c>
      <c r="I146" s="59">
        <f>132565.1+1750.3</f>
        <v>134315.4</v>
      </c>
      <c r="J146" s="60">
        <f>32345.9+527.5</f>
        <v>32873.4</v>
      </c>
      <c r="K146" s="59">
        <f>9803.8+105</f>
        <v>9908.7999999999993</v>
      </c>
      <c r="L146" s="60">
        <v>82188</v>
      </c>
      <c r="M146" s="59">
        <v>2203.8000000000002</v>
      </c>
      <c r="N146" s="62">
        <f>14.6+0.9</f>
        <v>15.5</v>
      </c>
      <c r="O146" s="63">
        <f t="shared" ref="O146" si="62">SUM(I146:N146)</f>
        <v>261504.89999999997</v>
      </c>
      <c r="P146" s="31"/>
      <c r="Q146" s="31"/>
      <c r="R146" s="53"/>
      <c r="S146" s="31"/>
      <c r="T146" s="31"/>
      <c r="U146" s="31"/>
    </row>
    <row r="147" spans="1:21" ht="13.5" customHeight="1" x14ac:dyDescent="0.2">
      <c r="A147" s="10" t="s">
        <v>102</v>
      </c>
      <c r="B147" s="29">
        <v>172515.20000000001</v>
      </c>
      <c r="C147" s="30">
        <v>110109.5</v>
      </c>
      <c r="D147" s="59">
        <v>19456.5</v>
      </c>
      <c r="E147" s="64">
        <f>96259.4+12825.2</f>
        <v>109084.59999999999</v>
      </c>
      <c r="F147" s="59">
        <v>5746.2</v>
      </c>
      <c r="G147" s="61">
        <v>1036.7</v>
      </c>
      <c r="H147" s="60">
        <f t="shared" ref="H147" si="63">SUM(B147:G147)</f>
        <v>417948.7</v>
      </c>
      <c r="I147" s="59">
        <f>139024.1+3207.9</f>
        <v>142232</v>
      </c>
      <c r="J147" s="60">
        <f>33885.2+615.5</f>
        <v>34500.699999999997</v>
      </c>
      <c r="K147" s="59">
        <f>9698.6+122.8</f>
        <v>9821.4</v>
      </c>
      <c r="L147" s="60">
        <v>79284.2</v>
      </c>
      <c r="M147" s="59">
        <v>2433.9</v>
      </c>
      <c r="N147" s="62">
        <f>14.6+0.9</f>
        <v>15.5</v>
      </c>
      <c r="O147" s="63">
        <f t="shared" ref="O147" si="64">SUM(I147:N147)</f>
        <v>268287.7</v>
      </c>
      <c r="P147" s="31"/>
      <c r="Q147" s="31"/>
      <c r="R147" s="53"/>
      <c r="S147" s="31"/>
      <c r="T147" s="31"/>
      <c r="U147" s="31"/>
    </row>
    <row r="148" spans="1:21" ht="13.5" customHeight="1" x14ac:dyDescent="0.2">
      <c r="A148" s="10" t="s">
        <v>92</v>
      </c>
      <c r="B148" s="29">
        <v>179487</v>
      </c>
      <c r="C148" s="30">
        <v>119618.2</v>
      </c>
      <c r="D148" s="59">
        <v>18392.2</v>
      </c>
      <c r="E148" s="64">
        <f>90598.3+11289</f>
        <v>101887.3</v>
      </c>
      <c r="F148" s="59">
        <v>9123.2000000000007</v>
      </c>
      <c r="G148" s="61">
        <v>952.7</v>
      </c>
      <c r="H148" s="60">
        <f t="shared" ref="H148" si="65">SUM(B148:G148)</f>
        <v>429460.60000000003</v>
      </c>
      <c r="I148" s="59">
        <f>138262+3568.3</f>
        <v>141830.29999999999</v>
      </c>
      <c r="J148" s="60">
        <f>32668.2+712.4</f>
        <v>33380.6</v>
      </c>
      <c r="K148" s="59">
        <f>11979.9+69</f>
        <v>12048.9</v>
      </c>
      <c r="L148" s="60">
        <v>76465.8</v>
      </c>
      <c r="M148" s="59">
        <v>2434.6</v>
      </c>
      <c r="N148" s="62">
        <f>15+2.9</f>
        <v>17.899999999999999</v>
      </c>
      <c r="O148" s="63">
        <f t="shared" ref="O148" si="66">SUM(I148:N148)</f>
        <v>266178.09999999998</v>
      </c>
      <c r="P148" s="31"/>
      <c r="Q148" s="31"/>
      <c r="R148" s="53"/>
      <c r="S148" s="31"/>
      <c r="T148" s="31"/>
      <c r="U148" s="31"/>
    </row>
    <row r="149" spans="1:21" ht="13.5" customHeight="1" x14ac:dyDescent="0.2">
      <c r="A149" s="10" t="s">
        <v>93</v>
      </c>
      <c r="B149" s="29">
        <v>170381.3</v>
      </c>
      <c r="C149" s="30">
        <v>121700.4</v>
      </c>
      <c r="D149" s="59">
        <v>31042.799999999999</v>
      </c>
      <c r="E149" s="64">
        <f>99102.3+13718.3</f>
        <v>112820.6</v>
      </c>
      <c r="F149" s="59">
        <v>8434.4</v>
      </c>
      <c r="G149" s="61">
        <v>1008.5</v>
      </c>
      <c r="H149" s="60">
        <f t="shared" ref="H149" si="67">SUM(B149:G149)</f>
        <v>445388</v>
      </c>
      <c r="I149" s="59">
        <f>142706.8+3953.6</f>
        <v>146660.4</v>
      </c>
      <c r="J149" s="60">
        <f>29747+797.6</f>
        <v>30544.6</v>
      </c>
      <c r="K149" s="59">
        <f>11967.4+107.2</f>
        <v>12074.6</v>
      </c>
      <c r="L149" s="60">
        <v>74232.7</v>
      </c>
      <c r="M149" s="59">
        <v>2466.6999999999998</v>
      </c>
      <c r="N149" s="62">
        <f>14.5+4.9</f>
        <v>19.399999999999999</v>
      </c>
      <c r="O149" s="63">
        <f t="shared" ref="O149" si="68">SUM(I149:N149)</f>
        <v>265998.40000000002</v>
      </c>
      <c r="P149" s="31"/>
      <c r="Q149" s="31"/>
      <c r="R149" s="53"/>
      <c r="S149" s="31"/>
      <c r="T149" s="31"/>
      <c r="U149" s="31"/>
    </row>
    <row r="150" spans="1:21" ht="13.5" customHeight="1" x14ac:dyDescent="0.2">
      <c r="A150" s="10" t="s">
        <v>94</v>
      </c>
      <c r="B150" s="29">
        <v>198334.5</v>
      </c>
      <c r="C150" s="30">
        <v>133957.70000000001</v>
      </c>
      <c r="D150" s="59">
        <v>22178</v>
      </c>
      <c r="E150" s="64">
        <f>103036.7+12318.6</f>
        <v>115355.3</v>
      </c>
      <c r="F150" s="59">
        <v>7497.7</v>
      </c>
      <c r="G150" s="61">
        <v>800.2</v>
      </c>
      <c r="H150" s="60">
        <f t="shared" ref="H150" si="69">SUM(B150:G150)</f>
        <v>478123.4</v>
      </c>
      <c r="I150" s="59">
        <f>140829.1+3817.1</f>
        <v>144646.20000000001</v>
      </c>
      <c r="J150" s="60">
        <f>32007.4+1310.7</f>
        <v>33318.1</v>
      </c>
      <c r="K150" s="59">
        <f>16229.9+180.9</f>
        <v>16410.8</v>
      </c>
      <c r="L150" s="60">
        <v>76472.800000000003</v>
      </c>
      <c r="M150" s="59">
        <v>2471.1</v>
      </c>
      <c r="N150" s="62">
        <f>9.8+6.9</f>
        <v>16.700000000000003</v>
      </c>
      <c r="O150" s="63">
        <f t="shared" ref="O150" si="70">SUM(I150:N150)</f>
        <v>273335.7</v>
      </c>
      <c r="P150" s="31"/>
      <c r="Q150" s="31"/>
      <c r="R150" s="53"/>
      <c r="S150" s="31"/>
      <c r="T150" s="31"/>
      <c r="U150" s="31"/>
    </row>
    <row r="151" spans="1:21" ht="13.5" customHeight="1" x14ac:dyDescent="0.2">
      <c r="A151" s="10" t="s">
        <v>95</v>
      </c>
      <c r="B151" s="29">
        <v>172505.3</v>
      </c>
      <c r="C151" s="30">
        <v>123300.9</v>
      </c>
      <c r="D151" s="59">
        <v>32505.599999999999</v>
      </c>
      <c r="E151" s="64">
        <v>92961.8</v>
      </c>
      <c r="F151" s="59">
        <v>5397.3</v>
      </c>
      <c r="G151" s="61">
        <v>1252.3</v>
      </c>
      <c r="H151" s="60">
        <f>SUM(B151:G151)</f>
        <v>427923.1999999999</v>
      </c>
      <c r="I151" s="59">
        <v>116763.9</v>
      </c>
      <c r="J151" s="60">
        <v>52085.3</v>
      </c>
      <c r="K151" s="59">
        <v>22138.2</v>
      </c>
      <c r="L151" s="60">
        <v>71693.399999999994</v>
      </c>
      <c r="M151" s="59">
        <v>7496.9</v>
      </c>
      <c r="N151" s="62">
        <v>1300.0999999999999</v>
      </c>
      <c r="O151" s="63">
        <f t="shared" ref="O151" si="71">SUM(I151:N151)</f>
        <v>271477.80000000005</v>
      </c>
      <c r="P151" s="31"/>
      <c r="Q151" s="31"/>
      <c r="R151" s="53"/>
      <c r="S151" s="31"/>
      <c r="T151" s="31"/>
      <c r="U151" s="31"/>
    </row>
    <row r="152" spans="1:21" ht="13.5" customHeight="1" x14ac:dyDescent="0.2">
      <c r="A152" s="10" t="s">
        <v>96</v>
      </c>
      <c r="B152" s="29">
        <v>187050.6</v>
      </c>
      <c r="C152" s="30">
        <v>123242.6</v>
      </c>
      <c r="D152" s="59">
        <v>22953.3</v>
      </c>
      <c r="E152" s="64">
        <f>83389.7+10174.1</f>
        <v>93563.8</v>
      </c>
      <c r="F152" s="59">
        <v>7505.3</v>
      </c>
      <c r="G152" s="61">
        <v>1823.1</v>
      </c>
      <c r="H152" s="75">
        <f>SUM(B152:G152)</f>
        <v>436138.69999999995</v>
      </c>
      <c r="I152" s="59">
        <v>116799</v>
      </c>
      <c r="J152" s="60">
        <v>60016.9</v>
      </c>
      <c r="K152" s="59">
        <v>21163.4</v>
      </c>
      <c r="L152" s="60">
        <v>73250</v>
      </c>
      <c r="M152" s="59">
        <v>8529.9</v>
      </c>
      <c r="N152" s="62">
        <v>831.7</v>
      </c>
      <c r="O152" s="63">
        <f t="shared" ref="O152" si="72">SUM(I152:N152)</f>
        <v>280590.90000000002</v>
      </c>
      <c r="P152" s="31"/>
      <c r="Q152" s="31"/>
      <c r="R152" s="53"/>
      <c r="S152" s="31"/>
      <c r="T152" s="31"/>
      <c r="U152" s="31"/>
    </row>
    <row r="153" spans="1:21" ht="13.5" customHeight="1" x14ac:dyDescent="0.2">
      <c r="A153" s="10"/>
      <c r="B153" s="29"/>
      <c r="C153" s="30"/>
      <c r="D153" s="59"/>
      <c r="E153" s="64"/>
      <c r="F153" s="59"/>
      <c r="G153" s="61"/>
      <c r="H153" s="60"/>
      <c r="I153" s="59"/>
      <c r="J153" s="60"/>
      <c r="K153" s="59"/>
      <c r="L153" s="60"/>
      <c r="M153" s="59"/>
      <c r="N153" s="62"/>
      <c r="O153" s="63"/>
      <c r="P153" s="31"/>
      <c r="Q153" s="31"/>
      <c r="R153" s="53"/>
      <c r="S153" s="31"/>
      <c r="T153" s="31"/>
      <c r="U153" s="31"/>
    </row>
    <row r="154" spans="1:21" ht="13.5" customHeight="1" x14ac:dyDescent="0.2">
      <c r="A154" s="10" t="s">
        <v>128</v>
      </c>
      <c r="B154" s="70">
        <v>179374.7</v>
      </c>
      <c r="C154" s="74">
        <v>131968.40000000002</v>
      </c>
      <c r="D154" s="74">
        <v>17787.2</v>
      </c>
      <c r="E154" s="75">
        <f>81747+9190.7</f>
        <v>90937.7</v>
      </c>
      <c r="F154" s="74">
        <v>4999.5</v>
      </c>
      <c r="G154" s="75">
        <v>1308.6999999999998</v>
      </c>
      <c r="H154" s="75">
        <f t="shared" ref="H154:H155" si="73">SUM(B154:G154)</f>
        <v>426376.20000000007</v>
      </c>
      <c r="I154" s="59">
        <v>118278.7</v>
      </c>
      <c r="J154" s="60">
        <v>51507.6</v>
      </c>
      <c r="K154" s="59">
        <v>21254.400000000001</v>
      </c>
      <c r="L154" s="60">
        <v>76151.7</v>
      </c>
      <c r="M154" s="59">
        <v>8541.4</v>
      </c>
      <c r="N154" s="62">
        <v>66.099999999999994</v>
      </c>
      <c r="O154" s="63">
        <f t="shared" ref="O154" si="74">SUM(I154:N154)</f>
        <v>275799.89999999997</v>
      </c>
      <c r="P154" s="31"/>
      <c r="Q154" s="31"/>
      <c r="R154" s="53"/>
      <c r="S154" s="31"/>
      <c r="T154" s="31"/>
      <c r="U154" s="31"/>
    </row>
    <row r="155" spans="1:21" ht="13.5" customHeight="1" x14ac:dyDescent="0.2">
      <c r="A155" s="10" t="s">
        <v>104</v>
      </c>
      <c r="B155" s="29">
        <v>173757.30000000002</v>
      </c>
      <c r="C155" s="70">
        <v>138356.70000000001</v>
      </c>
      <c r="D155" s="70">
        <v>32042.799999999999</v>
      </c>
      <c r="E155" s="70">
        <f>90593.1+9418.3</f>
        <v>100011.40000000001</v>
      </c>
      <c r="F155" s="59">
        <v>6645</v>
      </c>
      <c r="G155" s="74">
        <v>1089.1000000000001</v>
      </c>
      <c r="H155" s="60">
        <f t="shared" si="73"/>
        <v>451902.3</v>
      </c>
      <c r="I155" s="59">
        <v>121939.6</v>
      </c>
      <c r="J155" s="60">
        <v>47567.5</v>
      </c>
      <c r="K155" s="59">
        <v>18934.8</v>
      </c>
      <c r="L155" s="60">
        <v>73513.8</v>
      </c>
      <c r="M155" s="59">
        <v>8535.4</v>
      </c>
      <c r="N155" s="62">
        <v>65.5</v>
      </c>
      <c r="O155" s="63">
        <f t="shared" ref="O155" si="75">SUM(I155:N155)</f>
        <v>270556.60000000003</v>
      </c>
      <c r="P155" s="31"/>
      <c r="Q155" s="31"/>
      <c r="R155" s="53"/>
      <c r="S155" s="31"/>
      <c r="T155" s="31"/>
      <c r="U155" s="31"/>
    </row>
    <row r="156" spans="1:21" ht="13.5" customHeight="1" x14ac:dyDescent="0.2">
      <c r="A156" s="10" t="s">
        <v>129</v>
      </c>
      <c r="B156" s="29">
        <v>166906.5</v>
      </c>
      <c r="C156" s="70">
        <v>126774.20000000001</v>
      </c>
      <c r="D156" s="70">
        <v>18832.599999999999</v>
      </c>
      <c r="E156" s="70">
        <f>91833.3+11839.4</f>
        <v>103672.7</v>
      </c>
      <c r="F156" s="59">
        <v>8109</v>
      </c>
      <c r="G156" s="74">
        <v>1014.9</v>
      </c>
      <c r="H156" s="60">
        <f t="shared" ref="H156" si="76">SUM(B156:G156)</f>
        <v>425309.9</v>
      </c>
      <c r="I156" s="59">
        <v>120352.1</v>
      </c>
      <c r="J156" s="60">
        <v>57290.5</v>
      </c>
      <c r="K156" s="59">
        <v>21043.8</v>
      </c>
      <c r="L156" s="60">
        <v>77306.2</v>
      </c>
      <c r="M156" s="59">
        <v>8565.2000000000007</v>
      </c>
      <c r="N156" s="62">
        <v>39.200000000000003</v>
      </c>
      <c r="O156" s="63">
        <f t="shared" ref="O156" si="77">SUM(I156:N156)</f>
        <v>284597</v>
      </c>
      <c r="P156" s="31"/>
      <c r="Q156" s="31"/>
      <c r="R156" s="53"/>
      <c r="S156" s="31"/>
      <c r="T156" s="31"/>
      <c r="U156" s="31"/>
    </row>
    <row r="157" spans="1:21" ht="13.5" customHeight="1" x14ac:dyDescent="0.2">
      <c r="A157" s="69" t="s">
        <v>135</v>
      </c>
      <c r="B157" s="70">
        <v>173824.5</v>
      </c>
      <c r="C157" s="70">
        <v>141642.1</v>
      </c>
      <c r="D157" s="70">
        <v>17062.400000000001</v>
      </c>
      <c r="E157" s="70">
        <f>90063.6+5498</f>
        <v>95561.600000000006</v>
      </c>
      <c r="F157" s="74">
        <v>6132.2</v>
      </c>
      <c r="G157" s="74">
        <v>707.90000000000009</v>
      </c>
      <c r="H157" s="75">
        <f t="shared" ref="H157" si="78">SUM(B157:G157)</f>
        <v>434930.7</v>
      </c>
      <c r="I157" s="74">
        <v>129318.39999999999</v>
      </c>
      <c r="J157" s="75">
        <v>53414</v>
      </c>
      <c r="K157" s="74">
        <v>16004.9</v>
      </c>
      <c r="L157" s="75">
        <v>73979.399999999994</v>
      </c>
      <c r="M157" s="74">
        <v>9276.2999999999993</v>
      </c>
      <c r="N157" s="77">
        <v>56.4</v>
      </c>
      <c r="O157" s="78">
        <f t="shared" ref="O157" si="79">SUM(I157:N157)</f>
        <v>282049.39999999997</v>
      </c>
      <c r="P157" s="72"/>
      <c r="Q157" s="72"/>
      <c r="R157" s="73"/>
      <c r="S157" s="72"/>
      <c r="T157" s="72"/>
      <c r="U157" s="72"/>
    </row>
    <row r="158" spans="1:21" ht="13.5" customHeight="1" x14ac:dyDescent="0.2">
      <c r="A158" s="69" t="s">
        <v>136</v>
      </c>
      <c r="B158" s="70">
        <v>172466.4</v>
      </c>
      <c r="C158" s="70">
        <v>138632</v>
      </c>
      <c r="D158" s="70">
        <v>25309.4</v>
      </c>
      <c r="E158" s="70">
        <f>83424.6+9801.4</f>
        <v>93226</v>
      </c>
      <c r="F158" s="74">
        <v>5944</v>
      </c>
      <c r="G158" s="74">
        <v>780.5</v>
      </c>
      <c r="H158" s="75">
        <f t="shared" ref="H158:H159" si="80">SUM(B158:G158)</f>
        <v>436358.30000000005</v>
      </c>
      <c r="I158" s="74">
        <v>125485.5</v>
      </c>
      <c r="J158" s="75">
        <v>61253.2</v>
      </c>
      <c r="K158" s="74">
        <v>20694.3</v>
      </c>
      <c r="L158" s="75">
        <v>71055.7</v>
      </c>
      <c r="M158" s="74">
        <v>9295.2000000000007</v>
      </c>
      <c r="N158" s="77">
        <v>56.3</v>
      </c>
      <c r="O158" s="78">
        <f t="shared" ref="O158:O165" si="81">SUM(I158:N158)</f>
        <v>287840.2</v>
      </c>
      <c r="P158" s="72"/>
      <c r="Q158" s="72"/>
      <c r="R158" s="73"/>
      <c r="S158" s="72"/>
      <c r="T158" s="72"/>
      <c r="U158" s="72"/>
    </row>
    <row r="159" spans="1:21" ht="13.5" customHeight="1" x14ac:dyDescent="0.2">
      <c r="A159" s="69" t="s">
        <v>137</v>
      </c>
      <c r="B159" s="70">
        <v>177539.8</v>
      </c>
      <c r="C159" s="70">
        <v>136168.4</v>
      </c>
      <c r="D159" s="70">
        <v>21219.1</v>
      </c>
      <c r="E159" s="70">
        <f>92305.1+11935.4</f>
        <v>104240.5</v>
      </c>
      <c r="F159" s="74">
        <v>3656.3</v>
      </c>
      <c r="G159" s="74">
        <v>650.9</v>
      </c>
      <c r="H159" s="75">
        <f t="shared" si="80"/>
        <v>443474.99999999994</v>
      </c>
      <c r="I159" s="74">
        <v>121984.3</v>
      </c>
      <c r="J159" s="75">
        <v>63241</v>
      </c>
      <c r="K159" s="74">
        <v>13861.7</v>
      </c>
      <c r="L159" s="75">
        <v>70469</v>
      </c>
      <c r="M159" s="74">
        <v>8610.4</v>
      </c>
      <c r="N159" s="77">
        <v>56.1</v>
      </c>
      <c r="O159" s="78">
        <f t="shared" si="81"/>
        <v>278222.5</v>
      </c>
      <c r="P159" s="72"/>
      <c r="Q159" s="72"/>
      <c r="R159" s="73"/>
      <c r="S159" s="72"/>
      <c r="T159" s="72"/>
      <c r="U159" s="72"/>
    </row>
    <row r="160" spans="1:21" ht="13.5" customHeight="1" x14ac:dyDescent="0.2">
      <c r="A160" s="69" t="s">
        <v>123</v>
      </c>
      <c r="B160" s="70">
        <v>180689.3</v>
      </c>
      <c r="C160" s="70">
        <v>145947.4</v>
      </c>
      <c r="D160" s="70">
        <v>19494.900000000001</v>
      </c>
      <c r="E160" s="70">
        <f>81309.6+11500</f>
        <v>92809.600000000006</v>
      </c>
      <c r="F160" s="74">
        <v>3770.7</v>
      </c>
      <c r="G160" s="74">
        <v>764.80000000000007</v>
      </c>
      <c r="H160" s="75">
        <f t="shared" ref="H160:H165" si="82">SUM(B160:G160)</f>
        <v>443476.69999999995</v>
      </c>
      <c r="I160" s="74">
        <v>121779.3</v>
      </c>
      <c r="J160" s="75">
        <v>57269.4</v>
      </c>
      <c r="K160" s="74">
        <v>15549.5</v>
      </c>
      <c r="L160" s="75">
        <v>63546.2</v>
      </c>
      <c r="M160" s="74">
        <v>9780.2000000000007</v>
      </c>
      <c r="N160" s="77">
        <v>81.8</v>
      </c>
      <c r="O160" s="78">
        <f t="shared" si="81"/>
        <v>268006.40000000002</v>
      </c>
      <c r="P160" s="72"/>
      <c r="Q160" s="72"/>
      <c r="R160" s="73"/>
      <c r="S160" s="72"/>
      <c r="T160" s="72"/>
      <c r="U160" s="72"/>
    </row>
    <row r="161" spans="1:258" ht="13.5" customHeight="1" x14ac:dyDescent="0.2">
      <c r="A161" s="69" t="s">
        <v>124</v>
      </c>
      <c r="B161" s="70">
        <v>177706.4</v>
      </c>
      <c r="C161" s="70">
        <v>164489.79999999999</v>
      </c>
      <c r="D161" s="70">
        <v>33746.800000000003</v>
      </c>
      <c r="E161" s="70">
        <f>78342.1+7738.8</f>
        <v>86080.900000000009</v>
      </c>
      <c r="F161" s="74">
        <v>5742.3</v>
      </c>
      <c r="G161" s="74">
        <v>937.9</v>
      </c>
      <c r="H161" s="75">
        <f t="shared" si="82"/>
        <v>468704.1</v>
      </c>
      <c r="I161" s="74">
        <v>119874.3</v>
      </c>
      <c r="J161" s="75">
        <v>60746.3</v>
      </c>
      <c r="K161" s="74">
        <v>6281.2</v>
      </c>
      <c r="L161" s="75">
        <v>65876.100000000006</v>
      </c>
      <c r="M161" s="74">
        <v>9844.6</v>
      </c>
      <c r="N161" s="77">
        <v>42.8</v>
      </c>
      <c r="O161" s="78">
        <f t="shared" si="81"/>
        <v>262665.3</v>
      </c>
      <c r="P161" s="72"/>
      <c r="Q161" s="72"/>
      <c r="R161" s="73"/>
      <c r="S161" s="72"/>
      <c r="T161" s="72"/>
      <c r="U161" s="72"/>
    </row>
    <row r="162" spans="1:258" ht="13.5" customHeight="1" x14ac:dyDescent="0.2">
      <c r="A162" s="69" t="s">
        <v>132</v>
      </c>
      <c r="B162" s="70">
        <v>173617.4</v>
      </c>
      <c r="C162" s="71">
        <v>182336.1</v>
      </c>
      <c r="D162" s="70">
        <v>21206.400000000001</v>
      </c>
      <c r="E162" s="71">
        <f>77322.6+7907.7</f>
        <v>85230.3</v>
      </c>
      <c r="F162" s="74">
        <v>7192.6</v>
      </c>
      <c r="G162" s="74">
        <v>1581.5</v>
      </c>
      <c r="H162" s="75">
        <f t="shared" si="82"/>
        <v>471164.3</v>
      </c>
      <c r="I162" s="74">
        <v>117796.4</v>
      </c>
      <c r="J162" s="75">
        <v>64394.3</v>
      </c>
      <c r="K162" s="74">
        <v>13957.1</v>
      </c>
      <c r="L162" s="75">
        <v>64718.1</v>
      </c>
      <c r="M162" s="74">
        <v>9113.9</v>
      </c>
      <c r="N162" s="77">
        <v>40.299999999999997</v>
      </c>
      <c r="O162" s="78">
        <f t="shared" si="81"/>
        <v>270020.10000000003</v>
      </c>
      <c r="P162" s="72"/>
      <c r="Q162" s="72"/>
      <c r="R162" s="73"/>
      <c r="S162" s="72"/>
      <c r="T162" s="72"/>
      <c r="U162" s="72"/>
    </row>
    <row r="163" spans="1:258" ht="13.5" customHeight="1" x14ac:dyDescent="0.2">
      <c r="A163" s="69" t="s">
        <v>133</v>
      </c>
      <c r="B163" s="70">
        <v>166949.79999999999</v>
      </c>
      <c r="C163" s="71">
        <v>185820</v>
      </c>
      <c r="D163" s="70">
        <v>26101.7</v>
      </c>
      <c r="E163" s="71">
        <f>79583.8+10289.1</f>
        <v>89872.900000000009</v>
      </c>
      <c r="F163" s="74">
        <v>6002.4</v>
      </c>
      <c r="G163" s="74">
        <v>943.8</v>
      </c>
      <c r="H163" s="75">
        <f t="shared" si="82"/>
        <v>475690.60000000003</v>
      </c>
      <c r="I163" s="74">
        <v>122554.5</v>
      </c>
      <c r="J163" s="75">
        <v>65451.5</v>
      </c>
      <c r="K163" s="74">
        <v>13267.9</v>
      </c>
      <c r="L163" s="75">
        <v>63310</v>
      </c>
      <c r="M163" s="74">
        <v>9018.9</v>
      </c>
      <c r="N163" s="77">
        <v>42.2</v>
      </c>
      <c r="O163" s="78">
        <f t="shared" si="81"/>
        <v>273645.00000000006</v>
      </c>
      <c r="P163" s="72"/>
      <c r="Q163" s="72"/>
      <c r="R163" s="73"/>
      <c r="S163" s="72"/>
      <c r="T163" s="72"/>
      <c r="U163" s="72"/>
    </row>
    <row r="164" spans="1:258" ht="13.5" customHeight="1" x14ac:dyDescent="0.2">
      <c r="A164" s="69" t="s">
        <v>139</v>
      </c>
      <c r="B164" s="70">
        <v>170087</v>
      </c>
      <c r="C164" s="71">
        <v>200420.5</v>
      </c>
      <c r="D164" s="70">
        <v>33594.699999999997</v>
      </c>
      <c r="E164" s="71">
        <f>10208.9+91851.1</f>
        <v>102060</v>
      </c>
      <c r="F164" s="74">
        <v>4866.8999999999996</v>
      </c>
      <c r="G164" s="74">
        <v>2173.1</v>
      </c>
      <c r="H164" s="75">
        <f t="shared" si="82"/>
        <v>513202.2</v>
      </c>
      <c r="I164" s="74">
        <v>119597.1</v>
      </c>
      <c r="J164" s="75">
        <v>61717.3</v>
      </c>
      <c r="K164" s="74">
        <v>13783.6</v>
      </c>
      <c r="L164" s="75">
        <v>59606.7</v>
      </c>
      <c r="M164" s="74">
        <v>10236</v>
      </c>
      <c r="N164" s="77">
        <v>767.5</v>
      </c>
      <c r="O164" s="78">
        <f t="shared" si="81"/>
        <v>265708.2</v>
      </c>
      <c r="P164" s="72"/>
      <c r="Q164" s="72"/>
      <c r="R164" s="73"/>
      <c r="S164" s="72"/>
      <c r="T164" s="72"/>
      <c r="U164" s="72"/>
    </row>
    <row r="165" spans="1:258" ht="13.5" customHeight="1" x14ac:dyDescent="0.2">
      <c r="A165" s="69" t="s">
        <v>141</v>
      </c>
      <c r="B165" s="70">
        <v>202379.4</v>
      </c>
      <c r="C165" s="71">
        <v>198146.8</v>
      </c>
      <c r="D165" s="70">
        <v>26923.8</v>
      </c>
      <c r="E165" s="71">
        <f>86145.6+11279.7</f>
        <v>97425.3</v>
      </c>
      <c r="F165" s="74">
        <v>6477.2</v>
      </c>
      <c r="G165" s="74">
        <v>3304.7</v>
      </c>
      <c r="H165" s="75">
        <f t="shared" si="82"/>
        <v>534657.19999999984</v>
      </c>
      <c r="I165" s="74">
        <v>122735.7</v>
      </c>
      <c r="J165" s="75">
        <v>54656.3</v>
      </c>
      <c r="K165" s="74">
        <v>13533.6</v>
      </c>
      <c r="L165" s="75">
        <v>64676.1</v>
      </c>
      <c r="M165" s="74">
        <v>8653</v>
      </c>
      <c r="N165" s="77">
        <v>33.299999999999997</v>
      </c>
      <c r="O165" s="78">
        <f t="shared" si="81"/>
        <v>264288</v>
      </c>
      <c r="P165" s="72"/>
      <c r="Q165" s="72"/>
      <c r="R165" s="73"/>
      <c r="S165" s="72"/>
      <c r="T165" s="72"/>
      <c r="U165" s="72"/>
    </row>
    <row r="166" spans="1:258" ht="13.5" customHeight="1" x14ac:dyDescent="0.2">
      <c r="A166" s="69"/>
      <c r="B166" s="70"/>
      <c r="C166" s="71"/>
      <c r="D166" s="70"/>
      <c r="E166" s="71"/>
      <c r="F166" s="74"/>
      <c r="G166" s="74"/>
      <c r="H166" s="75"/>
      <c r="I166" s="74"/>
      <c r="J166" s="75"/>
      <c r="K166" s="74"/>
      <c r="L166" s="75"/>
      <c r="M166" s="74"/>
      <c r="N166" s="77"/>
      <c r="O166" s="78"/>
      <c r="P166" s="72"/>
      <c r="Q166" s="72"/>
      <c r="R166" s="73"/>
      <c r="S166" s="72"/>
      <c r="T166" s="72"/>
      <c r="U166" s="72"/>
    </row>
    <row r="167" spans="1:258" ht="13.5" customHeight="1" x14ac:dyDescent="0.2">
      <c r="A167" s="69" t="s">
        <v>147</v>
      </c>
      <c r="B167" s="70">
        <v>196274.7</v>
      </c>
      <c r="C167" s="71">
        <v>210603.1</v>
      </c>
      <c r="D167" s="70">
        <v>28264.400000000001</v>
      </c>
      <c r="E167" s="71">
        <f>83572.3+11403.8</f>
        <v>94976.1</v>
      </c>
      <c r="F167" s="74">
        <v>4436.8999999999996</v>
      </c>
      <c r="G167" s="74">
        <v>2551.9</v>
      </c>
      <c r="H167" s="75">
        <f t="shared" ref="H167" si="83">SUM(B167:G167)</f>
        <v>537107.10000000009</v>
      </c>
      <c r="I167" s="74">
        <v>141779.79999999999</v>
      </c>
      <c r="J167" s="75">
        <v>48188.4</v>
      </c>
      <c r="K167" s="74">
        <v>15050.5</v>
      </c>
      <c r="L167" s="75">
        <v>63237.599999999999</v>
      </c>
      <c r="M167" s="74">
        <v>8500.7999999999993</v>
      </c>
      <c r="N167" s="77">
        <v>33.6</v>
      </c>
      <c r="O167" s="78">
        <f t="shared" ref="O167" si="84">SUM(I167:N167)</f>
        <v>276790.69999999995</v>
      </c>
      <c r="P167" s="72"/>
      <c r="Q167" s="72"/>
      <c r="R167" s="73"/>
      <c r="S167" s="72"/>
      <c r="T167" s="72"/>
      <c r="U167" s="72"/>
    </row>
    <row r="168" spans="1:258" ht="16.5" customHeight="1" x14ac:dyDescent="0.2">
      <c r="A168" s="32"/>
      <c r="B168" s="33"/>
      <c r="C168" s="34"/>
      <c r="D168" s="33"/>
      <c r="E168" s="34"/>
      <c r="F168" s="33"/>
      <c r="G168" s="46"/>
      <c r="H168" s="37"/>
      <c r="I168" s="33"/>
      <c r="J168" s="34"/>
      <c r="K168" s="33"/>
      <c r="L168" s="34"/>
      <c r="M168" s="33"/>
      <c r="N168" s="50"/>
      <c r="O168" s="37"/>
      <c r="Q168" s="31"/>
      <c r="R168" s="53"/>
      <c r="S168" s="31"/>
      <c r="U168" s="31"/>
    </row>
    <row r="169" spans="1:258" x14ac:dyDescent="0.2">
      <c r="A169" s="65"/>
      <c r="B169" s="19"/>
      <c r="C169" s="19"/>
      <c r="D169" s="19"/>
      <c r="E169" s="19"/>
      <c r="F169" s="19"/>
      <c r="G169" s="41"/>
      <c r="H169" s="19"/>
      <c r="I169" s="19"/>
      <c r="J169" s="19"/>
      <c r="K169" s="19"/>
      <c r="L169" s="19"/>
      <c r="M169" s="19"/>
      <c r="N169" s="41"/>
      <c r="O169" s="20"/>
      <c r="Q169" s="31"/>
      <c r="R169" s="53"/>
      <c r="S169" s="31"/>
    </row>
    <row r="170" spans="1:258" x14ac:dyDescent="0.2">
      <c r="A170" s="79" t="s">
        <v>85</v>
      </c>
      <c r="B170" s="34"/>
      <c r="C170" s="34"/>
      <c r="D170" s="34"/>
      <c r="E170" s="34"/>
      <c r="F170" s="34"/>
      <c r="G170" s="66"/>
      <c r="H170" s="34"/>
      <c r="I170" s="34"/>
      <c r="J170" s="34"/>
      <c r="K170" s="34"/>
      <c r="L170" s="34"/>
      <c r="M170" s="34"/>
      <c r="N170" s="66"/>
      <c r="O170" s="67"/>
      <c r="Q170" s="31"/>
      <c r="S170" s="31"/>
    </row>
    <row r="171" spans="1:258" x14ac:dyDescent="0.2">
      <c r="B171" s="27"/>
      <c r="C171" s="27"/>
      <c r="D171" s="27"/>
      <c r="E171" s="27"/>
      <c r="F171" s="27"/>
      <c r="G171" s="48"/>
      <c r="H171" s="27"/>
      <c r="I171" s="27"/>
      <c r="J171" s="27"/>
      <c r="K171" s="27"/>
      <c r="L171" s="27"/>
      <c r="M171" s="27"/>
      <c r="N171" s="48"/>
      <c r="O171" s="27"/>
      <c r="P171" s="27"/>
      <c r="Q171" s="27"/>
      <c r="R171" s="48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</row>
    <row r="172" spans="1:258" x14ac:dyDescent="0.2">
      <c r="B172" s="27"/>
      <c r="C172" s="27"/>
      <c r="D172" s="27"/>
      <c r="E172" s="27"/>
      <c r="F172" s="27"/>
      <c r="G172" s="48"/>
      <c r="H172" s="27"/>
      <c r="I172" s="27"/>
      <c r="J172" s="27"/>
      <c r="K172" s="27"/>
      <c r="L172" s="27"/>
      <c r="M172" s="27"/>
      <c r="N172" s="48"/>
      <c r="O172" s="27"/>
      <c r="P172" s="27"/>
      <c r="Q172" s="27"/>
      <c r="R172" s="48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</row>
    <row r="173" spans="1:258" x14ac:dyDescent="0.2">
      <c r="B173" s="27"/>
      <c r="C173" s="27"/>
      <c r="D173" s="27"/>
      <c r="E173" s="27"/>
      <c r="F173" s="27"/>
      <c r="G173" s="48"/>
      <c r="H173" s="35"/>
      <c r="I173" s="27"/>
      <c r="J173" s="27"/>
      <c r="K173" s="27"/>
      <c r="L173" s="27"/>
      <c r="M173" s="27"/>
      <c r="N173" s="48"/>
      <c r="O173" s="27"/>
      <c r="P173" s="27"/>
      <c r="Q173" s="27"/>
      <c r="R173" s="48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</row>
    <row r="174" spans="1:258" x14ac:dyDescent="0.2">
      <c r="B174" s="27"/>
      <c r="C174" s="27"/>
      <c r="D174" s="27"/>
      <c r="E174" s="27"/>
      <c r="F174" s="27"/>
      <c r="G174" s="48"/>
      <c r="H174" s="27"/>
      <c r="I174" s="27"/>
      <c r="J174" s="27"/>
      <c r="K174" s="27"/>
      <c r="L174" s="27"/>
      <c r="M174" s="27"/>
      <c r="N174" s="48"/>
      <c r="O174" s="27"/>
      <c r="P174" s="27"/>
      <c r="Q174" s="27"/>
      <c r="R174" s="48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</row>
    <row r="175" spans="1:258" x14ac:dyDescent="0.2">
      <c r="B175" s="27"/>
      <c r="C175" s="27"/>
      <c r="D175" s="27"/>
      <c r="E175" s="27"/>
      <c r="F175" s="27"/>
      <c r="G175" s="48"/>
      <c r="H175" s="27"/>
      <c r="I175" s="27"/>
      <c r="J175" s="27"/>
      <c r="K175" s="27"/>
      <c r="L175" s="27"/>
      <c r="M175" s="27"/>
      <c r="N175" s="48"/>
      <c r="O175" s="27"/>
      <c r="P175" s="27"/>
      <c r="Q175" s="27"/>
      <c r="R175" s="48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  <c r="IW175" s="27"/>
      <c r="IX175" s="27"/>
    </row>
    <row r="176" spans="1:258" x14ac:dyDescent="0.2">
      <c r="B176" s="27"/>
      <c r="C176" s="27"/>
      <c r="D176" s="27"/>
      <c r="E176" s="27"/>
      <c r="F176" s="27"/>
      <c r="G176" s="48"/>
      <c r="H176" s="27"/>
      <c r="I176" s="27"/>
      <c r="J176" s="27"/>
      <c r="K176" s="27"/>
      <c r="L176" s="27"/>
      <c r="M176" s="27"/>
      <c r="N176" s="48"/>
      <c r="O176" s="27"/>
      <c r="P176" s="27"/>
      <c r="Q176" s="27"/>
      <c r="R176" s="48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  <c r="IW176" s="27"/>
      <c r="IX176" s="27"/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2016-04-25T06:23:16Z</cp:lastPrinted>
  <dcterms:created xsi:type="dcterms:W3CDTF">2000-09-13T06:16:35Z</dcterms:created>
  <dcterms:modified xsi:type="dcterms:W3CDTF">2017-03-31T06:40:55Z</dcterms:modified>
</cp:coreProperties>
</file>