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060" windowHeight="8760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'A'!$A$2:$S$246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<sst xmlns="http://schemas.openxmlformats.org/spreadsheetml/2006/main" count="424" uniqueCount="205">
  <si>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</si>
  <si>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</si>
  <si>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</si>
  <si>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</si>
  <si>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</si>
  <si>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</si>
  <si>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</si>
  <si>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</si>
  <si>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</si>
  <si>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</si>
  <si>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</si>
  <si>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</si>
  <si>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</si>
  <si>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</si>
  <si>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</si>
  <si>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</si>
  <si>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</si>
  <si>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</si>
  <si>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</si>
  <si>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</si>
  <si>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</si>
  <si>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</si>
  <si>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</si>
  <si>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>ARABIE</t>
  </si>
  <si>
    <t>ENCOURS DE LA DETTE PUBLIQUE EXTERIEURE PAR CREANCIER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</si>
  <si>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</si>
  <si>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</si>
  <si>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</si>
  <si>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</si>
  <si>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</si>
  <si>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</si>
  <si>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</si>
  <si>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</si>
  <si>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</si>
  <si>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</si>
  <si>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</si>
  <si>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</si>
  <si>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</si>
  <si>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</si>
  <si>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</si>
  <si>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</si>
  <si>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</si>
  <si>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</si>
  <si>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</si>
  <si>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</si>
  <si>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</si>
  <si>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</si>
  <si>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</si>
  <si>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</si>
  <si>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</si>
  <si>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</si>
  <si>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</si>
  <si>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</si>
  <si>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</si>
  <si>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</si>
  <si>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</si>
  <si>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</si>
  <si>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</si>
  <si>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</si>
  <si>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</si>
  <si>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</si>
  <si>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</si>
  <si>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</si>
  <si>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</si>
  <si>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</si>
  <si>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</si>
  <si>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</si>
  <si>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</si>
  <si>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</si>
  <si>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</si>
  <si>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</si>
  <si>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</si>
  <si>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</si>
  <si>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</si>
  <si>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</si>
  <si>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</si>
  <si>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</si>
  <si>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</si>
  <si>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</si>
  <si>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</si>
  <si>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</si>
  <si>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</si>
  <si>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</si>
  <si>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</si>
  <si>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</si>
  <si>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</si>
  <si>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2011 Janvier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</si>
  <si>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</si>
  <si>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</si>
  <si>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</si>
  <si>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</si>
  <si>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</si>
  <si>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</si>
  <si>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</si>
  <si>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</si>
  <si>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</si>
  <si>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</si>
  <si>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</si>
  <si>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</si>
  <si>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</si>
  <si>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2012 Janvier </t>
  </si>
  <si>
    <t xml:space="preserve">2010 Février </t>
  </si>
  <si>
    <t>2010 Mars</t>
  </si>
  <si>
    <t>2012 1er Trim.</t>
  </si>
  <si>
    <t xml:space="preserve">          4ème Trim.</t>
  </si>
  <si>
    <t xml:space="preserve">         Avril</t>
  </si>
  <si>
    <t>2010 Avril</t>
  </si>
  <si>
    <t xml:space="preserve">         Mai</t>
  </si>
  <si>
    <t>2010 Mai</t>
  </si>
  <si>
    <t>2010  Juin</t>
  </si>
  <si>
    <t xml:space="preserve">        Juillet</t>
  </si>
  <si>
    <t>2010 Juillet</t>
  </si>
  <si>
    <t>2010  Août</t>
  </si>
  <si>
    <t xml:space="preserve">       Septembre</t>
  </si>
  <si>
    <t>2010 Septembre</t>
  </si>
  <si>
    <t xml:space="preserve">2009 2ème Trim. </t>
  </si>
  <si>
    <t xml:space="preserve"> 2009 3ème Trim. </t>
  </si>
  <si>
    <t xml:space="preserve">         3ème Tim.</t>
  </si>
  <si>
    <t>JAPON</t>
  </si>
  <si>
    <t xml:space="preserve"> FAD</t>
  </si>
  <si>
    <t>BAD</t>
  </si>
  <si>
    <t>AID</t>
  </si>
  <si>
    <t>O.P.E.P</t>
  </si>
  <si>
    <t xml:space="preserve"> 2010 Octobre</t>
  </si>
  <si>
    <t xml:space="preserve">2011 1er Trim. </t>
  </si>
  <si>
    <t xml:space="preserve">2010 1er Trim. </t>
  </si>
  <si>
    <t>2010 Novembre</t>
  </si>
  <si>
    <t>2010 Décembre</t>
  </si>
  <si>
    <t xml:space="preserve">2009     4ème Trim. </t>
  </si>
  <si>
    <t xml:space="preserve">       Décembre</t>
  </si>
  <si>
    <t xml:space="preserve">       Novembre</t>
  </si>
  <si>
    <t xml:space="preserve">       Octobre</t>
  </si>
  <si>
    <t>2013 Janvier</t>
  </si>
  <si>
    <t>2012</t>
  </si>
  <si>
    <t xml:space="preserve">         Février</t>
  </si>
  <si>
    <t xml:space="preserve">2011  Février </t>
  </si>
  <si>
    <t>2013 1er Trim.</t>
  </si>
  <si>
    <t>2011 Mars</t>
  </si>
  <si>
    <t>2011  Avril</t>
  </si>
  <si>
    <t>2011  Mai</t>
  </si>
  <si>
    <t xml:space="preserve">2010   2ème Trim. </t>
  </si>
  <si>
    <t>2011 Juin</t>
  </si>
  <si>
    <t>2011  Juillet</t>
  </si>
  <si>
    <t xml:space="preserve">        Août</t>
  </si>
  <si>
    <t>2011 Août</t>
  </si>
  <si>
    <t>2011  Septembre</t>
  </si>
  <si>
    <t xml:space="preserve">2010   3ème Trim. </t>
  </si>
  <si>
    <t>2011  Octobre</t>
  </si>
  <si>
    <t>2011 Novembre</t>
  </si>
  <si>
    <t>2013</t>
  </si>
  <si>
    <t xml:space="preserve">2010  4ème Trim. </t>
  </si>
  <si>
    <t xml:space="preserve">         4ème Tim.</t>
  </si>
  <si>
    <t xml:space="preserve"> 2011 Décembre</t>
  </si>
  <si>
    <t>2014 Janvier</t>
  </si>
  <si>
    <t xml:space="preserve">2012 Février </t>
  </si>
  <si>
    <t>2012  Mars</t>
  </si>
  <si>
    <t>2014 1er Trim.</t>
  </si>
  <si>
    <t>2012 Mai</t>
  </si>
  <si>
    <t>2012 Juin</t>
  </si>
  <si>
    <t>2012 Juillet</t>
  </si>
  <si>
    <t>2012 Août</t>
  </si>
  <si>
    <t>2012 Septembre</t>
  </si>
  <si>
    <t xml:space="preserve">2011  3ème Trim. </t>
  </si>
  <si>
    <t>2012 Octobre</t>
  </si>
  <si>
    <t xml:space="preserve">      Octobre</t>
  </si>
  <si>
    <t xml:space="preserve">      Novembre</t>
  </si>
  <si>
    <t>2012 Novembre</t>
  </si>
  <si>
    <t xml:space="preserve">      Décembre</t>
  </si>
  <si>
    <t>2012  Décembre</t>
  </si>
  <si>
    <t>2015 Janvier</t>
  </si>
  <si>
    <t>2014</t>
  </si>
  <si>
    <t>2013 Février</t>
  </si>
  <si>
    <t>2013  Mars</t>
  </si>
  <si>
    <t>2012 2ème Tim.</t>
  </si>
  <si>
    <t>2013  Avril</t>
  </si>
  <si>
    <t>2013  Mai</t>
  </si>
  <si>
    <t xml:space="preserve">         juin</t>
  </si>
  <si>
    <t>2013  Juin</t>
  </si>
  <si>
    <t xml:space="preserve">         2ème Trim. </t>
  </si>
  <si>
    <t>2013 Juillet</t>
  </si>
  <si>
    <t>2013 Août</t>
  </si>
  <si>
    <t>2012 3ème Tim.</t>
  </si>
  <si>
    <t>2013   Septembre</t>
  </si>
  <si>
    <t xml:space="preserve"> 2013 Octobre</t>
  </si>
  <si>
    <t>2013 Novembre</t>
  </si>
  <si>
    <t xml:space="preserve">     2016 Janvier</t>
  </si>
  <si>
    <t xml:space="preserve">             Février</t>
  </si>
  <si>
    <t>2014 Février</t>
  </si>
  <si>
    <t>2015</t>
  </si>
  <si>
    <t xml:space="preserve">             Mars</t>
  </si>
  <si>
    <t>2014 Mars</t>
  </si>
  <si>
    <t>Sources: BRB et Ministère des Finances, du Budget et de la Privatisation</t>
  </si>
  <si>
    <t>2014 Avril</t>
  </si>
  <si>
    <t xml:space="preserve">            Avril</t>
  </si>
  <si>
    <t xml:space="preserve">            Mai</t>
  </si>
  <si>
    <t>2014 Mai</t>
  </si>
  <si>
    <t xml:space="preserve">            Juin</t>
  </si>
  <si>
    <t>2014  Juin</t>
  </si>
  <si>
    <t xml:space="preserve">2013  2ème Trim. </t>
  </si>
  <si>
    <t>2015   1er Trim.</t>
  </si>
  <si>
    <t>2016   1er Trim.</t>
  </si>
  <si>
    <t>2014 Juillet</t>
  </si>
  <si>
    <t xml:space="preserve">            Juillet</t>
  </si>
  <si>
    <t xml:space="preserve">            Août</t>
  </si>
  <si>
    <t>2014 Août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</si>
</sst>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188" fontId="0" fillId="0" borderId="0" xfId="0" applyAlignment="1">
      <alignment/>
    </xf>
    <xf numFmtId="188" fontId="25" fillId="0" borderId="0" xfId="0" applyFont="1" applyAlignment="1">
      <alignment horizontal="fill"/>
    </xf>
    <xf numFmtId="188" fontId="25" fillId="0" borderId="10" xfId="0" applyFont="1" applyBorder="1" applyAlignment="1">
      <alignment horizontal="fill"/>
    </xf>
    <xf numFmtId="188" fontId="25" fillId="0" borderId="0" xfId="0" applyFont="1" applyAlignment="1">
      <alignment/>
    </xf>
    <xf numFmtId="188" fontId="25" fillId="0" borderId="11" xfId="0" applyFont="1" applyBorder="1" applyAlignment="1">
      <alignment/>
    </xf>
    <xf numFmtId="188" fontId="25" fillId="0" borderId="12" xfId="0" applyFont="1" applyBorder="1" applyAlignment="1">
      <alignment/>
    </xf>
    <xf numFmtId="188" fontId="25" fillId="0" borderId="13" xfId="0" applyFont="1" applyBorder="1" applyAlignment="1">
      <alignment/>
    </xf>
    <xf numFmtId="188" fontId="25" fillId="0" borderId="14" xfId="0" applyFont="1" applyBorder="1" applyAlignment="1">
      <alignment/>
    </xf>
    <xf numFmtId="188" fontId="25" fillId="0" borderId="0" xfId="0" applyFont="1" applyBorder="1" applyAlignment="1">
      <alignment/>
    </xf>
    <xf numFmtId="188" fontId="25" fillId="0" borderId="15" xfId="0" applyFont="1" applyBorder="1" applyAlignment="1">
      <alignment horizontal="right"/>
    </xf>
    <xf numFmtId="188" fontId="25" fillId="0" borderId="16" xfId="0" applyFont="1" applyBorder="1" applyAlignment="1">
      <alignment horizontal="fill"/>
    </xf>
    <xf numFmtId="188" fontId="25" fillId="0" borderId="17" xfId="0" applyFont="1" applyBorder="1" applyAlignment="1">
      <alignment horizontal="fill"/>
    </xf>
    <xf numFmtId="188" fontId="25" fillId="0" borderId="15" xfId="0" applyFont="1" applyBorder="1" applyAlignment="1">
      <alignment/>
    </xf>
    <xf numFmtId="188" fontId="25" fillId="0" borderId="15" xfId="0" applyFont="1" applyBorder="1" applyAlignment="1">
      <alignment horizontal="center"/>
    </xf>
    <xf numFmtId="188" fontId="25" fillId="0" borderId="16" xfId="0" applyFont="1" applyBorder="1" applyAlignment="1">
      <alignment/>
    </xf>
    <xf numFmtId="188" fontId="25" fillId="0" borderId="10" xfId="0" applyFont="1" applyBorder="1" applyAlignment="1">
      <alignment/>
    </xf>
    <xf numFmtId="188" fontId="25" fillId="0" borderId="17" xfId="0" applyFont="1" applyBorder="1" applyAlignment="1">
      <alignment/>
    </xf>
    <xf numFmtId="188" fontId="25" fillId="0" borderId="18" xfId="0" applyFont="1" applyBorder="1" applyAlignment="1">
      <alignment/>
    </xf>
    <xf numFmtId="188" fontId="25" fillId="0" borderId="18" xfId="0" applyFont="1" applyBorder="1" applyAlignment="1">
      <alignment horizontal="fill"/>
    </xf>
    <xf numFmtId="188" fontId="25" fillId="0" borderId="15" xfId="0" applyFont="1" applyBorder="1" applyAlignment="1">
      <alignment horizontal="fill"/>
    </xf>
    <xf numFmtId="188" fontId="25" fillId="0" borderId="19" xfId="0" applyFont="1" applyBorder="1" applyAlignment="1">
      <alignment/>
    </xf>
    <xf numFmtId="188" fontId="25" fillId="0" borderId="19" xfId="0" applyFont="1" applyBorder="1" applyAlignment="1">
      <alignment horizontal="center"/>
    </xf>
    <xf numFmtId="188" fontId="25" fillId="0" borderId="19" xfId="0" applyFont="1" applyBorder="1" applyAlignment="1">
      <alignment horizontal="right"/>
    </xf>
    <xf numFmtId="188" fontId="25" fillId="0" borderId="19" xfId="0" applyFont="1" applyBorder="1" applyAlignment="1">
      <alignment horizontal="left"/>
    </xf>
    <xf numFmtId="188" fontId="25" fillId="0" borderId="19" xfId="0" applyFont="1" applyBorder="1" applyAlignment="1">
      <alignment horizontal="fill"/>
    </xf>
    <xf numFmtId="188" fontId="25" fillId="0" borderId="20" xfId="0" applyFont="1" applyBorder="1" applyAlignment="1" quotePrefix="1">
      <alignment/>
    </xf>
    <xf numFmtId="188" fontId="25" fillId="0" borderId="20" xfId="0" applyFont="1" applyBorder="1" applyAlignment="1">
      <alignment/>
    </xf>
    <xf numFmtId="188" fontId="25" fillId="0" borderId="19" xfId="0" applyFont="1" applyBorder="1" applyAlignment="1" quotePrefix="1">
      <alignment/>
    </xf>
    <xf numFmtId="0" fontId="25" fillId="0" borderId="19" xfId="0" applyNumberFormat="1" applyFont="1" applyBorder="1" applyAlignment="1">
      <alignment horizontal="left"/>
    </xf>
    <xf numFmtId="193" fontId="25" fillId="0" borderId="19" xfId="0" applyNumberFormat="1" applyFont="1" applyBorder="1" applyAlignment="1">
      <alignment/>
    </xf>
    <xf numFmtId="193" fontId="25" fillId="0" borderId="19" xfId="0" applyNumberFormat="1" applyFont="1" applyBorder="1" applyAlignment="1" applyProtection="1">
      <alignment/>
      <protection/>
    </xf>
    <xf numFmtId="193" fontId="25" fillId="0" borderId="19" xfId="0" applyNumberFormat="1" applyFont="1" applyFill="1" applyBorder="1" applyAlignment="1">
      <alignment/>
    </xf>
    <xf numFmtId="193" fontId="25" fillId="0" borderId="15" xfId="0" applyNumberFormat="1" applyFont="1" applyBorder="1" applyAlignment="1" applyProtection="1">
      <alignment/>
      <protection/>
    </xf>
    <xf numFmtId="193" fontId="25" fillId="0" borderId="15" xfId="0" applyNumberFormat="1" applyFont="1" applyBorder="1" applyAlignment="1">
      <alignment/>
    </xf>
    <xf numFmtId="193" fontId="25" fillId="0" borderId="19" xfId="42" applyNumberFormat="1" applyFont="1" applyBorder="1" applyAlignment="1">
      <alignment horizontal="right"/>
    </xf>
    <xf numFmtId="193" fontId="25" fillId="0" borderId="19" xfId="0" applyNumberFormat="1" applyFont="1" applyBorder="1" applyAlignment="1">
      <alignment horizontal="right"/>
    </xf>
    <xf numFmtId="193" fontId="25" fillId="0" borderId="15" xfId="42" applyNumberFormat="1" applyFont="1" applyBorder="1" applyAlignment="1">
      <alignment horizontal="right"/>
    </xf>
    <xf numFmtId="193" fontId="25" fillId="0" borderId="0" xfId="42" applyNumberFormat="1" applyFont="1" applyBorder="1" applyAlignment="1">
      <alignment horizontal="right"/>
    </xf>
    <xf numFmtId="188" fontId="25" fillId="0" borderId="0" xfId="0" applyNumberFormat="1" applyFont="1" applyBorder="1" applyAlignment="1" applyProtection="1">
      <alignment/>
      <protection/>
    </xf>
    <xf numFmtId="188" fontId="25" fillId="0" borderId="14" xfId="0" applyFont="1" applyBorder="1" applyAlignment="1">
      <alignment horizontal="left"/>
    </xf>
    <xf numFmtId="188" fontId="26" fillId="0" borderId="0" xfId="0" applyFont="1" applyAlignment="1">
      <alignment/>
    </xf>
    <xf numFmtId="188" fontId="25" fillId="0" borderId="19" xfId="0" applyFont="1" applyBorder="1" applyAlignment="1" quotePrefix="1">
      <alignment horizontal="left"/>
    </xf>
    <xf numFmtId="193" fontId="25" fillId="0" borderId="20" xfId="0" applyNumberFormat="1" applyFont="1" applyBorder="1" applyAlignment="1">
      <alignment horizontal="fill"/>
    </xf>
    <xf numFmtId="188" fontId="25" fillId="0" borderId="20" xfId="0" applyFont="1" applyBorder="1" applyAlignment="1">
      <alignment horizontal="fill"/>
    </xf>
    <xf numFmtId="188" fontId="25" fillId="0" borderId="15" xfId="0" applyNumberFormat="1" applyFont="1" applyBorder="1" applyAlignment="1" applyProtection="1">
      <alignment/>
      <protection/>
    </xf>
    <xf numFmtId="188" fontId="25" fillId="0" borderId="12" xfId="0" applyFont="1" applyBorder="1" applyAlignment="1">
      <alignment horizontal="left"/>
    </xf>
    <xf numFmtId="188" fontId="25" fillId="0" borderId="0" xfId="0" applyFont="1" applyAlignment="1">
      <alignment horizontal="left"/>
    </xf>
    <xf numFmtId="194" fontId="5" fillId="0" borderId="0" xfId="42" applyNumberFormat="1" applyFont="1" applyBorder="1" applyAlignment="1">
      <alignment/>
    </xf>
    <xf numFmtId="193" fontId="25" fillId="0" borderId="15" xfId="0" applyNumberFormat="1" applyFont="1" applyBorder="1" applyAlignment="1">
      <alignment horizontal="right"/>
    </xf>
    <xf numFmtId="194" fontId="5" fillId="0" borderId="15" xfId="42" applyNumberFormat="1" applyFont="1" applyBorder="1" applyAlignment="1">
      <alignment/>
    </xf>
    <xf numFmtId="194" fontId="5" fillId="0" borderId="19" xfId="42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25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88" fontId="25" fillId="33" borderId="19" xfId="0" applyFont="1" applyFill="1" applyBorder="1" applyAlignment="1">
      <alignment horizontal="left"/>
    </xf>
    <xf numFmtId="193" fontId="25" fillId="33" borderId="19" xfId="0" applyNumberFormat="1" applyFont="1" applyFill="1" applyBorder="1" applyAlignment="1">
      <alignment/>
    </xf>
    <xf numFmtId="194" fontId="5" fillId="33" borderId="0" xfId="42" applyNumberFormat="1" applyFont="1" applyFill="1" applyBorder="1" applyAlignment="1">
      <alignment/>
    </xf>
    <xf numFmtId="193" fontId="25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2" applyNumberFormat="1" applyFont="1" applyFill="1" applyBorder="1" applyAlignment="1">
      <alignment/>
    </xf>
    <xf numFmtId="193" fontId="25" fillId="33" borderId="15" xfId="0" applyNumberFormat="1" applyFont="1" applyFill="1" applyBorder="1" applyAlignment="1">
      <alignment horizontal="right"/>
    </xf>
    <xf numFmtId="193" fontId="25" fillId="33" borderId="19" xfId="42" applyNumberFormat="1" applyFont="1" applyFill="1" applyBorder="1" applyAlignment="1">
      <alignment horizontal="right"/>
    </xf>
    <xf numFmtId="193" fontId="25" fillId="33" borderId="15" xfId="0" applyNumberFormat="1" applyFont="1" applyFill="1" applyBorder="1" applyAlignment="1" applyProtection="1">
      <alignment/>
      <protection/>
    </xf>
    <xf numFmtId="193" fontId="25" fillId="33" borderId="15" xfId="42" applyNumberFormat="1" applyFont="1" applyFill="1" applyBorder="1" applyAlignment="1">
      <alignment horizontal="right"/>
    </xf>
    <xf numFmtId="188" fontId="25" fillId="33" borderId="0" xfId="0" applyFont="1" applyFill="1" applyAlignment="1">
      <alignment/>
    </xf>
    <xf numFmtId="188" fontId="26" fillId="33" borderId="0" xfId="0" applyFont="1" applyFill="1" applyAlignment="1">
      <alignment/>
    </xf>
    <xf numFmtId="197" fontId="26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6" fillId="0" borderId="14" xfId="0" applyFont="1" applyBorder="1" applyAlignment="1">
      <alignment horizontal="center"/>
    </xf>
    <xf numFmtId="188" fontId="26" fillId="0" borderId="0" xfId="0" applyFont="1" applyBorder="1" applyAlignment="1">
      <alignment horizontal="center"/>
    </xf>
    <xf numFmtId="188" fontId="26" fillId="0" borderId="15" xfId="0" applyFont="1" applyBorder="1" applyAlignment="1">
      <alignment horizontal="center"/>
    </xf>
    <xf numFmtId="188" fontId="25" fillId="0" borderId="14" xfId="0" applyFont="1" applyBorder="1" applyAlignment="1">
      <alignment horizontal="center"/>
    </xf>
    <xf numFmtId="188" fontId="25" fillId="0" borderId="0" xfId="0" applyFont="1" applyBorder="1" applyAlignment="1">
      <alignment horizontal="center"/>
    </xf>
    <xf numFmtId="188" fontId="2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02"/>
  <sheetViews>
    <sheetView showGridLines="0" tabSelected="1" workbookViewId="0" topLeftCell="A7">
      <pane xSplit="1" ySplit="8" topLeftCell="E193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S249" sqref="S249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68" t="s">
        <v>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</row>
    <row r="5" spans="1:19" ht="15.75">
      <c r="A5" s="68" t="s">
        <v>30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1" t="s">
        <v>2</v>
      </c>
      <c r="B8" s="72"/>
      <c r="C8" s="72"/>
      <c r="D8" s="72"/>
      <c r="E8" s="72"/>
      <c r="F8" s="72"/>
      <c r="G8" s="72"/>
      <c r="H8" s="73"/>
      <c r="I8" s="71" t="s">
        <v>31</v>
      </c>
      <c r="J8" s="72"/>
      <c r="K8" s="72"/>
      <c r="L8" s="72"/>
      <c r="M8" s="72"/>
      <c r="N8" s="72"/>
      <c r="O8" s="72"/>
      <c r="P8" s="72"/>
      <c r="Q8" s="73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121</v>
      </c>
      <c r="C11" s="21" t="s">
        <v>120</v>
      </c>
      <c r="D11" s="22" t="s">
        <v>6</v>
      </c>
      <c r="E11" s="21" t="s">
        <v>119</v>
      </c>
      <c r="F11" s="21" t="s">
        <v>122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118</v>
      </c>
      <c r="N11" s="21" t="s">
        <v>11</v>
      </c>
      <c r="O11" s="21" t="s">
        <v>23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19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19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19</v>
      </c>
      <c r="M21" s="29">
        <v>17214.6</v>
      </c>
      <c r="N21" s="29">
        <v>20145.2</v>
      </c>
      <c r="O21" s="29">
        <v>20856.7</v>
      </c>
      <c r="P21" s="34" t="s">
        <v>19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19</v>
      </c>
      <c r="M22" s="29">
        <v>23015.9</v>
      </c>
      <c r="N22" s="29">
        <v>21478.3</v>
      </c>
      <c r="O22" s="29">
        <v>22186.6</v>
      </c>
      <c r="P22" s="34" t="s">
        <v>19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19</v>
      </c>
      <c r="M23" s="29">
        <v>23304.05879271648</v>
      </c>
      <c r="N23" s="29">
        <v>20582.13821876657</v>
      </c>
      <c r="O23" s="29">
        <v>21906.662692844882</v>
      </c>
      <c r="P23" s="34" t="s">
        <v>19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+B157</f>
        <v>195931.7</v>
      </c>
      <c r="C24" s="29">
        <f aca="true" t="shared" si="2" ref="C24:S24">+C157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>
      <c r="A25" s="28">
        <v>2011</v>
      </c>
      <c r="B25" s="29">
        <f>+B170</f>
        <v>232989.90046099154</v>
      </c>
      <c r="C25" s="29">
        <f aca="true" t="shared" si="3" ref="C25:S25">+C170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+B188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133</v>
      </c>
      <c r="B27" s="29">
        <f>+B188</f>
        <v>270877.768813491</v>
      </c>
      <c r="C27" s="29">
        <f>+C188</f>
        <v>1207.6132596074801</v>
      </c>
      <c r="D27" s="47">
        <f>+D188</f>
        <v>0</v>
      </c>
      <c r="E27" s="29">
        <f>+E188</f>
        <v>39941.91999805474</v>
      </c>
      <c r="F27" s="29">
        <f aca="true" t="shared" si="5" ref="F27:S27">+F188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149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170</v>
      </c>
      <c r="B29" s="29">
        <f>B175</f>
        <v>255188.49791817868</v>
      </c>
      <c r="C29" s="29">
        <f aca="true" t="shared" si="6" ref="C29:S29">C175</f>
        <v>1160.8596727884635</v>
      </c>
      <c r="D29" s="47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50">
        <f t="shared" si="6"/>
        <v>0</v>
      </c>
      <c r="L29" s="29">
        <f t="shared" si="6"/>
        <v>0</v>
      </c>
      <c r="M29" s="47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188</v>
      </c>
      <c r="B30" s="29">
        <f>B192</f>
        <v>249093.55110060185</v>
      </c>
      <c r="C30" s="29">
        <f aca="true" t="shared" si="7" ref="C30:S30">C192</f>
        <v>1148.9584114431204</v>
      </c>
      <c r="D30" s="47">
        <f t="shared" si="7"/>
        <v>0</v>
      </c>
      <c r="E30" s="29">
        <f t="shared" si="7"/>
        <v>41849.643559396674</v>
      </c>
      <c r="F30" s="29">
        <f t="shared" si="7"/>
        <v>113014.12295034862</v>
      </c>
      <c r="G30" s="29">
        <f t="shared" si="7"/>
        <v>123304.05129679848</v>
      </c>
      <c r="H30" s="29">
        <f t="shared" si="7"/>
        <v>528410.3273185889</v>
      </c>
      <c r="I30" s="47">
        <f t="shared" si="7"/>
        <v>0</v>
      </c>
      <c r="J30" s="29">
        <f t="shared" si="7"/>
        <v>2249.396514027892</v>
      </c>
      <c r="K30" s="50">
        <f t="shared" si="7"/>
        <v>0</v>
      </c>
      <c r="L30" s="29">
        <f t="shared" si="7"/>
        <v>0</v>
      </c>
      <c r="M30" s="47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695666.715077606</v>
      </c>
    </row>
    <row r="31" spans="1:19" ht="18">
      <c r="A31" s="41"/>
      <c r="B31" s="29"/>
      <c r="C31" s="29"/>
      <c r="D31" s="47"/>
      <c r="E31" s="29"/>
      <c r="F31" s="29"/>
      <c r="G31" s="29"/>
      <c r="H31" s="29"/>
      <c r="I31" s="47"/>
      <c r="J31" s="29"/>
      <c r="K31" s="50"/>
      <c r="L31" s="29"/>
      <c r="M31" s="47"/>
      <c r="N31" s="29"/>
      <c r="O31" s="29"/>
      <c r="P31" s="29"/>
      <c r="Q31" s="33"/>
      <c r="R31" s="33"/>
      <c r="S31" s="33"/>
    </row>
    <row r="32" spans="1:19" ht="18" hidden="1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5.75" hidden="1">
      <c r="A33" s="23" t="s">
        <v>27</v>
      </c>
      <c r="B33" s="29">
        <v>916417</v>
      </c>
      <c r="C33" s="29">
        <v>11639.4</v>
      </c>
      <c r="D33" s="29">
        <v>76066.9</v>
      </c>
      <c r="E33" s="29">
        <v>256530.3</v>
      </c>
      <c r="F33" s="29">
        <v>9315.3</v>
      </c>
      <c r="G33" s="29">
        <v>51911.7</v>
      </c>
      <c r="H33" s="30">
        <v>1321880.6</v>
      </c>
      <c r="I33" s="29">
        <v>73281.9</v>
      </c>
      <c r="J33" s="31">
        <v>2189.4</v>
      </c>
      <c r="K33" s="29">
        <v>18565</v>
      </c>
      <c r="L33" s="29">
        <v>15913.9</v>
      </c>
      <c r="M33" s="29">
        <v>35931.3</v>
      </c>
      <c r="N33" s="29">
        <v>18770.2</v>
      </c>
      <c r="O33" s="29">
        <v>20873.9</v>
      </c>
      <c r="P33" s="34">
        <v>141.4</v>
      </c>
      <c r="Q33" s="32">
        <v>185667</v>
      </c>
      <c r="R33" s="33">
        <v>11318.1</v>
      </c>
      <c r="S33" s="32">
        <f>+R33+Q33+H33</f>
        <v>1518865.7000000002</v>
      </c>
    </row>
    <row r="34" spans="1:19" ht="15.75" hidden="1">
      <c r="A34" s="23" t="s">
        <v>14</v>
      </c>
      <c r="B34" s="29">
        <v>863736.1</v>
      </c>
      <c r="C34" s="29">
        <v>10700.7</v>
      </c>
      <c r="D34" s="29">
        <f>15268.7+51222.5</f>
        <v>66491.2</v>
      </c>
      <c r="E34" s="29">
        <v>234532.4</v>
      </c>
      <c r="F34" s="29">
        <v>7875.7</v>
      </c>
      <c r="G34" s="29">
        <f>12197.2+34366+584.6+1093</f>
        <v>48240.799999999996</v>
      </c>
      <c r="H34" s="30">
        <f>SUM(B34:G34)</f>
        <v>1231576.9</v>
      </c>
      <c r="I34" s="29">
        <v>64492</v>
      </c>
      <c r="J34" s="31">
        <v>2029.3</v>
      </c>
      <c r="K34" s="29">
        <f>9585.2+6782.8</f>
        <v>16368</v>
      </c>
      <c r="L34" s="29">
        <v>15170.9</v>
      </c>
      <c r="M34" s="29">
        <v>33285.5</v>
      </c>
      <c r="N34" s="29">
        <v>17929.8</v>
      </c>
      <c r="O34" s="29">
        <v>18926.3</v>
      </c>
      <c r="P34" s="34">
        <v>135.1</v>
      </c>
      <c r="Q34" s="32">
        <f>SUM(I34:P34)</f>
        <v>168336.9</v>
      </c>
      <c r="R34" s="33">
        <f>638.2+4370.7+4384.5</f>
        <v>9393.4</v>
      </c>
      <c r="S34" s="32">
        <f>+R34+Q34+H34</f>
        <v>1409307.2</v>
      </c>
    </row>
    <row r="35" spans="1:19" ht="15.75" hidden="1">
      <c r="A35" s="23" t="s">
        <v>20</v>
      </c>
      <c r="B35" s="29">
        <v>826844.5</v>
      </c>
      <c r="C35" s="29">
        <v>10186.7</v>
      </c>
      <c r="D35" s="29">
        <f>14733+48995.7</f>
        <v>63728.7</v>
      </c>
      <c r="E35" s="29">
        <v>234167.8</v>
      </c>
      <c r="F35" s="29">
        <v>7536.3</v>
      </c>
      <c r="G35" s="29">
        <f>11671.6+33174+559.4+1045.9</f>
        <v>46450.9</v>
      </c>
      <c r="H35" s="30">
        <f>SUM(B35:G35)</f>
        <v>1188914.9</v>
      </c>
      <c r="I35" s="29">
        <v>62229.9</v>
      </c>
      <c r="J35" s="31">
        <v>2037.7</v>
      </c>
      <c r="K35" s="29">
        <f>9249+6544.9</f>
        <v>15793.9</v>
      </c>
      <c r="L35" s="29">
        <v>15039</v>
      </c>
      <c r="M35" s="29">
        <v>31162</v>
      </c>
      <c r="N35" s="29">
        <v>17468.3</v>
      </c>
      <c r="O35" s="29">
        <v>19097.6</v>
      </c>
      <c r="P35" s="34">
        <v>129.3</v>
      </c>
      <c r="Q35" s="32">
        <f>SUM(I35:P35)</f>
        <v>162957.69999999998</v>
      </c>
      <c r="R35" s="33">
        <f>615.8+3332.8+4195.6</f>
        <v>8144.200000000001</v>
      </c>
      <c r="S35" s="32">
        <f>+R35+Q35+H35</f>
        <v>1360016.7999999998</v>
      </c>
    </row>
    <row r="36" spans="1:90" ht="15.75" hidden="1">
      <c r="A36" s="23" t="s">
        <v>17</v>
      </c>
      <c r="B36" s="35">
        <v>762032.6</v>
      </c>
      <c r="C36" s="29">
        <v>4635.6</v>
      </c>
      <c r="D36" s="29">
        <f>5460.3+35212.4</f>
        <v>40672.700000000004</v>
      </c>
      <c r="E36" s="29">
        <v>213652</v>
      </c>
      <c r="F36" s="29">
        <v>7755.2</v>
      </c>
      <c r="G36" s="29">
        <f>11042.9+31896.8+532.5+995.7</f>
        <v>44467.899999999994</v>
      </c>
      <c r="H36" s="30">
        <f>SUM(B36:G36)</f>
        <v>1073215.9999999998</v>
      </c>
      <c r="I36" s="29">
        <v>55640.1</v>
      </c>
      <c r="J36" s="31">
        <v>1911</v>
      </c>
      <c r="K36" s="29">
        <f>8492.5+6009.5</f>
        <v>14502</v>
      </c>
      <c r="L36" s="29">
        <v>14070.5</v>
      </c>
      <c r="M36" s="29">
        <v>27781.2</v>
      </c>
      <c r="N36" s="29">
        <v>17562.5</v>
      </c>
      <c r="O36" s="29">
        <v>17133.8</v>
      </c>
      <c r="P36" s="34" t="s">
        <v>19</v>
      </c>
      <c r="Q36" s="32">
        <f>SUM(I36:P36)</f>
        <v>148601.09999999998</v>
      </c>
      <c r="R36" s="33">
        <f>565.5+3994.1+3994.1+14288.4</f>
        <v>22842.1</v>
      </c>
      <c r="S36" s="32">
        <f>+R36+Q36+H36</f>
        <v>1244659.1999999997</v>
      </c>
      <c r="T36" s="8"/>
      <c r="U36" s="8"/>
      <c r="V36" s="8"/>
      <c r="W36" s="8"/>
      <c r="X36" s="37"/>
      <c r="Y36" s="38"/>
      <c r="Z36" s="8"/>
      <c r="AA36" s="3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19" ht="15.75" hidden="1">
      <c r="A37" s="23"/>
      <c r="B37" s="29"/>
      <c r="C37" s="29"/>
      <c r="D37" s="29"/>
      <c r="E37" s="29"/>
      <c r="F37" s="29"/>
      <c r="G37" s="29"/>
      <c r="H37" s="30"/>
      <c r="I37" s="29"/>
      <c r="J37" s="31"/>
      <c r="K37" s="29"/>
      <c r="L37" s="29"/>
      <c r="M37" s="29"/>
      <c r="N37" s="29"/>
      <c r="O37" s="29"/>
      <c r="P37" s="34"/>
      <c r="Q37" s="32"/>
      <c r="R37" s="33"/>
      <c r="S37" s="32"/>
    </row>
    <row r="38" spans="1:19" ht="15.75" hidden="1">
      <c r="A38" s="23" t="s">
        <v>28</v>
      </c>
      <c r="B38" s="29">
        <v>777528.6</v>
      </c>
      <c r="C38" s="29">
        <v>4694.1</v>
      </c>
      <c r="D38" s="29">
        <f>4019.6+35316.5</f>
        <v>39336.1</v>
      </c>
      <c r="E38" s="29">
        <v>215746.1</v>
      </c>
      <c r="F38" s="29">
        <v>7361.4</v>
      </c>
      <c r="G38" s="29">
        <f>10884+33416.4+539.6+1008.9</f>
        <v>45848.9</v>
      </c>
      <c r="H38" s="30">
        <f>SUM(B38:G38)</f>
        <v>1090515.2</v>
      </c>
      <c r="I38" s="29">
        <v>57299.1</v>
      </c>
      <c r="J38" s="31">
        <v>1935.4</v>
      </c>
      <c r="K38" s="29">
        <f>8745.7+6188.7</f>
        <v>14934.400000000001</v>
      </c>
      <c r="L38" s="29">
        <v>14346.7</v>
      </c>
      <c r="M38" s="29">
        <v>28463.1</v>
      </c>
      <c r="N38" s="29">
        <v>16579.8</v>
      </c>
      <c r="O38" s="29">
        <v>17392.1</v>
      </c>
      <c r="P38" s="34" t="s">
        <v>19</v>
      </c>
      <c r="Q38" s="32">
        <f>SUM(I38:P38)</f>
        <v>150950.59999999998</v>
      </c>
      <c r="R38" s="36">
        <f>582.3+2924.2+4047</f>
        <v>7553.5</v>
      </c>
      <c r="S38" s="32">
        <f>H38+Q38+R38</f>
        <v>1249019.2999999998</v>
      </c>
    </row>
    <row r="39" spans="1:19" ht="15.75" hidden="1">
      <c r="A39" s="23" t="s">
        <v>60</v>
      </c>
      <c r="B39" s="29">
        <v>817964.4</v>
      </c>
      <c r="C39" s="29">
        <v>4909.3</v>
      </c>
      <c r="D39" s="29">
        <f>4308.5+37853.9</f>
        <v>42162.4</v>
      </c>
      <c r="E39" s="29">
        <v>227161</v>
      </c>
      <c r="F39" s="29">
        <v>7054.1</v>
      </c>
      <c r="G39" s="29">
        <f>11060.5+35866.6+1026.4+549</f>
        <v>48502.5</v>
      </c>
      <c r="H39" s="30">
        <f>SUM(B39:G39)</f>
        <v>1147753.7000000002</v>
      </c>
      <c r="I39" s="29">
        <v>61415.9</v>
      </c>
      <c r="J39" s="31">
        <v>1971.8</v>
      </c>
      <c r="K39" s="29">
        <f>9556.9+6633.3</f>
        <v>16190.2</v>
      </c>
      <c r="L39" s="29">
        <v>14527.4</v>
      </c>
      <c r="M39" s="29">
        <v>29642.2</v>
      </c>
      <c r="N39" s="29">
        <v>17058.4</v>
      </c>
      <c r="O39" s="29">
        <v>18937.1</v>
      </c>
      <c r="P39" s="34" t="s">
        <v>19</v>
      </c>
      <c r="Q39" s="32">
        <f>SUM(I39:P39)</f>
        <v>159743</v>
      </c>
      <c r="R39" s="36">
        <f>4117.4+624.1+2367.8</f>
        <v>7109.3</v>
      </c>
      <c r="S39" s="32">
        <f>H39+Q39+R39</f>
        <v>1314606.0000000002</v>
      </c>
    </row>
    <row r="40" spans="1:19" ht="15.75" hidden="1">
      <c r="A40" s="23" t="s">
        <v>64</v>
      </c>
      <c r="B40" s="29">
        <v>843380.1</v>
      </c>
      <c r="C40" s="29">
        <v>5026.7</v>
      </c>
      <c r="D40" s="29">
        <f>4088.1+38636.9</f>
        <v>42725</v>
      </c>
      <c r="E40" s="29">
        <v>234307</v>
      </c>
      <c r="F40" s="29">
        <v>7206.8</v>
      </c>
      <c r="G40" s="29">
        <f>11153.8+36656.1+560.9+1048.7</f>
        <v>49419.49999999999</v>
      </c>
      <c r="H40" s="30">
        <f>SUM(B40:G40)</f>
        <v>1182065.0999999999</v>
      </c>
      <c r="I40" s="29">
        <v>63124.9</v>
      </c>
      <c r="J40" s="31">
        <v>1986.9</v>
      </c>
      <c r="K40" s="29">
        <f>9822.8+6817.9</f>
        <v>16640.699999999997</v>
      </c>
      <c r="L40" s="29">
        <v>14791.1</v>
      </c>
      <c r="M40" s="29">
        <v>29636.3</v>
      </c>
      <c r="N40" s="29">
        <v>17189.3</v>
      </c>
      <c r="O40" s="29">
        <v>18547.4</v>
      </c>
      <c r="P40" s="34" t="s">
        <v>19</v>
      </c>
      <c r="Q40" s="32">
        <f>SUM(I40:P40)</f>
        <v>161916.6</v>
      </c>
      <c r="R40" s="36">
        <f>4206.4+1355.7+641.5+2398+63.1</f>
        <v>8664.699999999999</v>
      </c>
      <c r="S40" s="32">
        <f>H40+Q40+R40</f>
        <v>1352646.4</v>
      </c>
    </row>
    <row r="41" spans="1:19" ht="15.75" hidden="1">
      <c r="A41" s="23" t="s">
        <v>69</v>
      </c>
      <c r="B41" s="29">
        <v>831585.1</v>
      </c>
      <c r="C41" s="29">
        <v>4893.32</v>
      </c>
      <c r="D41" s="29">
        <f>6718.17+38478.16</f>
        <v>45196.33</v>
      </c>
      <c r="E41" s="29">
        <v>227809.09</v>
      </c>
      <c r="F41" s="29">
        <v>10538.12</v>
      </c>
      <c r="G41" s="29">
        <f>547.2+1023.2+11172.18+35905.65</f>
        <v>48648.23</v>
      </c>
      <c r="H41" s="30">
        <f>SUM(B41:G41)</f>
        <v>1168670.19</v>
      </c>
      <c r="I41" s="29">
        <v>63851.07</v>
      </c>
      <c r="J41" s="31">
        <v>2093.5</v>
      </c>
      <c r="K41" s="29">
        <f>9745.8+6896.4</f>
        <v>16642.199999999997</v>
      </c>
      <c r="L41" s="29">
        <v>15247.66</v>
      </c>
      <c r="M41" s="29">
        <v>14873.4</v>
      </c>
      <c r="N41" s="29">
        <v>17360.54</v>
      </c>
      <c r="O41" s="29">
        <v>19563.76</v>
      </c>
      <c r="P41" s="34" t="s">
        <v>19</v>
      </c>
      <c r="Q41" s="32">
        <f>SUM(I41:P41)</f>
        <v>149632.13</v>
      </c>
      <c r="R41" s="36">
        <f>648.9+4104.3+2268.4</f>
        <v>7021.6</v>
      </c>
      <c r="S41" s="32">
        <f>H41+Q41+R41</f>
        <v>1325323.92</v>
      </c>
    </row>
    <row r="42" spans="1:19" ht="15.75" hidden="1">
      <c r="A42" s="23"/>
      <c r="B42" s="29"/>
      <c r="C42" s="29"/>
      <c r="D42" s="29"/>
      <c r="E42" s="29"/>
      <c r="F42" s="29"/>
      <c r="G42" s="29"/>
      <c r="H42" s="30"/>
      <c r="I42" s="29"/>
      <c r="J42" s="31"/>
      <c r="K42" s="29"/>
      <c r="L42" s="29"/>
      <c r="M42" s="29"/>
      <c r="N42" s="29"/>
      <c r="O42" s="29"/>
      <c r="P42" s="34"/>
      <c r="Q42" s="32"/>
      <c r="R42" s="33"/>
      <c r="S42" s="32"/>
    </row>
    <row r="43" spans="1:19" ht="15.75" hidden="1">
      <c r="A43" s="23" t="s">
        <v>33</v>
      </c>
      <c r="B43" s="29">
        <v>845922.9</v>
      </c>
      <c r="C43" s="29">
        <v>4970.58</v>
      </c>
      <c r="D43" s="29">
        <f>6198.27+38616.55</f>
        <v>44814.82000000001</v>
      </c>
      <c r="E43" s="29">
        <v>231375.04</v>
      </c>
      <c r="F43" s="29">
        <v>10681.2</v>
      </c>
      <c r="G43" s="29">
        <f>11323.88+36304.86+554.7+1037.1</f>
        <v>49220.53999999999</v>
      </c>
      <c r="H43" s="30">
        <f>SUM(B43:G43)</f>
        <v>1186985.08</v>
      </c>
      <c r="I43" s="29">
        <v>64872.97</v>
      </c>
      <c r="J43" s="31">
        <v>2000.5</v>
      </c>
      <c r="K43" s="29">
        <f>9901.8+7006.7</f>
        <v>16908.5</v>
      </c>
      <c r="L43" s="29">
        <v>15312.55</v>
      </c>
      <c r="M43" s="29">
        <v>15057.31</v>
      </c>
      <c r="N43" s="29">
        <v>17302.89</v>
      </c>
      <c r="O43" s="29">
        <v>18964.1</v>
      </c>
      <c r="P43" s="34" t="s">
        <v>19</v>
      </c>
      <c r="Q43" s="32">
        <f>SUM(I43:P43)</f>
        <v>150418.82</v>
      </c>
      <c r="R43" s="36">
        <f>659.3+4160+2299.2</f>
        <v>7118.5</v>
      </c>
      <c r="S43" s="32">
        <f>H43+Q43+R43</f>
        <v>1344522.4000000001</v>
      </c>
    </row>
    <row r="44" spans="1:19" ht="15.75" hidden="1">
      <c r="A44" s="23" t="s">
        <v>76</v>
      </c>
      <c r="B44" s="29">
        <v>884068.7</v>
      </c>
      <c r="C44" s="29">
        <v>5995.2</v>
      </c>
      <c r="D44" s="29">
        <f>6516.2+40441.8</f>
        <v>46958</v>
      </c>
      <c r="E44" s="29">
        <v>239464.7</v>
      </c>
      <c r="F44" s="29">
        <v>11650.8</v>
      </c>
      <c r="G44" s="29">
        <f>11722.6+37784.9+574.2+1073.6</f>
        <v>51155.299999999996</v>
      </c>
      <c r="H44" s="30">
        <f>SUM(B44:G44)</f>
        <v>1239292.7</v>
      </c>
      <c r="I44" s="29">
        <v>68200.6</v>
      </c>
      <c r="J44" s="31">
        <v>2014.3</v>
      </c>
      <c r="K44" s="29">
        <f>10409.7+7366.2</f>
        <v>17775.9</v>
      </c>
      <c r="L44" s="29">
        <v>15750.3</v>
      </c>
      <c r="M44" s="29">
        <v>14916</v>
      </c>
      <c r="N44" s="29">
        <v>17457.1</v>
      </c>
      <c r="O44" s="29">
        <v>18644.6</v>
      </c>
      <c r="P44" s="34" t="s">
        <v>19</v>
      </c>
      <c r="Q44" s="32">
        <f>SUM(I44:P44)</f>
        <v>154758.80000000002</v>
      </c>
      <c r="R44" s="36">
        <f>4306.5+2380.1+693.1</f>
        <v>7379.700000000001</v>
      </c>
      <c r="S44" s="32">
        <f>H44+Q44+R44-0.2</f>
        <v>1401431</v>
      </c>
    </row>
    <row r="45" spans="1:19" ht="15.75" hidden="1">
      <c r="A45" s="23" t="s">
        <v>80</v>
      </c>
      <c r="B45" s="29">
        <v>930286.2</v>
      </c>
      <c r="C45" s="29">
        <v>6279.9</v>
      </c>
      <c r="D45" s="29">
        <v>49771</v>
      </c>
      <c r="E45" s="29">
        <v>250793.4</v>
      </c>
      <c r="F45" s="29">
        <v>11957.1</v>
      </c>
      <c r="G45" s="29">
        <v>53301.2</v>
      </c>
      <c r="H45" s="30">
        <v>1302388.8</v>
      </c>
      <c r="I45" s="29">
        <v>72286.2</v>
      </c>
      <c r="J45" s="31">
        <v>2094.4</v>
      </c>
      <c r="K45" s="29">
        <v>18840.7</v>
      </c>
      <c r="L45" s="29">
        <v>0</v>
      </c>
      <c r="M45" s="29">
        <v>16317.6</v>
      </c>
      <c r="N45" s="29">
        <v>18603.3</v>
      </c>
      <c r="O45" s="29">
        <v>19480.9</v>
      </c>
      <c r="P45" s="34" t="s">
        <v>19</v>
      </c>
      <c r="Q45" s="32">
        <v>147623.1</v>
      </c>
      <c r="R45" s="36">
        <v>7596.9</v>
      </c>
      <c r="S45" s="32">
        <v>1457608.8</v>
      </c>
    </row>
    <row r="46" spans="1:19" ht="15.75" hidden="1">
      <c r="A46" s="23" t="s">
        <v>85</v>
      </c>
      <c r="B46" s="29">
        <v>971239.2</v>
      </c>
      <c r="C46" s="29">
        <v>6604.5</v>
      </c>
      <c r="D46" s="29">
        <f>6451.3+45393.2</f>
        <v>51844.5</v>
      </c>
      <c r="E46" s="29">
        <v>260315.3</v>
      </c>
      <c r="F46" s="29">
        <v>12280.3</v>
      </c>
      <c r="G46" s="29">
        <f>12231.5+47593.3+1134+606.5</f>
        <v>61565.3</v>
      </c>
      <c r="H46" s="30">
        <f>SUM(B46:G46)</f>
        <v>1363849.1</v>
      </c>
      <c r="I46" s="29">
        <v>78060</v>
      </c>
      <c r="J46" s="31">
        <v>2215.4</v>
      </c>
      <c r="K46" s="29">
        <f>11914.5+8431</f>
        <v>20345.5</v>
      </c>
      <c r="L46" s="35" t="s">
        <v>19</v>
      </c>
      <c r="M46" s="29">
        <v>17214.6</v>
      </c>
      <c r="N46" s="29">
        <v>20145.2</v>
      </c>
      <c r="O46" s="29">
        <v>20856.7</v>
      </c>
      <c r="P46" s="34" t="s">
        <v>19</v>
      </c>
      <c r="Q46" s="32">
        <f>SUM(I46:P46)</f>
        <v>158837.40000000002</v>
      </c>
      <c r="R46" s="36">
        <f>4548.9+2514.1+793.3</f>
        <v>7856.3</v>
      </c>
      <c r="S46" s="32">
        <f>H46+Q46+R46</f>
        <v>1530542.8</v>
      </c>
    </row>
    <row r="47" spans="1:19" ht="15.75" hidden="1">
      <c r="A47" s="23"/>
      <c r="B47" s="29"/>
      <c r="C47" s="29"/>
      <c r="D47" s="29"/>
      <c r="E47" s="29"/>
      <c r="F47" s="29"/>
      <c r="G47" s="29"/>
      <c r="H47" s="30"/>
      <c r="I47" s="29"/>
      <c r="J47" s="31"/>
      <c r="K47" s="29"/>
      <c r="L47" s="35"/>
      <c r="M47" s="29"/>
      <c r="N47" s="29"/>
      <c r="O47" s="29"/>
      <c r="P47" s="34"/>
      <c r="Q47" s="32"/>
      <c r="R47" s="36"/>
      <c r="S47" s="32"/>
    </row>
    <row r="48" spans="1:19" ht="15.75" hidden="1">
      <c r="A48" s="23" t="s">
        <v>46</v>
      </c>
      <c r="B48" s="29">
        <v>1035536.1</v>
      </c>
      <c r="C48" s="29">
        <v>7030.7</v>
      </c>
      <c r="D48" s="29">
        <f>7100.9+49334.2</f>
        <v>56435.1</v>
      </c>
      <c r="E48" s="29">
        <v>277311.4</v>
      </c>
      <c r="F48" s="29">
        <v>12700.2</v>
      </c>
      <c r="G48" s="29">
        <f>12296.9+51472.4+627.3+1172.8</f>
        <v>65569.40000000001</v>
      </c>
      <c r="H48" s="30">
        <f>SUM(B48:G48)</f>
        <v>1454582.8999999997</v>
      </c>
      <c r="I48" s="29">
        <v>85920.3</v>
      </c>
      <c r="J48" s="31">
        <v>2160.8</v>
      </c>
      <c r="K48" s="35" t="s">
        <v>19</v>
      </c>
      <c r="L48" s="35" t="s">
        <v>19</v>
      </c>
      <c r="M48" s="29">
        <v>19826.1</v>
      </c>
      <c r="N48" s="29">
        <v>19817</v>
      </c>
      <c r="O48" s="29">
        <v>20438.5</v>
      </c>
      <c r="P48" s="34" t="s">
        <v>19</v>
      </c>
      <c r="Q48" s="32">
        <f>SUM(I48:P48)</f>
        <v>148162.7</v>
      </c>
      <c r="R48" s="36">
        <f>873.2+4704.4+2600</f>
        <v>8177.599999999999</v>
      </c>
      <c r="S48" s="32">
        <f>H48+Q48+R48</f>
        <v>1610923.1999999997</v>
      </c>
    </row>
    <row r="49" spans="1:19" ht="15.75" hidden="1">
      <c r="A49" s="23" t="s">
        <v>92</v>
      </c>
      <c r="B49" s="29">
        <v>1032264.5</v>
      </c>
      <c r="C49" s="29">
        <v>7020</v>
      </c>
      <c r="D49" s="29">
        <f>7165+49779.8</f>
        <v>56944.8</v>
      </c>
      <c r="E49" s="29">
        <v>276429.1</v>
      </c>
      <c r="F49" s="29">
        <v>12012.5</v>
      </c>
      <c r="G49" s="29">
        <f>12370.8+52259.8+631+1179.8</f>
        <v>66441.40000000001</v>
      </c>
      <c r="H49" s="30">
        <f>SUM(B49:G49)</f>
        <v>1451112.2999999998</v>
      </c>
      <c r="I49" s="29">
        <v>86696.3</v>
      </c>
      <c r="J49" s="31">
        <v>2289.9</v>
      </c>
      <c r="K49" s="35" t="s">
        <v>19</v>
      </c>
      <c r="L49" s="35" t="s">
        <v>19</v>
      </c>
      <c r="M49" s="29">
        <v>18793.8</v>
      </c>
      <c r="N49" s="29">
        <v>21639.4</v>
      </c>
      <c r="O49" s="29">
        <v>21565.7</v>
      </c>
      <c r="P49" s="34" t="s">
        <v>19</v>
      </c>
      <c r="Q49" s="32">
        <f>SUM(I49:P49)</f>
        <v>150985.1</v>
      </c>
      <c r="R49" s="36">
        <f>881.1+4732.7+2615.7</f>
        <v>8229.5</v>
      </c>
      <c r="S49" s="32">
        <f>H49+Q49+R49-0.1</f>
        <v>1610326.7999999998</v>
      </c>
    </row>
    <row r="50" spans="1:19" ht="15.75" hidden="1">
      <c r="A50" s="23" t="s">
        <v>95</v>
      </c>
      <c r="B50" s="29">
        <v>993533.2</v>
      </c>
      <c r="C50" s="29">
        <v>6746.1</v>
      </c>
      <c r="D50" s="29">
        <f>6537.1+46008.3</f>
        <v>52545.4</v>
      </c>
      <c r="E50" s="29">
        <v>264181.8</v>
      </c>
      <c r="F50" s="29">
        <v>12527.4</v>
      </c>
      <c r="G50" s="29">
        <f>630.5+1178.9+12361.4+50225.3</f>
        <v>64396.100000000006</v>
      </c>
      <c r="H50" s="30">
        <f>SUM(B50:G50)</f>
        <v>1393930</v>
      </c>
      <c r="I50" s="29">
        <v>80127.8</v>
      </c>
      <c r="J50" s="31">
        <v>2247.3</v>
      </c>
      <c r="K50" s="35" t="s">
        <v>19</v>
      </c>
      <c r="L50" s="35" t="s">
        <v>19</v>
      </c>
      <c r="M50" s="29">
        <v>18804.1</v>
      </c>
      <c r="N50" s="29">
        <v>21020.5</v>
      </c>
      <c r="O50" s="29">
        <v>19510.3</v>
      </c>
      <c r="P50" s="34" t="s">
        <v>19</v>
      </c>
      <c r="Q50" s="32">
        <f>SUM(I50:P50)</f>
        <v>141710</v>
      </c>
      <c r="R50" s="36">
        <f>814.3+4729.1+2613.6</f>
        <v>8157</v>
      </c>
      <c r="S50" s="32">
        <f>H50+Q50+R50</f>
        <v>1543797</v>
      </c>
    </row>
    <row r="51" spans="1:19" ht="15.75" hidden="1">
      <c r="A51" s="23" t="s">
        <v>98</v>
      </c>
      <c r="B51" s="29">
        <v>1011484.9</v>
      </c>
      <c r="C51" s="29">
        <v>6838.5</v>
      </c>
      <c r="D51" s="29">
        <f>6414.7+44140.4</f>
        <v>50555.1</v>
      </c>
      <c r="E51" s="29">
        <v>265610.2</v>
      </c>
      <c r="F51" s="29">
        <v>12700.4</v>
      </c>
      <c r="G51" s="29">
        <f>12537.5+51025.4+1231.1+658.4</f>
        <v>65452.4</v>
      </c>
      <c r="H51" s="30">
        <f>SUM(B51:G51)</f>
        <v>1412641.4999999998</v>
      </c>
      <c r="I51" s="29">
        <v>78627.8</v>
      </c>
      <c r="J51" s="31">
        <v>2341.2</v>
      </c>
      <c r="K51" s="35" t="s">
        <v>19</v>
      </c>
      <c r="L51" s="35" t="s">
        <v>19</v>
      </c>
      <c r="M51" s="29">
        <v>23015.9</v>
      </c>
      <c r="N51" s="29">
        <v>21478.3</v>
      </c>
      <c r="O51" s="29">
        <v>22186.6</v>
      </c>
      <c r="P51" s="34" t="s">
        <v>19</v>
      </c>
      <c r="Q51" s="32">
        <f>SUM(I51:P51)</f>
        <v>147649.8</v>
      </c>
      <c r="R51" s="36">
        <f>4938.1+2729.2</f>
        <v>7667.3</v>
      </c>
      <c r="S51" s="32">
        <f>H51+Q51+R51</f>
        <v>1567958.5999999999</v>
      </c>
    </row>
    <row r="52" spans="1:19" ht="15.75" hidden="1">
      <c r="A52" s="23"/>
      <c r="B52" s="29"/>
      <c r="C52" s="29"/>
      <c r="D52" s="29"/>
      <c r="E52" s="29"/>
      <c r="F52" s="29"/>
      <c r="G52" s="29"/>
      <c r="H52" s="30"/>
      <c r="I52" s="29"/>
      <c r="J52" s="31"/>
      <c r="K52" s="29"/>
      <c r="L52" s="29"/>
      <c r="M52" s="29"/>
      <c r="N52" s="29"/>
      <c r="O52" s="29"/>
      <c r="P52" s="34"/>
      <c r="Q52" s="32"/>
      <c r="R52" s="33"/>
      <c r="S52" s="32"/>
    </row>
    <row r="53" spans="1:19" ht="15.75" hidden="1">
      <c r="A53" s="23" t="s">
        <v>25</v>
      </c>
      <c r="B53" s="29">
        <v>905047.7</v>
      </c>
      <c r="C53" s="29">
        <v>11567.3</v>
      </c>
      <c r="D53" s="29">
        <f>17405.8+57714.5</f>
        <v>75120.3</v>
      </c>
      <c r="E53" s="29">
        <v>255205.9</v>
      </c>
      <c r="F53" s="29">
        <v>9923.1</v>
      </c>
      <c r="G53" s="29">
        <f>1132.2+605.6+12792+36878.1</f>
        <v>51407.899999999994</v>
      </c>
      <c r="H53" s="30">
        <f aca="true" t="shared" si="8" ref="H53:H144">SUM(B53:G53)</f>
        <v>1308272.2</v>
      </c>
      <c r="I53" s="29">
        <v>71531.2</v>
      </c>
      <c r="J53" s="31">
        <v>2078.3</v>
      </c>
      <c r="K53" s="29">
        <f>10612+7509.3</f>
        <v>18121.3</v>
      </c>
      <c r="L53" s="29">
        <v>15167.8</v>
      </c>
      <c r="M53" s="29">
        <v>36262.8</v>
      </c>
      <c r="N53" s="29">
        <v>17648.8</v>
      </c>
      <c r="O53" s="29">
        <v>20245.3</v>
      </c>
      <c r="P53" s="34">
        <v>140</v>
      </c>
      <c r="Q53" s="32">
        <f aca="true" t="shared" si="9" ref="Q53:Q77">SUM(I53:P53)</f>
        <v>181195.5</v>
      </c>
      <c r="R53" s="33">
        <f>706.6+6968.5+4541.7</f>
        <v>12216.8</v>
      </c>
      <c r="S53" s="32">
        <f aca="true" t="shared" si="10" ref="S53:S63">H53+Q53+R53</f>
        <v>1501684.5</v>
      </c>
    </row>
    <row r="54" spans="1:19" ht="15.75" hidden="1">
      <c r="A54" s="23" t="s">
        <v>26</v>
      </c>
      <c r="B54" s="29">
        <v>902348.1</v>
      </c>
      <c r="C54" s="29">
        <v>11455.2</v>
      </c>
      <c r="D54" s="29">
        <f>17427.6+57076.5</f>
        <v>74504.1</v>
      </c>
      <c r="E54" s="29">
        <v>252470.2</v>
      </c>
      <c r="F54" s="29">
        <v>9222.4</v>
      </c>
      <c r="G54" s="29">
        <f>12792.5+36484.9+605.6+1132.3</f>
        <v>51015.3</v>
      </c>
      <c r="H54" s="30">
        <f t="shared" si="8"/>
        <v>1301015.2999999998</v>
      </c>
      <c r="I54" s="29">
        <v>71620.9</v>
      </c>
      <c r="J54" s="31">
        <v>2178.9</v>
      </c>
      <c r="K54" s="29">
        <f>10625.3+7518.8</f>
        <v>18144.1</v>
      </c>
      <c r="L54" s="29">
        <v>15629.4</v>
      </c>
      <c r="M54" s="29">
        <v>35686</v>
      </c>
      <c r="N54" s="29">
        <v>18638</v>
      </c>
      <c r="O54" s="29">
        <v>19863.7</v>
      </c>
      <c r="P54" s="34">
        <v>140</v>
      </c>
      <c r="Q54" s="32">
        <f t="shared" si="9"/>
        <v>181901</v>
      </c>
      <c r="R54" s="33">
        <f>707.5+6628.1+4541.8</f>
        <v>11877.400000000001</v>
      </c>
      <c r="S54" s="32">
        <f t="shared" si="10"/>
        <v>1494793.6999999997</v>
      </c>
    </row>
    <row r="55" spans="1:19" ht="15.75" hidden="1">
      <c r="A55" s="23" t="s">
        <v>34</v>
      </c>
      <c r="B55" s="29">
        <v>916417</v>
      </c>
      <c r="C55" s="29">
        <v>11639.4</v>
      </c>
      <c r="D55" s="29">
        <f>17705.9+58361</f>
        <v>76066.9</v>
      </c>
      <c r="E55" s="29">
        <v>256530.3</v>
      </c>
      <c r="F55" s="29">
        <v>9315.3</v>
      </c>
      <c r="G55" s="29">
        <f>37394.3+12762+611.7+1143.7</f>
        <v>51911.7</v>
      </c>
      <c r="H55" s="30">
        <f t="shared" si="8"/>
        <v>1321880.6</v>
      </c>
      <c r="I55" s="29">
        <v>73281.9</v>
      </c>
      <c r="J55" s="31">
        <v>2189.4</v>
      </c>
      <c r="K55" s="29">
        <f>10871.8+7693.2</f>
        <v>18565</v>
      </c>
      <c r="L55" s="29">
        <v>15913.9</v>
      </c>
      <c r="M55" s="29">
        <v>35931.3</v>
      </c>
      <c r="N55" s="29">
        <v>18770.2</v>
      </c>
      <c r="O55" s="29">
        <v>20873.9</v>
      </c>
      <c r="P55" s="34">
        <v>141.4</v>
      </c>
      <c r="Q55" s="32">
        <f t="shared" si="9"/>
        <v>185667</v>
      </c>
      <c r="R55" s="33">
        <f>723.9+6006.7+4587.5</f>
        <v>11318.099999999999</v>
      </c>
      <c r="S55" s="32">
        <f t="shared" si="10"/>
        <v>1518865.7000000002</v>
      </c>
    </row>
    <row r="56" spans="1:19" ht="15.75" hidden="1">
      <c r="A56" s="23" t="s">
        <v>35</v>
      </c>
      <c r="B56" s="29">
        <v>909526.7</v>
      </c>
      <c r="C56" s="29">
        <v>11327.9</v>
      </c>
      <c r="D56" s="29">
        <f>17092.2+56299.5</f>
        <v>73391.7</v>
      </c>
      <c r="E56" s="29">
        <v>248275.8</v>
      </c>
      <c r="F56" s="29">
        <v>8943.3</v>
      </c>
      <c r="G56" s="29">
        <f>1124.9+601.7+12553.2+36441.9</f>
        <v>50721.700000000004</v>
      </c>
      <c r="H56" s="30">
        <f t="shared" si="8"/>
        <v>1302187.0999999999</v>
      </c>
      <c r="I56" s="29">
        <v>70741.8</v>
      </c>
      <c r="J56" s="31">
        <v>2189.4</v>
      </c>
      <c r="K56" s="29">
        <f>10495+7426.5</f>
        <v>17921.5</v>
      </c>
      <c r="L56" s="29">
        <v>15565.5</v>
      </c>
      <c r="M56" s="29">
        <v>34671.4</v>
      </c>
      <c r="N56" s="29">
        <v>18546.9</v>
      </c>
      <c r="O56" s="29">
        <v>20217.7</v>
      </c>
      <c r="P56" s="34">
        <v>139.1</v>
      </c>
      <c r="Q56" s="32">
        <f t="shared" si="9"/>
        <v>179993.30000000002</v>
      </c>
      <c r="R56" s="33">
        <f>4512.5+5333.1+698.8</f>
        <v>10544.4</v>
      </c>
      <c r="S56" s="32">
        <f t="shared" si="10"/>
        <v>1492724.7999999998</v>
      </c>
    </row>
    <row r="57" spans="1:19" ht="15.75" hidden="1">
      <c r="A57" s="23" t="s">
        <v>36</v>
      </c>
      <c r="B57" s="29">
        <v>887249.4</v>
      </c>
      <c r="C57" s="29">
        <v>11031.1</v>
      </c>
      <c r="D57" s="29">
        <f>16453.3+54194.9</f>
        <v>70648.2</v>
      </c>
      <c r="E57" s="29">
        <v>241772.4</v>
      </c>
      <c r="F57" s="29">
        <v>7954.9</v>
      </c>
      <c r="G57" s="29">
        <f>12319.6+35487.2+590.5+1104</f>
        <v>49501.299999999996</v>
      </c>
      <c r="H57" s="30">
        <f t="shared" si="8"/>
        <v>1268157.2999999998</v>
      </c>
      <c r="I57" s="29">
        <v>67973</v>
      </c>
      <c r="J57" s="31">
        <v>2157.9</v>
      </c>
      <c r="K57" s="29">
        <f>10102.6+7148.9</f>
        <v>17251.5</v>
      </c>
      <c r="L57" s="29">
        <v>15564.9</v>
      </c>
      <c r="M57" s="29">
        <v>34214.9</v>
      </c>
      <c r="N57" s="29">
        <v>18494.9</v>
      </c>
      <c r="O57" s="29">
        <v>20092</v>
      </c>
      <c r="P57" s="34">
        <v>136.5</v>
      </c>
      <c r="Q57" s="32">
        <f t="shared" si="9"/>
        <v>175885.59999999998</v>
      </c>
      <c r="R57" s="33">
        <f>672.7+4901.7+4428.5</f>
        <v>10002.9</v>
      </c>
      <c r="S57" s="32">
        <f t="shared" si="10"/>
        <v>1454045.7999999998</v>
      </c>
    </row>
    <row r="58" spans="1:19" ht="15.75" hidden="1">
      <c r="A58" s="23" t="s">
        <v>18</v>
      </c>
      <c r="B58" s="29">
        <v>863736.1</v>
      </c>
      <c r="C58" s="29">
        <v>10700.7</v>
      </c>
      <c r="D58" s="29">
        <f>15268.7+51222.5</f>
        <v>66491.2</v>
      </c>
      <c r="E58" s="29">
        <v>234532.4</v>
      </c>
      <c r="F58" s="29">
        <v>7875.7</v>
      </c>
      <c r="G58" s="29">
        <f>12197.2+34366+584.6+1093</f>
        <v>48240.799999999996</v>
      </c>
      <c r="H58" s="30">
        <f t="shared" si="8"/>
        <v>1231576.9</v>
      </c>
      <c r="I58" s="29">
        <v>64492</v>
      </c>
      <c r="J58" s="31">
        <v>2029.3</v>
      </c>
      <c r="K58" s="29">
        <f>9585.2+6782.8</f>
        <v>16368</v>
      </c>
      <c r="L58" s="29">
        <v>15170.9</v>
      </c>
      <c r="M58" s="29">
        <v>33285.5</v>
      </c>
      <c r="N58" s="29">
        <v>17929.8</v>
      </c>
      <c r="O58" s="29">
        <v>18926.3</v>
      </c>
      <c r="P58" s="34">
        <v>135.1</v>
      </c>
      <c r="Q58" s="32">
        <f t="shared" si="9"/>
        <v>168336.9</v>
      </c>
      <c r="R58" s="33">
        <f>638.2+4370.7+4384.5</f>
        <v>9393.4</v>
      </c>
      <c r="S58" s="32">
        <f t="shared" si="10"/>
        <v>1409307.1999999997</v>
      </c>
    </row>
    <row r="59" spans="1:19" ht="15.75" hidden="1">
      <c r="A59" s="23" t="s">
        <v>37</v>
      </c>
      <c r="B59" s="29">
        <v>842703.1</v>
      </c>
      <c r="C59" s="29">
        <v>10430.6</v>
      </c>
      <c r="D59" s="29">
        <f>14933.1+50096.4</f>
        <v>65029.5</v>
      </c>
      <c r="E59" s="29">
        <v>228609</v>
      </c>
      <c r="F59" s="29">
        <v>7774.1</v>
      </c>
      <c r="G59" s="29">
        <f>577+1078.9+12039.7+33497.8</f>
        <v>47193.4</v>
      </c>
      <c r="H59" s="30">
        <f t="shared" si="8"/>
        <v>1201739.7</v>
      </c>
      <c r="I59" s="29">
        <v>63074.1</v>
      </c>
      <c r="J59" s="31">
        <v>2083.5</v>
      </c>
      <c r="K59" s="29">
        <f>9374.5+6633.7</f>
        <v>16008.2</v>
      </c>
      <c r="L59" s="29">
        <v>15012</v>
      </c>
      <c r="M59" s="29">
        <v>31857</v>
      </c>
      <c r="N59" s="29">
        <v>17857.3</v>
      </c>
      <c r="O59" s="29">
        <v>19102.7</v>
      </c>
      <c r="P59" s="34">
        <v>133.4</v>
      </c>
      <c r="Q59" s="32">
        <f t="shared" si="9"/>
        <v>165128.2</v>
      </c>
      <c r="R59" s="33">
        <f>624.2+4327.9+3913.9</f>
        <v>8866</v>
      </c>
      <c r="S59" s="32">
        <f t="shared" si="10"/>
        <v>1375733.9</v>
      </c>
    </row>
    <row r="60" spans="1:19" ht="15.75" hidden="1">
      <c r="A60" s="23" t="s">
        <v>38</v>
      </c>
      <c r="B60" s="29">
        <v>842345.8</v>
      </c>
      <c r="C60" s="29">
        <v>10379.8</v>
      </c>
      <c r="D60" s="29">
        <f>15042.3+50206.7</f>
        <v>65249</v>
      </c>
      <c r="E60" s="29">
        <v>238100.6</v>
      </c>
      <c r="F60" s="29">
        <v>7684</v>
      </c>
      <c r="G60" s="29">
        <f>11900.1+33476.6+570.4+1066.4</f>
        <v>47013.5</v>
      </c>
      <c r="H60" s="30">
        <f t="shared" si="8"/>
        <v>1210772.7000000002</v>
      </c>
      <c r="I60" s="29">
        <v>63536</v>
      </c>
      <c r="J60" s="31">
        <v>2157.9</v>
      </c>
      <c r="K60" s="29">
        <f>9443.2+6682.2</f>
        <v>16125.400000000001</v>
      </c>
      <c r="L60" s="29">
        <v>15041.1</v>
      </c>
      <c r="M60" s="29">
        <v>31838.5</v>
      </c>
      <c r="N60" s="29">
        <v>17470.9</v>
      </c>
      <c r="O60" s="29">
        <v>20092</v>
      </c>
      <c r="P60" s="34">
        <v>131.8</v>
      </c>
      <c r="Q60" s="32">
        <f t="shared" si="9"/>
        <v>166393.59999999998</v>
      </c>
      <c r="R60" s="33">
        <f>628.7+3793.7+4277.7</f>
        <v>8700.099999999999</v>
      </c>
      <c r="S60" s="32">
        <f t="shared" si="10"/>
        <v>1385866.4000000004</v>
      </c>
    </row>
    <row r="61" spans="1:19" ht="15.75" hidden="1">
      <c r="A61" s="23" t="s">
        <v>39</v>
      </c>
      <c r="B61" s="29">
        <v>826844.5</v>
      </c>
      <c r="C61" s="29">
        <v>10186.7</v>
      </c>
      <c r="D61" s="29">
        <f>14733+48995.7</f>
        <v>63728.7</v>
      </c>
      <c r="E61" s="29">
        <v>234167.8</v>
      </c>
      <c r="F61" s="29">
        <v>7536.3</v>
      </c>
      <c r="G61" s="29">
        <f>11671.6+33174+559.4+1045.9</f>
        <v>46450.9</v>
      </c>
      <c r="H61" s="30">
        <f t="shared" si="8"/>
        <v>1188914.9</v>
      </c>
      <c r="I61" s="29">
        <v>62229.9</v>
      </c>
      <c r="J61" s="31">
        <v>2037.7</v>
      </c>
      <c r="K61" s="29">
        <f>9249+6544.9</f>
        <v>15793.9</v>
      </c>
      <c r="L61" s="29">
        <v>15039</v>
      </c>
      <c r="M61" s="29">
        <v>31162</v>
      </c>
      <c r="N61" s="29">
        <v>17468.3</v>
      </c>
      <c r="O61" s="29">
        <v>19097.6</v>
      </c>
      <c r="P61" s="34">
        <v>129.3</v>
      </c>
      <c r="Q61" s="32">
        <f t="shared" si="9"/>
        <v>162957.69999999998</v>
      </c>
      <c r="R61" s="33">
        <f>615.8+3332.8+4195.6</f>
        <v>8144.200000000001</v>
      </c>
      <c r="S61" s="32">
        <f t="shared" si="10"/>
        <v>1360016.7999999998</v>
      </c>
    </row>
    <row r="62" spans="1:19" ht="15.75" hidden="1">
      <c r="A62" s="23" t="s">
        <v>40</v>
      </c>
      <c r="B62" s="29">
        <v>799921.1</v>
      </c>
      <c r="C62" s="29">
        <v>9813.7</v>
      </c>
      <c r="D62" s="29">
        <f>14104.9+46906.8</f>
        <v>61011.700000000004</v>
      </c>
      <c r="E62" s="29">
        <v>224415.3</v>
      </c>
      <c r="F62" s="29">
        <v>7356.6</v>
      </c>
      <c r="G62" s="29">
        <f>11393.1+31959.5+546.1+1021</f>
        <v>44919.7</v>
      </c>
      <c r="H62" s="30">
        <f t="shared" si="8"/>
        <v>1147438.0999999999</v>
      </c>
      <c r="I62" s="29">
        <v>59576.9</v>
      </c>
      <c r="J62" s="31">
        <v>1994.9</v>
      </c>
      <c r="K62" s="29">
        <f>8854.7+6265.8</f>
        <v>15120.5</v>
      </c>
      <c r="L62" s="29">
        <v>14626.9</v>
      </c>
      <c r="M62" s="29">
        <v>29456.5</v>
      </c>
      <c r="N62" s="29">
        <v>17094</v>
      </c>
      <c r="O62" s="29">
        <v>18222.5</v>
      </c>
      <c r="P62" s="34">
        <v>126.2</v>
      </c>
      <c r="Q62" s="32">
        <f t="shared" si="9"/>
        <v>156218.40000000002</v>
      </c>
      <c r="R62" s="33">
        <f>589.6+3253.2+4095.5</f>
        <v>7938.299999999999</v>
      </c>
      <c r="S62" s="32">
        <f t="shared" si="10"/>
        <v>1311594.8</v>
      </c>
    </row>
    <row r="63" spans="1:19" ht="15.75" hidden="1">
      <c r="A63" s="23" t="s">
        <v>41</v>
      </c>
      <c r="B63" s="29">
        <v>777011.9</v>
      </c>
      <c r="C63" s="29">
        <v>9512</v>
      </c>
      <c r="D63" s="29">
        <f>13580.5+45162.5</f>
        <v>58743</v>
      </c>
      <c r="E63" s="29">
        <v>217519.3</v>
      </c>
      <c r="F63" s="29">
        <v>7236.2</v>
      </c>
      <c r="G63" s="29">
        <f>11206.9+30857.2+537.1+1004.3</f>
        <v>43605.5</v>
      </c>
      <c r="H63" s="30">
        <f t="shared" si="8"/>
        <v>1113627.9</v>
      </c>
      <c r="I63" s="29">
        <v>57361.5</v>
      </c>
      <c r="J63" s="31">
        <v>1920.2</v>
      </c>
      <c r="K63" s="29">
        <f>8525.5+6032.8</f>
        <v>14558.3</v>
      </c>
      <c r="L63" s="29">
        <v>14151.8</v>
      </c>
      <c r="M63" s="29">
        <v>28027.7</v>
      </c>
      <c r="N63" s="29">
        <v>16459.2</v>
      </c>
      <c r="O63" s="29">
        <v>17720.5</v>
      </c>
      <c r="P63" s="34">
        <v>124.1</v>
      </c>
      <c r="Q63" s="32">
        <f t="shared" si="9"/>
        <v>150323.30000000002</v>
      </c>
      <c r="R63" s="33">
        <f>567.6+2233.2+4028.5</f>
        <v>6829.299999999999</v>
      </c>
      <c r="S63" s="32">
        <f t="shared" si="10"/>
        <v>1270780.5</v>
      </c>
    </row>
    <row r="64" spans="1:19" ht="15.75" hidden="1">
      <c r="A64" s="23" t="s">
        <v>42</v>
      </c>
      <c r="B64" s="35">
        <v>762032.6</v>
      </c>
      <c r="C64" s="29">
        <v>4635.6</v>
      </c>
      <c r="D64" s="29">
        <f>5460.3+35212.4</f>
        <v>40672.700000000004</v>
      </c>
      <c r="E64" s="29">
        <v>213652</v>
      </c>
      <c r="F64" s="29">
        <v>7755.2</v>
      </c>
      <c r="G64" s="29">
        <f>11042.9+31896.8+532.5+995.7</f>
        <v>44467.899999999994</v>
      </c>
      <c r="H64" s="30">
        <f t="shared" si="8"/>
        <v>1073215.9999999998</v>
      </c>
      <c r="I64" s="29">
        <v>55640.1</v>
      </c>
      <c r="J64" s="31">
        <v>1911</v>
      </c>
      <c r="K64" s="29">
        <f>8492.5+6009.5</f>
        <v>14502</v>
      </c>
      <c r="L64" s="29">
        <v>14070.5</v>
      </c>
      <c r="M64" s="29">
        <v>27781.2</v>
      </c>
      <c r="N64" s="29">
        <v>17562.5</v>
      </c>
      <c r="O64" s="29">
        <v>17133.8</v>
      </c>
      <c r="P64" s="34" t="s">
        <v>19</v>
      </c>
      <c r="Q64" s="32">
        <f t="shared" si="9"/>
        <v>148601.09999999998</v>
      </c>
      <c r="R64" s="33">
        <f>565.5+3994.1+3994.1+14288.4</f>
        <v>22842.1</v>
      </c>
      <c r="S64" s="32">
        <f>H64+Q64+R64</f>
        <v>1244659.1999999997</v>
      </c>
    </row>
    <row r="65" spans="1:19" ht="15.75" hidden="1">
      <c r="A65" s="23"/>
      <c r="B65" s="29"/>
      <c r="C65" s="29"/>
      <c r="D65" s="29"/>
      <c r="E65" s="29"/>
      <c r="F65" s="29"/>
      <c r="G65" s="29"/>
      <c r="H65" s="30"/>
      <c r="I65" s="29"/>
      <c r="J65" s="31"/>
      <c r="K65" s="29"/>
      <c r="L65" s="29"/>
      <c r="M65" s="29"/>
      <c r="N65" s="29"/>
      <c r="O65" s="29"/>
      <c r="P65" s="34"/>
      <c r="Q65" s="32"/>
      <c r="R65" s="33"/>
      <c r="S65" s="32"/>
    </row>
    <row r="66" spans="1:19" ht="15.75" hidden="1">
      <c r="A66" s="23" t="s">
        <v>29</v>
      </c>
      <c r="B66" s="29">
        <v>772462.1</v>
      </c>
      <c r="C66" s="29">
        <v>4711.7</v>
      </c>
      <c r="D66" s="29">
        <f>4801.2+36014.7</f>
        <v>40815.899999999994</v>
      </c>
      <c r="E66" s="29">
        <v>217158.1</v>
      </c>
      <c r="F66" s="29">
        <v>7772.7</v>
      </c>
      <c r="G66" s="29">
        <f>10967+32518.3+533.7+997.9</f>
        <v>45016.9</v>
      </c>
      <c r="H66" s="30">
        <f t="shared" si="8"/>
        <v>1087937.4</v>
      </c>
      <c r="I66" s="29">
        <v>57059.1</v>
      </c>
      <c r="J66" s="31">
        <v>1892.1</v>
      </c>
      <c r="K66" s="29">
        <f>8709.1+6162.8</f>
        <v>14871.900000000001</v>
      </c>
      <c r="L66" s="29">
        <v>14065.8</v>
      </c>
      <c r="M66" s="29">
        <v>28555.7</v>
      </c>
      <c r="N66" s="29">
        <v>16210.8</v>
      </c>
      <c r="O66" s="29">
        <v>17130.7</v>
      </c>
      <c r="P66" s="34" t="s">
        <v>19</v>
      </c>
      <c r="Q66" s="32">
        <f t="shared" si="9"/>
        <v>149786.1</v>
      </c>
      <c r="R66" s="34">
        <f>579.9+4003.3+4003</f>
        <v>8586.2</v>
      </c>
      <c r="S66" s="32">
        <f aca="true" t="shared" si="11" ref="S66:S77">H66+Q66+R66</f>
        <v>1246309.7</v>
      </c>
    </row>
    <row r="67" spans="1:19" ht="15.75" hidden="1">
      <c r="A67" s="23" t="s">
        <v>44</v>
      </c>
      <c r="B67" s="29">
        <v>770210.6</v>
      </c>
      <c r="C67" s="29">
        <v>4662.5</v>
      </c>
      <c r="D67" s="29">
        <f>3976.3+35502.4</f>
        <v>39478.700000000004</v>
      </c>
      <c r="E67" s="29">
        <v>215783.3</v>
      </c>
      <c r="F67" s="29">
        <v>7816.9</v>
      </c>
      <c r="G67" s="29">
        <f>10928.4+33338.3+1003.6+536.8</f>
        <v>45807.100000000006</v>
      </c>
      <c r="H67" s="30">
        <f t="shared" si="8"/>
        <v>1083759.0999999999</v>
      </c>
      <c r="I67" s="29">
        <v>56681.5</v>
      </c>
      <c r="J67" s="31">
        <v>1930.2</v>
      </c>
      <c r="K67" s="29">
        <f>8651.5+6122</f>
        <v>14773.5</v>
      </c>
      <c r="L67" s="29">
        <v>14324.8</v>
      </c>
      <c r="M67" s="29">
        <v>28154.3</v>
      </c>
      <c r="N67" s="29">
        <v>16533.5</v>
      </c>
      <c r="O67" s="29">
        <v>18389.6</v>
      </c>
      <c r="P67" s="34" t="s">
        <v>19</v>
      </c>
      <c r="Q67" s="32">
        <f t="shared" si="9"/>
        <v>150787.4</v>
      </c>
      <c r="R67" s="36">
        <f>576+3724.2+4025.9</f>
        <v>8326.1</v>
      </c>
      <c r="S67" s="32">
        <f t="shared" si="11"/>
        <v>1242872.5999999999</v>
      </c>
    </row>
    <row r="68" spans="1:19" ht="15.75" hidden="1">
      <c r="A68" s="23" t="s">
        <v>45</v>
      </c>
      <c r="B68" s="29">
        <v>777528.6</v>
      </c>
      <c r="C68" s="29">
        <v>4694.1</v>
      </c>
      <c r="D68" s="29">
        <f>4019.6+35316.5</f>
        <v>39336.1</v>
      </c>
      <c r="E68" s="29">
        <v>215746.1</v>
      </c>
      <c r="F68" s="29">
        <v>7361.4</v>
      </c>
      <c r="G68" s="29">
        <f>10884+33416.4+539.6+1008.9</f>
        <v>45848.9</v>
      </c>
      <c r="H68" s="30">
        <f t="shared" si="8"/>
        <v>1090515.2</v>
      </c>
      <c r="I68" s="29">
        <v>57299.1</v>
      </c>
      <c r="J68" s="31">
        <v>1935.4</v>
      </c>
      <c r="K68" s="29">
        <f>8745.7+6188.7</f>
        <v>14934.400000000001</v>
      </c>
      <c r="L68" s="29">
        <v>14346.7</v>
      </c>
      <c r="M68" s="29">
        <v>28463.1</v>
      </c>
      <c r="N68" s="29">
        <v>16579.8</v>
      </c>
      <c r="O68" s="29">
        <v>17392.1</v>
      </c>
      <c r="P68" s="34" t="s">
        <v>19</v>
      </c>
      <c r="Q68" s="32">
        <f t="shared" si="9"/>
        <v>150950.59999999998</v>
      </c>
      <c r="R68" s="36">
        <f>582.3+2924.2+4047</f>
        <v>7553.5</v>
      </c>
      <c r="S68" s="32">
        <f t="shared" si="11"/>
        <v>1249019.2999999998</v>
      </c>
    </row>
    <row r="69" spans="1:19" ht="15.75" hidden="1">
      <c r="A69" s="23" t="s">
        <v>47</v>
      </c>
      <c r="B69" s="29">
        <v>791426.7</v>
      </c>
      <c r="C69" s="29">
        <v>4763.2</v>
      </c>
      <c r="D69" s="29">
        <f>4125.1+36243.7</f>
        <v>40368.799999999996</v>
      </c>
      <c r="E69" s="29">
        <v>220394.4</v>
      </c>
      <c r="F69" s="29">
        <v>6980.7</v>
      </c>
      <c r="G69" s="29">
        <f>543.3+1015.8+10945.5+34142.2</f>
        <v>46646.799999999996</v>
      </c>
      <c r="H69" s="30">
        <f t="shared" si="8"/>
        <v>1110580.5999999999</v>
      </c>
      <c r="I69" s="29">
        <v>58708.8</v>
      </c>
      <c r="J69" s="31">
        <v>1952.7</v>
      </c>
      <c r="K69" s="29">
        <f>9150.3+6351.1</f>
        <v>15501.4</v>
      </c>
      <c r="L69" s="29">
        <v>14367.4</v>
      </c>
      <c r="M69" s="29">
        <v>28683.7</v>
      </c>
      <c r="N69" s="29">
        <v>16730.4</v>
      </c>
      <c r="O69" s="29">
        <v>18332.6</v>
      </c>
      <c r="P69" s="34" t="s">
        <v>19</v>
      </c>
      <c r="Q69" s="32">
        <f t="shared" si="9"/>
        <v>154277</v>
      </c>
      <c r="R69" s="36">
        <f>597.6+2944.2+4074.6</f>
        <v>7616.4</v>
      </c>
      <c r="S69" s="32">
        <f t="shared" si="11"/>
        <v>1272473.9999999998</v>
      </c>
    </row>
    <row r="70" spans="1:19" ht="15.75" hidden="1">
      <c r="A70" s="23" t="s">
        <v>48</v>
      </c>
      <c r="B70" s="29">
        <v>819203.3</v>
      </c>
      <c r="C70" s="29">
        <v>4931.8</v>
      </c>
      <c r="D70" s="29">
        <f>38091.5+4335.4</f>
        <v>42426.9</v>
      </c>
      <c r="E70" s="29">
        <v>228193.1</v>
      </c>
      <c r="F70" s="29">
        <v>7036.9</v>
      </c>
      <c r="G70" s="29">
        <f>547.7+1024+35350.2+11033.5</f>
        <v>47955.399999999994</v>
      </c>
      <c r="H70" s="30">
        <f t="shared" si="8"/>
        <v>1149747.4</v>
      </c>
      <c r="I70" s="29">
        <v>61801.2</v>
      </c>
      <c r="J70" s="31">
        <v>1928</v>
      </c>
      <c r="K70" s="29">
        <f>9616.9+6675</f>
        <v>16291.9</v>
      </c>
      <c r="L70" s="29">
        <v>14343.1</v>
      </c>
      <c r="M70" s="29">
        <v>30357.9</v>
      </c>
      <c r="N70" s="29">
        <v>16519</v>
      </c>
      <c r="O70" s="29">
        <v>18385.1</v>
      </c>
      <c r="P70" s="34" t="s">
        <v>19</v>
      </c>
      <c r="Q70" s="32">
        <f t="shared" si="9"/>
        <v>159626.2</v>
      </c>
      <c r="R70" s="36">
        <f>4107.4+628.1+2587.9</f>
        <v>7323.4</v>
      </c>
      <c r="S70" s="32">
        <f t="shared" si="11"/>
        <v>1316696.9999999998</v>
      </c>
    </row>
    <row r="71" spans="1:19" ht="15.75" hidden="1">
      <c r="A71" s="23" t="s">
        <v>49</v>
      </c>
      <c r="B71" s="29">
        <v>817964.4</v>
      </c>
      <c r="C71" s="29">
        <v>4909.3</v>
      </c>
      <c r="D71" s="29">
        <f>4308.5+37853.9</f>
        <v>42162.4</v>
      </c>
      <c r="E71" s="29">
        <v>227161</v>
      </c>
      <c r="F71" s="29">
        <v>7054.1</v>
      </c>
      <c r="G71" s="29">
        <f>11060.5+35866.6+1026.4+549</f>
        <v>48502.5</v>
      </c>
      <c r="H71" s="30">
        <f t="shared" si="8"/>
        <v>1147753.7000000002</v>
      </c>
      <c r="I71" s="29">
        <v>61415.9</v>
      </c>
      <c r="J71" s="31">
        <v>1971.8</v>
      </c>
      <c r="K71" s="29">
        <f>9556.9+6633.3</f>
        <v>16190.2</v>
      </c>
      <c r="L71" s="29">
        <v>14527.4</v>
      </c>
      <c r="M71" s="29">
        <v>29642.2</v>
      </c>
      <c r="N71" s="29">
        <v>17058.4</v>
      </c>
      <c r="O71" s="29">
        <v>18937.1</v>
      </c>
      <c r="P71" s="34" t="s">
        <v>19</v>
      </c>
      <c r="Q71" s="32">
        <f t="shared" si="9"/>
        <v>159743</v>
      </c>
      <c r="R71" s="36">
        <f>4117.4+624.1+2367.8</f>
        <v>7109.3</v>
      </c>
      <c r="S71" s="32">
        <f t="shared" si="11"/>
        <v>1314606.0000000002</v>
      </c>
    </row>
    <row r="72" spans="1:19" ht="15.75" hidden="1">
      <c r="A72" s="23" t="s">
        <v>22</v>
      </c>
      <c r="B72" s="29">
        <v>816197.5</v>
      </c>
      <c r="C72" s="29">
        <v>4887.8</v>
      </c>
      <c r="D72" s="29">
        <f>4303+37805.9</f>
        <v>42108.9</v>
      </c>
      <c r="E72" s="29">
        <v>226163.6</v>
      </c>
      <c r="F72" s="29">
        <v>7030.9</v>
      </c>
      <c r="G72" s="29">
        <f>10881.8+35879+547.2+1023.1</f>
        <v>48331.1</v>
      </c>
      <c r="H72" s="30">
        <f t="shared" si="8"/>
        <v>1144719.8</v>
      </c>
      <c r="I72" s="29">
        <v>61337.7</v>
      </c>
      <c r="J72" s="31">
        <v>1973</v>
      </c>
      <c r="K72" s="29">
        <f>9544.7+6624.9</f>
        <v>16169.6</v>
      </c>
      <c r="L72" s="29">
        <v>14682.7</v>
      </c>
      <c r="M72" s="29">
        <v>29200.5</v>
      </c>
      <c r="N72" s="29">
        <v>17070.5</v>
      </c>
      <c r="O72" s="29">
        <v>17860.5</v>
      </c>
      <c r="P72" s="34" t="s">
        <v>19</v>
      </c>
      <c r="Q72" s="32">
        <f t="shared" si="9"/>
        <v>158294.5</v>
      </c>
      <c r="R72" s="36">
        <f>623.4+1980.4+4103.9</f>
        <v>6707.7</v>
      </c>
      <c r="S72" s="32">
        <f t="shared" si="11"/>
        <v>1309722</v>
      </c>
    </row>
    <row r="73" spans="1:19" ht="15.75" hidden="1">
      <c r="A73" s="23" t="s">
        <v>21</v>
      </c>
      <c r="B73" s="29">
        <v>834088.7</v>
      </c>
      <c r="C73" s="29">
        <v>4978</v>
      </c>
      <c r="D73" s="29">
        <f>4055.9+38332.8</f>
        <v>42388.700000000004</v>
      </c>
      <c r="E73" s="29">
        <v>231327.5</v>
      </c>
      <c r="F73" s="29">
        <v>7112.7</v>
      </c>
      <c r="G73" s="29">
        <f>11008.3+36207+553.5+1035</f>
        <v>48803.8</v>
      </c>
      <c r="H73" s="30">
        <f t="shared" si="8"/>
        <v>1168699.4</v>
      </c>
      <c r="I73" s="29">
        <v>62628.1</v>
      </c>
      <c r="J73" s="31">
        <v>1955</v>
      </c>
      <c r="K73" s="29">
        <f>9745.5+6764.3</f>
        <v>16509.8</v>
      </c>
      <c r="L73" s="29">
        <v>14684.2</v>
      </c>
      <c r="M73" s="29">
        <v>29556.1</v>
      </c>
      <c r="N73" s="29">
        <v>16912.6</v>
      </c>
      <c r="O73" s="29">
        <v>18410.9</v>
      </c>
      <c r="P73" s="34" t="s">
        <v>19</v>
      </c>
      <c r="Q73" s="32">
        <f t="shared" si="9"/>
        <v>160656.69999999998</v>
      </c>
      <c r="R73" s="36">
        <f>636.5+1649.4+4151.6+2379.1+63.1</f>
        <v>8879.7</v>
      </c>
      <c r="S73" s="32">
        <f t="shared" si="11"/>
        <v>1338235.7999999998</v>
      </c>
    </row>
    <row r="74" spans="1:19" ht="15.75" hidden="1">
      <c r="A74" s="23" t="s">
        <v>50</v>
      </c>
      <c r="B74" s="29">
        <v>843380.1</v>
      </c>
      <c r="C74" s="29">
        <v>5026.7</v>
      </c>
      <c r="D74" s="29">
        <f>4088.1+38636.9</f>
        <v>42725</v>
      </c>
      <c r="E74" s="29">
        <v>234307</v>
      </c>
      <c r="F74" s="29">
        <v>7206.8</v>
      </c>
      <c r="G74" s="29">
        <f>11153.8+36656.1+560.9+1048.7</f>
        <v>49419.49999999999</v>
      </c>
      <c r="H74" s="30">
        <f t="shared" si="8"/>
        <v>1182065.0999999999</v>
      </c>
      <c r="I74" s="29">
        <v>63124.9</v>
      </c>
      <c r="J74" s="31">
        <v>1986.9</v>
      </c>
      <c r="K74" s="29">
        <f>9822.8+6817.9</f>
        <v>16640.699999999997</v>
      </c>
      <c r="L74" s="29">
        <v>14791.1</v>
      </c>
      <c r="M74" s="29">
        <v>29636.3</v>
      </c>
      <c r="N74" s="29">
        <v>17189.3</v>
      </c>
      <c r="O74" s="29">
        <v>18547.4</v>
      </c>
      <c r="P74" s="34" t="s">
        <v>19</v>
      </c>
      <c r="Q74" s="32">
        <f t="shared" si="9"/>
        <v>161916.6</v>
      </c>
      <c r="R74" s="36">
        <f>4206.4+1355.7+641.5+2398+63.1</f>
        <v>8664.699999999999</v>
      </c>
      <c r="S74" s="32">
        <f t="shared" si="11"/>
        <v>1352646.4</v>
      </c>
    </row>
    <row r="75" spans="1:19" ht="15.75" hidden="1">
      <c r="A75" s="23" t="s">
        <v>51</v>
      </c>
      <c r="B75" s="29">
        <v>847607.2</v>
      </c>
      <c r="C75" s="29">
        <v>4982.9</v>
      </c>
      <c r="D75" s="29">
        <f>6890.1+38578.3</f>
        <v>45468.4</v>
      </c>
      <c r="E75" s="29">
        <v>233343.3</v>
      </c>
      <c r="F75" s="29">
        <v>7100.8</v>
      </c>
      <c r="G75" s="29">
        <f>11652+36301+1054.3+563.9</f>
        <v>49571.200000000004</v>
      </c>
      <c r="H75" s="30">
        <f t="shared" si="8"/>
        <v>1188073.8</v>
      </c>
      <c r="I75" s="29">
        <v>62853.5</v>
      </c>
      <c r="J75" s="31">
        <v>2010.4</v>
      </c>
      <c r="K75" s="29">
        <f>9593.6+6788.7</f>
        <v>16382.3</v>
      </c>
      <c r="L75" s="29">
        <v>15151</v>
      </c>
      <c r="M75" s="29">
        <v>29396.1</v>
      </c>
      <c r="N75" s="29">
        <v>17392.7</v>
      </c>
      <c r="O75" s="29">
        <v>18508.8</v>
      </c>
      <c r="P75" s="34" t="s">
        <v>19</v>
      </c>
      <c r="Q75" s="32">
        <f t="shared" si="9"/>
        <v>161694.8</v>
      </c>
      <c r="R75" s="36">
        <f>638.8+921.5+215+4229+2337.2</f>
        <v>8341.5</v>
      </c>
      <c r="S75" s="32">
        <f t="shared" si="11"/>
        <v>1358110.1</v>
      </c>
    </row>
    <row r="76" spans="1:19" ht="15.75" hidden="1">
      <c r="A76" s="23" t="s">
        <v>52</v>
      </c>
      <c r="B76" s="29">
        <v>852863.8</v>
      </c>
      <c r="C76" s="29">
        <v>5004</v>
      </c>
      <c r="D76" s="29">
        <f>7271.3+39165.6</f>
        <v>46436.9</v>
      </c>
      <c r="E76" s="29">
        <v>234302.3</v>
      </c>
      <c r="F76" s="29">
        <v>10800.4</v>
      </c>
      <c r="G76" s="29">
        <f>36623.32+11589.79+1048.6+560.9</f>
        <v>49822.61</v>
      </c>
      <c r="H76" s="30">
        <f t="shared" si="8"/>
        <v>1199230.01</v>
      </c>
      <c r="I76" s="29">
        <v>63810.67</v>
      </c>
      <c r="J76" s="31">
        <v>2012.02</v>
      </c>
      <c r="K76" s="29">
        <f>9739.6+6892</f>
        <v>16631.6</v>
      </c>
      <c r="L76" s="29">
        <v>15223.13</v>
      </c>
      <c r="M76" s="29">
        <v>29578.51</v>
      </c>
      <c r="N76" s="29">
        <v>17406.93</v>
      </c>
      <c r="O76" s="29">
        <v>18764.4</v>
      </c>
      <c r="P76" s="34" t="s">
        <v>19</v>
      </c>
      <c r="Q76" s="32">
        <f t="shared" si="9"/>
        <v>163427.26</v>
      </c>
      <c r="R76" s="36">
        <f>648.5+946.4+220.8+4206.5+2324.8</f>
        <v>8347</v>
      </c>
      <c r="S76" s="32">
        <f t="shared" si="11"/>
        <v>1371004.27</v>
      </c>
    </row>
    <row r="77" spans="1:19" ht="15.75" hidden="1">
      <c r="A77" s="23" t="s">
        <v>53</v>
      </c>
      <c r="B77" s="29">
        <v>831585.1</v>
      </c>
      <c r="C77" s="29">
        <v>4893.32</v>
      </c>
      <c r="D77" s="29">
        <f>6718.17+38478.16</f>
        <v>45196.33</v>
      </c>
      <c r="E77" s="29">
        <v>227809.09</v>
      </c>
      <c r="F77" s="29">
        <v>10538.12</v>
      </c>
      <c r="G77" s="29">
        <f>547.2+1023.2+11172.18+35905.65</f>
        <v>48648.23</v>
      </c>
      <c r="H77" s="30">
        <f t="shared" si="8"/>
        <v>1168670.19</v>
      </c>
      <c r="I77" s="29">
        <v>63851.07</v>
      </c>
      <c r="J77" s="31">
        <v>2093.5</v>
      </c>
      <c r="K77" s="29">
        <f>9745.8+6896.4</f>
        <v>16642.199999999997</v>
      </c>
      <c r="L77" s="29">
        <v>15247.66</v>
      </c>
      <c r="M77" s="29">
        <v>14873.4</v>
      </c>
      <c r="N77" s="29">
        <v>17360.54</v>
      </c>
      <c r="O77" s="29">
        <v>19563.76</v>
      </c>
      <c r="P77" s="34" t="s">
        <v>19</v>
      </c>
      <c r="Q77" s="32">
        <f t="shared" si="9"/>
        <v>149632.13</v>
      </c>
      <c r="R77" s="36">
        <f>648.9+4104.3+2268.4</f>
        <v>7021.6</v>
      </c>
      <c r="S77" s="32">
        <f t="shared" si="11"/>
        <v>1325323.92</v>
      </c>
    </row>
    <row r="78" spans="1:19" ht="15.75" hidden="1">
      <c r="A78" s="39"/>
      <c r="B78" s="29"/>
      <c r="C78" s="29"/>
      <c r="D78" s="29"/>
      <c r="E78" s="29"/>
      <c r="F78" s="29"/>
      <c r="G78" s="29"/>
      <c r="H78" s="30"/>
      <c r="I78" s="29"/>
      <c r="J78" s="31"/>
      <c r="K78" s="29"/>
      <c r="L78" s="29"/>
      <c r="M78" s="29"/>
      <c r="N78" s="29"/>
      <c r="O78" s="29"/>
      <c r="P78" s="34"/>
      <c r="Q78" s="32"/>
      <c r="R78" s="36"/>
      <c r="S78" s="32"/>
    </row>
    <row r="79" spans="1:19" ht="15.75" hidden="1">
      <c r="A79" s="23" t="s">
        <v>32</v>
      </c>
      <c r="B79" s="29">
        <v>821095.7</v>
      </c>
      <c r="C79" s="29">
        <v>4804.89</v>
      </c>
      <c r="D79" s="29">
        <f>5930.94+37407.86</f>
        <v>43338.8</v>
      </c>
      <c r="E79" s="29">
        <v>223692.26</v>
      </c>
      <c r="F79" s="29">
        <v>10410</v>
      </c>
      <c r="G79" s="29">
        <f>11036.36+35256.79+540.6+1010.7</f>
        <v>47844.45</v>
      </c>
      <c r="H79" s="30">
        <f t="shared" si="8"/>
        <v>1151186.0999999999</v>
      </c>
      <c r="I79" s="29">
        <v>62075</v>
      </c>
      <c r="J79" s="31">
        <v>1934.83</v>
      </c>
      <c r="K79" s="29">
        <f>9474.7+6704.5</f>
        <v>16179.2</v>
      </c>
      <c r="L79" s="29">
        <v>14688.5</v>
      </c>
      <c r="M79" s="29">
        <v>14305.1</v>
      </c>
      <c r="N79" s="29">
        <v>16742.73</v>
      </c>
      <c r="O79" s="29">
        <v>18427.93</v>
      </c>
      <c r="P79" s="34" t="s">
        <v>19</v>
      </c>
      <c r="Q79" s="32">
        <f>SUM(I79:P79)</f>
        <v>144353.29</v>
      </c>
      <c r="R79" s="36">
        <f>630.8+4054.4+2240.8</f>
        <v>6926</v>
      </c>
      <c r="S79" s="32">
        <f>H79+Q79+R79+0.1</f>
        <v>1302465.49</v>
      </c>
    </row>
    <row r="80" spans="1:19" ht="18" hidden="1">
      <c r="A80" s="23" t="s">
        <v>56</v>
      </c>
      <c r="B80" s="29">
        <v>991154.9</v>
      </c>
      <c r="C80" s="29">
        <v>6605.7</v>
      </c>
      <c r="D80" s="29">
        <f>6188.9+42586.7</f>
        <v>48775.6</v>
      </c>
      <c r="E80" s="29">
        <v>257226.8</v>
      </c>
      <c r="F80" s="29">
        <v>21647</v>
      </c>
      <c r="G80" s="29">
        <f>12531.1+48269.5+658.1+1230.4</f>
        <v>62689.1</v>
      </c>
      <c r="H80" s="30">
        <f>SUM(B80:G80)</f>
        <v>1388099.1</v>
      </c>
      <c r="I80" s="29">
        <v>75860.2</v>
      </c>
      <c r="J80" s="31">
        <v>2352.1</v>
      </c>
      <c r="K80" s="47">
        <v>0</v>
      </c>
      <c r="L80" s="35" t="s">
        <v>19</v>
      </c>
      <c r="M80" s="29">
        <v>21541.6</v>
      </c>
      <c r="N80" s="29">
        <v>20053</v>
      </c>
      <c r="O80" s="29">
        <v>22030.9</v>
      </c>
      <c r="P80" s="34" t="s">
        <v>19</v>
      </c>
      <c r="Q80" s="32">
        <f>SUM(I80:P80)</f>
        <v>141837.8</v>
      </c>
      <c r="R80" s="36">
        <f>4935.6+2713.8</f>
        <v>7649.400000000001</v>
      </c>
      <c r="S80" s="32">
        <f>H80+Q80+R80+0.1</f>
        <v>1537586.4000000001</v>
      </c>
    </row>
    <row r="81" spans="1:19" ht="18" hidden="1">
      <c r="A81" s="23" t="s">
        <v>115</v>
      </c>
      <c r="B81" s="29">
        <f>B138</f>
        <v>1031487.1340203447</v>
      </c>
      <c r="C81" s="29">
        <f aca="true" t="shared" si="12" ref="C81:R81">C138</f>
        <v>6876.017805614664</v>
      </c>
      <c r="D81" s="29">
        <f t="shared" si="12"/>
        <v>52235.12183930615</v>
      </c>
      <c r="E81" s="29">
        <f t="shared" si="12"/>
        <v>265891.8129032021</v>
      </c>
      <c r="F81" s="29">
        <f t="shared" si="12"/>
        <v>21705.817371780162</v>
      </c>
      <c r="G81" s="29">
        <f t="shared" si="12"/>
        <v>62905.70605237774</v>
      </c>
      <c r="H81" s="30">
        <f>SUM(B81:G81)</f>
        <v>1441101.6099926254</v>
      </c>
      <c r="I81" s="29">
        <f t="shared" si="12"/>
        <v>81240.65627081934</v>
      </c>
      <c r="J81" s="29">
        <f t="shared" si="12"/>
        <v>2353.4112</v>
      </c>
      <c r="K81" s="47">
        <v>0</v>
      </c>
      <c r="L81" s="29" t="str">
        <f t="shared" si="12"/>
        <v>-</v>
      </c>
      <c r="M81" s="29">
        <f t="shared" si="12"/>
        <v>21627.853056349202</v>
      </c>
      <c r="N81" s="29">
        <f t="shared" si="12"/>
        <v>20422.24949884346</v>
      </c>
      <c r="O81" s="29">
        <f t="shared" si="12"/>
        <v>22394.22184030419</v>
      </c>
      <c r="P81" s="29" t="str">
        <f t="shared" si="12"/>
        <v>-</v>
      </c>
      <c r="Q81" s="32">
        <f>SUM(I81:P81)</f>
        <v>148038.3918663162</v>
      </c>
      <c r="R81" s="29">
        <f t="shared" si="12"/>
        <v>8279.173281521671</v>
      </c>
      <c r="S81" s="32">
        <f>H81+Q81+R81+0.1</f>
        <v>1597419.2751404636</v>
      </c>
    </row>
    <row r="82" spans="1:19" ht="18" hidden="1">
      <c r="A82" s="23" t="s">
        <v>116</v>
      </c>
      <c r="B82" s="29">
        <v>1053506</v>
      </c>
      <c r="C82" s="29">
        <v>7023.8</v>
      </c>
      <c r="D82" s="29">
        <v>52798.2</v>
      </c>
      <c r="E82" s="29">
        <v>271604.7</v>
      </c>
      <c r="F82" s="29">
        <v>27245</v>
      </c>
      <c r="G82" s="29">
        <v>64652.5</v>
      </c>
      <c r="H82" s="30">
        <f>SUM(B82:G82)</f>
        <v>1476830.2</v>
      </c>
      <c r="I82" s="29">
        <v>84344.5</v>
      </c>
      <c r="J82" s="29">
        <v>2356.1</v>
      </c>
      <c r="K82" s="47">
        <v>0</v>
      </c>
      <c r="L82" s="29" t="s">
        <v>19</v>
      </c>
      <c r="M82" s="29">
        <v>22859.5</v>
      </c>
      <c r="N82" s="29">
        <v>20492.3</v>
      </c>
      <c r="O82" s="29">
        <v>21931.8</v>
      </c>
      <c r="P82" s="29" t="s">
        <v>19</v>
      </c>
      <c r="Q82" s="32">
        <f>SUM(I82:P82)</f>
        <v>151984.2</v>
      </c>
      <c r="R82" s="33">
        <v>7629.8</v>
      </c>
      <c r="S82" s="32">
        <f>H82+Q82+R82+0.1</f>
        <v>1636444.3</v>
      </c>
    </row>
    <row r="83" spans="1:19" ht="18" hidden="1">
      <c r="A83" s="23" t="s">
        <v>128</v>
      </c>
      <c r="B83" s="29">
        <v>230884.7</v>
      </c>
      <c r="C83" s="29">
        <v>7056.873341207613</v>
      </c>
      <c r="D83" s="29">
        <v>50664.951718382974</v>
      </c>
      <c r="E83" s="29">
        <v>21089.3</v>
      </c>
      <c r="F83" s="29">
        <v>26444.72784547</v>
      </c>
      <c r="G83" s="29">
        <v>64672.358287140945</v>
      </c>
      <c r="H83" s="30">
        <f>SUM(B83:G83)</f>
        <v>400812.91119220154</v>
      </c>
      <c r="I83" s="29">
        <v>84679.159844179</v>
      </c>
      <c r="J83" s="31">
        <v>2344.0609616537395</v>
      </c>
      <c r="K83" s="47">
        <v>0</v>
      </c>
      <c r="L83" s="35" t="s">
        <v>19</v>
      </c>
      <c r="M83" s="29">
        <v>23304.05879271648</v>
      </c>
      <c r="N83" s="29">
        <v>20582.13821876657</v>
      </c>
      <c r="O83" s="29">
        <v>21906.662692844882</v>
      </c>
      <c r="P83" s="34" t="s">
        <v>19</v>
      </c>
      <c r="Q83" s="32">
        <f>SUM(I83:P83)</f>
        <v>152816.08051016065</v>
      </c>
      <c r="R83" s="36">
        <f>7628.3+134.7</f>
        <v>7763</v>
      </c>
      <c r="S83" s="32">
        <f>+H83+Q83+R83</f>
        <v>561391.9917023622</v>
      </c>
    </row>
    <row r="84" spans="1:19" ht="15.75" hidden="1">
      <c r="A84" s="23"/>
      <c r="B84" s="29"/>
      <c r="C84" s="29"/>
      <c r="D84" s="29"/>
      <c r="E84" s="29"/>
      <c r="F84" s="29"/>
      <c r="G84" s="29"/>
      <c r="H84" s="30">
        <f aca="true" t="shared" si="13" ref="H84:H102">SUM(B84:G84)</f>
        <v>0</v>
      </c>
      <c r="I84" s="29"/>
      <c r="J84" s="31"/>
      <c r="K84" s="29"/>
      <c r="L84" s="29"/>
      <c r="M84" s="29"/>
      <c r="N84" s="29"/>
      <c r="O84" s="29"/>
      <c r="P84" s="34"/>
      <c r="Q84" s="32">
        <f aca="true" t="shared" si="14" ref="Q84:Q103">SUM(I84:P84)</f>
        <v>0</v>
      </c>
      <c r="R84" s="36"/>
      <c r="S84" s="32">
        <f aca="true" t="shared" si="15" ref="S84:S96">H84+Q84+R84+0.1</f>
        <v>0.1</v>
      </c>
    </row>
    <row r="85" spans="1:19" ht="15.75" hidden="1">
      <c r="A85" s="23" t="s">
        <v>55</v>
      </c>
      <c r="B85" s="29">
        <v>847999.5</v>
      </c>
      <c r="C85" s="29">
        <v>4976.21</v>
      </c>
      <c r="D85" s="29">
        <f>6175.33+38744.15</f>
        <v>44919.48</v>
      </c>
      <c r="E85" s="29">
        <v>231667.94</v>
      </c>
      <c r="F85" s="29">
        <v>10767.67</v>
      </c>
      <c r="G85" s="29">
        <f>11415.54+36345.96+559.2+1045.5</f>
        <v>49366.2</v>
      </c>
      <c r="H85" s="30">
        <f t="shared" si="13"/>
        <v>1189696.9999999998</v>
      </c>
      <c r="I85" s="29">
        <v>64632.81</v>
      </c>
      <c r="J85" s="31">
        <v>1952.28</v>
      </c>
      <c r="K85" s="29">
        <f>9865.1+6980.8</f>
        <v>16845.9</v>
      </c>
      <c r="L85" s="29">
        <v>14908</v>
      </c>
      <c r="M85" s="29">
        <v>14774.55</v>
      </c>
      <c r="N85" s="29">
        <v>16890.21</v>
      </c>
      <c r="O85" s="29">
        <v>17939.8</v>
      </c>
      <c r="P85" s="34" t="s">
        <v>19</v>
      </c>
      <c r="Q85" s="32">
        <f t="shared" si="14"/>
        <v>147943.55</v>
      </c>
      <c r="R85" s="36">
        <f>656.8+4193.7+2317.8</f>
        <v>7168.3</v>
      </c>
      <c r="S85" s="32">
        <f t="shared" si="15"/>
        <v>1344808.95</v>
      </c>
    </row>
    <row r="86" spans="1:19" ht="15.75" hidden="1">
      <c r="A86" s="23" t="s">
        <v>57</v>
      </c>
      <c r="B86" s="29">
        <v>845922.9</v>
      </c>
      <c r="C86" s="29">
        <v>4970.58</v>
      </c>
      <c r="D86" s="29">
        <f>6198.27+38616.55</f>
        <v>44814.82000000001</v>
      </c>
      <c r="E86" s="29">
        <v>231375.04</v>
      </c>
      <c r="F86" s="29">
        <v>10681.2</v>
      </c>
      <c r="G86" s="29">
        <f>11323.88+36304.86+554.7+1037.1</f>
        <v>49220.53999999999</v>
      </c>
      <c r="H86" s="30">
        <f t="shared" si="13"/>
        <v>1186985.08</v>
      </c>
      <c r="I86" s="29">
        <v>64872.97</v>
      </c>
      <c r="J86" s="31">
        <v>2000.5</v>
      </c>
      <c r="K86" s="29">
        <f>9901.8+7006.7</f>
        <v>16908.5</v>
      </c>
      <c r="L86" s="29">
        <v>15312.55</v>
      </c>
      <c r="M86" s="29">
        <v>15057.31</v>
      </c>
      <c r="N86" s="29">
        <v>17302.89</v>
      </c>
      <c r="O86" s="29">
        <v>18964.1</v>
      </c>
      <c r="P86" s="34" t="s">
        <v>19</v>
      </c>
      <c r="Q86" s="32">
        <f t="shared" si="14"/>
        <v>150418.82</v>
      </c>
      <c r="R86" s="36">
        <f>659.3+4160+2299.2</f>
        <v>7118.5</v>
      </c>
      <c r="S86" s="32">
        <f t="shared" si="15"/>
        <v>1344522.5000000002</v>
      </c>
    </row>
    <row r="87" spans="1:19" ht="15.75" hidden="1">
      <c r="A87" s="23" t="s">
        <v>58</v>
      </c>
      <c r="B87" s="29">
        <v>858467.3</v>
      </c>
      <c r="C87" s="29">
        <v>5021.58</v>
      </c>
      <c r="D87" s="29">
        <f>6335.48+39471.36</f>
        <v>45806.84</v>
      </c>
      <c r="E87" s="29">
        <v>234473.56</v>
      </c>
      <c r="F87" s="29">
        <v>10703.75</v>
      </c>
      <c r="G87" s="29">
        <f>11347.78+36868.77+555.8+1039.3</f>
        <v>49811.65</v>
      </c>
      <c r="H87" s="30">
        <f t="shared" si="13"/>
        <v>1204284.68</v>
      </c>
      <c r="I87" s="29">
        <v>66308.98</v>
      </c>
      <c r="J87" s="31">
        <v>1978.97</v>
      </c>
      <c r="K87" s="29">
        <f>10120.9+7161.8</f>
        <v>17282.7</v>
      </c>
      <c r="L87" s="29">
        <v>15263.78</v>
      </c>
      <c r="M87" s="29">
        <v>14898.5</v>
      </c>
      <c r="N87" s="29">
        <v>17109.24</v>
      </c>
      <c r="O87" s="29">
        <v>18964.1</v>
      </c>
      <c r="P87" s="34" t="s">
        <v>19</v>
      </c>
      <c r="Q87" s="32">
        <f t="shared" si="14"/>
        <v>151806.27</v>
      </c>
      <c r="R87" s="36">
        <f>4168.8+2304+673.9</f>
        <v>7146.7</v>
      </c>
      <c r="S87" s="32">
        <f t="shared" si="15"/>
        <v>1363237.75</v>
      </c>
    </row>
    <row r="88" spans="1:19" ht="15.75" hidden="1">
      <c r="A88" s="39" t="s">
        <v>59</v>
      </c>
      <c r="B88" s="29">
        <v>868929.2</v>
      </c>
      <c r="C88" s="29">
        <v>5881.2</v>
      </c>
      <c r="D88" s="29">
        <f>6395.7+39846.6</f>
        <v>46242.299999999996</v>
      </c>
      <c r="E88" s="29">
        <v>235617.9</v>
      </c>
      <c r="F88" s="29">
        <v>12028.8</v>
      </c>
      <c r="G88" s="29">
        <f>11452.8+37161.8+1048.9+561</f>
        <v>50224.50000000001</v>
      </c>
      <c r="H88" s="30">
        <f t="shared" si="13"/>
        <v>1218923.9</v>
      </c>
      <c r="I88" s="29">
        <v>66939.3</v>
      </c>
      <c r="J88" s="31">
        <v>1993.7</v>
      </c>
      <c r="K88" s="29">
        <f>10217.2+7229.9</f>
        <v>17447.1</v>
      </c>
      <c r="L88" s="29">
        <v>15345.1</v>
      </c>
      <c r="M88" s="29">
        <v>14794.2</v>
      </c>
      <c r="N88" s="29">
        <v>17254.6</v>
      </c>
      <c r="O88" s="29">
        <v>19081.5</v>
      </c>
      <c r="P88" s="34" t="s">
        <v>19</v>
      </c>
      <c r="Q88" s="32">
        <f t="shared" si="14"/>
        <v>152855.5</v>
      </c>
      <c r="R88" s="36">
        <f>4207.4+2325.3+680.4</f>
        <v>7213.099999999999</v>
      </c>
      <c r="S88" s="32">
        <f t="shared" si="15"/>
        <v>1378992.6</v>
      </c>
    </row>
    <row r="89" spans="1:19" ht="15.75" hidden="1">
      <c r="A89" s="23" t="s">
        <v>61</v>
      </c>
      <c r="B89" s="29">
        <v>884068.7</v>
      </c>
      <c r="C89" s="29">
        <v>5995.2</v>
      </c>
      <c r="D89" s="29">
        <f>6516.2+40441.8</f>
        <v>46958</v>
      </c>
      <c r="E89" s="29">
        <v>239464.7</v>
      </c>
      <c r="F89" s="29">
        <v>11650.8</v>
      </c>
      <c r="G89" s="29">
        <f>11722.6+37784.9+574.2+1073.6</f>
        <v>51155.299999999996</v>
      </c>
      <c r="H89" s="30">
        <f t="shared" si="13"/>
        <v>1239292.7</v>
      </c>
      <c r="I89" s="29">
        <v>68200.6</v>
      </c>
      <c r="J89" s="31">
        <v>2014.3</v>
      </c>
      <c r="K89" s="29">
        <f>10409.7+7366.2</f>
        <v>17775.9</v>
      </c>
      <c r="L89" s="29">
        <v>15750.3</v>
      </c>
      <c r="M89" s="29">
        <v>14916</v>
      </c>
      <c r="N89" s="29">
        <v>17457.1</v>
      </c>
      <c r="O89" s="29">
        <v>18644.6</v>
      </c>
      <c r="P89" s="34" t="s">
        <v>19</v>
      </c>
      <c r="Q89" s="32">
        <f t="shared" si="14"/>
        <v>154758.80000000002</v>
      </c>
      <c r="R89" s="36">
        <f>4306.5+2380.1+693.1</f>
        <v>7379.700000000001</v>
      </c>
      <c r="S89" s="32">
        <f t="shared" si="15"/>
        <v>1401431.3</v>
      </c>
    </row>
    <row r="90" spans="1:19" ht="15.75" hidden="1">
      <c r="A90" s="23" t="s">
        <v>62</v>
      </c>
      <c r="B90" s="29">
        <v>911703.4</v>
      </c>
      <c r="C90" s="29">
        <v>6157.9</v>
      </c>
      <c r="D90" s="29">
        <f>6751.8+41904.1</f>
        <v>48655.9</v>
      </c>
      <c r="E90" s="29">
        <v>245966.6</v>
      </c>
      <c r="F90" s="29">
        <v>11829</v>
      </c>
      <c r="G90" s="29">
        <f>11901.9+38810.8+1090+583</f>
        <v>52385.700000000004</v>
      </c>
      <c r="H90" s="30">
        <f t="shared" si="13"/>
        <v>1276698.5</v>
      </c>
      <c r="I90" s="29">
        <v>70666.7</v>
      </c>
      <c r="J90" s="31">
        <v>2080.8</v>
      </c>
      <c r="K90" s="29">
        <f>10786.1+7632.5</f>
        <v>18418.6</v>
      </c>
      <c r="L90" s="29">
        <v>16227</v>
      </c>
      <c r="M90" s="29">
        <v>15279.3</v>
      </c>
      <c r="N90" s="29">
        <v>18070.6</v>
      </c>
      <c r="O90" s="29">
        <v>19204.3</v>
      </c>
      <c r="P90" s="34" t="s">
        <v>19</v>
      </c>
      <c r="Q90" s="32">
        <f t="shared" si="14"/>
        <v>159947.3</v>
      </c>
      <c r="R90" s="36">
        <f>718.2+4372.4+2416.5</f>
        <v>7507.099999999999</v>
      </c>
      <c r="S90" s="32">
        <f t="shared" si="15"/>
        <v>1444153.0000000002</v>
      </c>
    </row>
    <row r="91" spans="1:19" ht="15.75" hidden="1">
      <c r="A91" s="23" t="s">
        <v>63</v>
      </c>
      <c r="B91" s="29">
        <v>921576.4</v>
      </c>
      <c r="C91" s="29">
        <v>6221.1</v>
      </c>
      <c r="D91" s="29">
        <f>6768.5+42007.8</f>
        <v>48776.3</v>
      </c>
      <c r="E91" s="29">
        <v>248447.4</v>
      </c>
      <c r="F91" s="29">
        <v>11945.8</v>
      </c>
      <c r="G91" s="29">
        <f>12019.4+39209.1+1100.8+588.7</f>
        <v>52918</v>
      </c>
      <c r="H91" s="30">
        <f t="shared" si="13"/>
        <v>1289885</v>
      </c>
      <c r="I91" s="29">
        <v>70841.6</v>
      </c>
      <c r="J91" s="31">
        <v>2086.3</v>
      </c>
      <c r="K91" s="29">
        <f>10812.8+7651.4</f>
        <v>18464.199999999997</v>
      </c>
      <c r="L91" s="29">
        <v>16411.2</v>
      </c>
      <c r="M91" s="29">
        <v>16070.9</v>
      </c>
      <c r="N91" s="29">
        <v>18486.9</v>
      </c>
      <c r="O91" s="29">
        <v>19838.2</v>
      </c>
      <c r="P91" s="34" t="s">
        <v>19</v>
      </c>
      <c r="Q91" s="32">
        <f t="shared" si="14"/>
        <v>162199.30000000002</v>
      </c>
      <c r="R91" s="36">
        <f>719.9+4415.5+2440.4</f>
        <v>7575.799999999999</v>
      </c>
      <c r="S91" s="32">
        <f t="shared" si="15"/>
        <v>1459660.2000000002</v>
      </c>
    </row>
    <row r="92" spans="1:19" ht="15.75" hidden="1">
      <c r="A92" s="23" t="s">
        <v>65</v>
      </c>
      <c r="B92" s="29">
        <v>930286.2</v>
      </c>
      <c r="C92" s="29">
        <v>6279.9</v>
      </c>
      <c r="D92" s="29">
        <f>6906.6+42864.4</f>
        <v>49771</v>
      </c>
      <c r="E92" s="29">
        <v>250793.4</v>
      </c>
      <c r="F92" s="29">
        <v>11957.1</v>
      </c>
      <c r="G92" s="29">
        <f>12030.8+39579.3+589.3+1101.8</f>
        <v>53301.20000000001</v>
      </c>
      <c r="H92" s="30">
        <f t="shared" si="13"/>
        <v>1302388.8</v>
      </c>
      <c r="I92" s="29">
        <v>72286.2</v>
      </c>
      <c r="J92" s="31">
        <v>2094.4</v>
      </c>
      <c r="K92" s="29">
        <f>11033.3+7807.4</f>
        <v>18840.699999999997</v>
      </c>
      <c r="L92" s="35" t="s">
        <v>19</v>
      </c>
      <c r="M92" s="29">
        <v>16317.6</v>
      </c>
      <c r="N92" s="29">
        <v>18603.3</v>
      </c>
      <c r="O92" s="29">
        <v>19480.9</v>
      </c>
      <c r="P92" s="34" t="s">
        <v>19</v>
      </c>
      <c r="Q92" s="32">
        <f t="shared" si="14"/>
        <v>147623.1</v>
      </c>
      <c r="R92" s="36">
        <f>734.6+4419.7+2442.6</f>
        <v>7596.9</v>
      </c>
      <c r="S92" s="32">
        <f t="shared" si="15"/>
        <v>1457608.9000000001</v>
      </c>
    </row>
    <row r="93" spans="1:19" ht="15.75" hidden="1">
      <c r="A93" s="23" t="s">
        <v>67</v>
      </c>
      <c r="B93" s="29">
        <v>957524.8</v>
      </c>
      <c r="C93" s="29">
        <v>6468.6</v>
      </c>
      <c r="D93" s="29">
        <f>7213.2+44767.3</f>
        <v>51980.5</v>
      </c>
      <c r="E93" s="29">
        <v>258327.3</v>
      </c>
      <c r="F93" s="29">
        <v>12983.8</v>
      </c>
      <c r="G93" s="29">
        <f>12270.1+40549.5+601+1123.7</f>
        <v>54544.299999999996</v>
      </c>
      <c r="H93" s="30">
        <f t="shared" si="13"/>
        <v>1341829.3</v>
      </c>
      <c r="I93" s="29">
        <v>75495.2</v>
      </c>
      <c r="J93" s="31">
        <v>2095.7</v>
      </c>
      <c r="K93" s="29">
        <f>11523.1+8154</f>
        <v>19677.1</v>
      </c>
      <c r="L93" s="35" t="s">
        <v>19</v>
      </c>
      <c r="M93" s="29">
        <v>16532.8</v>
      </c>
      <c r="N93" s="29">
        <v>18731.2</v>
      </c>
      <c r="O93" s="29">
        <v>19967.1</v>
      </c>
      <c r="P93" s="34" t="s">
        <v>19</v>
      </c>
      <c r="Q93" s="32">
        <f t="shared" si="14"/>
        <v>152499.1</v>
      </c>
      <c r="R93" s="36">
        <f>4507.6+2491.3+767.3</f>
        <v>7766.200000000001</v>
      </c>
      <c r="S93" s="32">
        <f t="shared" si="15"/>
        <v>1502094.7000000002</v>
      </c>
    </row>
    <row r="94" spans="1:19" ht="15.75" hidden="1">
      <c r="A94" s="23"/>
      <c r="B94" s="29"/>
      <c r="C94" s="29"/>
      <c r="D94" s="29"/>
      <c r="E94" s="29"/>
      <c r="F94" s="29"/>
      <c r="G94" s="29"/>
      <c r="H94" s="30">
        <f t="shared" si="13"/>
        <v>0</v>
      </c>
      <c r="I94" s="29"/>
      <c r="J94" s="31"/>
      <c r="K94" s="29"/>
      <c r="L94" s="35"/>
      <c r="M94" s="29"/>
      <c r="N94" s="29"/>
      <c r="O94" s="29"/>
      <c r="P94" s="34"/>
      <c r="Q94" s="32">
        <f t="shared" si="14"/>
        <v>0</v>
      </c>
      <c r="R94" s="36"/>
      <c r="S94" s="32">
        <f t="shared" si="15"/>
        <v>0.1</v>
      </c>
    </row>
    <row r="95" spans="1:19" ht="15.75" hidden="1">
      <c r="A95" s="23" t="s">
        <v>68</v>
      </c>
      <c r="B95" s="29">
        <v>991842.9</v>
      </c>
      <c r="C95" s="29">
        <v>6684.2</v>
      </c>
      <c r="D95" s="29">
        <f>7564+46944.5</f>
        <v>54508.5</v>
      </c>
      <c r="E95" s="29">
        <v>266760.2</v>
      </c>
      <c r="F95" s="29">
        <v>13178.2</v>
      </c>
      <c r="G95" s="29">
        <f>12453.8+48268.7+610+1140.6</f>
        <v>62473.1</v>
      </c>
      <c r="H95" s="30">
        <f t="shared" si="13"/>
        <v>1395447.1</v>
      </c>
      <c r="I95" s="29">
        <v>79166.7</v>
      </c>
      <c r="J95" s="31">
        <v>2164</v>
      </c>
      <c r="K95" s="29">
        <f>12083.5+8550.6</f>
        <v>20634.1</v>
      </c>
      <c r="L95" s="35" t="s">
        <v>19</v>
      </c>
      <c r="M95" s="29">
        <v>17529.9</v>
      </c>
      <c r="N95" s="29">
        <v>19532.9</v>
      </c>
      <c r="O95" s="29">
        <v>20420.6</v>
      </c>
      <c r="P95" s="34" t="s">
        <v>19</v>
      </c>
      <c r="Q95" s="32">
        <f t="shared" si="14"/>
        <v>159448.19999999998</v>
      </c>
      <c r="R95" s="36">
        <f>804.5+4575.1+2528.6</f>
        <v>7908.200000000001</v>
      </c>
      <c r="S95" s="32">
        <f t="shared" si="15"/>
        <v>1562803.6</v>
      </c>
    </row>
    <row r="96" spans="1:19" ht="15.75" hidden="1">
      <c r="A96" s="23" t="s">
        <v>70</v>
      </c>
      <c r="B96" s="29">
        <v>971239.2</v>
      </c>
      <c r="C96" s="29">
        <v>6604.5</v>
      </c>
      <c r="D96" s="29">
        <f>6451.3+45393.2</f>
        <v>51844.5</v>
      </c>
      <c r="E96" s="29">
        <v>260315.3</v>
      </c>
      <c r="F96" s="29">
        <v>12280.3</v>
      </c>
      <c r="G96" s="29">
        <f>12231.5+47593.3+1134+606.5</f>
        <v>61565.3</v>
      </c>
      <c r="H96" s="30">
        <f t="shared" si="13"/>
        <v>1363849.1</v>
      </c>
      <c r="I96" s="29">
        <v>78060</v>
      </c>
      <c r="J96" s="31">
        <v>2215.4</v>
      </c>
      <c r="K96" s="29">
        <f>11914.5+8431</f>
        <v>20345.5</v>
      </c>
      <c r="L96" s="35" t="s">
        <v>19</v>
      </c>
      <c r="M96" s="29">
        <v>17214.6</v>
      </c>
      <c r="N96" s="29">
        <v>20145.2</v>
      </c>
      <c r="O96" s="29">
        <v>20856.7</v>
      </c>
      <c r="P96" s="34" t="s">
        <v>19</v>
      </c>
      <c r="Q96" s="32">
        <f t="shared" si="14"/>
        <v>158837.40000000002</v>
      </c>
      <c r="R96" s="36">
        <f>4548.9+2514.1+793.3</f>
        <v>7856.3</v>
      </c>
      <c r="S96" s="32">
        <f t="shared" si="15"/>
        <v>1530542.9000000001</v>
      </c>
    </row>
    <row r="97" spans="1:19" ht="15.75" hidden="1">
      <c r="A97" s="39"/>
      <c r="B97" s="29"/>
      <c r="C97" s="29"/>
      <c r="D97" s="29"/>
      <c r="E97" s="29"/>
      <c r="F97" s="29"/>
      <c r="G97" s="29"/>
      <c r="H97" s="30"/>
      <c r="I97" s="29"/>
      <c r="J97" s="31"/>
      <c r="K97" s="29"/>
      <c r="L97" s="35"/>
      <c r="M97" s="29"/>
      <c r="N97" s="29"/>
      <c r="O97" s="29"/>
      <c r="P97" s="34"/>
      <c r="Q97" s="32"/>
      <c r="R97" s="36"/>
      <c r="S97" s="32"/>
    </row>
    <row r="98" spans="1:19" ht="15.75" hidden="1">
      <c r="A98" s="39"/>
      <c r="B98" s="29"/>
      <c r="C98" s="29"/>
      <c r="D98" s="29"/>
      <c r="E98" s="29"/>
      <c r="F98" s="29"/>
      <c r="G98" s="29"/>
      <c r="H98" s="30"/>
      <c r="I98" s="29"/>
      <c r="J98" s="31"/>
      <c r="K98" s="29"/>
      <c r="L98" s="35"/>
      <c r="M98" s="29"/>
      <c r="N98" s="29"/>
      <c r="O98" s="29"/>
      <c r="P98" s="34"/>
      <c r="Q98" s="32"/>
      <c r="R98" s="36"/>
      <c r="S98" s="32"/>
    </row>
    <row r="99" spans="1:19" ht="15.75" hidden="1">
      <c r="A99" s="39"/>
      <c r="B99" s="29"/>
      <c r="C99" s="29"/>
      <c r="D99" s="29"/>
      <c r="E99" s="29"/>
      <c r="F99" s="29"/>
      <c r="G99" s="29"/>
      <c r="H99" s="30"/>
      <c r="I99" s="29"/>
      <c r="J99" s="31"/>
      <c r="K99" s="29"/>
      <c r="L99" s="35"/>
      <c r="M99" s="29"/>
      <c r="N99" s="29"/>
      <c r="O99" s="29"/>
      <c r="P99" s="34"/>
      <c r="Q99" s="32"/>
      <c r="R99" s="36"/>
      <c r="S99" s="32"/>
    </row>
    <row r="100" spans="1:19" ht="18" hidden="1">
      <c r="A100" s="23" t="s">
        <v>125</v>
      </c>
      <c r="B100" s="29">
        <v>224339.3</v>
      </c>
      <c r="C100" s="29">
        <v>6803.9</v>
      </c>
      <c r="D100" s="29">
        <f>5233.9+41824.3</f>
        <v>47058.200000000004</v>
      </c>
      <c r="E100" s="29">
        <v>25296.6</v>
      </c>
      <c r="F100" s="29">
        <v>33431.2</v>
      </c>
      <c r="G100" s="29">
        <f>656+1226.5+49506.8+17113.4</f>
        <v>68502.70000000001</v>
      </c>
      <c r="H100" s="30">
        <f>SUM(B100:G100)</f>
        <v>405431.89999999997</v>
      </c>
      <c r="I100" s="29">
        <v>4318.9</v>
      </c>
      <c r="J100" s="31">
        <v>2341.1</v>
      </c>
      <c r="K100" s="47">
        <v>0</v>
      </c>
      <c r="L100" s="35" t="s">
        <v>19</v>
      </c>
      <c r="M100" s="29">
        <v>23071.5</v>
      </c>
      <c r="N100" s="29">
        <v>27586</v>
      </c>
      <c r="O100" s="29">
        <v>27101.4</v>
      </c>
      <c r="P100" s="34" t="s">
        <v>19</v>
      </c>
      <c r="Q100" s="32">
        <f>SUM(I100:P100)</f>
        <v>84418.9</v>
      </c>
      <c r="R100" s="36">
        <f>4920+2705.2</f>
        <v>7625.2</v>
      </c>
      <c r="S100" s="32">
        <f>+H100+Q100+R100</f>
        <v>497475.99999999994</v>
      </c>
    </row>
    <row r="101" spans="1:19" ht="18" hidden="1">
      <c r="A101" s="23" t="s">
        <v>140</v>
      </c>
      <c r="B101" s="29">
        <v>216282.4</v>
      </c>
      <c r="C101" s="29">
        <v>6536.9</v>
      </c>
      <c r="D101" s="29">
        <f>4710.3+37639.9</f>
        <v>42350.200000000004</v>
      </c>
      <c r="E101" s="29">
        <v>24187.1</v>
      </c>
      <c r="F101" s="29">
        <v>33070.8</v>
      </c>
      <c r="G101" s="29">
        <f>656.2+1226.9+16693.3+47563.9</f>
        <v>66140.3</v>
      </c>
      <c r="H101" s="30">
        <f t="shared" si="13"/>
        <v>388567.69999999995</v>
      </c>
      <c r="I101" s="29">
        <v>3855.8</v>
      </c>
      <c r="J101" s="31">
        <v>2345.9</v>
      </c>
      <c r="K101" s="47">
        <v>0</v>
      </c>
      <c r="L101" s="35" t="s">
        <v>19</v>
      </c>
      <c r="M101" s="29">
        <v>23014.2</v>
      </c>
      <c r="N101" s="29">
        <v>27478</v>
      </c>
      <c r="O101" s="29">
        <v>26522.9</v>
      </c>
      <c r="P101" s="34" t="s">
        <v>19</v>
      </c>
      <c r="Q101" s="32">
        <f t="shared" si="14"/>
        <v>83216.8</v>
      </c>
      <c r="R101" s="36">
        <f>4921.3+2705.8</f>
        <v>7627.1</v>
      </c>
      <c r="S101" s="32">
        <f>+H101+Q101+R101</f>
        <v>479411.5999999999</v>
      </c>
    </row>
    <row r="102" spans="1:19" ht="18" hidden="1">
      <c r="A102" s="23" t="s">
        <v>146</v>
      </c>
      <c r="B102" s="29">
        <v>240032.1</v>
      </c>
      <c r="C102" s="29">
        <v>6796.5</v>
      </c>
      <c r="D102" s="29">
        <v>45335.9</v>
      </c>
      <c r="E102" s="29">
        <v>25147.5</v>
      </c>
      <c r="F102" s="29">
        <v>33159.5</v>
      </c>
      <c r="G102" s="29">
        <v>67613.29999999999</v>
      </c>
      <c r="H102" s="30">
        <f t="shared" si="13"/>
        <v>418084.8</v>
      </c>
      <c r="I102" s="29">
        <v>3434.1</v>
      </c>
      <c r="J102" s="29">
        <v>2343.8</v>
      </c>
      <c r="K102" s="47">
        <v>0</v>
      </c>
      <c r="L102" s="29" t="s">
        <v>19</v>
      </c>
      <c r="M102" s="29">
        <v>24700</v>
      </c>
      <c r="N102" s="29">
        <v>27783.4</v>
      </c>
      <c r="O102" s="29">
        <v>26172.7</v>
      </c>
      <c r="P102" s="35" t="s">
        <v>19</v>
      </c>
      <c r="Q102" s="32">
        <f t="shared" si="14"/>
        <v>84434</v>
      </c>
      <c r="R102" s="29">
        <v>7630.8</v>
      </c>
      <c r="S102" s="32">
        <f>+H102+Q102+R102</f>
        <v>510149.6</v>
      </c>
    </row>
    <row r="103" spans="1:19" ht="18" hidden="1">
      <c r="A103" s="23" t="s">
        <v>150</v>
      </c>
      <c r="B103" s="29">
        <f>+B157</f>
        <v>195931.7</v>
      </c>
      <c r="C103" s="29">
        <v>6850</v>
      </c>
      <c r="D103" s="29">
        <f>5106.9+40809.4</f>
        <v>45916.3</v>
      </c>
      <c r="E103" s="29">
        <v>26964</v>
      </c>
      <c r="F103" s="29">
        <v>39214.7</v>
      </c>
      <c r="G103" s="29">
        <f>657.5+1229.4+50048.7+16820.2</f>
        <v>68755.8</v>
      </c>
      <c r="H103" s="30">
        <f>SUM(B103:G103)</f>
        <v>383632.5</v>
      </c>
      <c r="I103" s="29">
        <v>2775.7</v>
      </c>
      <c r="J103" s="31">
        <v>2446.4</v>
      </c>
      <c r="K103" s="47">
        <v>0</v>
      </c>
      <c r="L103" s="35" t="s">
        <v>19</v>
      </c>
      <c r="M103" s="29">
        <v>25140.5</v>
      </c>
      <c r="N103" s="29">
        <v>29567.5</v>
      </c>
      <c r="O103" s="29">
        <v>26965.1</v>
      </c>
      <c r="P103" s="34" t="s">
        <v>19</v>
      </c>
      <c r="Q103" s="32">
        <f t="shared" si="14"/>
        <v>86895.2</v>
      </c>
      <c r="R103" s="36">
        <f>4931.3+2711.4</f>
        <v>7642.700000000001</v>
      </c>
      <c r="S103" s="32">
        <f>+H103+Q103+R103</f>
        <v>478170.4</v>
      </c>
    </row>
    <row r="104" spans="1:19" ht="15.75" hidden="1">
      <c r="A104" s="39"/>
      <c r="B104" s="29"/>
      <c r="C104" s="29"/>
      <c r="D104" s="29"/>
      <c r="E104" s="29"/>
      <c r="F104" s="29"/>
      <c r="G104" s="29"/>
      <c r="H104" s="30"/>
      <c r="I104" s="29"/>
      <c r="J104" s="31"/>
      <c r="K104" s="35"/>
      <c r="L104" s="35"/>
      <c r="M104" s="29"/>
      <c r="N104" s="29"/>
      <c r="O104" s="29"/>
      <c r="P104" s="34"/>
      <c r="Q104" s="32"/>
      <c r="R104" s="36"/>
      <c r="S104" s="32"/>
    </row>
    <row r="105" spans="1:19" ht="18" hidden="1">
      <c r="A105" s="23" t="s">
        <v>124</v>
      </c>
      <c r="B105" s="29">
        <f>+B161</f>
        <v>206263.1475612798</v>
      </c>
      <c r="C105" s="29">
        <f aca="true" t="shared" si="16" ref="C105:S105">+C161</f>
        <v>1156.2561584068171</v>
      </c>
      <c r="D105" s="47">
        <f t="shared" si="16"/>
        <v>0</v>
      </c>
      <c r="E105" s="29">
        <f t="shared" si="16"/>
        <v>30528.34191121455</v>
      </c>
      <c r="F105" s="29">
        <f t="shared" si="16"/>
        <v>36399.62748301718</v>
      </c>
      <c r="G105" s="29">
        <f t="shared" si="16"/>
        <v>85288.43178388503</v>
      </c>
      <c r="H105" s="29">
        <f t="shared" si="16"/>
        <v>359635.80489780335</v>
      </c>
      <c r="I105" s="29">
        <f t="shared" si="16"/>
        <v>2949.283056227597</v>
      </c>
      <c r="J105" s="29">
        <f t="shared" si="16"/>
        <v>2319.476417050009</v>
      </c>
      <c r="K105" s="47">
        <f t="shared" si="16"/>
        <v>0</v>
      </c>
      <c r="L105" s="29" t="str">
        <f t="shared" si="16"/>
        <v>-</v>
      </c>
      <c r="M105" s="50">
        <f t="shared" si="16"/>
        <v>0</v>
      </c>
      <c r="N105" s="29">
        <f t="shared" si="16"/>
        <v>28442.2502380921</v>
      </c>
      <c r="O105" s="29">
        <f t="shared" si="16"/>
        <v>27436.842448853702</v>
      </c>
      <c r="P105" s="29" t="str">
        <f t="shared" si="16"/>
        <v>-</v>
      </c>
      <c r="Q105" s="29">
        <f t="shared" si="16"/>
        <v>61147.85216022341</v>
      </c>
      <c r="R105" s="29">
        <f t="shared" si="16"/>
        <v>4945.495652</v>
      </c>
      <c r="S105" s="29">
        <f t="shared" si="16"/>
        <v>425728.95271002676</v>
      </c>
    </row>
    <row r="106" spans="1:19" ht="18" hidden="1">
      <c r="A106" s="23" t="s">
        <v>14</v>
      </c>
      <c r="B106" s="29">
        <f>+B164</f>
        <v>213907.20784545096</v>
      </c>
      <c r="C106" s="29">
        <f aca="true" t="shared" si="17" ref="C106:S106">+C164</f>
        <v>1175.5661261756068</v>
      </c>
      <c r="D106" s="47">
        <f t="shared" si="17"/>
        <v>0</v>
      </c>
      <c r="E106" s="29">
        <f t="shared" si="17"/>
        <v>31621.382007252956</v>
      </c>
      <c r="F106" s="29">
        <f t="shared" si="17"/>
        <v>37241.20337373699</v>
      </c>
      <c r="G106" s="29">
        <f t="shared" si="17"/>
        <v>88761.93223778305</v>
      </c>
      <c r="H106" s="29">
        <f t="shared" si="17"/>
        <v>372707.2915903995</v>
      </c>
      <c r="I106" s="29">
        <f t="shared" si="17"/>
        <v>2546.208766380603</v>
      </c>
      <c r="J106" s="29">
        <f t="shared" si="17"/>
        <v>2349.6200694948257</v>
      </c>
      <c r="K106" s="47">
        <f t="shared" si="17"/>
        <v>0</v>
      </c>
      <c r="L106" s="29" t="str">
        <f t="shared" si="17"/>
        <v>-</v>
      </c>
      <c r="M106" s="50">
        <f t="shared" si="17"/>
        <v>0</v>
      </c>
      <c r="N106" s="29">
        <f t="shared" si="17"/>
        <v>28994.80717314253</v>
      </c>
      <c r="O106" s="29">
        <f t="shared" si="17"/>
        <v>27816.088937145134</v>
      </c>
      <c r="P106" s="29" t="str">
        <f t="shared" si="17"/>
        <v>-</v>
      </c>
      <c r="Q106" s="29">
        <f t="shared" si="17"/>
        <v>61706.72494616309</v>
      </c>
      <c r="R106" s="29">
        <f t="shared" si="17"/>
        <v>4965.399999999999</v>
      </c>
      <c r="S106" s="29">
        <f t="shared" si="17"/>
        <v>439379.4165365626</v>
      </c>
    </row>
    <row r="107" spans="1:19" ht="18" hidden="1">
      <c r="A107" s="23" t="s">
        <v>162</v>
      </c>
      <c r="B107" s="29">
        <f>+B167</f>
        <v>217165.78873112117</v>
      </c>
      <c r="C107" s="29">
        <f aca="true" t="shared" si="18" ref="C107:S107">+C167</f>
        <v>1161.2650580327354</v>
      </c>
      <c r="D107" s="47">
        <f t="shared" si="18"/>
        <v>0</v>
      </c>
      <c r="E107" s="29">
        <f t="shared" si="18"/>
        <v>31063.995596791458</v>
      </c>
      <c r="F107" s="29">
        <f t="shared" si="18"/>
        <v>41707.13677361037</v>
      </c>
      <c r="G107" s="29">
        <f t="shared" si="18"/>
        <v>91166.03000091067</v>
      </c>
      <c r="H107" s="29">
        <f t="shared" si="18"/>
        <v>382264.2161604664</v>
      </c>
      <c r="I107" s="29">
        <f t="shared" si="18"/>
        <v>2217.610010392763</v>
      </c>
      <c r="J107" s="29">
        <f t="shared" si="18"/>
        <v>2384.024258</v>
      </c>
      <c r="K107" s="47">
        <f t="shared" si="18"/>
        <v>0</v>
      </c>
      <c r="L107" s="29" t="str">
        <f t="shared" si="18"/>
        <v>-</v>
      </c>
      <c r="M107" s="50">
        <f t="shared" si="18"/>
        <v>0</v>
      </c>
      <c r="N107" s="29">
        <f t="shared" si="18"/>
        <v>29381.644631958996</v>
      </c>
      <c r="O107" s="29">
        <f t="shared" si="18"/>
        <v>26275.289899015803</v>
      </c>
      <c r="P107" s="29" t="str">
        <f t="shared" si="18"/>
        <v>-</v>
      </c>
      <c r="Q107" s="29">
        <f t="shared" si="18"/>
        <v>60258.56879936757</v>
      </c>
      <c r="R107" s="29">
        <f t="shared" si="18"/>
        <v>5062.30908</v>
      </c>
      <c r="S107" s="29">
        <f t="shared" si="18"/>
        <v>447585.094039834</v>
      </c>
    </row>
    <row r="108" spans="1:19" ht="18" hidden="1">
      <c r="A108" s="39" t="s">
        <v>104</v>
      </c>
      <c r="B108" s="29">
        <f>+B170</f>
        <v>232989.90046099154</v>
      </c>
      <c r="C108" s="29">
        <f aca="true" t="shared" si="19" ref="C108:S108">+C170</f>
        <v>1235.5734926087202</v>
      </c>
      <c r="D108" s="47">
        <f t="shared" si="19"/>
        <v>0</v>
      </c>
      <c r="E108" s="29">
        <f t="shared" si="19"/>
        <v>33051.756158866156</v>
      </c>
      <c r="F108" s="29">
        <f t="shared" si="19"/>
        <v>48221.32662234629</v>
      </c>
      <c r="G108" s="29">
        <f t="shared" si="19"/>
        <v>99289.6161478478</v>
      </c>
      <c r="H108" s="29">
        <f t="shared" si="19"/>
        <v>414788.1728826605</v>
      </c>
      <c r="I108" s="29">
        <f t="shared" si="19"/>
        <v>1494.7543610254902</v>
      </c>
      <c r="J108" s="29">
        <f t="shared" si="19"/>
        <v>2535.8102</v>
      </c>
      <c r="K108" s="47">
        <f t="shared" si="19"/>
        <v>0</v>
      </c>
      <c r="L108" s="29" t="str">
        <f t="shared" si="19"/>
        <v>-</v>
      </c>
      <c r="M108" s="50">
        <f t="shared" si="19"/>
        <v>0</v>
      </c>
      <c r="N108" s="29">
        <f t="shared" si="19"/>
        <v>31289.629483432374</v>
      </c>
      <c r="O108" s="29">
        <f t="shared" si="19"/>
        <v>29576.72326431578</v>
      </c>
      <c r="P108" s="29" t="str">
        <f t="shared" si="19"/>
        <v>-</v>
      </c>
      <c r="Q108" s="29">
        <f t="shared" si="19"/>
        <v>64896.91730877364</v>
      </c>
      <c r="R108" s="29">
        <f t="shared" si="19"/>
        <v>5395.964</v>
      </c>
      <c r="S108" s="29">
        <f t="shared" si="19"/>
        <v>485081.0541914341</v>
      </c>
    </row>
    <row r="109" spans="1:19" ht="15.75" hidden="1">
      <c r="A109" s="39"/>
      <c r="B109" s="29"/>
      <c r="C109" s="29"/>
      <c r="D109" s="35"/>
      <c r="E109" s="29"/>
      <c r="F109" s="29"/>
      <c r="G109" s="29"/>
      <c r="H109" s="30"/>
      <c r="I109" s="29"/>
      <c r="J109" s="31"/>
      <c r="K109" s="35"/>
      <c r="L109" s="35"/>
      <c r="M109" s="35"/>
      <c r="N109" s="29"/>
      <c r="O109" s="29"/>
      <c r="P109" s="34"/>
      <c r="Q109" s="32"/>
      <c r="R109" s="36"/>
      <c r="S109" s="32"/>
    </row>
    <row r="110" spans="1:19" ht="18" hidden="1">
      <c r="A110" s="39" t="s">
        <v>103</v>
      </c>
      <c r="B110" s="29">
        <v>238366.9014593187</v>
      </c>
      <c r="C110" s="29">
        <v>1282.57179623113</v>
      </c>
      <c r="D110" s="47">
        <v>0</v>
      </c>
      <c r="E110" s="29">
        <v>34355.07860944485</v>
      </c>
      <c r="F110" s="29">
        <v>48843.495040174406</v>
      </c>
      <c r="G110" s="29">
        <v>80593.59200709646</v>
      </c>
      <c r="H110" s="30">
        <f>+H179</f>
        <v>433027.5668874849</v>
      </c>
      <c r="I110" s="30">
        <f aca="true" t="shared" si="20" ref="I110:S110">+I179</f>
        <v>1563.6720430168702</v>
      </c>
      <c r="J110" s="30">
        <f t="shared" si="20"/>
        <v>2643.83</v>
      </c>
      <c r="K110" s="47">
        <f t="shared" si="20"/>
        <v>0</v>
      </c>
      <c r="L110" s="30">
        <f t="shared" si="20"/>
        <v>0</v>
      </c>
      <c r="M110" s="50">
        <f t="shared" si="20"/>
        <v>0</v>
      </c>
      <c r="N110" s="30">
        <f t="shared" si="20"/>
        <v>32310.864011388676</v>
      </c>
      <c r="O110" s="30">
        <f t="shared" si="20"/>
        <v>31206.648447275038</v>
      </c>
      <c r="P110" s="30">
        <f t="shared" si="20"/>
        <v>0</v>
      </c>
      <c r="Q110" s="30">
        <f t="shared" si="20"/>
        <v>67725.01450168059</v>
      </c>
      <c r="R110" s="30">
        <f t="shared" si="20"/>
        <v>5621.612</v>
      </c>
      <c r="S110" s="30">
        <f t="shared" si="20"/>
        <v>506374.1933891655</v>
      </c>
    </row>
    <row r="111" spans="1:19" ht="18" hidden="1">
      <c r="A111" s="39" t="s">
        <v>173</v>
      </c>
      <c r="B111" s="29">
        <f>+B182</f>
        <v>243642.7595773861</v>
      </c>
      <c r="C111" s="29">
        <f aca="true" t="shared" si="21" ref="C111:S111">+C182</f>
        <v>1104.63347741648</v>
      </c>
      <c r="D111" s="47">
        <v>0</v>
      </c>
      <c r="E111" s="29">
        <f t="shared" si="21"/>
        <v>36603.59821753054</v>
      </c>
      <c r="F111" s="29">
        <f t="shared" si="21"/>
        <v>53169.876598086004</v>
      </c>
      <c r="G111" s="29">
        <f t="shared" si="21"/>
        <v>103756.503441966</v>
      </c>
      <c r="H111" s="29">
        <f t="shared" si="21"/>
        <v>438277.3713123852</v>
      </c>
      <c r="I111" s="29">
        <f t="shared" si="21"/>
        <v>1498.5056128425101</v>
      </c>
      <c r="J111" s="29">
        <f t="shared" si="21"/>
        <v>2587.133521</v>
      </c>
      <c r="K111" s="47">
        <v>0</v>
      </c>
      <c r="L111" s="29">
        <f t="shared" si="21"/>
        <v>0</v>
      </c>
      <c r="M111" s="50">
        <v>0</v>
      </c>
      <c r="N111" s="29">
        <f t="shared" si="21"/>
        <v>33278.01353666827</v>
      </c>
      <c r="O111" s="29">
        <f t="shared" si="21"/>
        <v>30894.1826518813</v>
      </c>
      <c r="P111" s="29">
        <f t="shared" si="21"/>
        <v>0</v>
      </c>
      <c r="Q111" s="29">
        <f t="shared" si="21"/>
        <v>68257.83532239209</v>
      </c>
      <c r="R111" s="29">
        <f t="shared" si="21"/>
        <v>5676.624</v>
      </c>
      <c r="S111" s="29">
        <f t="shared" si="21"/>
        <v>512211.83063477726</v>
      </c>
    </row>
    <row r="112" spans="1:19" ht="18" hidden="1">
      <c r="A112" s="39" t="s">
        <v>181</v>
      </c>
      <c r="B112" s="29">
        <f>+B185</f>
        <v>257777.3996531748</v>
      </c>
      <c r="C112" s="29">
        <f aca="true" t="shared" si="22" ref="C112:R112">+C185</f>
        <v>1163.28457820036</v>
      </c>
      <c r="D112" s="47">
        <f t="shared" si="22"/>
        <v>0</v>
      </c>
      <c r="E112" s="29">
        <f t="shared" si="22"/>
        <v>38502.641777204946</v>
      </c>
      <c r="F112" s="29">
        <f t="shared" si="22"/>
        <v>59618.94690036423</v>
      </c>
      <c r="G112" s="29">
        <f t="shared" si="22"/>
        <v>113000.9071939743</v>
      </c>
      <c r="H112" s="29">
        <f t="shared" si="22"/>
        <v>470063.18010291865</v>
      </c>
      <c r="I112" s="29">
        <f t="shared" si="22"/>
        <v>778.1254860649203</v>
      </c>
      <c r="J112" s="29">
        <f t="shared" si="22"/>
        <v>2801.9019</v>
      </c>
      <c r="K112" s="47">
        <f t="shared" si="22"/>
        <v>0</v>
      </c>
      <c r="L112" s="29">
        <f t="shared" si="22"/>
        <v>0</v>
      </c>
      <c r="M112" s="50">
        <f t="shared" si="22"/>
        <v>0</v>
      </c>
      <c r="N112" s="29">
        <f t="shared" si="22"/>
        <v>33848.16068946478</v>
      </c>
      <c r="O112" s="29">
        <f t="shared" si="22"/>
        <v>32705.17267211483</v>
      </c>
      <c r="P112" s="29">
        <f t="shared" si="22"/>
        <v>0</v>
      </c>
      <c r="Q112" s="29">
        <f t="shared" si="22"/>
        <v>70133.36074764453</v>
      </c>
      <c r="R112" s="29">
        <f t="shared" si="22"/>
        <v>5897.563999999999</v>
      </c>
      <c r="S112" s="29">
        <f>+S185</f>
        <v>546094.1048505632</v>
      </c>
    </row>
    <row r="113" spans="1:19" ht="18" hidden="1">
      <c r="A113" s="39" t="s">
        <v>104</v>
      </c>
      <c r="B113" s="29">
        <f>+B188</f>
        <v>270877.768813491</v>
      </c>
      <c r="C113" s="29">
        <f aca="true" t="shared" si="23" ref="C113:S113">+C188</f>
        <v>1207.6132596074801</v>
      </c>
      <c r="D113" s="47">
        <f t="shared" si="23"/>
        <v>0</v>
      </c>
      <c r="E113" s="29">
        <f t="shared" si="23"/>
        <v>39941.91999805474</v>
      </c>
      <c r="F113" s="29">
        <f t="shared" si="23"/>
        <v>62905.57762770112</v>
      </c>
      <c r="G113" s="29">
        <f t="shared" si="23"/>
        <v>117263.92412034604</v>
      </c>
      <c r="H113" s="29">
        <f t="shared" si="23"/>
        <v>492196.8038192003</v>
      </c>
      <c r="I113" s="47">
        <f t="shared" si="23"/>
        <v>0</v>
      </c>
      <c r="J113" s="29">
        <f t="shared" si="23"/>
        <v>2683.64976</v>
      </c>
      <c r="K113" s="50">
        <f t="shared" si="23"/>
        <v>0</v>
      </c>
      <c r="L113" s="29">
        <f t="shared" si="23"/>
        <v>0</v>
      </c>
      <c r="M113" s="50">
        <f t="shared" si="23"/>
        <v>0</v>
      </c>
      <c r="N113" s="29">
        <f t="shared" si="23"/>
        <v>35577.21092340284</v>
      </c>
      <c r="O113" s="29">
        <f t="shared" si="23"/>
        <v>34333.325454554586</v>
      </c>
      <c r="P113" s="29">
        <f t="shared" si="23"/>
        <v>0</v>
      </c>
      <c r="Q113" s="29">
        <f t="shared" si="23"/>
        <v>72594.18613795743</v>
      </c>
      <c r="R113" s="29">
        <f t="shared" si="23"/>
        <v>42890.43090399776</v>
      </c>
      <c r="S113" s="29">
        <f t="shared" si="23"/>
        <v>607681.4208611555</v>
      </c>
    </row>
    <row r="114" spans="1:19" ht="18" hidden="1">
      <c r="A114" s="39"/>
      <c r="B114" s="29"/>
      <c r="C114" s="29"/>
      <c r="D114" s="47"/>
      <c r="E114" s="29"/>
      <c r="F114" s="29"/>
      <c r="G114" s="29"/>
      <c r="H114" s="29"/>
      <c r="I114" s="47"/>
      <c r="J114" s="29"/>
      <c r="K114" s="50"/>
      <c r="L114" s="29"/>
      <c r="M114" s="50"/>
      <c r="N114" s="29"/>
      <c r="O114" s="29"/>
      <c r="P114" s="29"/>
      <c r="Q114" s="33"/>
      <c r="R114" s="33"/>
      <c r="S114" s="33"/>
    </row>
    <row r="115" spans="1:19" ht="18" hidden="1">
      <c r="A115" s="39" t="s">
        <v>136</v>
      </c>
      <c r="B115" s="29">
        <f>+B199</f>
        <v>271633.80505356216</v>
      </c>
      <c r="C115" s="29">
        <f aca="true" t="shared" si="24" ref="C115:S115">+C199</f>
        <v>1219.3597079708</v>
      </c>
      <c r="D115" s="47">
        <f t="shared" si="24"/>
        <v>0</v>
      </c>
      <c r="E115" s="29">
        <f t="shared" si="24"/>
        <v>40596.562664574325</v>
      </c>
      <c r="F115" s="29">
        <f t="shared" si="24"/>
        <v>66358.04749913693</v>
      </c>
      <c r="G115" s="29">
        <f t="shared" si="24"/>
        <v>120178.50577068047</v>
      </c>
      <c r="H115" s="29">
        <f t="shared" si="24"/>
        <v>499986.28069592465</v>
      </c>
      <c r="I115" s="47">
        <f t="shared" si="24"/>
        <v>0</v>
      </c>
      <c r="J115" s="29">
        <f t="shared" si="24"/>
        <v>2813.18004</v>
      </c>
      <c r="K115" s="50">
        <f t="shared" si="24"/>
        <v>0</v>
      </c>
      <c r="L115" s="29">
        <f t="shared" si="24"/>
        <v>0</v>
      </c>
      <c r="M115" s="47">
        <f t="shared" si="24"/>
        <v>0</v>
      </c>
      <c r="N115" s="29">
        <f t="shared" si="24"/>
        <v>35898.31626125516</v>
      </c>
      <c r="O115" s="29">
        <f t="shared" si="24"/>
        <v>34725.500942705214</v>
      </c>
      <c r="P115" s="29">
        <f t="shared" si="24"/>
        <v>0</v>
      </c>
      <c r="Q115" s="29">
        <f t="shared" si="24"/>
        <v>73436.99724396037</v>
      </c>
      <c r="R115" s="29">
        <f t="shared" si="24"/>
        <v>45208.71133805876</v>
      </c>
      <c r="S115" s="29">
        <f t="shared" si="24"/>
        <v>618631.9892779439</v>
      </c>
    </row>
    <row r="116" spans="1:19" ht="18">
      <c r="A116" s="23" t="s">
        <v>198</v>
      </c>
      <c r="B116" s="29">
        <f>+B202</f>
        <v>266357.72306055215</v>
      </c>
      <c r="C116" s="29">
        <f aca="true" t="shared" si="25" ref="C116:S116">+C202</f>
        <v>1195.675462201176</v>
      </c>
      <c r="D116" s="47">
        <f t="shared" si="25"/>
        <v>0</v>
      </c>
      <c r="E116" s="29">
        <f t="shared" si="25"/>
        <v>40063.5006709841</v>
      </c>
      <c r="F116" s="29">
        <f t="shared" si="25"/>
        <v>64695.72087369412</v>
      </c>
      <c r="G116" s="29">
        <f t="shared" si="25"/>
        <v>118243.02651807675</v>
      </c>
      <c r="H116" s="29">
        <f t="shared" si="25"/>
        <v>490555.64658550825</v>
      </c>
      <c r="I116" s="47">
        <f>+I202</f>
        <v>0</v>
      </c>
      <c r="J116" s="29">
        <f t="shared" si="25"/>
        <v>2767.413</v>
      </c>
      <c r="K116" s="50">
        <f t="shared" si="25"/>
        <v>0</v>
      </c>
      <c r="L116" s="29">
        <f t="shared" si="25"/>
        <v>0</v>
      </c>
      <c r="M116" s="47">
        <f t="shared" si="25"/>
        <v>0</v>
      </c>
      <c r="N116" s="29">
        <f t="shared" si="25"/>
        <v>35605.67767180831</v>
      </c>
      <c r="O116" s="29">
        <f t="shared" si="25"/>
        <v>34838.19461748534</v>
      </c>
      <c r="P116" s="29">
        <f t="shared" si="25"/>
        <v>0</v>
      </c>
      <c r="Q116" s="29">
        <f t="shared" si="25"/>
        <v>73211.28528929365</v>
      </c>
      <c r="R116" s="29">
        <f t="shared" si="25"/>
        <v>44031.38514221092</v>
      </c>
      <c r="S116" s="29">
        <f t="shared" si="25"/>
        <v>607798.3170170127</v>
      </c>
    </row>
    <row r="117" spans="1:19" ht="18">
      <c r="A117" s="39" t="s">
        <v>117</v>
      </c>
      <c r="B117" s="29">
        <f>B205</f>
        <v>267094.2789094543</v>
      </c>
      <c r="C117" s="29">
        <f aca="true" t="shared" si="26" ref="C117:S117">C205</f>
        <v>1202.407702872904</v>
      </c>
      <c r="D117" s="47">
        <f t="shared" si="26"/>
        <v>0</v>
      </c>
      <c r="E117" s="29">
        <f t="shared" si="26"/>
        <v>40444.108580753484</v>
      </c>
      <c r="F117" s="29">
        <f t="shared" si="26"/>
        <v>67090.29284741056</v>
      </c>
      <c r="G117" s="29">
        <f t="shared" si="26"/>
        <v>119134.78625170639</v>
      </c>
      <c r="H117" s="29">
        <f t="shared" si="26"/>
        <v>494965.87429219764</v>
      </c>
      <c r="I117" s="47">
        <f t="shared" si="26"/>
        <v>0</v>
      </c>
      <c r="J117" s="29">
        <f t="shared" si="26"/>
        <v>2765.06274</v>
      </c>
      <c r="K117" s="50">
        <f t="shared" si="26"/>
        <v>0</v>
      </c>
      <c r="L117" s="29">
        <f t="shared" si="26"/>
        <v>0</v>
      </c>
      <c r="M117" s="47">
        <f t="shared" si="26"/>
        <v>0</v>
      </c>
      <c r="N117" s="29">
        <f t="shared" si="26"/>
        <v>35428.248454834036</v>
      </c>
      <c r="O117" s="29">
        <f t="shared" si="26"/>
        <v>34385.886671088934</v>
      </c>
      <c r="P117" s="29">
        <f t="shared" si="26"/>
        <v>0</v>
      </c>
      <c r="Q117" s="29">
        <f t="shared" si="26"/>
        <v>72579.19786592296</v>
      </c>
      <c r="R117" s="29">
        <f t="shared" si="26"/>
        <v>44073.265236401916</v>
      </c>
      <c r="S117" s="29">
        <f t="shared" si="26"/>
        <v>611618.3373945225</v>
      </c>
    </row>
    <row r="118" spans="1:19" ht="18">
      <c r="A118" s="39" t="s">
        <v>151</v>
      </c>
      <c r="B118" s="29">
        <v>269775.90864990256</v>
      </c>
      <c r="C118" s="29">
        <v>1216.612029179803</v>
      </c>
      <c r="D118" s="47">
        <v>0</v>
      </c>
      <c r="E118" s="29">
        <v>40500.20368517799</v>
      </c>
      <c r="F118" s="29">
        <v>65990.93729902955</v>
      </c>
      <c r="G118" s="29">
        <v>120577.32776800019</v>
      </c>
      <c r="H118" s="29">
        <v>498060.98943129013</v>
      </c>
      <c r="I118" s="47">
        <v>0</v>
      </c>
      <c r="J118" s="29">
        <v>2591.3391226</v>
      </c>
      <c r="K118" s="47">
        <v>0</v>
      </c>
      <c r="L118" s="29"/>
      <c r="M118" s="50">
        <v>0</v>
      </c>
      <c r="N118" s="29">
        <v>35214.51050843248</v>
      </c>
      <c r="O118" s="29">
        <v>34070.09087093354</v>
      </c>
      <c r="P118" s="29"/>
      <c r="Q118" s="33">
        <v>71875.94050196602</v>
      </c>
      <c r="R118" s="33">
        <v>44371.62865960095</v>
      </c>
      <c r="S118" s="33">
        <v>614308.5585928571</v>
      </c>
    </row>
    <row r="119" spans="1:19" ht="18" hidden="1">
      <c r="A119" s="39"/>
      <c r="B119" s="29"/>
      <c r="C119" s="29"/>
      <c r="D119" s="47"/>
      <c r="E119" s="29"/>
      <c r="F119" s="29"/>
      <c r="G119" s="29"/>
      <c r="H119" s="29"/>
      <c r="I119" s="47"/>
      <c r="J119" s="29"/>
      <c r="K119" s="47"/>
      <c r="L119" s="35"/>
      <c r="M119" s="50"/>
      <c r="N119" s="29"/>
      <c r="O119" s="29"/>
      <c r="P119" s="34"/>
      <c r="Q119" s="32"/>
      <c r="R119" s="36"/>
      <c r="S119" s="32"/>
    </row>
    <row r="120" spans="1:19" ht="15.75" hidden="1">
      <c r="A120" s="23" t="s">
        <v>43</v>
      </c>
      <c r="B120" s="29">
        <v>981155.2</v>
      </c>
      <c r="C120" s="29">
        <v>6666.8</v>
      </c>
      <c r="D120" s="29">
        <f>6543+46038.5</f>
        <v>52581.5</v>
      </c>
      <c r="E120" s="29">
        <v>262768.8</v>
      </c>
      <c r="F120" s="29">
        <v>12339.6</v>
      </c>
      <c r="G120" s="29">
        <f>1139.5+609.4+47751.9+12290.5</f>
        <v>61791.3</v>
      </c>
      <c r="H120" s="30">
        <f t="shared" si="8"/>
        <v>1377303.2000000002</v>
      </c>
      <c r="I120" s="29">
        <v>79169.7</v>
      </c>
      <c r="J120" s="31">
        <v>2144.6</v>
      </c>
      <c r="K120" s="29">
        <f>12083.9+8550.9</f>
        <v>20634.8</v>
      </c>
      <c r="L120" s="35" t="s">
        <v>19</v>
      </c>
      <c r="M120" s="29">
        <v>17991.7</v>
      </c>
      <c r="N120" s="29">
        <v>19608.2</v>
      </c>
      <c r="O120" s="29">
        <v>19737.6</v>
      </c>
      <c r="P120" s="34" t="s">
        <v>19</v>
      </c>
      <c r="Q120" s="32">
        <f aca="true" t="shared" si="27" ref="Q120:Q131">SUM(I120:P120)</f>
        <v>159286.6</v>
      </c>
      <c r="R120" s="36">
        <f>804.6+4570.8+2526.2</f>
        <v>7901.6</v>
      </c>
      <c r="S120" s="32">
        <f>H120+Q120+R120-0.1</f>
        <v>1544491.3000000003</v>
      </c>
    </row>
    <row r="121" spans="1:19" ht="15.75" hidden="1">
      <c r="A121" s="23" t="s">
        <v>72</v>
      </c>
      <c r="B121" s="29">
        <v>996788.8</v>
      </c>
      <c r="C121" s="29">
        <v>6744.4</v>
      </c>
      <c r="D121" s="29">
        <f>6660.5+46367.2</f>
        <v>53027.7</v>
      </c>
      <c r="E121" s="29">
        <v>266771</v>
      </c>
      <c r="F121" s="29">
        <v>12536.2</v>
      </c>
      <c r="G121" s="29">
        <f>12486.3+48552+619.2+1157.6</f>
        <v>62815.1</v>
      </c>
      <c r="H121" s="30">
        <f t="shared" si="8"/>
        <v>1398683.2000000002</v>
      </c>
      <c r="I121" s="29">
        <v>80591.8</v>
      </c>
      <c r="J121" s="31">
        <v>2199.4</v>
      </c>
      <c r="K121" s="29">
        <f>12301+8704.5</f>
        <v>21005.5</v>
      </c>
      <c r="L121" s="35" t="s">
        <v>19</v>
      </c>
      <c r="M121" s="29">
        <v>18390.3</v>
      </c>
      <c r="N121" s="29">
        <v>19608.2</v>
      </c>
      <c r="O121" s="29">
        <v>20468.3</v>
      </c>
      <c r="P121" s="34" t="s">
        <v>19</v>
      </c>
      <c r="Q121" s="32">
        <f t="shared" si="27"/>
        <v>162263.5</v>
      </c>
      <c r="R121" s="36">
        <f>819+4643.6+2566.5+0.1</f>
        <v>8029.200000000001</v>
      </c>
      <c r="S121" s="32">
        <f>H121+Q121+R121-0.1</f>
        <v>1568975.8</v>
      </c>
    </row>
    <row r="122" spans="1:19" ht="15.75" hidden="1">
      <c r="A122" s="39" t="s">
        <v>73</v>
      </c>
      <c r="B122" s="29">
        <v>1035536.1</v>
      </c>
      <c r="C122" s="29">
        <v>7030.7</v>
      </c>
      <c r="D122" s="29">
        <f>7100.9+49334.2</f>
        <v>56435.1</v>
      </c>
      <c r="E122" s="29">
        <v>277311.4</v>
      </c>
      <c r="F122" s="29">
        <v>12700.2</v>
      </c>
      <c r="G122" s="29">
        <f>12296.9+51472.4+627.3+1172.8</f>
        <v>65569.40000000001</v>
      </c>
      <c r="H122" s="30">
        <f t="shared" si="8"/>
        <v>1454582.8999999997</v>
      </c>
      <c r="I122" s="29">
        <v>85920.3</v>
      </c>
      <c r="J122" s="31">
        <v>2160.8</v>
      </c>
      <c r="K122" s="35" t="s">
        <v>19</v>
      </c>
      <c r="L122" s="35" t="s">
        <v>19</v>
      </c>
      <c r="M122" s="29">
        <v>19826.1</v>
      </c>
      <c r="N122" s="29">
        <v>19817</v>
      </c>
      <c r="O122" s="29">
        <v>20438.5</v>
      </c>
      <c r="P122" s="34" t="s">
        <v>19</v>
      </c>
      <c r="Q122" s="32">
        <f t="shared" si="27"/>
        <v>148162.7</v>
      </c>
      <c r="R122" s="36">
        <f>873.2+4704.4+2600</f>
        <v>8177.599999999999</v>
      </c>
      <c r="S122" s="32">
        <f>H122+Q122+R122</f>
        <v>1610923.1999999997</v>
      </c>
    </row>
    <row r="123" spans="1:19" ht="15.75" hidden="1">
      <c r="A123" s="39" t="s">
        <v>74</v>
      </c>
      <c r="B123" s="29">
        <v>1036019.6</v>
      </c>
      <c r="C123" s="29">
        <v>7040.4</v>
      </c>
      <c r="D123" s="29">
        <f>7196.8+50000.5</f>
        <v>57197.3</v>
      </c>
      <c r="E123" s="29">
        <v>277232.9</v>
      </c>
      <c r="F123" s="29">
        <v>12677.2</v>
      </c>
      <c r="G123" s="29">
        <f>12274.6+52434.5+626.1+1170.7</f>
        <v>66505.9</v>
      </c>
      <c r="H123" s="30">
        <f t="shared" si="8"/>
        <v>1456673.3</v>
      </c>
      <c r="I123" s="29">
        <v>87080.5</v>
      </c>
      <c r="J123" s="31">
        <v>2210.3</v>
      </c>
      <c r="K123" s="35" t="s">
        <v>19</v>
      </c>
      <c r="L123" s="35" t="s">
        <v>19</v>
      </c>
      <c r="M123" s="29">
        <v>19407.5</v>
      </c>
      <c r="N123" s="29">
        <v>20833.2</v>
      </c>
      <c r="O123" s="29">
        <v>21363.6</v>
      </c>
      <c r="P123" s="34" t="s">
        <v>19</v>
      </c>
      <c r="Q123" s="32">
        <f t="shared" si="27"/>
        <v>150895.1</v>
      </c>
      <c r="R123" s="36">
        <f>885+4695.9+2595.3</f>
        <v>8176.2</v>
      </c>
      <c r="S123" s="32">
        <f>H123+Q123+R123-0.1</f>
        <v>1615744.5</v>
      </c>
    </row>
    <row r="124" spans="1:19" ht="15.75" hidden="1">
      <c r="A124" s="39" t="s">
        <v>75</v>
      </c>
      <c r="B124" s="29">
        <v>1035574.3</v>
      </c>
      <c r="C124" s="29">
        <v>7040.2</v>
      </c>
      <c r="D124" s="29">
        <f>49777.6+7164.7</f>
        <v>56942.299999999996</v>
      </c>
      <c r="E124" s="29">
        <v>277223.2</v>
      </c>
      <c r="F124" s="29">
        <v>12415.9</v>
      </c>
      <c r="G124" s="29">
        <f>1179.3+630.7+12365.1+52432.6</f>
        <v>66607.7</v>
      </c>
      <c r="H124" s="30">
        <f t="shared" si="8"/>
        <v>1455803.5999999999</v>
      </c>
      <c r="I124" s="29">
        <v>86692.4</v>
      </c>
      <c r="J124" s="31">
        <v>2231.1</v>
      </c>
      <c r="K124" s="35" t="s">
        <v>19</v>
      </c>
      <c r="L124" s="35" t="s">
        <v>19</v>
      </c>
      <c r="M124" s="29">
        <v>19275.2</v>
      </c>
      <c r="N124" s="29">
        <v>20988.3</v>
      </c>
      <c r="O124" s="29">
        <v>20774.8</v>
      </c>
      <c r="P124" s="34" t="s">
        <v>19</v>
      </c>
      <c r="Q124" s="32">
        <f t="shared" si="27"/>
        <v>149961.8</v>
      </c>
      <c r="R124" s="36">
        <f>881+4730.5+2614.5</f>
        <v>8226</v>
      </c>
      <c r="S124" s="32">
        <f>H124+Q124+R124-0.1</f>
        <v>1613991.2999999998</v>
      </c>
    </row>
    <row r="125" spans="1:19" ht="15.75" hidden="1">
      <c r="A125" s="23" t="s">
        <v>77</v>
      </c>
      <c r="B125" s="29">
        <v>1032264.5</v>
      </c>
      <c r="C125" s="29">
        <v>7020</v>
      </c>
      <c r="D125" s="29">
        <f>7165+49779.8</f>
        <v>56944.8</v>
      </c>
      <c r="E125" s="29">
        <v>276429.1</v>
      </c>
      <c r="F125" s="29">
        <v>12012.5</v>
      </c>
      <c r="G125" s="29">
        <f>12370.8+52259.8+631+1179.8</f>
        <v>66441.40000000001</v>
      </c>
      <c r="H125" s="30">
        <f t="shared" si="8"/>
        <v>1451112.2999999998</v>
      </c>
      <c r="I125" s="29">
        <v>86696.3</v>
      </c>
      <c r="J125" s="31">
        <v>2289.9</v>
      </c>
      <c r="K125" s="35" t="s">
        <v>19</v>
      </c>
      <c r="L125" s="35" t="s">
        <v>19</v>
      </c>
      <c r="M125" s="29">
        <v>18793.8</v>
      </c>
      <c r="N125" s="29">
        <v>21639.4</v>
      </c>
      <c r="O125" s="29">
        <v>21565.7</v>
      </c>
      <c r="P125" s="34" t="s">
        <v>19</v>
      </c>
      <c r="Q125" s="32">
        <f t="shared" si="27"/>
        <v>150985.1</v>
      </c>
      <c r="R125" s="36">
        <f>881.1+4732.7+2615.7</f>
        <v>8229.5</v>
      </c>
      <c r="S125" s="32">
        <f>H125+Q125+R125-0.1</f>
        <v>1610326.7999999998</v>
      </c>
    </row>
    <row r="126" spans="1:19" ht="15.75" hidden="1">
      <c r="A126" s="23" t="s">
        <v>78</v>
      </c>
      <c r="B126" s="29">
        <v>1045070</v>
      </c>
      <c r="C126" s="29">
        <v>7110.7</v>
      </c>
      <c r="D126" s="29">
        <f>7300+50717.3</f>
        <v>58017.3</v>
      </c>
      <c r="E126" s="29">
        <v>279999.7</v>
      </c>
      <c r="F126" s="29">
        <v>12587.6</v>
      </c>
      <c r="G126" s="29">
        <f>12430.8+52723+634.1+1185.6</f>
        <v>66973.50000000001</v>
      </c>
      <c r="H126" s="30">
        <f t="shared" si="8"/>
        <v>1469758.8</v>
      </c>
      <c r="I126" s="29">
        <v>88329.1</v>
      </c>
      <c r="J126" s="31">
        <v>2244.5</v>
      </c>
      <c r="K126" s="35" t="s">
        <v>19</v>
      </c>
      <c r="L126" s="35" t="s">
        <v>19</v>
      </c>
      <c r="M126" s="29">
        <v>18907.2</v>
      </c>
      <c r="N126" s="29">
        <v>21211.2</v>
      </c>
      <c r="O126" s="29">
        <v>21119.2</v>
      </c>
      <c r="P126" s="34" t="s">
        <v>19</v>
      </c>
      <c r="Q126" s="32">
        <f t="shared" si="27"/>
        <v>151811.2</v>
      </c>
      <c r="R126" s="36">
        <f>897.7+4755.6+2628.3</f>
        <v>8281.6</v>
      </c>
      <c r="S126" s="32">
        <f>H126+Q126+R126-0.1</f>
        <v>1629851.5</v>
      </c>
    </row>
    <row r="127" spans="1:19" ht="15.75" hidden="1">
      <c r="A127" s="23" t="s">
        <v>79</v>
      </c>
      <c r="B127" s="29">
        <v>1014475.6</v>
      </c>
      <c r="C127" s="29">
        <v>6891.6</v>
      </c>
      <c r="D127" s="29">
        <f>6825.8+48040.4</f>
        <v>54866.200000000004</v>
      </c>
      <c r="E127" s="29">
        <v>271373.3</v>
      </c>
      <c r="F127" s="29">
        <v>12534.5</v>
      </c>
      <c r="G127" s="29">
        <f>12378.3+50893.4+631.4+1180.6</f>
        <v>65083.7</v>
      </c>
      <c r="H127" s="30">
        <f t="shared" si="8"/>
        <v>1425224.9</v>
      </c>
      <c r="I127" s="29">
        <v>83666.9</v>
      </c>
      <c r="J127" s="31">
        <v>2281.4</v>
      </c>
      <c r="K127" s="35" t="s">
        <v>19</v>
      </c>
      <c r="L127" s="35" t="s">
        <v>19</v>
      </c>
      <c r="M127" s="29">
        <v>18409.5</v>
      </c>
      <c r="N127" s="29">
        <v>21459.2</v>
      </c>
      <c r="O127" s="29">
        <v>20931.7</v>
      </c>
      <c r="P127" s="34" t="s">
        <v>19</v>
      </c>
      <c r="Q127" s="32">
        <f t="shared" si="27"/>
        <v>146748.69999999998</v>
      </c>
      <c r="R127" s="36">
        <f>850.3+4735.5+2617.3</f>
        <v>8203.1</v>
      </c>
      <c r="S127" s="32">
        <f>H127+Q127+R127-0.1</f>
        <v>1580176.5999999999</v>
      </c>
    </row>
    <row r="128" spans="1:19" ht="15.75" hidden="1">
      <c r="A128" s="23" t="s">
        <v>81</v>
      </c>
      <c r="B128" s="29">
        <v>993533.2</v>
      </c>
      <c r="C128" s="29">
        <v>6746.1</v>
      </c>
      <c r="D128" s="29">
        <f>6537.1+46008.3</f>
        <v>52545.4</v>
      </c>
      <c r="E128" s="29">
        <v>264181.8</v>
      </c>
      <c r="F128" s="29">
        <v>12527.4</v>
      </c>
      <c r="G128" s="29">
        <f>630.5+1178.9+12361.4+50225.3</f>
        <v>64396.100000000006</v>
      </c>
      <c r="H128" s="30">
        <f t="shared" si="8"/>
        <v>1393930</v>
      </c>
      <c r="I128" s="29">
        <v>80127.8</v>
      </c>
      <c r="J128" s="31">
        <v>2247.3</v>
      </c>
      <c r="K128" s="35" t="s">
        <v>19</v>
      </c>
      <c r="L128" s="35" t="s">
        <v>19</v>
      </c>
      <c r="M128" s="29">
        <v>18804.1</v>
      </c>
      <c r="N128" s="29">
        <v>21020.5</v>
      </c>
      <c r="O128" s="29">
        <v>19510.3</v>
      </c>
      <c r="P128" s="34" t="s">
        <v>19</v>
      </c>
      <c r="Q128" s="32">
        <f t="shared" si="27"/>
        <v>141710</v>
      </c>
      <c r="R128" s="36">
        <f>814.3+4729.1+2613.6</f>
        <v>8157</v>
      </c>
      <c r="S128" s="32">
        <f>H128+Q128+R128</f>
        <v>1543797</v>
      </c>
    </row>
    <row r="129" spans="1:19" ht="15.75" hidden="1">
      <c r="A129" s="23" t="s">
        <v>82</v>
      </c>
      <c r="B129" s="29">
        <v>983809.5</v>
      </c>
      <c r="C129" s="29">
        <v>6631.3</v>
      </c>
      <c r="D129" s="29">
        <f>6138.4+42572</f>
        <v>48710.4</v>
      </c>
      <c r="E129" s="29">
        <v>259075</v>
      </c>
      <c r="F129" s="29">
        <v>12342</v>
      </c>
      <c r="G129" s="29">
        <f>639.8+1196.3+12183.7+49677.9</f>
        <v>63697.700000000004</v>
      </c>
      <c r="H129" s="30">
        <f t="shared" si="8"/>
        <v>1374265.9000000001</v>
      </c>
      <c r="I129" s="29">
        <v>75240.3</v>
      </c>
      <c r="J129" s="31">
        <v>2286.9</v>
      </c>
      <c r="K129" s="35" t="s">
        <v>19</v>
      </c>
      <c r="L129" s="35" t="s">
        <v>19</v>
      </c>
      <c r="M129" s="29">
        <v>20359</v>
      </c>
      <c r="N129" s="29">
        <v>21389.9</v>
      </c>
      <c r="O129" s="29">
        <v>21103.9</v>
      </c>
      <c r="P129" s="34" t="s">
        <v>19</v>
      </c>
      <c r="Q129" s="32">
        <f t="shared" si="27"/>
        <v>140380</v>
      </c>
      <c r="R129" s="36">
        <f>764.6+4798.8+2652.2</f>
        <v>8215.6</v>
      </c>
      <c r="S129" s="32">
        <f>H129+Q129+R129-0.3</f>
        <v>1522861.2000000002</v>
      </c>
    </row>
    <row r="130" spans="1:19" ht="15.75" hidden="1">
      <c r="A130" s="23" t="s">
        <v>83</v>
      </c>
      <c r="B130" s="29">
        <v>974088.4</v>
      </c>
      <c r="C130" s="29">
        <v>6587.1</v>
      </c>
      <c r="D130" s="29">
        <f>5955.5+41303.5</f>
        <v>47259</v>
      </c>
      <c r="E130" s="29">
        <v>256897.6</v>
      </c>
      <c r="F130" s="29">
        <v>12546.5</v>
      </c>
      <c r="G130" s="29">
        <f>1216.1+650.4+12385.5+49346.7</f>
        <v>63598.7</v>
      </c>
      <c r="H130" s="30">
        <f t="shared" si="8"/>
        <v>1360977.3</v>
      </c>
      <c r="I130" s="29">
        <v>72998.4</v>
      </c>
      <c r="J130" s="31">
        <v>2236.1</v>
      </c>
      <c r="K130" s="35" t="s">
        <v>19</v>
      </c>
      <c r="L130" s="35" t="s">
        <v>19</v>
      </c>
      <c r="M130" s="29">
        <v>21351.9</v>
      </c>
      <c r="N130" s="29">
        <v>20844.2</v>
      </c>
      <c r="O130" s="29">
        <v>18316.8</v>
      </c>
      <c r="P130" s="34" t="s">
        <v>19</v>
      </c>
      <c r="Q130" s="32">
        <f t="shared" si="27"/>
        <v>135747.4</v>
      </c>
      <c r="R130" s="36">
        <f>741.9+4878.3+2696.1</f>
        <v>8316.3</v>
      </c>
      <c r="S130" s="32">
        <f>H130+Q130+R130</f>
        <v>1505041</v>
      </c>
    </row>
    <row r="131" spans="1:19" ht="15.75" hidden="1">
      <c r="A131" s="23" t="s">
        <v>84</v>
      </c>
      <c r="B131" s="29">
        <v>1011484.9</v>
      </c>
      <c r="C131" s="29">
        <v>6838.5</v>
      </c>
      <c r="D131" s="29">
        <f>6414.7+44140.4</f>
        <v>50555.1</v>
      </c>
      <c r="E131" s="29">
        <v>265610.2</v>
      </c>
      <c r="F131" s="29">
        <v>12700.4</v>
      </c>
      <c r="G131" s="29">
        <f>12537.5+51025.4+1231.1+658.4</f>
        <v>65452.4</v>
      </c>
      <c r="H131" s="30">
        <f t="shared" si="8"/>
        <v>1412641.4999999998</v>
      </c>
      <c r="I131" s="29">
        <v>78627.8</v>
      </c>
      <c r="J131" s="31">
        <v>2341.2</v>
      </c>
      <c r="K131" s="35" t="s">
        <v>19</v>
      </c>
      <c r="L131" s="35" t="s">
        <v>19</v>
      </c>
      <c r="M131" s="29">
        <v>23015.9</v>
      </c>
      <c r="N131" s="29">
        <v>21478.3</v>
      </c>
      <c r="O131" s="29">
        <v>22186.6</v>
      </c>
      <c r="P131" s="34" t="s">
        <v>19</v>
      </c>
      <c r="Q131" s="32">
        <f t="shared" si="27"/>
        <v>147649.8</v>
      </c>
      <c r="R131" s="36">
        <f>4938.1+2729.2</f>
        <v>7667.3</v>
      </c>
      <c r="S131" s="32">
        <f>H131+Q131+R131</f>
        <v>1567958.5999999999</v>
      </c>
    </row>
    <row r="132" spans="1:19" ht="15.75" hidden="1">
      <c r="A132" s="39"/>
      <c r="B132" s="29"/>
      <c r="C132" s="29"/>
      <c r="D132" s="29"/>
      <c r="E132" s="29"/>
      <c r="F132" s="29"/>
      <c r="G132" s="29"/>
      <c r="H132" s="30"/>
      <c r="I132" s="29"/>
      <c r="J132" s="31"/>
      <c r="K132" s="35"/>
      <c r="L132" s="35"/>
      <c r="M132" s="29"/>
      <c r="N132" s="29"/>
      <c r="O132" s="29"/>
      <c r="P132" s="34"/>
      <c r="Q132" s="32"/>
      <c r="R132" s="36"/>
      <c r="S132" s="32"/>
    </row>
    <row r="133" spans="1:19" ht="15.75" hidden="1">
      <c r="A133" s="23" t="s">
        <v>54</v>
      </c>
      <c r="B133" s="29">
        <v>1012775.6</v>
      </c>
      <c r="C133" s="29">
        <v>6790.9</v>
      </c>
      <c r="D133" s="29">
        <f>6297.8+43335.7</f>
        <v>49633.5</v>
      </c>
      <c r="E133" s="29">
        <v>263761.2</v>
      </c>
      <c r="F133" s="29">
        <v>12666.9</v>
      </c>
      <c r="G133" s="29">
        <f>12504.5+50470.8+656.7+1227.8</f>
        <v>64859.8</v>
      </c>
      <c r="H133" s="30">
        <f t="shared" si="8"/>
        <v>1410487.9</v>
      </c>
      <c r="I133" s="29">
        <v>77194.3</v>
      </c>
      <c r="J133" s="31">
        <v>2387.8</v>
      </c>
      <c r="K133" s="35" t="s">
        <v>19</v>
      </c>
      <c r="L133" s="35" t="s">
        <v>19</v>
      </c>
      <c r="M133" s="29">
        <v>23168.1</v>
      </c>
      <c r="N133" s="29">
        <v>21675.4</v>
      </c>
      <c r="O133" s="29">
        <v>24932.8</v>
      </c>
      <c r="P133" s="34" t="s">
        <v>19</v>
      </c>
      <c r="Q133" s="32">
        <f aca="true" t="shared" si="28" ref="Q133:Q144">SUM(I133:P133)</f>
        <v>149358.4</v>
      </c>
      <c r="R133" s="36">
        <f>4925.1+2722</f>
        <v>7647.1</v>
      </c>
      <c r="S133" s="32">
        <f>H133+Q133+R133</f>
        <v>1567493.4</v>
      </c>
    </row>
    <row r="134" spans="1:19" ht="15.75" hidden="1">
      <c r="A134" s="23" t="s">
        <v>87</v>
      </c>
      <c r="B134" s="29">
        <v>992163.1</v>
      </c>
      <c r="C134" s="29">
        <v>6609.1</v>
      </c>
      <c r="D134" s="29">
        <f>6025.2+41460.2</f>
        <v>47485.399999999994</v>
      </c>
      <c r="E134" s="29">
        <v>257360.5</v>
      </c>
      <c r="F134" s="29">
        <v>12632.3</v>
      </c>
      <c r="G134" s="29">
        <f>12470.3+48294.6+654.9+1224.5</f>
        <v>62644.299999999996</v>
      </c>
      <c r="H134" s="30">
        <f t="shared" si="8"/>
        <v>1378894.7000000002</v>
      </c>
      <c r="I134" s="29">
        <v>73853.4</v>
      </c>
      <c r="J134" s="31">
        <v>2296.5</v>
      </c>
      <c r="K134" s="35" t="s">
        <v>19</v>
      </c>
      <c r="L134" s="35" t="s">
        <v>19</v>
      </c>
      <c r="M134" s="29">
        <v>22552.3</v>
      </c>
      <c r="N134" s="29">
        <v>19779.8</v>
      </c>
      <c r="O134" s="29">
        <v>20205.3</v>
      </c>
      <c r="P134" s="34" t="s">
        <v>19</v>
      </c>
      <c r="Q134" s="32">
        <f t="shared" si="28"/>
        <v>138687.3</v>
      </c>
      <c r="R134" s="36">
        <f>4911.6+2700.6</f>
        <v>7612.200000000001</v>
      </c>
      <c r="S134" s="32">
        <f>H134+Q134+R134</f>
        <v>1525194.2000000002</v>
      </c>
    </row>
    <row r="135" spans="1:19" ht="15.75" hidden="1">
      <c r="A135" s="39" t="s">
        <v>88</v>
      </c>
      <c r="B135" s="29">
        <v>991154.9</v>
      </c>
      <c r="C135" s="29">
        <v>6605.7</v>
      </c>
      <c r="D135" s="29">
        <f>6188.9+42586.7</f>
        <v>48775.6</v>
      </c>
      <c r="E135" s="29">
        <v>257226.8</v>
      </c>
      <c r="F135" s="29">
        <v>21647</v>
      </c>
      <c r="G135" s="29">
        <f>12531.1+48269.5+658.1+1230.4</f>
        <v>62689.1</v>
      </c>
      <c r="H135" s="30">
        <f t="shared" si="8"/>
        <v>1388099.1</v>
      </c>
      <c r="I135" s="29">
        <v>75860.2</v>
      </c>
      <c r="J135" s="31">
        <v>2352.1</v>
      </c>
      <c r="K135" s="35" t="s">
        <v>19</v>
      </c>
      <c r="L135" s="35" t="s">
        <v>19</v>
      </c>
      <c r="M135" s="29">
        <v>21541.6</v>
      </c>
      <c r="N135" s="29">
        <v>20053</v>
      </c>
      <c r="O135" s="29">
        <v>22030.9</v>
      </c>
      <c r="P135" s="34" t="s">
        <v>19</v>
      </c>
      <c r="Q135" s="32">
        <f t="shared" si="28"/>
        <v>141837.8</v>
      </c>
      <c r="R135" s="36">
        <f>4935.6+2713.8</f>
        <v>7649.400000000001</v>
      </c>
      <c r="S135" s="32">
        <f>H135+Q135+R135+0.1</f>
        <v>1537586.4000000001</v>
      </c>
    </row>
    <row r="136" spans="1:19" ht="15.75" hidden="1">
      <c r="A136" s="39" t="s">
        <v>89</v>
      </c>
      <c r="B136" s="29">
        <v>993261.9</v>
      </c>
      <c r="C136" s="29">
        <v>6628.4</v>
      </c>
      <c r="D136" s="29">
        <f>6158.7+42378.4</f>
        <v>48537.1</v>
      </c>
      <c r="E136" s="29">
        <v>256314.9</v>
      </c>
      <c r="F136" s="29">
        <v>21536</v>
      </c>
      <c r="G136" s="29">
        <f>12466.8+48435.4+654.7+1224.1</f>
        <v>62780.99999999999</v>
      </c>
      <c r="H136" s="30">
        <f t="shared" si="8"/>
        <v>1389059.3</v>
      </c>
      <c r="I136" s="29">
        <v>75489.2</v>
      </c>
      <c r="J136" s="31">
        <v>2404.7</v>
      </c>
      <c r="K136" s="35" t="s">
        <v>19</v>
      </c>
      <c r="L136" s="35" t="s">
        <v>19</v>
      </c>
      <c r="M136" s="29">
        <v>21432.4</v>
      </c>
      <c r="N136" s="29">
        <v>20768.3</v>
      </c>
      <c r="O136" s="29">
        <v>21681.7</v>
      </c>
      <c r="P136" s="34" t="s">
        <v>19</v>
      </c>
      <c r="Q136" s="32">
        <f t="shared" si="28"/>
        <v>141776.3</v>
      </c>
      <c r="R136" s="36">
        <f>4910.3+2699.8</f>
        <v>7610.1</v>
      </c>
      <c r="S136" s="32">
        <f>+H136+Q136+R136-0.1</f>
        <v>1538445.6</v>
      </c>
    </row>
    <row r="137" spans="1:19" ht="15.75" hidden="1">
      <c r="A137" s="39" t="s">
        <v>90</v>
      </c>
      <c r="B137" s="29">
        <v>1010671</v>
      </c>
      <c r="C137" s="29">
        <v>6752.7</v>
      </c>
      <c r="D137" s="29">
        <f>6432.9+44265.4</f>
        <v>50698.3</v>
      </c>
      <c r="E137" s="29">
        <v>261123.1</v>
      </c>
      <c r="F137" s="29">
        <v>22038.4</v>
      </c>
      <c r="G137" s="29">
        <f>11608.4+49343.9+654.8+1224.2</f>
        <v>62831.3</v>
      </c>
      <c r="H137" s="30">
        <f t="shared" si="8"/>
        <v>1414114.8</v>
      </c>
      <c r="I137" s="29">
        <v>78850.5</v>
      </c>
      <c r="J137" s="31">
        <v>2349.3</v>
      </c>
      <c r="K137" s="35" t="s">
        <v>19</v>
      </c>
      <c r="L137" s="35" t="s">
        <v>19</v>
      </c>
      <c r="M137" s="29">
        <v>21568.4</v>
      </c>
      <c r="N137" s="29">
        <v>20140.9</v>
      </c>
      <c r="O137" s="29">
        <v>22068.6</v>
      </c>
      <c r="P137" s="34" t="s">
        <v>19</v>
      </c>
      <c r="Q137" s="32">
        <f t="shared" si="28"/>
        <v>144977.7</v>
      </c>
      <c r="R137" s="36">
        <f>4910.7+2700.1+0.2</f>
        <v>7610.999999999999</v>
      </c>
      <c r="S137" s="32">
        <f>+H137+Q137+R137-0.1</f>
        <v>1566703.4</v>
      </c>
    </row>
    <row r="138" spans="1:21" ht="15.75" hidden="1">
      <c r="A138" s="23" t="s">
        <v>91</v>
      </c>
      <c r="B138" s="29">
        <f>'[1]Feuil1'!$U$14</f>
        <v>1031487.1340203447</v>
      </c>
      <c r="C138" s="29">
        <f>'[1]Feuil1'!$U$104</f>
        <v>6876.017805614664</v>
      </c>
      <c r="D138" s="29">
        <f>'[1]Feuil1'!$U$128+'[1]Feuil1'!$U$254</f>
        <v>52235.12183930615</v>
      </c>
      <c r="E138" s="29">
        <f>'[1]Feuil1'!$U$150</f>
        <v>265891.8129032021</v>
      </c>
      <c r="F138" s="29">
        <f>'[1]Feuil1'!$U$236</f>
        <v>21705.817371780162</v>
      </c>
      <c r="G138" s="29">
        <f>'[1]Feuil1'!$U$117+'[1]Feuil1'!$U$188+'[1]Feuil1'!$U$274+'[1]Feuil1'!$U$275+'[2]Feuil1'!$U$346</f>
        <v>62905.70605237774</v>
      </c>
      <c r="H138" s="30">
        <f t="shared" si="8"/>
        <v>1441101.6099926254</v>
      </c>
      <c r="I138" s="29">
        <f>'[1]Feuil1'!$U$76</f>
        <v>81240.65627081934</v>
      </c>
      <c r="J138" s="31">
        <f>'[1]Feuil1'!$U$199</f>
        <v>2353.4112</v>
      </c>
      <c r="K138" s="35" t="s">
        <v>19</v>
      </c>
      <c r="L138" s="35" t="s">
        <v>19</v>
      </c>
      <c r="M138" s="29">
        <f>'[1]Feuil1'!$U$229</f>
        <v>21627.853056349202</v>
      </c>
      <c r="N138" s="29">
        <f>'[1]Feuil1'!$U$205</f>
        <v>20422.24949884346</v>
      </c>
      <c r="O138" s="29">
        <f>'[1]Feuil1'!$U$217</f>
        <v>22394.22184030419</v>
      </c>
      <c r="P138" s="34" t="s">
        <v>19</v>
      </c>
      <c r="Q138" s="32">
        <f t="shared" si="28"/>
        <v>148038.3918663162</v>
      </c>
      <c r="R138" s="36">
        <f>'[1]Feuil1'!$U$278+'[1]Feuil1'!$U$279+0.1+655.8</f>
        <v>8279.173281521671</v>
      </c>
      <c r="S138" s="32">
        <f>+H138+Q138+R138-0.1</f>
        <v>1597419.0751404634</v>
      </c>
      <c r="U138" s="40"/>
    </row>
    <row r="139" spans="1:21" ht="15.75" hidden="1">
      <c r="A139" s="23" t="s">
        <v>93</v>
      </c>
      <c r="B139" s="29">
        <f>+'[3]Feuil1'!$U$14</f>
        <v>1037883.1589765563</v>
      </c>
      <c r="C139" s="29">
        <f>'[3]Feuil1'!$U$104</f>
        <v>6912.811246049185</v>
      </c>
      <c r="D139" s="29">
        <f>'[3]Feuil1'!$U$128+'[3]Feuil1'!$U$254</f>
        <v>52469.72854903262</v>
      </c>
      <c r="E139" s="29">
        <f>'[3]Feuil1'!$U$150</f>
        <v>267314.5949344081</v>
      </c>
      <c r="F139" s="29">
        <f>'[3]Feuil1'!$U$236</f>
        <v>21293.7273095646</v>
      </c>
      <c r="G139" s="29">
        <f>'[3]Feuil1'!$U$117+'[3]Feuil1'!$U$188+'[3]Feuil1'!$U$273+'[3]Feuil1'!$U$274</f>
        <v>63838.64708596695</v>
      </c>
      <c r="H139" s="30">
        <f t="shared" si="8"/>
        <v>1449712.6681015778</v>
      </c>
      <c r="I139" s="29">
        <f>'[3]Feuil1'!$U$76</f>
        <v>81605.53726262308</v>
      </c>
      <c r="J139" s="31">
        <f>'[3]Feuil1'!$U$199</f>
        <v>2378.400619614677</v>
      </c>
      <c r="K139" s="35" t="s">
        <v>19</v>
      </c>
      <c r="L139" s="35" t="s">
        <v>19</v>
      </c>
      <c r="M139" s="29">
        <f>'[3]Feuil1'!$U$229</f>
        <v>22140.873291144002</v>
      </c>
      <c r="N139" s="29">
        <f>'[3]Feuil1'!$U$205</f>
        <v>20840.76654983811</v>
      </c>
      <c r="O139" s="29">
        <f>'[3]Feuil1'!$U$217</f>
        <v>21985.78657949023</v>
      </c>
      <c r="P139" s="34" t="s">
        <v>19</v>
      </c>
      <c r="Q139" s="32">
        <f t="shared" si="28"/>
        <v>148951.3643027101</v>
      </c>
      <c r="R139" s="36">
        <f>'[3]Feuil1'!$U$278+'[3]Feuil1'!$U$279+0.1</f>
        <v>7628.09283103957</v>
      </c>
      <c r="S139" s="32">
        <f>+H139+Q139+R139-0.1</f>
        <v>1606292.0252353274</v>
      </c>
      <c r="U139" s="40"/>
    </row>
    <row r="140" spans="1:21" ht="15.75" hidden="1">
      <c r="A140" s="23" t="s">
        <v>94</v>
      </c>
      <c r="B140" s="29">
        <v>1042845.2</v>
      </c>
      <c r="C140" s="29">
        <v>6948.1</v>
      </c>
      <c r="D140" s="29">
        <f>6742.5+45694</f>
        <v>52436.5</v>
      </c>
      <c r="E140" s="29">
        <v>268675.6</v>
      </c>
      <c r="F140" s="29">
        <v>21297.2</v>
      </c>
      <c r="G140" s="29">
        <f>11443.3+50771.1+656.3+1227.2</f>
        <v>64097.899999999994</v>
      </c>
      <c r="H140" s="30">
        <f t="shared" si="8"/>
        <v>1456300.4999999998</v>
      </c>
      <c r="I140" s="29">
        <v>82645.5</v>
      </c>
      <c r="J140" s="31">
        <v>2378.4</v>
      </c>
      <c r="K140" s="35" t="s">
        <v>19</v>
      </c>
      <c r="L140" s="35" t="s">
        <v>19</v>
      </c>
      <c r="M140" s="29">
        <v>22040.5</v>
      </c>
      <c r="N140" s="29">
        <v>20840.8</v>
      </c>
      <c r="O140" s="29">
        <v>21985.8</v>
      </c>
      <c r="P140" s="34" t="s">
        <v>19</v>
      </c>
      <c r="Q140" s="32">
        <f t="shared" si="28"/>
        <v>149891</v>
      </c>
      <c r="R140" s="36">
        <f>4922.6+2706.6</f>
        <v>7629.200000000001</v>
      </c>
      <c r="S140" s="32">
        <f>+H140+Q140+R140</f>
        <v>1613820.6999999997</v>
      </c>
      <c r="U140" s="40"/>
    </row>
    <row r="141" spans="1:21" ht="15.75" hidden="1">
      <c r="A141" s="23" t="s">
        <v>66</v>
      </c>
      <c r="B141" s="29">
        <v>1053506</v>
      </c>
      <c r="C141" s="29">
        <v>7023.8</v>
      </c>
      <c r="D141" s="29">
        <f>6881.1+45917.1</f>
        <v>52798.2</v>
      </c>
      <c r="E141" s="29">
        <v>271604.7</v>
      </c>
      <c r="F141" s="29">
        <v>27245</v>
      </c>
      <c r="G141" s="29">
        <f>11444.2+51324.6+656.4+1227.3</f>
        <v>64652.50000000001</v>
      </c>
      <c r="H141" s="30">
        <f t="shared" si="8"/>
        <v>1476830.2</v>
      </c>
      <c r="I141" s="29">
        <v>84344.5</v>
      </c>
      <c r="J141" s="31">
        <v>2356.1</v>
      </c>
      <c r="K141" s="35" t="s">
        <v>19</v>
      </c>
      <c r="L141" s="35" t="s">
        <v>19</v>
      </c>
      <c r="M141" s="29">
        <v>22859.5</v>
      </c>
      <c r="N141" s="29">
        <v>20492.3</v>
      </c>
      <c r="O141" s="29">
        <v>21931.8</v>
      </c>
      <c r="P141" s="34" t="s">
        <v>19</v>
      </c>
      <c r="Q141" s="32">
        <f t="shared" si="28"/>
        <v>151984.2</v>
      </c>
      <c r="R141" s="36">
        <f>4923+2706.8</f>
        <v>7629.8</v>
      </c>
      <c r="S141" s="32">
        <f>+H141+Q141+R141+0.1</f>
        <v>1636444.3</v>
      </c>
      <c r="U141" s="40"/>
    </row>
    <row r="142" spans="1:21" ht="15.75" hidden="1">
      <c r="A142" s="23" t="s">
        <v>96</v>
      </c>
      <c r="B142" s="29">
        <v>1060130.165888337</v>
      </c>
      <c r="C142" s="29">
        <v>7081.70560737644</v>
      </c>
      <c r="D142" s="29">
        <v>53767.80516188171</v>
      </c>
      <c r="E142" s="29">
        <v>273896.78963813966</v>
      </c>
      <c r="F142" s="29">
        <v>27243.57232407125</v>
      </c>
      <c r="G142" s="29">
        <v>65075.331226101356</v>
      </c>
      <c r="H142" s="30">
        <f t="shared" si="8"/>
        <v>1487195.3698459077</v>
      </c>
      <c r="I142" s="29">
        <v>85893.5</v>
      </c>
      <c r="J142" s="31">
        <v>2354.1025402437886</v>
      </c>
      <c r="K142" s="35" t="s">
        <v>19</v>
      </c>
      <c r="L142" s="35" t="s">
        <v>19</v>
      </c>
      <c r="M142" s="29">
        <v>23168.847987967732</v>
      </c>
      <c r="N142" s="29">
        <v>20546.60871430043</v>
      </c>
      <c r="O142" s="29">
        <v>21930.17801576763</v>
      </c>
      <c r="P142" s="34" t="s">
        <v>19</v>
      </c>
      <c r="Q142" s="32">
        <f t="shared" si="28"/>
        <v>153893.23725827958</v>
      </c>
      <c r="R142" s="36">
        <f>'[4]Feuil1'!$U$279+'[4]Feuil1'!$U$280</f>
        <v>7629.4372748037495</v>
      </c>
      <c r="S142" s="32">
        <f>+H142+Q142+R142+0.1</f>
        <v>1648718.144378991</v>
      </c>
      <c r="U142" s="40"/>
    </row>
    <row r="143" spans="1:21" ht="15.75" hidden="1">
      <c r="A143" s="23" t="s">
        <v>97</v>
      </c>
      <c r="B143" s="29">
        <v>1060798.6627371665</v>
      </c>
      <c r="C143" s="29">
        <v>7120.9188981610905</v>
      </c>
      <c r="D143" s="29">
        <v>53499.018124086695</v>
      </c>
      <c r="E143" s="29">
        <v>275413.4291389226</v>
      </c>
      <c r="F143" s="29">
        <v>26870.27166047</v>
      </c>
      <c r="G143" s="29">
        <v>65359.84386633211</v>
      </c>
      <c r="H143" s="30">
        <f t="shared" si="8"/>
        <v>1489062.144425139</v>
      </c>
      <c r="I143" s="29">
        <v>86466.61875411627</v>
      </c>
      <c r="J143" s="31">
        <v>2388.5534614391618</v>
      </c>
      <c r="K143" s="35" t="s">
        <v>19</v>
      </c>
      <c r="L143" s="35" t="s">
        <v>19</v>
      </c>
      <c r="M143" s="29">
        <v>23394.320466069054</v>
      </c>
      <c r="N143" s="29">
        <v>20888.371066499996</v>
      </c>
      <c r="O143" s="29">
        <v>21973.397029631054</v>
      </c>
      <c r="P143" s="34" t="s">
        <v>19</v>
      </c>
      <c r="Q143" s="32">
        <f t="shared" si="28"/>
        <v>155111.26077775552</v>
      </c>
      <c r="R143" s="36">
        <f>'[5]Feuil1'!$U$279+'[5]Feuil1'!$U$280</f>
        <v>7628.274900529999</v>
      </c>
      <c r="S143" s="32">
        <f>+H143+Q143+R143+0.1</f>
        <v>1651801.7801034246</v>
      </c>
      <c r="U143" s="40"/>
    </row>
    <row r="144" spans="1:21" ht="15.75" hidden="1">
      <c r="A144" s="23" t="s">
        <v>99</v>
      </c>
      <c r="B144" s="29">
        <v>230884.7</v>
      </c>
      <c r="C144" s="29">
        <v>7056.873341207613</v>
      </c>
      <c r="D144" s="29">
        <v>50664.951718382974</v>
      </c>
      <c r="E144" s="29">
        <v>21089.3</v>
      </c>
      <c r="F144" s="29">
        <v>26444.72784547</v>
      </c>
      <c r="G144" s="29">
        <v>64672.358287140945</v>
      </c>
      <c r="H144" s="30">
        <f t="shared" si="8"/>
        <v>400812.91119220154</v>
      </c>
      <c r="I144" s="29">
        <v>84679.159844179</v>
      </c>
      <c r="J144" s="31">
        <v>2344.0609616537395</v>
      </c>
      <c r="K144" s="35" t="s">
        <v>19</v>
      </c>
      <c r="L144" s="35" t="s">
        <v>19</v>
      </c>
      <c r="M144" s="29">
        <v>23304.05879271648</v>
      </c>
      <c r="N144" s="29">
        <v>20582.13821876657</v>
      </c>
      <c r="O144" s="29">
        <v>21906.662692844882</v>
      </c>
      <c r="P144" s="34" t="s">
        <v>19</v>
      </c>
      <c r="Q144" s="32">
        <f t="shared" si="28"/>
        <v>152816.08051016065</v>
      </c>
      <c r="R144" s="36">
        <f>7628.3+134.7</f>
        <v>7763</v>
      </c>
      <c r="S144" s="32">
        <f>+H144+Q144+R144</f>
        <v>561391.9917023622</v>
      </c>
      <c r="U144" s="40"/>
    </row>
    <row r="145" spans="1:21" ht="15.75" hidden="1">
      <c r="A145" s="23"/>
      <c r="B145" s="29"/>
      <c r="C145" s="29"/>
      <c r="D145" s="29"/>
      <c r="E145" s="29"/>
      <c r="F145" s="29"/>
      <c r="G145" s="29"/>
      <c r="H145" s="30"/>
      <c r="I145" s="29"/>
      <c r="J145" s="31"/>
      <c r="K145" s="35"/>
      <c r="L145" s="35"/>
      <c r="M145" s="29"/>
      <c r="N145" s="29"/>
      <c r="O145" s="29"/>
      <c r="P145" s="34"/>
      <c r="Q145" s="32"/>
      <c r="R145" s="36"/>
      <c r="S145" s="32"/>
      <c r="U145" s="40"/>
    </row>
    <row r="146" spans="1:21" ht="15.75" hidden="1">
      <c r="A146" s="23" t="s">
        <v>71</v>
      </c>
      <c r="B146" s="29">
        <v>228081.8</v>
      </c>
      <c r="C146" s="29">
        <v>6971.2</v>
      </c>
      <c r="D146" s="29">
        <f>5507.2+44008</f>
        <v>49515.2</v>
      </c>
      <c r="E146" s="29">
        <v>25918.4</v>
      </c>
      <c r="F146" s="29">
        <v>26435.1</v>
      </c>
      <c r="G146" s="29">
        <f>+656+1226.6+11437.7+50723.8</f>
        <v>64044.100000000006</v>
      </c>
      <c r="H146" s="30">
        <f aca="true" t="shared" si="29" ref="H146:H157">SUM(B146:G146)</f>
        <v>400965.80000000005</v>
      </c>
      <c r="I146" s="29">
        <v>82757.5</v>
      </c>
      <c r="J146" s="31">
        <v>2368.2</v>
      </c>
      <c r="K146" s="35" t="s">
        <v>19</v>
      </c>
      <c r="L146" s="35" t="s">
        <v>19</v>
      </c>
      <c r="M146" s="29">
        <v>22902.5</v>
      </c>
      <c r="N146" s="29">
        <v>20656.9</v>
      </c>
      <c r="O146" s="29">
        <v>21668.1</v>
      </c>
      <c r="P146" s="34" t="s">
        <v>19</v>
      </c>
      <c r="Q146" s="32">
        <f aca="true" t="shared" si="30" ref="Q146:Q157">SUM(I146:P146)</f>
        <v>150353.2</v>
      </c>
      <c r="R146" s="36">
        <f>4920.2+2705.3</f>
        <v>7625.5</v>
      </c>
      <c r="S146" s="32">
        <f aca="true" t="shared" si="31" ref="S146:S169">+H146+Q146+R146</f>
        <v>558944.5</v>
      </c>
      <c r="U146" s="40"/>
    </row>
    <row r="147" spans="1:21" ht="15.75" hidden="1">
      <c r="A147" s="23" t="s">
        <v>101</v>
      </c>
      <c r="B147" s="29">
        <v>225831.8</v>
      </c>
      <c r="C147" s="29">
        <v>6848.8</v>
      </c>
      <c r="D147" s="29">
        <f>5280.3+42195.6</f>
        <v>47475.9</v>
      </c>
      <c r="E147" s="29">
        <v>25463.5</v>
      </c>
      <c r="F147" s="29">
        <v>26434</v>
      </c>
      <c r="G147" s="29">
        <f>656+1226.5+49833.4+16961.1</f>
        <v>68677</v>
      </c>
      <c r="H147" s="30">
        <f t="shared" si="29"/>
        <v>400731</v>
      </c>
      <c r="I147" s="29">
        <v>4357.2</v>
      </c>
      <c r="J147" s="31">
        <v>2368.2</v>
      </c>
      <c r="K147" s="35" t="s">
        <v>19</v>
      </c>
      <c r="L147" s="35" t="s">
        <v>19</v>
      </c>
      <c r="M147" s="29">
        <v>23116.4</v>
      </c>
      <c r="N147" s="29">
        <v>27944.8</v>
      </c>
      <c r="O147" s="29">
        <v>26576.9</v>
      </c>
      <c r="P147" s="34" t="s">
        <v>19</v>
      </c>
      <c r="Q147" s="32">
        <f t="shared" si="30"/>
        <v>84363.5</v>
      </c>
      <c r="R147" s="36">
        <f>4920+2705.2</f>
        <v>7625.2</v>
      </c>
      <c r="S147" s="32">
        <f t="shared" si="31"/>
        <v>492719.7</v>
      </c>
      <c r="U147" s="40"/>
    </row>
    <row r="148" spans="1:21" ht="15.75" hidden="1">
      <c r="A148" s="23" t="s">
        <v>102</v>
      </c>
      <c r="B148" s="29">
        <v>224339.3</v>
      </c>
      <c r="C148" s="29">
        <v>6803.9</v>
      </c>
      <c r="D148" s="29">
        <f>5233.9+41824.3</f>
        <v>47058.200000000004</v>
      </c>
      <c r="E148" s="29">
        <v>25296.6</v>
      </c>
      <c r="F148" s="29">
        <v>33431.2</v>
      </c>
      <c r="G148" s="29">
        <f>656+1226.5+49506.8+17113.4</f>
        <v>68502.70000000001</v>
      </c>
      <c r="H148" s="30">
        <f t="shared" si="29"/>
        <v>405431.89999999997</v>
      </c>
      <c r="I148" s="29">
        <v>4318.9</v>
      </c>
      <c r="J148" s="31">
        <v>2341.1</v>
      </c>
      <c r="K148" s="35" t="s">
        <v>19</v>
      </c>
      <c r="L148" s="35" t="s">
        <v>19</v>
      </c>
      <c r="M148" s="29">
        <v>23071.5</v>
      </c>
      <c r="N148" s="29">
        <v>27586</v>
      </c>
      <c r="O148" s="29">
        <v>27101.4</v>
      </c>
      <c r="P148" s="34" t="s">
        <v>19</v>
      </c>
      <c r="Q148" s="32">
        <f t="shared" si="30"/>
        <v>84418.9</v>
      </c>
      <c r="R148" s="36">
        <f>4920+2705.2</f>
        <v>7625.2</v>
      </c>
      <c r="S148" s="32">
        <f t="shared" si="31"/>
        <v>497475.99999999994</v>
      </c>
      <c r="U148" s="40"/>
    </row>
    <row r="149" spans="1:21" ht="15.75" hidden="1">
      <c r="A149" s="23" t="s">
        <v>106</v>
      </c>
      <c r="B149" s="29">
        <v>222795.6</v>
      </c>
      <c r="C149" s="29">
        <v>6757.8</v>
      </c>
      <c r="D149" s="29">
        <f>5178.8+41384.2</f>
        <v>46563</v>
      </c>
      <c r="E149" s="29">
        <v>25004.4</v>
      </c>
      <c r="F149" s="29">
        <v>33064.9</v>
      </c>
      <c r="G149" s="29">
        <f>656.1+1226.6+49171+16690.3</f>
        <v>67744</v>
      </c>
      <c r="H149" s="30">
        <f t="shared" si="29"/>
        <v>401929.70000000007</v>
      </c>
      <c r="I149" s="29">
        <v>4239.3</v>
      </c>
      <c r="J149" s="31">
        <v>2313</v>
      </c>
      <c r="K149" s="35" t="s">
        <v>19</v>
      </c>
      <c r="L149" s="35" t="s">
        <v>19</v>
      </c>
      <c r="M149" s="29">
        <v>22367</v>
      </c>
      <c r="N149" s="29">
        <v>27301.1</v>
      </c>
      <c r="O149" s="29">
        <v>26655.9</v>
      </c>
      <c r="P149" s="34" t="s">
        <v>19</v>
      </c>
      <c r="Q149" s="32">
        <f t="shared" si="30"/>
        <v>82876.29999999999</v>
      </c>
      <c r="R149" s="36">
        <f>4920.4+2705.4</f>
        <v>7625.799999999999</v>
      </c>
      <c r="S149" s="32">
        <f t="shared" si="31"/>
        <v>492431.80000000005</v>
      </c>
      <c r="U149" s="40"/>
    </row>
    <row r="150" spans="1:21" ht="15.75" hidden="1">
      <c r="A150" s="23" t="s">
        <v>108</v>
      </c>
      <c r="B150" s="29">
        <v>217711.9</v>
      </c>
      <c r="C150" s="29">
        <v>6603.6</v>
      </c>
      <c r="D150" s="29">
        <f>4852.3+38774.8</f>
        <v>43627.100000000006</v>
      </c>
      <c r="E150" s="29">
        <v>24433.8</v>
      </c>
      <c r="F150" s="29">
        <v>33064.9</v>
      </c>
      <c r="G150" s="29">
        <f>656.1+1226.6+16690.3+48049</f>
        <v>66622</v>
      </c>
      <c r="H150" s="30">
        <f t="shared" si="29"/>
        <v>392063.3</v>
      </c>
      <c r="I150" s="29">
        <v>3972</v>
      </c>
      <c r="J150" s="31">
        <v>2375.9</v>
      </c>
      <c r="K150" s="35" t="s">
        <v>19</v>
      </c>
      <c r="L150" s="35" t="s">
        <v>19</v>
      </c>
      <c r="M150" s="29">
        <v>22626.7</v>
      </c>
      <c r="N150" s="29">
        <v>28057.8</v>
      </c>
      <c r="O150" s="29">
        <v>26824.9</v>
      </c>
      <c r="P150" s="34" t="s">
        <v>19</v>
      </c>
      <c r="Q150" s="32">
        <f t="shared" si="30"/>
        <v>83857.29999999999</v>
      </c>
      <c r="R150" s="36">
        <f>4920.4+2705.4</f>
        <v>7625.799999999999</v>
      </c>
      <c r="S150" s="32">
        <f t="shared" si="31"/>
        <v>483546.39999999997</v>
      </c>
      <c r="U150" s="40"/>
    </row>
    <row r="151" spans="1:21" ht="18" hidden="1">
      <c r="A151" s="23" t="s">
        <v>109</v>
      </c>
      <c r="B151" s="29">
        <v>216282.4</v>
      </c>
      <c r="C151" s="29">
        <v>6536.9</v>
      </c>
      <c r="D151" s="29">
        <f>4710.3+37639.9</f>
        <v>42350.200000000004</v>
      </c>
      <c r="E151" s="29">
        <v>24187.1</v>
      </c>
      <c r="F151" s="29">
        <v>33070.8</v>
      </c>
      <c r="G151" s="29">
        <f>656.2+1226.9+16693.3+47563.9</f>
        <v>66140.3</v>
      </c>
      <c r="H151" s="30">
        <f t="shared" si="29"/>
        <v>388567.69999999995</v>
      </c>
      <c r="I151" s="29">
        <v>3855.8</v>
      </c>
      <c r="J151" s="31">
        <v>2345.9</v>
      </c>
      <c r="K151" s="47">
        <v>0</v>
      </c>
      <c r="L151" s="35" t="s">
        <v>19</v>
      </c>
      <c r="M151" s="29">
        <v>23014.2</v>
      </c>
      <c r="N151" s="29">
        <v>27478</v>
      </c>
      <c r="O151" s="29">
        <v>26522.9</v>
      </c>
      <c r="P151" s="34" t="s">
        <v>19</v>
      </c>
      <c r="Q151" s="32">
        <f t="shared" si="30"/>
        <v>83216.8</v>
      </c>
      <c r="R151" s="36">
        <f>4921.3+2705.8</f>
        <v>7627.1</v>
      </c>
      <c r="S151" s="32">
        <f t="shared" si="31"/>
        <v>479411.5999999999</v>
      </c>
      <c r="U151" s="40"/>
    </row>
    <row r="152" spans="1:21" ht="18" hidden="1">
      <c r="A152" s="23" t="s">
        <v>111</v>
      </c>
      <c r="B152" s="29">
        <v>221519.2</v>
      </c>
      <c r="C152" s="29">
        <v>6695.2</v>
      </c>
      <c r="D152" s="29">
        <f>4930.8+39402.6</f>
        <v>44333.4</v>
      </c>
      <c r="E152" s="29">
        <v>24772.8</v>
      </c>
      <c r="F152" s="29">
        <v>33085.7</v>
      </c>
      <c r="G152" s="29">
        <f>656.5+1227.4+48715.5+16700.8</f>
        <v>67300.2</v>
      </c>
      <c r="H152" s="30">
        <f t="shared" si="29"/>
        <v>397706.50000000006</v>
      </c>
      <c r="I152" s="29">
        <v>3358.2</v>
      </c>
      <c r="J152" s="31">
        <v>2332.1</v>
      </c>
      <c r="K152" s="47">
        <v>0</v>
      </c>
      <c r="L152" s="35" t="s">
        <v>19</v>
      </c>
      <c r="M152" s="29">
        <v>23852.5</v>
      </c>
      <c r="N152" s="29">
        <v>27411.8</v>
      </c>
      <c r="O152" s="29">
        <v>28054.7</v>
      </c>
      <c r="P152" s="34" t="s">
        <v>19</v>
      </c>
      <c r="Q152" s="32">
        <f t="shared" si="30"/>
        <v>85009.3</v>
      </c>
      <c r="R152" s="36">
        <f>4923.5+2707.1</f>
        <v>7630.6</v>
      </c>
      <c r="S152" s="32">
        <f t="shared" si="31"/>
        <v>490346.4</v>
      </c>
      <c r="U152" s="40"/>
    </row>
    <row r="153" spans="1:21" ht="18" hidden="1">
      <c r="A153" s="23" t="s">
        <v>112</v>
      </c>
      <c r="B153" s="29">
        <v>238924.4</v>
      </c>
      <c r="C153" s="29">
        <v>6765.1</v>
      </c>
      <c r="D153" s="29">
        <f>4980.2+39797.4</f>
        <v>44777.6</v>
      </c>
      <c r="E153" s="29">
        <v>25031.3</v>
      </c>
      <c r="F153" s="29">
        <v>33086.4</v>
      </c>
      <c r="G153" s="29">
        <f>16701.2+49224+656.5+1227.4</f>
        <v>67809.09999999999</v>
      </c>
      <c r="H153" s="30">
        <f t="shared" si="29"/>
        <v>416393.89999999997</v>
      </c>
      <c r="I153" s="29">
        <v>3391.8</v>
      </c>
      <c r="J153" s="31">
        <v>2327</v>
      </c>
      <c r="K153" s="47">
        <v>0</v>
      </c>
      <c r="L153" s="35" t="s">
        <v>19</v>
      </c>
      <c r="M153" s="29">
        <v>23746.5</v>
      </c>
      <c r="N153" s="29">
        <v>27570.3</v>
      </c>
      <c r="O153" s="29">
        <v>28005.1</v>
      </c>
      <c r="P153" s="34" t="s">
        <v>19</v>
      </c>
      <c r="Q153" s="32">
        <f t="shared" si="30"/>
        <v>85040.7</v>
      </c>
      <c r="R153" s="36">
        <f>4923.6+2707.2</f>
        <v>7630.8</v>
      </c>
      <c r="S153" s="32">
        <f t="shared" si="31"/>
        <v>509065.39999999997</v>
      </c>
      <c r="U153" s="40"/>
    </row>
    <row r="154" spans="1:21" ht="18" hidden="1">
      <c r="A154" s="23" t="s">
        <v>114</v>
      </c>
      <c r="B154" s="29">
        <v>240032.1</v>
      </c>
      <c r="C154" s="29">
        <v>6796.5</v>
      </c>
      <c r="D154" s="29">
        <f>5042.3+40293.6</f>
        <v>45335.9</v>
      </c>
      <c r="E154" s="29">
        <v>25147.5</v>
      </c>
      <c r="F154" s="29">
        <v>33159.5</v>
      </c>
      <c r="G154" s="29">
        <f>16277+49452.4+656.5+1227.4</f>
        <v>67613.29999999999</v>
      </c>
      <c r="H154" s="30">
        <f t="shared" si="29"/>
        <v>418084.8</v>
      </c>
      <c r="I154" s="29">
        <v>3434.1</v>
      </c>
      <c r="J154" s="31">
        <v>2343.8</v>
      </c>
      <c r="K154" s="47">
        <v>0</v>
      </c>
      <c r="L154" s="35" t="s">
        <v>19</v>
      </c>
      <c r="M154" s="29">
        <v>24700</v>
      </c>
      <c r="N154" s="29">
        <v>27783.4</v>
      </c>
      <c r="O154" s="29">
        <v>26172.7</v>
      </c>
      <c r="P154" s="34" t="s">
        <v>19</v>
      </c>
      <c r="Q154" s="32">
        <f t="shared" si="30"/>
        <v>84434</v>
      </c>
      <c r="R154" s="36">
        <f>4923.6+2707.2</f>
        <v>7630.8</v>
      </c>
      <c r="S154" s="32">
        <f t="shared" si="31"/>
        <v>510149.6</v>
      </c>
      <c r="U154" s="40"/>
    </row>
    <row r="155" spans="1:21" ht="18" hidden="1">
      <c r="A155" s="23" t="s">
        <v>123</v>
      </c>
      <c r="B155" s="29">
        <v>246990.4</v>
      </c>
      <c r="C155" s="29">
        <v>6993.5</v>
      </c>
      <c r="D155" s="29">
        <f>5357.2+42809.7</f>
        <v>48166.899999999994</v>
      </c>
      <c r="E155" s="29">
        <v>27337.4</v>
      </c>
      <c r="F155" s="29">
        <v>33163.2</v>
      </c>
      <c r="G155" s="29">
        <f>656.6+1227.6+50885.8+16278.7</f>
        <v>69048.7</v>
      </c>
      <c r="H155" s="30">
        <f t="shared" si="29"/>
        <v>431700.10000000003</v>
      </c>
      <c r="I155" s="29">
        <v>3648.6</v>
      </c>
      <c r="J155" s="31">
        <v>2331.7</v>
      </c>
      <c r="K155" s="47">
        <v>0</v>
      </c>
      <c r="L155" s="35" t="s">
        <v>19</v>
      </c>
      <c r="M155" s="29">
        <v>25521.6</v>
      </c>
      <c r="N155" s="29">
        <v>27894.7</v>
      </c>
      <c r="O155" s="29">
        <v>29011.5</v>
      </c>
      <c r="P155" s="34" t="s">
        <v>19</v>
      </c>
      <c r="Q155" s="32">
        <f t="shared" si="30"/>
        <v>88408.1</v>
      </c>
      <c r="R155" s="36">
        <f>4924.2+2707.5</f>
        <v>7631.7</v>
      </c>
      <c r="S155" s="32">
        <f t="shared" si="31"/>
        <v>527739.9</v>
      </c>
      <c r="U155" s="40"/>
    </row>
    <row r="156" spans="1:21" ht="18" hidden="1">
      <c r="A156" s="23" t="s">
        <v>126</v>
      </c>
      <c r="B156" s="29">
        <v>246004.3</v>
      </c>
      <c r="C156" s="29">
        <v>6965.6</v>
      </c>
      <c r="D156" s="29">
        <f>5277+42168.5</f>
        <v>47445.5</v>
      </c>
      <c r="E156" s="29">
        <v>27228.2</v>
      </c>
      <c r="F156" s="29">
        <v>39185.1</v>
      </c>
      <c r="G156" s="29">
        <f>657+1228.4+16289.9+50682.7</f>
        <v>68858</v>
      </c>
      <c r="H156" s="30">
        <f t="shared" si="29"/>
        <v>435686.7</v>
      </c>
      <c r="I156" s="29">
        <v>3593.9</v>
      </c>
      <c r="J156" s="31">
        <v>2378.4</v>
      </c>
      <c r="K156" s="47">
        <v>0</v>
      </c>
      <c r="L156" s="35" t="s">
        <v>19</v>
      </c>
      <c r="M156" s="29">
        <v>25370.3</v>
      </c>
      <c r="N156" s="29">
        <v>28772.3</v>
      </c>
      <c r="O156" s="29">
        <v>27971.1</v>
      </c>
      <c r="P156" s="34" t="s">
        <v>19</v>
      </c>
      <c r="Q156" s="32">
        <f t="shared" si="30"/>
        <v>88086</v>
      </c>
      <c r="R156" s="36">
        <f>4927.6+2709.3</f>
        <v>7636.900000000001</v>
      </c>
      <c r="S156" s="32">
        <f t="shared" si="31"/>
        <v>531409.6</v>
      </c>
      <c r="U156" s="40"/>
    </row>
    <row r="157" spans="1:21" ht="18" hidden="1">
      <c r="A157" s="23" t="s">
        <v>127</v>
      </c>
      <c r="B157" s="29">
        <v>195931.7</v>
      </c>
      <c r="C157" s="29">
        <v>6850</v>
      </c>
      <c r="D157" s="29">
        <v>45916.3</v>
      </c>
      <c r="E157" s="29">
        <v>26964</v>
      </c>
      <c r="F157" s="29">
        <v>39214.7</v>
      </c>
      <c r="G157" s="29">
        <v>85268.82102960596</v>
      </c>
      <c r="H157" s="30">
        <f t="shared" si="29"/>
        <v>400145.521029606</v>
      </c>
      <c r="I157" s="29">
        <v>2775.7</v>
      </c>
      <c r="J157" s="31">
        <v>2446.4</v>
      </c>
      <c r="K157" s="47">
        <v>0</v>
      </c>
      <c r="L157" s="35" t="s">
        <v>19</v>
      </c>
      <c r="M157" s="29">
        <v>25140.5</v>
      </c>
      <c r="N157" s="29">
        <v>29567.5</v>
      </c>
      <c r="O157" s="29">
        <v>26965.1</v>
      </c>
      <c r="P157" s="34" t="s">
        <v>19</v>
      </c>
      <c r="Q157" s="32">
        <f t="shared" si="30"/>
        <v>86895.2</v>
      </c>
      <c r="R157" s="36">
        <v>7642.700000000001</v>
      </c>
      <c r="S157" s="32">
        <f t="shared" si="31"/>
        <v>494683.421029606</v>
      </c>
      <c r="U157" s="40"/>
    </row>
    <row r="158" spans="1:21" ht="15.75" hidden="1">
      <c r="A158" s="23"/>
      <c r="B158" s="29"/>
      <c r="C158" s="29"/>
      <c r="D158" s="29"/>
      <c r="E158" s="29"/>
      <c r="F158" s="29"/>
      <c r="G158" s="29"/>
      <c r="H158" s="30"/>
      <c r="I158" s="29"/>
      <c r="J158" s="31"/>
      <c r="K158" s="35"/>
      <c r="L158" s="48"/>
      <c r="M158" s="29"/>
      <c r="N158" s="29"/>
      <c r="O158" s="29"/>
      <c r="P158" s="34"/>
      <c r="Q158" s="32"/>
      <c r="R158" s="36"/>
      <c r="S158" s="32"/>
      <c r="U158" s="40"/>
    </row>
    <row r="159" spans="1:21" ht="18" hidden="1">
      <c r="A159" s="23" t="s">
        <v>86</v>
      </c>
      <c r="B159" s="29">
        <v>201397.1760050585</v>
      </c>
      <c r="C159" s="29">
        <v>1128.9421205515805</v>
      </c>
      <c r="D159" s="47">
        <v>0</v>
      </c>
      <c r="E159" s="29">
        <v>29653.03270621191</v>
      </c>
      <c r="F159" s="29">
        <v>33065.543885002946</v>
      </c>
      <c r="G159" s="29">
        <v>82555.2314919165</v>
      </c>
      <c r="H159" s="30">
        <f>SUM(B159:G159)</f>
        <v>347799.9262087414</v>
      </c>
      <c r="I159" s="29">
        <v>2805.192196576514</v>
      </c>
      <c r="J159" s="31">
        <v>2352.9865284974094</v>
      </c>
      <c r="K159" s="49">
        <v>0</v>
      </c>
      <c r="L159" s="48" t="s">
        <v>19</v>
      </c>
      <c r="M159" s="47">
        <v>0</v>
      </c>
      <c r="N159" s="29">
        <v>28224.58546473706</v>
      </c>
      <c r="O159" s="29">
        <v>27727.438570400067</v>
      </c>
      <c r="P159" s="34" t="s">
        <v>19</v>
      </c>
      <c r="Q159" s="32">
        <f aca="true" t="shared" si="32" ref="Q159:Q170">SUM(I159:P159)</f>
        <v>61110.202760211054</v>
      </c>
      <c r="R159" s="36">
        <v>4933.257144</v>
      </c>
      <c r="S159" s="32">
        <f t="shared" si="31"/>
        <v>413843.38611295243</v>
      </c>
      <c r="U159" s="40"/>
    </row>
    <row r="160" spans="1:21" ht="18" hidden="1">
      <c r="A160" s="23" t="s">
        <v>135</v>
      </c>
      <c r="B160" s="29">
        <v>203782.70350052134</v>
      </c>
      <c r="C160" s="29">
        <v>1142.3514509748532</v>
      </c>
      <c r="D160" s="47">
        <v>0</v>
      </c>
      <c r="E160" s="29">
        <v>29970.044484225833</v>
      </c>
      <c r="F160" s="29">
        <v>33760.383173015245</v>
      </c>
      <c r="G160" s="29">
        <v>83369.19404755143</v>
      </c>
      <c r="H160" s="30">
        <f>SUM(B160:G160)</f>
        <v>352024.6766562887</v>
      </c>
      <c r="I160" s="29">
        <v>2873.831097223518</v>
      </c>
      <c r="J160" s="31">
        <v>2308.503846458879</v>
      </c>
      <c r="K160" s="49">
        <v>0</v>
      </c>
      <c r="L160" s="48" t="s">
        <v>19</v>
      </c>
      <c r="M160" s="47">
        <v>0</v>
      </c>
      <c r="N160" s="29">
        <v>28258.862289174143</v>
      </c>
      <c r="O160" s="29">
        <v>27615.33917321239</v>
      </c>
      <c r="P160" s="34" t="s">
        <v>19</v>
      </c>
      <c r="Q160" s="32">
        <f t="shared" si="32"/>
        <v>61056.53640606893</v>
      </c>
      <c r="R160" s="36">
        <v>4939.3</v>
      </c>
      <c r="S160" s="32">
        <f t="shared" si="31"/>
        <v>418020.5130623576</v>
      </c>
      <c r="U160" s="40"/>
    </row>
    <row r="161" spans="1:21" ht="18" hidden="1">
      <c r="A161" s="23" t="s">
        <v>137</v>
      </c>
      <c r="B161" s="29">
        <v>206263.1475612798</v>
      </c>
      <c r="C161" s="29">
        <v>1156.2561584068171</v>
      </c>
      <c r="D161" s="47">
        <v>0</v>
      </c>
      <c r="E161" s="29">
        <v>30528.34191121455</v>
      </c>
      <c r="F161" s="29">
        <v>36399.62748301718</v>
      </c>
      <c r="G161" s="29">
        <v>85288.43178388503</v>
      </c>
      <c r="H161" s="30">
        <f aca="true" t="shared" si="33" ref="H161:H170">SUM(B161:G161)</f>
        <v>359635.80489780335</v>
      </c>
      <c r="I161" s="29">
        <v>2949.283056227597</v>
      </c>
      <c r="J161" s="31">
        <v>2319.476417050009</v>
      </c>
      <c r="K161" s="49">
        <v>0</v>
      </c>
      <c r="L161" s="48" t="s">
        <v>19</v>
      </c>
      <c r="M161" s="47">
        <v>0</v>
      </c>
      <c r="N161" s="29">
        <v>28442.2502380921</v>
      </c>
      <c r="O161" s="29">
        <v>27436.842448853702</v>
      </c>
      <c r="P161" s="34" t="s">
        <v>19</v>
      </c>
      <c r="Q161" s="32">
        <f t="shared" si="32"/>
        <v>61147.85216022341</v>
      </c>
      <c r="R161" s="36">
        <v>4945.495652</v>
      </c>
      <c r="S161" s="32">
        <f>+H161+Q161+R161-0.2</f>
        <v>425728.95271002676</v>
      </c>
      <c r="U161" s="40"/>
    </row>
    <row r="162" spans="1:21" ht="18" hidden="1">
      <c r="A162" s="23" t="s">
        <v>138</v>
      </c>
      <c r="B162" s="29">
        <v>212681.03996255193</v>
      </c>
      <c r="C162" s="29">
        <v>1170.8870905743265</v>
      </c>
      <c r="D162" s="47">
        <v>0</v>
      </c>
      <c r="E162" s="29">
        <v>30914.638750753078</v>
      </c>
      <c r="F162" s="29">
        <v>36147.48355836859</v>
      </c>
      <c r="G162" s="29">
        <v>86766.04427432238</v>
      </c>
      <c r="H162" s="30">
        <f t="shared" si="33"/>
        <v>367680.0936365703</v>
      </c>
      <c r="I162" s="29">
        <v>3048.8474265346745</v>
      </c>
      <c r="J162" s="31">
        <v>2359.8633662983107</v>
      </c>
      <c r="K162" s="49">
        <v>0</v>
      </c>
      <c r="L162" s="48" t="s">
        <v>19</v>
      </c>
      <c r="M162" s="47">
        <v>0</v>
      </c>
      <c r="N162" s="29">
        <v>29004.648429634337</v>
      </c>
      <c r="O162" s="29">
        <v>27485.628532272633</v>
      </c>
      <c r="P162" s="34" t="s">
        <v>19</v>
      </c>
      <c r="Q162" s="32">
        <f t="shared" si="32"/>
        <v>61898.98775473995</v>
      </c>
      <c r="R162" s="36">
        <v>4950.16</v>
      </c>
      <c r="S162" s="32">
        <f t="shared" si="31"/>
        <v>434529.24139131024</v>
      </c>
      <c r="U162" s="40"/>
    </row>
    <row r="163" spans="1:21" ht="17.25" customHeight="1" hidden="1">
      <c r="A163" s="23" t="s">
        <v>139</v>
      </c>
      <c r="B163" s="29">
        <v>212943.12836854774</v>
      </c>
      <c r="C163" s="29">
        <v>1172.3299833268904</v>
      </c>
      <c r="D163" s="47">
        <v>0</v>
      </c>
      <c r="E163" s="29">
        <v>30952.735086907673</v>
      </c>
      <c r="F163" s="29">
        <v>36608.066901204336</v>
      </c>
      <c r="G163" s="29">
        <v>88106.62043206883</v>
      </c>
      <c r="H163" s="30">
        <f t="shared" si="33"/>
        <v>369782.8807720555</v>
      </c>
      <c r="I163" s="29">
        <v>3025.8694991232765</v>
      </c>
      <c r="J163" s="31">
        <v>2343.866344005957</v>
      </c>
      <c r="K163" s="49">
        <v>0</v>
      </c>
      <c r="L163" s="48" t="s">
        <v>19</v>
      </c>
      <c r="M163" s="47">
        <v>0</v>
      </c>
      <c r="N163" s="29">
        <v>28743.148020181354</v>
      </c>
      <c r="O163" s="29">
        <v>27508.8407362536</v>
      </c>
      <c r="P163" s="34" t="s">
        <v>19</v>
      </c>
      <c r="Q163" s="32">
        <f t="shared" si="32"/>
        <v>61621.72459956419</v>
      </c>
      <c r="R163" s="36">
        <v>4957.35238</v>
      </c>
      <c r="S163" s="32">
        <f t="shared" si="31"/>
        <v>436361.9577516197</v>
      </c>
      <c r="U163" s="40"/>
    </row>
    <row r="164" spans="1:21" ht="18" hidden="1">
      <c r="A164" s="23" t="s">
        <v>141</v>
      </c>
      <c r="B164" s="29">
        <v>213907.20784545096</v>
      </c>
      <c r="C164" s="29">
        <v>1175.5661261756068</v>
      </c>
      <c r="D164" s="47">
        <v>0</v>
      </c>
      <c r="E164" s="29">
        <v>31621.382007252956</v>
      </c>
      <c r="F164" s="29">
        <v>37241.20337373699</v>
      </c>
      <c r="G164" s="29">
        <v>88761.93223778305</v>
      </c>
      <c r="H164" s="30">
        <f t="shared" si="33"/>
        <v>372707.2915903995</v>
      </c>
      <c r="I164" s="29">
        <v>2546.208766380603</v>
      </c>
      <c r="J164" s="31">
        <v>2349.6200694948257</v>
      </c>
      <c r="K164" s="49">
        <v>0</v>
      </c>
      <c r="L164" s="48" t="s">
        <v>19</v>
      </c>
      <c r="M164" s="47">
        <v>0</v>
      </c>
      <c r="N164" s="29">
        <v>28994.80717314253</v>
      </c>
      <c r="O164" s="29">
        <v>27816.088937145134</v>
      </c>
      <c r="P164" s="34" t="s">
        <v>19</v>
      </c>
      <c r="Q164" s="32">
        <f t="shared" si="32"/>
        <v>61706.72494616309</v>
      </c>
      <c r="R164" s="36">
        <v>4965.399999999999</v>
      </c>
      <c r="S164" s="32">
        <f t="shared" si="31"/>
        <v>439379.4165365626</v>
      </c>
      <c r="U164" s="40"/>
    </row>
    <row r="165" spans="1:21" ht="18" hidden="1">
      <c r="A165" s="23" t="s">
        <v>142</v>
      </c>
      <c r="B165" s="29">
        <v>220530.5531873915</v>
      </c>
      <c r="C165" s="29">
        <v>1177.158176462292</v>
      </c>
      <c r="D165" s="47">
        <v>0</v>
      </c>
      <c r="E165" s="29">
        <v>31635.838887519363</v>
      </c>
      <c r="F165" s="29">
        <v>38474.3297349433</v>
      </c>
      <c r="G165" s="29">
        <v>90679.90218967016</v>
      </c>
      <c r="H165" s="30">
        <f>SUM(B165:G165)</f>
        <v>382497.78217598656</v>
      </c>
      <c r="I165" s="29">
        <v>2537.6037412297173</v>
      </c>
      <c r="J165" s="31">
        <v>2351.649164044433</v>
      </c>
      <c r="K165" s="49">
        <v>0</v>
      </c>
      <c r="L165" s="48" t="s">
        <v>19</v>
      </c>
      <c r="M165" s="47">
        <v>0</v>
      </c>
      <c r="N165" s="29">
        <v>29086.786972866274</v>
      </c>
      <c r="O165" s="29">
        <v>27964.037359792652</v>
      </c>
      <c r="P165" s="34" t="s">
        <v>19</v>
      </c>
      <c r="Q165" s="32">
        <f t="shared" si="32"/>
        <v>61940.077237933074</v>
      </c>
      <c r="R165" s="36">
        <v>4993.64</v>
      </c>
      <c r="S165" s="32">
        <f t="shared" si="31"/>
        <v>449431.49941391964</v>
      </c>
      <c r="U165" s="40"/>
    </row>
    <row r="166" spans="1:21" ht="18" hidden="1">
      <c r="A166" s="23" t="s">
        <v>144</v>
      </c>
      <c r="B166" s="29">
        <v>223460.3437385016</v>
      </c>
      <c r="C166" s="29">
        <v>1192.8338716984001</v>
      </c>
      <c r="D166" s="47">
        <v>0</v>
      </c>
      <c r="E166" s="29">
        <v>32047.33901561262</v>
      </c>
      <c r="F166" s="29">
        <v>41259.55215165929</v>
      </c>
      <c r="G166" s="29">
        <v>93346.18950864821</v>
      </c>
      <c r="H166" s="30">
        <f t="shared" si="33"/>
        <v>391306.25828612014</v>
      </c>
      <c r="I166" s="29">
        <v>2563.21832825652</v>
      </c>
      <c r="J166" s="31">
        <v>2396.2575</v>
      </c>
      <c r="K166" s="49">
        <v>0</v>
      </c>
      <c r="L166" s="48" t="s">
        <v>19</v>
      </c>
      <c r="M166" s="47">
        <v>0</v>
      </c>
      <c r="N166" s="29">
        <v>29486.248106940075</v>
      </c>
      <c r="O166" s="29">
        <v>27936.71531394422</v>
      </c>
      <c r="P166" s="34" t="s">
        <v>19</v>
      </c>
      <c r="Q166" s="32">
        <f t="shared" si="32"/>
        <v>62382.43924914082</v>
      </c>
      <c r="R166" s="36">
        <v>5018.628</v>
      </c>
      <c r="S166" s="32">
        <f t="shared" si="31"/>
        <v>458707.32553526096</v>
      </c>
      <c r="U166" s="40"/>
    </row>
    <row r="167" spans="1:21" ht="18" hidden="1">
      <c r="A167" s="23" t="s">
        <v>145</v>
      </c>
      <c r="B167" s="29">
        <v>217165.78873112117</v>
      </c>
      <c r="C167" s="29">
        <v>1161.2650580327354</v>
      </c>
      <c r="D167" s="47">
        <v>0</v>
      </c>
      <c r="E167" s="29">
        <v>31063.995596791458</v>
      </c>
      <c r="F167" s="29">
        <v>41707.13677361037</v>
      </c>
      <c r="G167" s="29">
        <v>91166.03000091067</v>
      </c>
      <c r="H167" s="30">
        <f t="shared" si="33"/>
        <v>382264.2161604664</v>
      </c>
      <c r="I167" s="29">
        <v>2217.610010392763</v>
      </c>
      <c r="J167" s="31">
        <v>2384.024258</v>
      </c>
      <c r="K167" s="49">
        <v>0</v>
      </c>
      <c r="L167" s="48" t="s">
        <v>19</v>
      </c>
      <c r="M167" s="47">
        <v>0</v>
      </c>
      <c r="N167" s="29">
        <v>29381.644631958996</v>
      </c>
      <c r="O167" s="29">
        <v>26275.289899015803</v>
      </c>
      <c r="P167" s="34" t="s">
        <v>19</v>
      </c>
      <c r="Q167" s="32">
        <f t="shared" si="32"/>
        <v>60258.56879936757</v>
      </c>
      <c r="R167" s="36">
        <v>5062.30908</v>
      </c>
      <c r="S167" s="32">
        <f>+H167+Q167+R167</f>
        <v>447585.094039834</v>
      </c>
      <c r="U167" s="40"/>
    </row>
    <row r="168" spans="1:21" ht="18" hidden="1">
      <c r="A168" s="23" t="s">
        <v>147</v>
      </c>
      <c r="B168" s="29">
        <v>224404.87300209465</v>
      </c>
      <c r="C168" s="29">
        <v>1190.81498011649</v>
      </c>
      <c r="D168" s="47">
        <v>0</v>
      </c>
      <c r="E168" s="29">
        <v>31854.459964203263</v>
      </c>
      <c r="F168" s="29">
        <v>43022.77293883981</v>
      </c>
      <c r="G168" s="29">
        <v>93143.59486723653</v>
      </c>
      <c r="H168" s="30">
        <f t="shared" si="33"/>
        <v>393616.5157524907</v>
      </c>
      <c r="I168" s="29">
        <v>2230.67337077715</v>
      </c>
      <c r="J168" s="31">
        <v>2384.025</v>
      </c>
      <c r="K168" s="49">
        <v>0</v>
      </c>
      <c r="L168" s="48" t="s">
        <v>19</v>
      </c>
      <c r="M168" s="47">
        <v>0</v>
      </c>
      <c r="N168" s="29">
        <v>29381.64521673197</v>
      </c>
      <c r="O168" s="29">
        <v>28155.336376612897</v>
      </c>
      <c r="P168" s="34" t="s">
        <v>19</v>
      </c>
      <c r="Q168" s="32">
        <f t="shared" si="32"/>
        <v>62151.67996412202</v>
      </c>
      <c r="R168" s="36">
        <v>5120.188</v>
      </c>
      <c r="S168" s="32">
        <f t="shared" si="31"/>
        <v>460888.38371661276</v>
      </c>
      <c r="U168" s="40"/>
    </row>
    <row r="169" spans="1:21" ht="18" hidden="1">
      <c r="A169" s="23" t="s">
        <v>148</v>
      </c>
      <c r="B169" s="29">
        <v>229748.17467036645</v>
      </c>
      <c r="C169" s="29">
        <v>1219.1819170135002</v>
      </c>
      <c r="D169" s="47">
        <v>0</v>
      </c>
      <c r="E169" s="29">
        <v>32613.279319670644</v>
      </c>
      <c r="F169" s="29">
        <v>46063.77836130629</v>
      </c>
      <c r="G169" s="29">
        <v>96049.4327006237</v>
      </c>
      <c r="H169" s="30">
        <f t="shared" si="33"/>
        <v>405693.8469689806</v>
      </c>
      <c r="I169" s="29">
        <v>2267.2595602335</v>
      </c>
      <c r="J169" s="31">
        <v>2403.611</v>
      </c>
      <c r="K169" s="49">
        <v>0</v>
      </c>
      <c r="L169" s="48" t="s">
        <v>19</v>
      </c>
      <c r="M169" s="47">
        <v>0</v>
      </c>
      <c r="N169" s="29">
        <v>29832.232286124578</v>
      </c>
      <c r="O169" s="29">
        <v>28578.1459786791</v>
      </c>
      <c r="P169" s="34" t="s">
        <v>19</v>
      </c>
      <c r="Q169" s="32">
        <f t="shared" si="32"/>
        <v>63081.24882503717</v>
      </c>
      <c r="R169" s="36">
        <v>5257.88</v>
      </c>
      <c r="S169" s="32">
        <f t="shared" si="31"/>
        <v>474032.9757940178</v>
      </c>
      <c r="U169" s="40"/>
    </row>
    <row r="170" spans="1:21" ht="18" hidden="1">
      <c r="A170" s="23" t="s">
        <v>152</v>
      </c>
      <c r="B170" s="29">
        <v>232989.90046099154</v>
      </c>
      <c r="C170" s="29">
        <v>1235.5734926087202</v>
      </c>
      <c r="D170" s="47">
        <v>0</v>
      </c>
      <c r="E170" s="29">
        <v>33051.756158866156</v>
      </c>
      <c r="F170" s="29">
        <v>48221.32662234629</v>
      </c>
      <c r="G170" s="29">
        <v>99289.6161478478</v>
      </c>
      <c r="H170" s="30">
        <f t="shared" si="33"/>
        <v>414788.1728826605</v>
      </c>
      <c r="I170" s="29">
        <v>1494.7543610254902</v>
      </c>
      <c r="J170" s="31">
        <v>2535.8102</v>
      </c>
      <c r="K170" s="49">
        <v>0</v>
      </c>
      <c r="L170" s="48" t="s">
        <v>19</v>
      </c>
      <c r="M170" s="47">
        <v>0</v>
      </c>
      <c r="N170" s="29">
        <v>31289.629483432374</v>
      </c>
      <c r="O170" s="29">
        <v>29576.72326431578</v>
      </c>
      <c r="P170" s="34" t="s">
        <v>19</v>
      </c>
      <c r="Q170" s="32">
        <f t="shared" si="32"/>
        <v>64896.91730877364</v>
      </c>
      <c r="R170" s="36">
        <v>5395.964</v>
      </c>
      <c r="S170" s="32">
        <f>+H170+Q170+R170</f>
        <v>485081.0541914341</v>
      </c>
      <c r="U170" s="40"/>
    </row>
    <row r="171" spans="1:21" ht="18">
      <c r="A171" s="23"/>
      <c r="B171" s="29"/>
      <c r="C171" s="29"/>
      <c r="D171" s="47"/>
      <c r="E171" s="29"/>
      <c r="F171" s="29"/>
      <c r="G171" s="29"/>
      <c r="H171" s="30"/>
      <c r="I171" s="29"/>
      <c r="J171" s="31"/>
      <c r="K171" s="49"/>
      <c r="L171" s="48"/>
      <c r="M171" s="47"/>
      <c r="N171" s="29"/>
      <c r="O171" s="29"/>
      <c r="P171" s="34"/>
      <c r="Q171" s="32"/>
      <c r="R171" s="36"/>
      <c r="S171" s="32"/>
      <c r="U171" s="40"/>
    </row>
    <row r="172" spans="1:21" ht="18">
      <c r="A172" s="39" t="s">
        <v>156</v>
      </c>
      <c r="B172" s="29">
        <f>B212</f>
        <v>271820.3841076794</v>
      </c>
      <c r="C172" s="29">
        <f aca="true" t="shared" si="34" ref="C172:S172">C212</f>
        <v>1227.3675062189202</v>
      </c>
      <c r="D172" s="47">
        <f t="shared" si="34"/>
        <v>0</v>
      </c>
      <c r="E172" s="29">
        <f t="shared" si="34"/>
        <v>44380.37205096335</v>
      </c>
      <c r="F172" s="29">
        <f t="shared" si="34"/>
        <v>79737.45872702338</v>
      </c>
      <c r="G172" s="29">
        <f t="shared" si="34"/>
        <v>122757.43399902794</v>
      </c>
      <c r="H172" s="29">
        <f t="shared" si="34"/>
        <v>519923.016390913</v>
      </c>
      <c r="I172" s="47">
        <f t="shared" si="34"/>
        <v>0</v>
      </c>
      <c r="J172" s="29">
        <f t="shared" si="34"/>
        <v>2617.1378</v>
      </c>
      <c r="K172" s="50">
        <f t="shared" si="34"/>
        <v>0</v>
      </c>
      <c r="L172" s="29">
        <f t="shared" si="34"/>
        <v>0</v>
      </c>
      <c r="M172" s="47">
        <f t="shared" si="34"/>
        <v>0</v>
      </c>
      <c r="N172" s="29">
        <f t="shared" si="34"/>
        <v>35819.904702833424</v>
      </c>
      <c r="O172" s="29">
        <f t="shared" si="34"/>
        <v>48836.25799994192</v>
      </c>
      <c r="P172" s="29">
        <f t="shared" si="34"/>
        <v>0</v>
      </c>
      <c r="Q172" s="29">
        <f t="shared" si="34"/>
        <v>87273.30050277534</v>
      </c>
      <c r="R172" s="29">
        <f t="shared" si="34"/>
        <v>45852.233636950405</v>
      </c>
      <c r="S172" s="29">
        <f t="shared" si="34"/>
        <v>653048.5505306387</v>
      </c>
      <c r="U172" s="40"/>
    </row>
    <row r="173" spans="1:21" ht="18">
      <c r="A173" s="23" t="s">
        <v>14</v>
      </c>
      <c r="B173" s="29">
        <f>B215</f>
        <v>271494.794772006</v>
      </c>
      <c r="C173" s="29">
        <f aca="true" t="shared" si="35" ref="C173:S173">C215</f>
        <v>1225.8973524175829</v>
      </c>
      <c r="D173" s="47">
        <f t="shared" si="35"/>
        <v>0</v>
      </c>
      <c r="E173" s="29">
        <f t="shared" si="35"/>
        <v>44552.27534076555</v>
      </c>
      <c r="F173" s="29">
        <f t="shared" si="35"/>
        <v>79945.3728594345</v>
      </c>
      <c r="G173" s="29">
        <f t="shared" si="35"/>
        <v>124066.84740736258</v>
      </c>
      <c r="H173" s="29">
        <f t="shared" si="35"/>
        <v>521285.1877319862</v>
      </c>
      <c r="I173" s="47">
        <f t="shared" si="35"/>
        <v>0</v>
      </c>
      <c r="J173" s="29">
        <f t="shared" si="35"/>
        <v>2434.39744028</v>
      </c>
      <c r="K173" s="50">
        <f t="shared" si="35"/>
        <v>0</v>
      </c>
      <c r="L173" s="29">
        <f t="shared" si="35"/>
        <v>0</v>
      </c>
      <c r="M173" s="47">
        <f t="shared" si="35"/>
        <v>0</v>
      </c>
      <c r="N173" s="29">
        <f t="shared" si="35"/>
        <v>35611.881703728155</v>
      </c>
      <c r="O173" s="29">
        <f t="shared" si="35"/>
        <v>53446.77219486676</v>
      </c>
      <c r="P173" s="29">
        <f t="shared" si="35"/>
        <v>0</v>
      </c>
      <c r="Q173" s="29">
        <f t="shared" si="35"/>
        <v>91493.05133887491</v>
      </c>
      <c r="R173" s="29">
        <f t="shared" si="35"/>
        <v>46110.41786911821</v>
      </c>
      <c r="S173" s="29">
        <f t="shared" si="35"/>
        <v>658888.6569399793</v>
      </c>
      <c r="U173" s="40"/>
    </row>
    <row r="174" spans="1:21" ht="18">
      <c r="A174" s="39" t="s">
        <v>117</v>
      </c>
      <c r="B174" s="29">
        <f>B218</f>
        <v>262983.1765132613</v>
      </c>
      <c r="C174" s="29">
        <f aca="true" t="shared" si="36" ref="C174:S174">C218</f>
        <v>1194.9765914050536</v>
      </c>
      <c r="D174" s="47">
        <f t="shared" si="36"/>
        <v>0</v>
      </c>
      <c r="E174" s="29">
        <f t="shared" si="36"/>
        <v>43941.98305104373</v>
      </c>
      <c r="F174" s="29">
        <f t="shared" si="36"/>
        <v>92481.96895322956</v>
      </c>
      <c r="G174" s="29">
        <f t="shared" si="36"/>
        <v>122305.83347520768</v>
      </c>
      <c r="H174" s="29">
        <f t="shared" si="36"/>
        <v>522907.9385841473</v>
      </c>
      <c r="I174" s="47">
        <f t="shared" si="36"/>
        <v>0</v>
      </c>
      <c r="J174" s="29">
        <f t="shared" si="36"/>
        <v>2395.3965954</v>
      </c>
      <c r="K174" s="50">
        <f t="shared" si="36"/>
        <v>0</v>
      </c>
      <c r="L174" s="29">
        <f t="shared" si="36"/>
        <v>0</v>
      </c>
      <c r="M174" s="47">
        <f t="shared" si="36"/>
        <v>0</v>
      </c>
      <c r="N174" s="29">
        <f t="shared" si="36"/>
        <v>34723.33361265515</v>
      </c>
      <c r="O174" s="29">
        <f t="shared" si="36"/>
        <v>54115.43790208308</v>
      </c>
      <c r="P174" s="29">
        <f t="shared" si="36"/>
        <v>0</v>
      </c>
      <c r="Q174" s="29">
        <f t="shared" si="36"/>
        <v>91234.16811013824</v>
      </c>
      <c r="R174" s="29">
        <f t="shared" si="36"/>
        <v>46804.107380588146</v>
      </c>
      <c r="S174" s="29">
        <f t="shared" si="36"/>
        <v>660946.2140748737</v>
      </c>
      <c r="U174" s="40"/>
    </row>
    <row r="175" spans="1:21" ht="18">
      <c r="A175" s="39" t="s">
        <v>151</v>
      </c>
      <c r="B175" s="29">
        <f>B221</f>
        <v>255188.49791817868</v>
      </c>
      <c r="C175" s="29">
        <f aca="true" t="shared" si="37" ref="C175:S175">C221</f>
        <v>1160.8596727884635</v>
      </c>
      <c r="D175" s="47">
        <f t="shared" si="37"/>
        <v>0</v>
      </c>
      <c r="E175" s="29">
        <f t="shared" si="37"/>
        <v>42719.95722811927</v>
      </c>
      <c r="F175" s="29">
        <f t="shared" si="37"/>
        <v>95530.85662525274</v>
      </c>
      <c r="G175" s="29">
        <f t="shared" si="37"/>
        <v>122728.0370512715</v>
      </c>
      <c r="H175" s="29">
        <f t="shared" si="37"/>
        <v>517328.2084956106</v>
      </c>
      <c r="I175" s="47">
        <f t="shared" si="37"/>
        <v>0</v>
      </c>
      <c r="J175" s="29">
        <f t="shared" si="37"/>
        <v>2410.068722</v>
      </c>
      <c r="K175" s="50">
        <f t="shared" si="37"/>
        <v>0</v>
      </c>
      <c r="L175" s="29">
        <f t="shared" si="37"/>
        <v>0</v>
      </c>
      <c r="M175" s="47">
        <f t="shared" si="37"/>
        <v>0</v>
      </c>
      <c r="N175" s="29">
        <f t="shared" si="37"/>
        <v>34186.77088143907</v>
      </c>
      <c r="O175" s="29">
        <f t="shared" si="37"/>
        <v>55526.24200556871</v>
      </c>
      <c r="P175" s="29">
        <f t="shared" si="37"/>
        <v>0</v>
      </c>
      <c r="Q175" s="29">
        <f t="shared" si="37"/>
        <v>92123.08160900779</v>
      </c>
      <c r="R175" s="29">
        <f t="shared" si="37"/>
        <v>47112.372709369505</v>
      </c>
      <c r="S175" s="29">
        <f t="shared" si="37"/>
        <v>656563.6628139879</v>
      </c>
      <c r="U175" s="40"/>
    </row>
    <row r="176" spans="1:21" ht="15.75">
      <c r="A176" s="23"/>
      <c r="B176" s="29"/>
      <c r="C176" s="29"/>
      <c r="D176" s="29"/>
      <c r="E176" s="29"/>
      <c r="F176" s="29"/>
      <c r="G176" s="29"/>
      <c r="H176" s="30"/>
      <c r="I176" s="29"/>
      <c r="J176" s="31"/>
      <c r="K176" s="35"/>
      <c r="L176" s="48"/>
      <c r="M176" s="29"/>
      <c r="N176" s="29"/>
      <c r="O176" s="29"/>
      <c r="P176" s="34"/>
      <c r="Q176" s="32"/>
      <c r="R176" s="36"/>
      <c r="S176" s="32"/>
      <c r="U176" s="40"/>
    </row>
    <row r="177" spans="1:21" ht="18" hidden="1">
      <c r="A177" s="41" t="s">
        <v>100</v>
      </c>
      <c r="B177" s="29">
        <v>235812.25330021465</v>
      </c>
      <c r="C177" s="29">
        <v>1084.41446729484</v>
      </c>
      <c r="D177" s="47">
        <v>0</v>
      </c>
      <c r="E177" s="29">
        <v>33452.13281747545</v>
      </c>
      <c r="F177" s="29">
        <v>52049.44788481232</v>
      </c>
      <c r="G177" s="29">
        <v>101029.05504261376</v>
      </c>
      <c r="H177" s="30">
        <f>SUM(B177:G177)</f>
        <v>423427.303512411</v>
      </c>
      <c r="I177" s="29">
        <v>1493.8514688766204</v>
      </c>
      <c r="J177" s="31">
        <v>2613.3121</v>
      </c>
      <c r="K177" s="49">
        <v>0</v>
      </c>
      <c r="L177" s="48" t="s">
        <v>19</v>
      </c>
      <c r="M177" s="47">
        <v>0</v>
      </c>
      <c r="N177" s="29">
        <v>32192.31103699666</v>
      </c>
      <c r="O177" s="29">
        <v>30242.65255400286</v>
      </c>
      <c r="P177" s="34" t="s">
        <v>19</v>
      </c>
      <c r="Q177" s="32">
        <f>SUM(I177:P177)</f>
        <v>66542.12715987614</v>
      </c>
      <c r="R177" s="36">
        <v>5502.836</v>
      </c>
      <c r="S177" s="32">
        <f>+H177+Q177+R177</f>
        <v>495472.26667228714</v>
      </c>
      <c r="U177" s="40"/>
    </row>
    <row r="178" spans="1:21" ht="18" hidden="1">
      <c r="A178" s="23" t="s">
        <v>154</v>
      </c>
      <c r="B178" s="29">
        <v>241804.82367128617</v>
      </c>
      <c r="C178" s="29">
        <v>1111.8052148970798</v>
      </c>
      <c r="D178" s="47">
        <v>0</v>
      </c>
      <c r="E178" s="29">
        <v>34538.095110721835</v>
      </c>
      <c r="F178" s="29">
        <v>52218.104560658394</v>
      </c>
      <c r="G178" s="29">
        <v>103317.937251119</v>
      </c>
      <c r="H178" s="30">
        <f aca="true" t="shared" si="38" ref="H178:H221">SUM(B178:G178)</f>
        <v>432990.7658086825</v>
      </c>
      <c r="I178" s="29">
        <v>1556.9058214240804</v>
      </c>
      <c r="J178" s="31">
        <v>2685.109</v>
      </c>
      <c r="K178" s="49">
        <v>0</v>
      </c>
      <c r="L178" s="48" t="s">
        <v>19</v>
      </c>
      <c r="M178" s="47">
        <v>0</v>
      </c>
      <c r="N178" s="29">
        <v>32967.713503891806</v>
      </c>
      <c r="O178" s="29">
        <v>31903.60099570261</v>
      </c>
      <c r="P178" s="34" t="s">
        <v>19</v>
      </c>
      <c r="Q178" s="32">
        <f aca="true" t="shared" si="39" ref="Q178:Q221">SUM(I178:P178)</f>
        <v>69113.3293210185</v>
      </c>
      <c r="R178" s="36">
        <v>5591.82</v>
      </c>
      <c r="S178" s="32">
        <f aca="true" t="shared" si="40" ref="S178:S184">+H178+Q178+R178</f>
        <v>507695.91512970097</v>
      </c>
      <c r="U178" s="40"/>
    </row>
    <row r="179" spans="1:21" ht="18" hidden="1">
      <c r="A179" s="23" t="s">
        <v>155</v>
      </c>
      <c r="B179" s="29">
        <v>241880.41882472511</v>
      </c>
      <c r="C179" s="29">
        <v>1112.19037802708</v>
      </c>
      <c r="D179" s="47">
        <v>0</v>
      </c>
      <c r="E179" s="29">
        <v>34538.81196851736</v>
      </c>
      <c r="F179" s="29">
        <v>52496.311257417445</v>
      </c>
      <c r="G179" s="29">
        <v>102999.83445879794</v>
      </c>
      <c r="H179" s="30">
        <f t="shared" si="38"/>
        <v>433027.5668874849</v>
      </c>
      <c r="I179" s="29">
        <v>1563.6720430168702</v>
      </c>
      <c r="J179" s="31">
        <v>2643.83</v>
      </c>
      <c r="K179" s="49">
        <v>0</v>
      </c>
      <c r="L179" s="48"/>
      <c r="M179" s="47">
        <v>0</v>
      </c>
      <c r="N179" s="29">
        <v>32310.864011388676</v>
      </c>
      <c r="O179" s="29">
        <v>31206.648447275038</v>
      </c>
      <c r="P179" s="34"/>
      <c r="Q179" s="32">
        <f t="shared" si="39"/>
        <v>67725.01450168059</v>
      </c>
      <c r="R179" s="36">
        <f>5621.612-V179</f>
        <v>5621.612</v>
      </c>
      <c r="S179" s="32">
        <f t="shared" si="40"/>
        <v>506374.1933891655</v>
      </c>
      <c r="U179" s="40"/>
    </row>
    <row r="180" spans="1:21" ht="18" hidden="1">
      <c r="A180" s="23" t="s">
        <v>105</v>
      </c>
      <c r="B180" s="29">
        <v>239883.7665966558</v>
      </c>
      <c r="C180" s="29">
        <v>1105.437595321752</v>
      </c>
      <c r="D180" s="47">
        <v>0</v>
      </c>
      <c r="E180" s="29">
        <v>36630.24380570603</v>
      </c>
      <c r="F180" s="29">
        <v>52687.45557939499</v>
      </c>
      <c r="G180" s="29">
        <f>103004.267472656</f>
        <v>103004.267472656</v>
      </c>
      <c r="H180" s="30">
        <f t="shared" si="38"/>
        <v>433311.1710497346</v>
      </c>
      <c r="I180" s="29">
        <v>1545.2704615093553</v>
      </c>
      <c r="J180" s="31">
        <v>2633.701</v>
      </c>
      <c r="K180" s="49">
        <v>0</v>
      </c>
      <c r="L180" s="48"/>
      <c r="M180" s="47">
        <v>0</v>
      </c>
      <c r="N180" s="29">
        <v>32339.36519642488</v>
      </c>
      <c r="O180" s="29">
        <v>30753.872193830233</v>
      </c>
      <c r="P180" s="34"/>
      <c r="Q180" s="32">
        <f t="shared" si="39"/>
        <v>67272.20885176447</v>
      </c>
      <c r="R180" s="36">
        <v>5579.08</v>
      </c>
      <c r="S180" s="32">
        <f t="shared" si="40"/>
        <v>506162.45990149904</v>
      </c>
      <c r="U180" s="40"/>
    </row>
    <row r="181" spans="1:21" ht="18" hidden="1">
      <c r="A181" s="23" t="s">
        <v>157</v>
      </c>
      <c r="B181" s="29">
        <v>243235.37752847472</v>
      </c>
      <c r="C181" s="29">
        <v>1103.5630012325337</v>
      </c>
      <c r="D181" s="47">
        <v>0</v>
      </c>
      <c r="E181" s="29">
        <v>36568.126469715826</v>
      </c>
      <c r="F181" s="29">
        <v>52997.94805835852</v>
      </c>
      <c r="G181" s="29">
        <f>103348.673241289</f>
        <v>103348.673241289</v>
      </c>
      <c r="H181" s="30">
        <f t="shared" si="38"/>
        <v>437253.6882990706</v>
      </c>
      <c r="I181" s="29">
        <v>1511.1992582827427</v>
      </c>
      <c r="J181" s="31">
        <v>2587.133521</v>
      </c>
      <c r="K181" s="49">
        <v>0</v>
      </c>
      <c r="L181" s="48"/>
      <c r="M181" s="47">
        <v>0</v>
      </c>
      <c r="N181" s="29">
        <v>31740.56780645841</v>
      </c>
      <c r="O181" s="29">
        <v>30244.157302878328</v>
      </c>
      <c r="P181" s="34"/>
      <c r="Q181" s="32">
        <f t="shared" si="39"/>
        <v>66083.05788861949</v>
      </c>
      <c r="R181" s="36">
        <v>5611.95808</v>
      </c>
      <c r="S181" s="32">
        <f t="shared" si="40"/>
        <v>508948.7042676901</v>
      </c>
      <c r="U181" s="40"/>
    </row>
    <row r="182" spans="1:21" ht="18" hidden="1">
      <c r="A182" s="23" t="s">
        <v>158</v>
      </c>
      <c r="B182" s="29">
        <v>243642.7595773861</v>
      </c>
      <c r="C182" s="29">
        <v>1104.63347741648</v>
      </c>
      <c r="D182" s="47">
        <v>0</v>
      </c>
      <c r="E182" s="29">
        <v>36603.59821753054</v>
      </c>
      <c r="F182" s="29">
        <v>53169.876598086004</v>
      </c>
      <c r="G182" s="29">
        <f>103756.503441966</f>
        <v>103756.503441966</v>
      </c>
      <c r="H182" s="30">
        <f t="shared" si="38"/>
        <v>438277.3713123852</v>
      </c>
      <c r="I182" s="29">
        <v>1498.5056128425101</v>
      </c>
      <c r="J182" s="31">
        <v>2587.133521</v>
      </c>
      <c r="K182" s="49">
        <v>0</v>
      </c>
      <c r="L182" s="48"/>
      <c r="M182" s="47">
        <v>0</v>
      </c>
      <c r="N182" s="29">
        <v>33278.01353666827</v>
      </c>
      <c r="O182" s="29">
        <v>30894.1826518813</v>
      </c>
      <c r="P182" s="34"/>
      <c r="Q182" s="32">
        <f t="shared" si="39"/>
        <v>68257.83532239209</v>
      </c>
      <c r="R182" s="36">
        <v>5676.624</v>
      </c>
      <c r="S182" s="32">
        <f t="shared" si="40"/>
        <v>512211.83063477726</v>
      </c>
      <c r="U182" s="40"/>
    </row>
    <row r="183" spans="1:21" ht="18" hidden="1">
      <c r="A183" s="23" t="s">
        <v>159</v>
      </c>
      <c r="B183" s="29">
        <v>248602.83136164793</v>
      </c>
      <c r="C183" s="29">
        <v>1126.6766201218</v>
      </c>
      <c r="D183" s="47">
        <v>0</v>
      </c>
      <c r="E183" s="29">
        <v>37334.02903963843</v>
      </c>
      <c r="F183" s="29">
        <v>58334.252637397316</v>
      </c>
      <c r="G183" s="29">
        <f>110107.072534906</f>
        <v>110107.072534906</v>
      </c>
      <c r="H183" s="30">
        <f t="shared" si="38"/>
        <v>455504.86219371145</v>
      </c>
      <c r="I183" s="29">
        <v>1505.5629813910402</v>
      </c>
      <c r="J183" s="31">
        <v>2737.357</v>
      </c>
      <c r="K183" s="49">
        <v>0</v>
      </c>
      <c r="L183" s="48"/>
      <c r="M183" s="47">
        <v>0</v>
      </c>
      <c r="N183" s="29">
        <v>33404.96125198512</v>
      </c>
      <c r="O183" s="29">
        <v>31667.3059250327</v>
      </c>
      <c r="P183" s="34"/>
      <c r="Q183" s="32">
        <f t="shared" si="39"/>
        <v>69315.18715840887</v>
      </c>
      <c r="R183" s="36">
        <v>5824.604</v>
      </c>
      <c r="S183" s="32">
        <f t="shared" si="40"/>
        <v>530644.6533521204</v>
      </c>
      <c r="U183" s="40"/>
    </row>
    <row r="184" spans="1:21" ht="18" hidden="1">
      <c r="A184" s="23" t="s">
        <v>160</v>
      </c>
      <c r="B184" s="29">
        <v>251323.06892486132</v>
      </c>
      <c r="C184" s="29">
        <v>1139.0300855780001</v>
      </c>
      <c r="D184" s="47">
        <v>0</v>
      </c>
      <c r="E184" s="29">
        <v>37699.86139274278</v>
      </c>
      <c r="F184" s="29">
        <v>59306.980688323914</v>
      </c>
      <c r="G184" s="29">
        <v>111186.37877270664</v>
      </c>
      <c r="H184" s="30">
        <f t="shared" si="38"/>
        <v>460655.31986421265</v>
      </c>
      <c r="I184" s="29">
        <v>746.2024460269304</v>
      </c>
      <c r="J184" s="31">
        <v>2763.3473</v>
      </c>
      <c r="K184" s="49">
        <v>0</v>
      </c>
      <c r="L184" s="48"/>
      <c r="M184" s="47">
        <v>0</v>
      </c>
      <c r="N184" s="29">
        <v>34839.987634274185</v>
      </c>
      <c r="O184" s="29">
        <v>33042.77872311428</v>
      </c>
      <c r="P184" s="34"/>
      <c r="Q184" s="32">
        <f t="shared" si="39"/>
        <v>71392.31610341539</v>
      </c>
      <c r="R184" s="36">
        <v>5866.703999999999</v>
      </c>
      <c r="S184" s="32">
        <f t="shared" si="40"/>
        <v>537914.3399676281</v>
      </c>
      <c r="U184" s="40"/>
    </row>
    <row r="185" spans="1:21" s="64" customFormat="1" ht="18" hidden="1">
      <c r="A185" s="54" t="s">
        <v>161</v>
      </c>
      <c r="B185" s="55">
        <v>257777.3996531748</v>
      </c>
      <c r="C185" s="55">
        <v>1163.28457820036</v>
      </c>
      <c r="D185" s="56">
        <v>0</v>
      </c>
      <c r="E185" s="55">
        <v>38502.641777204946</v>
      </c>
      <c r="F185" s="55">
        <v>59618.94690036423</v>
      </c>
      <c r="G185" s="55">
        <v>113000.9071939743</v>
      </c>
      <c r="H185" s="57">
        <f t="shared" si="38"/>
        <v>470063.18010291865</v>
      </c>
      <c r="I185" s="58">
        <v>778.1254860649203</v>
      </c>
      <c r="J185" s="55">
        <v>2801.9019</v>
      </c>
      <c r="K185" s="59">
        <v>0</v>
      </c>
      <c r="L185" s="60"/>
      <c r="M185" s="56">
        <v>0</v>
      </c>
      <c r="N185" s="55">
        <v>33848.16068946478</v>
      </c>
      <c r="O185" s="55">
        <v>32705.17267211483</v>
      </c>
      <c r="P185" s="61"/>
      <c r="Q185" s="62">
        <f t="shared" si="39"/>
        <v>70133.36074764453</v>
      </c>
      <c r="R185" s="63">
        <v>5897.563999999999</v>
      </c>
      <c r="S185" s="62">
        <f>+H185+Q185+R185</f>
        <v>546094.1048505632</v>
      </c>
      <c r="U185" s="65"/>
    </row>
    <row r="186" spans="1:21" ht="18" hidden="1">
      <c r="A186" s="23" t="s">
        <v>163</v>
      </c>
      <c r="B186" s="29">
        <v>261678.93425403492</v>
      </c>
      <c r="C186" s="29">
        <v>1176.0653179554402</v>
      </c>
      <c r="D186" s="47">
        <v>0</v>
      </c>
      <c r="E186" s="29">
        <v>38776.96277809936</v>
      </c>
      <c r="F186" s="29">
        <v>61329.6132541128</v>
      </c>
      <c r="G186" s="29">
        <v>113685.55642285993</v>
      </c>
      <c r="H186" s="57">
        <f t="shared" si="38"/>
        <v>476647.13202706235</v>
      </c>
      <c r="I186" s="51">
        <v>790.6890038212804</v>
      </c>
      <c r="J186" s="31">
        <v>2852.3047</v>
      </c>
      <c r="K186" s="49">
        <v>0</v>
      </c>
      <c r="L186" s="48"/>
      <c r="M186" s="47">
        <v>0</v>
      </c>
      <c r="N186" s="29">
        <v>34546.26266659</v>
      </c>
      <c r="O186" s="29">
        <v>32898.68681064032</v>
      </c>
      <c r="P186" s="34"/>
      <c r="Q186" s="32">
        <f t="shared" si="39"/>
        <v>71087.94318105161</v>
      </c>
      <c r="R186" s="36">
        <v>5946.119999999999</v>
      </c>
      <c r="S186" s="32">
        <f>+H186+Q186+R186</f>
        <v>553681.195208114</v>
      </c>
      <c r="U186" s="40"/>
    </row>
    <row r="187" spans="1:21" ht="18" hidden="1">
      <c r="A187" s="23" t="s">
        <v>166</v>
      </c>
      <c r="B187" s="29">
        <v>264551.3278002827</v>
      </c>
      <c r="C187" s="29">
        <v>1179.4090474746802</v>
      </c>
      <c r="D187" s="47">
        <v>0</v>
      </c>
      <c r="E187" s="29">
        <v>39009.063079124746</v>
      </c>
      <c r="F187" s="29">
        <v>61827.251006693994</v>
      </c>
      <c r="G187" s="29">
        <v>115002.39843982267</v>
      </c>
      <c r="H187" s="30">
        <f t="shared" si="38"/>
        <v>481569.44937339873</v>
      </c>
      <c r="I187" s="51">
        <v>791.0062519339704</v>
      </c>
      <c r="J187" s="31">
        <v>2683.64976</v>
      </c>
      <c r="K187" s="49">
        <v>0</v>
      </c>
      <c r="L187" s="48"/>
      <c r="M187" s="47">
        <v>0</v>
      </c>
      <c r="N187" s="29">
        <v>34363.28720282516</v>
      </c>
      <c r="O187" s="29">
        <v>33040.87049688501</v>
      </c>
      <c r="P187" s="34"/>
      <c r="Q187" s="32">
        <f t="shared" si="39"/>
        <v>70878.81371164414</v>
      </c>
      <c r="R187" s="36">
        <v>40653.7727021156</v>
      </c>
      <c r="S187" s="32">
        <f>+H187+Q187+R187</f>
        <v>593102.0357871584</v>
      </c>
      <c r="U187" s="40"/>
    </row>
    <row r="188" spans="1:21" ht="18" hidden="1">
      <c r="A188" s="23" t="s">
        <v>168</v>
      </c>
      <c r="B188" s="29">
        <v>270877.768813491</v>
      </c>
      <c r="C188" s="29">
        <v>1207.6132596074801</v>
      </c>
      <c r="D188" s="47">
        <v>0</v>
      </c>
      <c r="E188" s="29">
        <v>39941.91999805474</v>
      </c>
      <c r="F188" s="29">
        <v>62905.57762770112</v>
      </c>
      <c r="G188" s="29">
        <v>117263.92412034604</v>
      </c>
      <c r="H188" s="30">
        <f t="shared" si="38"/>
        <v>492196.8038192003</v>
      </c>
      <c r="I188" s="49">
        <v>0</v>
      </c>
      <c r="J188" s="31">
        <v>2683.64976</v>
      </c>
      <c r="K188" s="49">
        <v>0</v>
      </c>
      <c r="L188" s="48"/>
      <c r="M188" s="47">
        <v>0</v>
      </c>
      <c r="N188" s="29">
        <v>35577.21092340284</v>
      </c>
      <c r="O188" s="29">
        <v>34333.325454554586</v>
      </c>
      <c r="P188" s="34"/>
      <c r="Q188" s="32">
        <f t="shared" si="39"/>
        <v>72594.18613795743</v>
      </c>
      <c r="R188" s="36">
        <v>42890.43090399776</v>
      </c>
      <c r="S188" s="32">
        <f>+H188+Q188+R188</f>
        <v>607681.4208611555</v>
      </c>
      <c r="U188" s="40"/>
    </row>
    <row r="189" spans="1:21" ht="18">
      <c r="A189" s="39" t="s">
        <v>199</v>
      </c>
      <c r="B189" s="29">
        <f>B225</f>
        <v>241931.57585029563</v>
      </c>
      <c r="C189" s="29">
        <f aca="true" t="shared" si="41" ref="C189:S189">C225</f>
        <v>1107.4998604028385</v>
      </c>
      <c r="D189" s="47">
        <f t="shared" si="41"/>
        <v>0</v>
      </c>
      <c r="E189" s="29">
        <f t="shared" si="41"/>
        <v>40637.21633055153</v>
      </c>
      <c r="F189" s="29">
        <f t="shared" si="41"/>
        <v>98978.50696481614</v>
      </c>
      <c r="G189" s="29">
        <f t="shared" si="41"/>
        <v>118664.09880443368</v>
      </c>
      <c r="H189" s="29">
        <f t="shared" si="41"/>
        <v>501318.89781049977</v>
      </c>
      <c r="I189" s="47">
        <f t="shared" si="41"/>
        <v>0</v>
      </c>
      <c r="J189" s="29">
        <f t="shared" si="41"/>
        <v>2345.3326542000004</v>
      </c>
      <c r="K189" s="50">
        <f t="shared" si="41"/>
        <v>0</v>
      </c>
      <c r="L189" s="29">
        <f t="shared" si="41"/>
        <v>0</v>
      </c>
      <c r="M189" s="47">
        <f t="shared" si="41"/>
        <v>0</v>
      </c>
      <c r="N189" s="29">
        <f t="shared" si="41"/>
        <v>32716.369496223753</v>
      </c>
      <c r="O189" s="29">
        <f t="shared" si="41"/>
        <v>53968.12573529185</v>
      </c>
      <c r="P189" s="29">
        <f t="shared" si="41"/>
        <v>0</v>
      </c>
      <c r="Q189" s="29">
        <f t="shared" si="41"/>
        <v>89029.82788571561</v>
      </c>
      <c r="R189" s="29">
        <f t="shared" si="41"/>
        <v>47726.98933148917</v>
      </c>
      <c r="S189" s="29">
        <f t="shared" si="41"/>
        <v>638075.7150277046</v>
      </c>
      <c r="U189" s="40"/>
    </row>
    <row r="190" spans="1:21" ht="18">
      <c r="A190" s="23" t="s">
        <v>178</v>
      </c>
      <c r="B190" s="29">
        <f>B228</f>
        <v>246189.39887016776</v>
      </c>
      <c r="C190" s="29">
        <f aca="true" t="shared" si="42" ref="C190:S190">C228</f>
        <v>1126.9910673011323</v>
      </c>
      <c r="D190" s="47">
        <f t="shared" si="42"/>
        <v>0</v>
      </c>
      <c r="E190" s="29">
        <f t="shared" si="42"/>
        <v>41269.6500891615</v>
      </c>
      <c r="F190" s="29">
        <f t="shared" si="42"/>
        <v>109073.48973860525</v>
      </c>
      <c r="G190" s="29">
        <f t="shared" si="42"/>
        <v>120384.94687598711</v>
      </c>
      <c r="H190" s="29">
        <f t="shared" si="42"/>
        <v>518044.4766412227</v>
      </c>
      <c r="I190" s="47">
        <f t="shared" si="42"/>
        <v>0</v>
      </c>
      <c r="J190" s="29">
        <f t="shared" si="42"/>
        <v>2371.609815716331</v>
      </c>
      <c r="K190" s="49">
        <f t="shared" si="42"/>
        <v>0</v>
      </c>
      <c r="L190" s="29">
        <f t="shared" si="42"/>
        <v>0</v>
      </c>
      <c r="M190" s="47">
        <f t="shared" si="42"/>
        <v>0</v>
      </c>
      <c r="N190" s="29">
        <f t="shared" si="42"/>
        <v>34575.28514424571</v>
      </c>
      <c r="O190" s="29">
        <f t="shared" si="42"/>
        <v>58365.23196695148</v>
      </c>
      <c r="P190" s="29">
        <f t="shared" si="42"/>
        <v>0</v>
      </c>
      <c r="Q190" s="29">
        <f t="shared" si="42"/>
        <v>95312.12692691352</v>
      </c>
      <c r="R190" s="29">
        <f t="shared" si="42"/>
        <v>48004.76099343544</v>
      </c>
      <c r="S190" s="29">
        <f t="shared" si="42"/>
        <v>661361.3645615716</v>
      </c>
      <c r="U190" s="40"/>
    </row>
    <row r="191" spans="1:21" ht="18">
      <c r="A191" s="39" t="s">
        <v>117</v>
      </c>
      <c r="B191" s="29">
        <f>B231</f>
        <v>247387.7160375116</v>
      </c>
      <c r="C191" s="29">
        <f aca="true" t="shared" si="43" ref="C191:S191">C231</f>
        <v>1141.0901485530844</v>
      </c>
      <c r="D191" s="47">
        <f t="shared" si="43"/>
        <v>0</v>
      </c>
      <c r="E191" s="29">
        <f t="shared" si="43"/>
        <v>41594.83845459411</v>
      </c>
      <c r="F191" s="29">
        <f t="shared" si="43"/>
        <v>111037.15818599248</v>
      </c>
      <c r="G191" s="29">
        <f t="shared" si="43"/>
        <v>121828.24355265254</v>
      </c>
      <c r="H191" s="29">
        <f t="shared" si="43"/>
        <v>522989.0463793038</v>
      </c>
      <c r="I191" s="47">
        <f t="shared" si="43"/>
        <v>0</v>
      </c>
      <c r="J191" s="29">
        <f t="shared" si="43"/>
        <v>2328.0063868999964</v>
      </c>
      <c r="K191" s="49">
        <f t="shared" si="43"/>
        <v>0</v>
      </c>
      <c r="L191" s="29">
        <f t="shared" si="43"/>
        <v>0</v>
      </c>
      <c r="M191" s="47">
        <f t="shared" si="43"/>
        <v>0</v>
      </c>
      <c r="N191" s="29">
        <f t="shared" si="43"/>
        <v>34025.95733879145</v>
      </c>
      <c r="O191" s="29">
        <f t="shared" si="43"/>
        <v>57134.33170705776</v>
      </c>
      <c r="P191" s="29">
        <f t="shared" si="43"/>
        <v>0</v>
      </c>
      <c r="Q191" s="29">
        <f t="shared" si="43"/>
        <v>93488.2954327492</v>
      </c>
      <c r="R191" s="29">
        <f t="shared" si="43"/>
        <v>48524.391796001066</v>
      </c>
      <c r="S191" s="29">
        <f t="shared" si="43"/>
        <v>665001.7336080541</v>
      </c>
      <c r="U191" s="40"/>
    </row>
    <row r="192" spans="1:21" ht="18">
      <c r="A192" s="39" t="s">
        <v>151</v>
      </c>
      <c r="B192" s="29">
        <f>B234</f>
        <v>249093.55110060185</v>
      </c>
      <c r="C192" s="29">
        <f aca="true" t="shared" si="44" ref="C192:S192">C234</f>
        <v>1148.9584114431204</v>
      </c>
      <c r="D192" s="47">
        <f t="shared" si="44"/>
        <v>0</v>
      </c>
      <c r="E192" s="29">
        <f t="shared" si="44"/>
        <v>41849.643559396674</v>
      </c>
      <c r="F192" s="29">
        <f t="shared" si="44"/>
        <v>113014.12295034862</v>
      </c>
      <c r="G192" s="29">
        <f t="shared" si="44"/>
        <v>123304.05129679848</v>
      </c>
      <c r="H192" s="29">
        <f t="shared" si="44"/>
        <v>528410.3273185889</v>
      </c>
      <c r="I192" s="47">
        <f t="shared" si="44"/>
        <v>0</v>
      </c>
      <c r="J192" s="29">
        <f t="shared" si="44"/>
        <v>2249.396514027892</v>
      </c>
      <c r="K192" s="50">
        <f t="shared" si="44"/>
        <v>0</v>
      </c>
      <c r="L192" s="29">
        <f t="shared" si="44"/>
        <v>0</v>
      </c>
      <c r="M192" s="47">
        <f t="shared" si="44"/>
        <v>0</v>
      </c>
      <c r="N192" s="29">
        <f t="shared" si="44"/>
        <v>35471.17245748889</v>
      </c>
      <c r="O192" s="29">
        <f t="shared" si="44"/>
        <v>60164.537204615845</v>
      </c>
      <c r="P192" s="29">
        <f t="shared" si="44"/>
        <v>0</v>
      </c>
      <c r="Q192" s="29">
        <f t="shared" si="44"/>
        <v>97885.10617613263</v>
      </c>
      <c r="R192" s="29">
        <f t="shared" si="44"/>
        <v>69371.28158288452</v>
      </c>
      <c r="S192" s="29">
        <f t="shared" si="44"/>
        <v>695666.715077606</v>
      </c>
      <c r="U192" s="40"/>
    </row>
    <row r="193" spans="1:21" ht="18">
      <c r="A193" s="39"/>
      <c r="B193" s="29"/>
      <c r="C193" s="29"/>
      <c r="D193" s="47"/>
      <c r="E193" s="29"/>
      <c r="F193" s="29"/>
      <c r="G193" s="29"/>
      <c r="H193" s="29"/>
      <c r="I193" s="47"/>
      <c r="J193" s="29"/>
      <c r="K193" s="49"/>
      <c r="L193" s="33"/>
      <c r="M193" s="47"/>
      <c r="N193" s="29"/>
      <c r="O193" s="29"/>
      <c r="P193" s="29"/>
      <c r="Q193" s="33"/>
      <c r="R193" s="33"/>
      <c r="S193" s="33"/>
      <c r="U193" s="40"/>
    </row>
    <row r="194" spans="1:21" ht="18">
      <c r="A194" s="39" t="s">
        <v>200</v>
      </c>
      <c r="B194" s="29">
        <f>B238</f>
        <v>253036.9294942174</v>
      </c>
      <c r="C194" s="29">
        <f aca="true" t="shared" si="45" ref="C194:S194">C238</f>
        <v>1171.0588854235657</v>
      </c>
      <c r="D194" s="47">
        <f t="shared" si="45"/>
        <v>0</v>
      </c>
      <c r="E194" s="29">
        <f t="shared" si="45"/>
        <v>42654.63088475483</v>
      </c>
      <c r="F194" s="29">
        <f t="shared" si="45"/>
        <v>135767.29252269943</v>
      </c>
      <c r="G194" s="29">
        <f t="shared" si="45"/>
        <v>124821.8316237973</v>
      </c>
      <c r="H194" s="29">
        <f t="shared" si="45"/>
        <v>557451.7434108926</v>
      </c>
      <c r="I194" s="47">
        <f t="shared" si="45"/>
        <v>0</v>
      </c>
      <c r="J194" s="29">
        <f t="shared" si="45"/>
        <v>2238.9706506480006</v>
      </c>
      <c r="K194" s="50">
        <f t="shared" si="45"/>
        <v>0</v>
      </c>
      <c r="L194" s="29">
        <f t="shared" si="45"/>
        <v>0</v>
      </c>
      <c r="M194" s="47">
        <f t="shared" si="45"/>
        <v>0</v>
      </c>
      <c r="N194" s="29">
        <f t="shared" si="45"/>
        <v>35806.2273827548</v>
      </c>
      <c r="O194" s="29">
        <f t="shared" si="45"/>
        <v>59814.177288381485</v>
      </c>
      <c r="P194" s="29">
        <f t="shared" si="45"/>
        <v>0</v>
      </c>
      <c r="Q194" s="29">
        <f t="shared" si="45"/>
        <v>97859.37532178429</v>
      </c>
      <c r="R194" s="29">
        <f t="shared" si="45"/>
        <v>69798.77538255005</v>
      </c>
      <c r="S194" s="29">
        <f t="shared" si="45"/>
        <v>725109.8941152269</v>
      </c>
      <c r="U194" s="40"/>
    </row>
    <row r="195" spans="1:21" ht="18">
      <c r="A195" s="23" t="s">
        <v>178</v>
      </c>
      <c r="B195" s="29">
        <v>257867.56004983804</v>
      </c>
      <c r="C195" s="29">
        <v>1193.4151195339998</v>
      </c>
      <c r="D195" s="47"/>
      <c r="E195" s="29">
        <v>43468.934013165686</v>
      </c>
      <c r="F195" s="3">
        <v>138836.73615618752</v>
      </c>
      <c r="G195" s="29">
        <v>126791.65604715867</v>
      </c>
      <c r="H195" s="30">
        <f>SUM(B195:G195)</f>
        <v>568158.3013858839</v>
      </c>
      <c r="I195" s="49">
        <v>0</v>
      </c>
      <c r="J195" s="31">
        <v>2175.3172851725767</v>
      </c>
      <c r="K195" s="49"/>
      <c r="L195" s="49"/>
      <c r="M195" s="49"/>
      <c r="N195" s="29">
        <v>35358.687760257366</v>
      </c>
      <c r="O195" s="29">
        <v>59540.3700556782</v>
      </c>
      <c r="P195" s="34"/>
      <c r="Q195" s="32">
        <f>SUM(I195:P195)</f>
        <v>97074.37510110813</v>
      </c>
      <c r="R195" s="36">
        <v>70113.02879682828</v>
      </c>
      <c r="S195" s="32">
        <f>+H195+Q195+R195</f>
        <v>735345.7052838203</v>
      </c>
      <c r="U195" s="40"/>
    </row>
    <row r="196" spans="1:21" ht="18">
      <c r="A196" s="39"/>
      <c r="B196" s="29"/>
      <c r="C196" s="29"/>
      <c r="D196" s="47"/>
      <c r="E196" s="29"/>
      <c r="F196" s="29"/>
      <c r="G196" s="29"/>
      <c r="H196" s="29"/>
      <c r="I196" s="47"/>
      <c r="J196" s="29"/>
      <c r="K196" s="49"/>
      <c r="L196" s="33"/>
      <c r="M196" s="47"/>
      <c r="N196" s="29"/>
      <c r="O196" s="29"/>
      <c r="P196" s="29"/>
      <c r="Q196" s="33"/>
      <c r="R196" s="33"/>
      <c r="S196" s="33"/>
      <c r="U196" s="40"/>
    </row>
    <row r="197" spans="1:21" ht="18" customHeight="1" hidden="1">
      <c r="A197" s="23" t="s">
        <v>132</v>
      </c>
      <c r="B197" s="29">
        <v>274988.86163905944</v>
      </c>
      <c r="C197" s="29">
        <v>1234.29171219464</v>
      </c>
      <c r="D197" s="47">
        <v>0</v>
      </c>
      <c r="E197" s="29">
        <v>41072.10032006476</v>
      </c>
      <c r="F197" s="29">
        <v>64985.50228637696</v>
      </c>
      <c r="G197" s="29">
        <v>120688.44599450902</v>
      </c>
      <c r="H197" s="30">
        <f t="shared" si="38"/>
        <v>502969.2019522048</v>
      </c>
      <c r="I197" s="49">
        <v>0</v>
      </c>
      <c r="J197" s="31">
        <v>2683.64976</v>
      </c>
      <c r="K197" s="49">
        <v>0</v>
      </c>
      <c r="L197" s="49">
        <v>0</v>
      </c>
      <c r="M197" s="49">
        <v>0</v>
      </c>
      <c r="N197" s="29">
        <v>36521.028006994304</v>
      </c>
      <c r="O197" s="29">
        <v>34949.13839048316</v>
      </c>
      <c r="P197" s="34"/>
      <c r="Q197" s="32">
        <f t="shared" si="39"/>
        <v>74153.81615747747</v>
      </c>
      <c r="R197" s="36">
        <v>43935.564236239356</v>
      </c>
      <c r="S197" s="32">
        <f aca="true" t="shared" si="46" ref="S197:S221">+H197+Q197+R197</f>
        <v>621058.5823459215</v>
      </c>
      <c r="U197" s="40"/>
    </row>
    <row r="198" spans="1:21" ht="18" hidden="1">
      <c r="A198" s="23" t="s">
        <v>171</v>
      </c>
      <c r="B198" s="29">
        <v>285558.6672670893</v>
      </c>
      <c r="C198" s="29">
        <v>1281.8681866885795</v>
      </c>
      <c r="D198" s="47">
        <v>0</v>
      </c>
      <c r="E198" s="29">
        <v>42672.27025568516</v>
      </c>
      <c r="F198" s="29">
        <v>68678.78207018069</v>
      </c>
      <c r="G198" s="29">
        <v>125871.61655954519</v>
      </c>
      <c r="H198" s="30">
        <f t="shared" si="38"/>
        <v>524063.2043391889</v>
      </c>
      <c r="I198" s="49">
        <v>0</v>
      </c>
      <c r="J198" s="31">
        <v>2908.774242</v>
      </c>
      <c r="K198" s="49">
        <v>0</v>
      </c>
      <c r="L198" s="49">
        <v>0</v>
      </c>
      <c r="M198" s="49">
        <v>0</v>
      </c>
      <c r="N198" s="29">
        <v>37190.40970414216</v>
      </c>
      <c r="O198" s="29">
        <v>36029.83531694558</v>
      </c>
      <c r="P198" s="34"/>
      <c r="Q198" s="32">
        <f t="shared" si="39"/>
        <v>76129.01926308774</v>
      </c>
      <c r="R198" s="36">
        <v>45856.5454511041</v>
      </c>
      <c r="S198" s="32">
        <f t="shared" si="46"/>
        <v>646048.7690533807</v>
      </c>
      <c r="U198" s="40"/>
    </row>
    <row r="199" spans="1:21" ht="18" hidden="1">
      <c r="A199" s="23" t="s">
        <v>172</v>
      </c>
      <c r="B199" s="29">
        <v>271633.80505356216</v>
      </c>
      <c r="C199" s="29">
        <v>1219.3597079708</v>
      </c>
      <c r="D199" s="47">
        <v>0</v>
      </c>
      <c r="E199" s="29">
        <v>40596.562664574325</v>
      </c>
      <c r="F199" s="29">
        <v>66358.04749913693</v>
      </c>
      <c r="G199" s="29">
        <v>120178.50577068047</v>
      </c>
      <c r="H199" s="30">
        <f t="shared" si="38"/>
        <v>499986.28069592465</v>
      </c>
      <c r="I199" s="49">
        <v>0</v>
      </c>
      <c r="J199" s="31">
        <v>2813.18004</v>
      </c>
      <c r="K199" s="49">
        <v>0</v>
      </c>
      <c r="L199" s="49">
        <v>0</v>
      </c>
      <c r="M199" s="49">
        <v>0</v>
      </c>
      <c r="N199" s="29">
        <v>35898.31626125516</v>
      </c>
      <c r="O199" s="29">
        <v>34725.500942705214</v>
      </c>
      <c r="P199" s="34"/>
      <c r="Q199" s="32">
        <f t="shared" si="39"/>
        <v>73436.99724396037</v>
      </c>
      <c r="R199" s="36">
        <v>45208.71133805876</v>
      </c>
      <c r="S199" s="32">
        <f t="shared" si="46"/>
        <v>618631.9892779439</v>
      </c>
      <c r="U199" s="40"/>
    </row>
    <row r="200" spans="1:21" ht="18" hidden="1">
      <c r="A200" s="23" t="s">
        <v>174</v>
      </c>
      <c r="B200" s="29">
        <v>269005.39617345703</v>
      </c>
      <c r="C200" s="29">
        <v>1207.560823498962</v>
      </c>
      <c r="D200" s="47">
        <v>0</v>
      </c>
      <c r="E200" s="29">
        <v>40203.73834070834</v>
      </c>
      <c r="F200" s="29">
        <v>64813.87553148443</v>
      </c>
      <c r="G200" s="29">
        <v>119213.83985937477</v>
      </c>
      <c r="H200" s="30">
        <f t="shared" si="38"/>
        <v>494444.4107285235</v>
      </c>
      <c r="I200" s="49">
        <v>0</v>
      </c>
      <c r="J200" s="31">
        <v>2860.5967326019813</v>
      </c>
      <c r="K200" s="49">
        <v>0</v>
      </c>
      <c r="L200" s="49"/>
      <c r="M200" s="49">
        <v>0</v>
      </c>
      <c r="N200" s="29">
        <v>36270.74252108697</v>
      </c>
      <c r="O200" s="29">
        <v>35308.97595050549</v>
      </c>
      <c r="P200" s="34"/>
      <c r="Q200" s="32">
        <f t="shared" si="39"/>
        <v>74440.31520419444</v>
      </c>
      <c r="R200" s="36">
        <v>44776.81697110382</v>
      </c>
      <c r="S200" s="32">
        <f t="shared" si="46"/>
        <v>613661.5429038217</v>
      </c>
      <c r="U200" s="40"/>
    </row>
    <row r="201" spans="1:21" ht="18" hidden="1">
      <c r="A201" s="23" t="s">
        <v>175</v>
      </c>
      <c r="B201" s="29">
        <v>265234.13059056934</v>
      </c>
      <c r="C201" s="29">
        <v>1190.6316739812</v>
      </c>
      <c r="D201" s="47">
        <v>0</v>
      </c>
      <c r="E201" s="29">
        <v>39640.110335975034</v>
      </c>
      <c r="F201" s="29">
        <v>65526.5588664544</v>
      </c>
      <c r="G201" s="29">
        <v>118067.72629470869</v>
      </c>
      <c r="H201" s="30">
        <f t="shared" si="38"/>
        <v>489659.15776168864</v>
      </c>
      <c r="I201" s="49">
        <v>0</v>
      </c>
      <c r="J201" s="31">
        <v>2767.413</v>
      </c>
      <c r="K201" s="49">
        <v>0</v>
      </c>
      <c r="L201" s="49"/>
      <c r="M201" s="49">
        <v>0</v>
      </c>
      <c r="N201" s="29">
        <v>34900.29072291456</v>
      </c>
      <c r="O201" s="29">
        <v>33998.7583996504</v>
      </c>
      <c r="P201" s="34"/>
      <c r="Q201" s="32">
        <f t="shared" si="39"/>
        <v>71666.46212256496</v>
      </c>
      <c r="R201" s="36">
        <v>44294.6784933488</v>
      </c>
      <c r="S201" s="32">
        <f t="shared" si="46"/>
        <v>605620.2983776024</v>
      </c>
      <c r="U201" s="40"/>
    </row>
    <row r="202" spans="1:21" ht="18" hidden="1">
      <c r="A202" s="23" t="s">
        <v>177</v>
      </c>
      <c r="B202" s="29">
        <v>266357.72306055215</v>
      </c>
      <c r="C202" s="29">
        <v>1195.675462201176</v>
      </c>
      <c r="D202" s="47">
        <v>0</v>
      </c>
      <c r="E202" s="29">
        <v>40063.5006709841</v>
      </c>
      <c r="F202" s="29">
        <v>64695.72087369412</v>
      </c>
      <c r="G202" s="29">
        <v>118243.02651807675</v>
      </c>
      <c r="H202" s="30">
        <f t="shared" si="38"/>
        <v>490555.64658550825</v>
      </c>
      <c r="I202" s="49">
        <v>0</v>
      </c>
      <c r="J202" s="31">
        <v>2767.413</v>
      </c>
      <c r="K202" s="49">
        <v>0</v>
      </c>
      <c r="L202" s="49"/>
      <c r="M202" s="49">
        <v>0</v>
      </c>
      <c r="N202" s="29">
        <v>35605.67767180831</v>
      </c>
      <c r="O202" s="29">
        <v>34838.19461748534</v>
      </c>
      <c r="P202" s="34"/>
      <c r="Q202" s="32">
        <f t="shared" si="39"/>
        <v>73211.28528929365</v>
      </c>
      <c r="R202" s="36">
        <v>44031.38514221092</v>
      </c>
      <c r="S202" s="32">
        <f t="shared" si="46"/>
        <v>607798.3170170127</v>
      </c>
      <c r="U202" s="40"/>
    </row>
    <row r="203" spans="1:21" ht="18" hidden="1">
      <c r="A203" s="23" t="s">
        <v>179</v>
      </c>
      <c r="B203" s="29">
        <v>266818.10145772394</v>
      </c>
      <c r="C203" s="29">
        <v>1199.8388347811322</v>
      </c>
      <c r="D203" s="47">
        <v>0</v>
      </c>
      <c r="E203" s="29">
        <v>40235.07070167763</v>
      </c>
      <c r="F203" s="29">
        <v>66387.5192613266</v>
      </c>
      <c r="G203" s="29">
        <v>119340.13766866628</v>
      </c>
      <c r="H203" s="30">
        <f t="shared" si="38"/>
        <v>493980.6679241756</v>
      </c>
      <c r="I203" s="49">
        <v>0</v>
      </c>
      <c r="J203" s="31">
        <v>2804.5218309811967</v>
      </c>
      <c r="K203" s="49">
        <v>0</v>
      </c>
      <c r="L203" s="49"/>
      <c r="M203" s="49">
        <v>0</v>
      </c>
      <c r="N203" s="29">
        <v>35891.9576873696</v>
      </c>
      <c r="O203" s="29">
        <v>34940.31393522914</v>
      </c>
      <c r="P203" s="34"/>
      <c r="Q203" s="32">
        <f t="shared" si="39"/>
        <v>73636.79345357994</v>
      </c>
      <c r="R203" s="36">
        <v>44055.55389400388</v>
      </c>
      <c r="S203" s="32">
        <f t="shared" si="46"/>
        <v>611673.0152717594</v>
      </c>
      <c r="U203" s="40"/>
    </row>
    <row r="204" spans="1:21" ht="18" hidden="1">
      <c r="A204" s="23" t="s">
        <v>180</v>
      </c>
      <c r="B204" s="29">
        <v>266793.4787397648</v>
      </c>
      <c r="C204" s="29">
        <v>1199.8388347811322</v>
      </c>
      <c r="D204" s="47">
        <v>0</v>
      </c>
      <c r="E204" s="29">
        <v>40235.07070167763</v>
      </c>
      <c r="F204" s="29">
        <v>66586.37832118613</v>
      </c>
      <c r="G204" s="29">
        <v>119475.69669325752</v>
      </c>
      <c r="H204" s="30">
        <f t="shared" si="38"/>
        <v>494290.46329066716</v>
      </c>
      <c r="I204" s="49">
        <v>0</v>
      </c>
      <c r="J204" s="31">
        <v>2778.2</v>
      </c>
      <c r="K204" s="49">
        <v>0</v>
      </c>
      <c r="L204" s="49"/>
      <c r="M204" s="49">
        <v>0</v>
      </c>
      <c r="N204" s="29">
        <v>35198.7</v>
      </c>
      <c r="O204" s="29">
        <v>34277.5</v>
      </c>
      <c r="P204" s="34"/>
      <c r="Q204" s="32">
        <f t="shared" si="39"/>
        <v>72254.4</v>
      </c>
      <c r="R204" s="36">
        <f>7692.3+36363.2</f>
        <v>44055.5</v>
      </c>
      <c r="S204" s="32">
        <f t="shared" si="46"/>
        <v>610600.3632906672</v>
      </c>
      <c r="U204" s="40"/>
    </row>
    <row r="205" spans="1:21" ht="18" hidden="1">
      <c r="A205" s="23" t="s">
        <v>182</v>
      </c>
      <c r="B205" s="29">
        <v>267094.2789094543</v>
      </c>
      <c r="C205" s="29">
        <v>1202.407702872904</v>
      </c>
      <c r="D205" s="47">
        <v>0</v>
      </c>
      <c r="E205" s="29">
        <v>40444.108580753484</v>
      </c>
      <c r="F205" s="29">
        <v>67090.29284741056</v>
      </c>
      <c r="G205" s="29">
        <v>119134.78625170639</v>
      </c>
      <c r="H205" s="30">
        <f t="shared" si="38"/>
        <v>494965.87429219764</v>
      </c>
      <c r="I205" s="49">
        <v>0</v>
      </c>
      <c r="J205" s="31">
        <v>2765.06274</v>
      </c>
      <c r="K205" s="49">
        <v>0</v>
      </c>
      <c r="L205" s="49"/>
      <c r="M205" s="49">
        <v>0</v>
      </c>
      <c r="N205" s="29">
        <v>35428.248454834036</v>
      </c>
      <c r="O205" s="29">
        <v>34385.886671088934</v>
      </c>
      <c r="P205" s="34"/>
      <c r="Q205" s="32">
        <f t="shared" si="39"/>
        <v>72579.19786592296</v>
      </c>
      <c r="R205" s="36">
        <v>44073.265236401916</v>
      </c>
      <c r="S205" s="32">
        <f t="shared" si="46"/>
        <v>611618.3373945225</v>
      </c>
      <c r="U205" s="40"/>
    </row>
    <row r="206" spans="1:21" ht="18" hidden="1">
      <c r="A206" s="23" t="s">
        <v>183</v>
      </c>
      <c r="B206" s="29">
        <v>270248.27563148964</v>
      </c>
      <c r="C206" s="29">
        <v>1216.606407852308</v>
      </c>
      <c r="D206" s="47">
        <v>0</v>
      </c>
      <c r="E206" s="29">
        <v>40856.03419383343</v>
      </c>
      <c r="F206" s="29">
        <v>66297.84139973212</v>
      </c>
      <c r="G206" s="29">
        <v>120442.24967720738</v>
      </c>
      <c r="H206" s="30">
        <f t="shared" si="38"/>
        <v>499061.00731011486</v>
      </c>
      <c r="I206" s="49">
        <v>0</v>
      </c>
      <c r="J206" s="31">
        <v>2798.74188</v>
      </c>
      <c r="K206" s="49">
        <v>0</v>
      </c>
      <c r="L206" s="49"/>
      <c r="M206" s="49">
        <v>0</v>
      </c>
      <c r="N206" s="29">
        <v>35605.30341710454</v>
      </c>
      <c r="O206" s="29">
        <v>34466.40715167163</v>
      </c>
      <c r="P206" s="34"/>
      <c r="Q206" s="32">
        <f t="shared" si="39"/>
        <v>72870.45244877617</v>
      </c>
      <c r="R206" s="36">
        <v>44276.37331484383</v>
      </c>
      <c r="S206" s="32">
        <f t="shared" si="46"/>
        <v>616207.8330737349</v>
      </c>
      <c r="U206" s="40"/>
    </row>
    <row r="207" spans="1:21" ht="18" hidden="1">
      <c r="A207" s="23" t="s">
        <v>184</v>
      </c>
      <c r="B207" s="29">
        <v>268829.73406704643</v>
      </c>
      <c r="C207" s="29">
        <v>1210.220403156908</v>
      </c>
      <c r="D207" s="47">
        <v>0</v>
      </c>
      <c r="E207" s="29">
        <v>40650.912438720654</v>
      </c>
      <c r="F207" s="29">
        <v>65806.08203195018</v>
      </c>
      <c r="G207" s="29">
        <v>120020.44320724206</v>
      </c>
      <c r="H207" s="30">
        <f t="shared" si="38"/>
        <v>496517.3921481162</v>
      </c>
      <c r="I207" s="49">
        <v>0</v>
      </c>
      <c r="J207" s="31">
        <v>2547.10942</v>
      </c>
      <c r="K207" s="49">
        <v>0</v>
      </c>
      <c r="L207" s="49"/>
      <c r="M207" s="49">
        <v>0</v>
      </c>
      <c r="N207" s="29">
        <v>34853.23664063628</v>
      </c>
      <c r="O207" s="29">
        <v>33565.557714143586</v>
      </c>
      <c r="P207" s="34"/>
      <c r="Q207" s="32">
        <f t="shared" si="39"/>
        <v>70965.90377477987</v>
      </c>
      <c r="R207" s="36">
        <v>44486.19164917811</v>
      </c>
      <c r="S207" s="32">
        <f t="shared" si="46"/>
        <v>611969.4875720743</v>
      </c>
      <c r="U207" s="40"/>
    </row>
    <row r="208" spans="1:21" ht="18" hidden="1">
      <c r="A208" s="23" t="s">
        <v>129</v>
      </c>
      <c r="B208" s="29">
        <v>270249.52431311127</v>
      </c>
      <c r="C208" s="29">
        <v>1216.612029179803</v>
      </c>
      <c r="D208" s="47">
        <v>0</v>
      </c>
      <c r="E208" s="29">
        <v>40950.43077833263</v>
      </c>
      <c r="F208" s="29">
        <v>66074.05140585631</v>
      </c>
      <c r="G208" s="29">
        <v>120773.62721164976</v>
      </c>
      <c r="H208" s="30">
        <f t="shared" si="38"/>
        <v>499264.24573812983</v>
      </c>
      <c r="I208" s="49">
        <v>0</v>
      </c>
      <c r="J208" s="31">
        <v>2591.3391226</v>
      </c>
      <c r="K208" s="49">
        <v>0</v>
      </c>
      <c r="L208" s="49"/>
      <c r="M208" s="49">
        <v>0</v>
      </c>
      <c r="N208" s="29">
        <v>35214.51050843248</v>
      </c>
      <c r="O208" s="29">
        <v>34070.09087093354</v>
      </c>
      <c r="P208" s="34"/>
      <c r="Q208" s="32">
        <f t="shared" si="39"/>
        <v>71875.94050196602</v>
      </c>
      <c r="R208" s="36">
        <v>44567.431096851746</v>
      </c>
      <c r="S208" s="32">
        <f t="shared" si="46"/>
        <v>615707.6173369476</v>
      </c>
      <c r="U208" s="40"/>
    </row>
    <row r="209" spans="1:21" ht="18" hidden="1">
      <c r="A209" s="23"/>
      <c r="B209" s="29"/>
      <c r="C209" s="29"/>
      <c r="D209" s="47"/>
      <c r="E209" s="29"/>
      <c r="F209" s="29"/>
      <c r="G209" s="29"/>
      <c r="H209" s="30"/>
      <c r="I209" s="49"/>
      <c r="J209" s="31"/>
      <c r="K209" s="49"/>
      <c r="L209" s="49"/>
      <c r="M209" s="49"/>
      <c r="N209" s="29"/>
      <c r="O209" s="29"/>
      <c r="P209" s="34"/>
      <c r="Q209" s="32"/>
      <c r="R209" s="36"/>
      <c r="S209" s="32"/>
      <c r="U209" s="40"/>
    </row>
    <row r="210" spans="1:21" ht="18" hidden="1">
      <c r="A210" s="23" t="s">
        <v>153</v>
      </c>
      <c r="B210" s="29">
        <v>269761.0652019576</v>
      </c>
      <c r="C210" s="29">
        <v>1216.612029179803</v>
      </c>
      <c r="D210" s="47">
        <v>0</v>
      </c>
      <c r="E210" s="29">
        <v>40950.43077833263</v>
      </c>
      <c r="F210" s="29">
        <v>76790.55848640428</v>
      </c>
      <c r="G210" s="29">
        <v>122203.50990306388</v>
      </c>
      <c r="H210" s="30">
        <f t="shared" si="38"/>
        <v>510922.1763989382</v>
      </c>
      <c r="I210" s="49">
        <v>0</v>
      </c>
      <c r="J210" s="31">
        <v>2582.6084376</v>
      </c>
      <c r="K210" s="49">
        <v>0</v>
      </c>
      <c r="L210" s="49"/>
      <c r="M210" s="49">
        <v>0</v>
      </c>
      <c r="N210" s="29">
        <v>35175.6881323737</v>
      </c>
      <c r="O210" s="29">
        <v>33984.371298829785</v>
      </c>
      <c r="P210" s="34"/>
      <c r="Q210" s="32">
        <f t="shared" si="39"/>
        <v>71742.66786880349</v>
      </c>
      <c r="R210" s="36">
        <v>44850.77817957783</v>
      </c>
      <c r="S210" s="32">
        <f t="shared" si="46"/>
        <v>627515.6224473194</v>
      </c>
      <c r="U210" s="40"/>
    </row>
    <row r="211" spans="1:21" ht="18" hidden="1">
      <c r="A211" s="23" t="s">
        <v>187</v>
      </c>
      <c r="B211" s="29">
        <v>270629.4393519561</v>
      </c>
      <c r="C211" s="29">
        <v>1220.6540502098176</v>
      </c>
      <c r="D211" s="47">
        <v>0</v>
      </c>
      <c r="E211" s="29">
        <v>41389.12589428883</v>
      </c>
      <c r="F211" s="29">
        <v>79709.69702635123</v>
      </c>
      <c r="G211" s="29">
        <v>122617.3870178085</v>
      </c>
      <c r="H211" s="30">
        <f t="shared" si="38"/>
        <v>515566.3033406145</v>
      </c>
      <c r="I211" s="49">
        <v>0</v>
      </c>
      <c r="J211" s="31">
        <v>2610.9378</v>
      </c>
      <c r="K211" s="49">
        <v>0</v>
      </c>
      <c r="L211" s="49"/>
      <c r="M211" s="49">
        <v>0</v>
      </c>
      <c r="N211" s="29">
        <v>35804.58040215911</v>
      </c>
      <c r="O211" s="29">
        <v>48429.32710022869</v>
      </c>
      <c r="P211" s="34"/>
      <c r="Q211" s="32">
        <f t="shared" si="39"/>
        <v>86844.84530238781</v>
      </c>
      <c r="R211" s="36">
        <v>44881.670500630615</v>
      </c>
      <c r="S211" s="32">
        <f t="shared" si="46"/>
        <v>647292.8191436329</v>
      </c>
      <c r="U211" s="40"/>
    </row>
    <row r="212" spans="1:21" ht="18" hidden="1">
      <c r="A212" s="23" t="s">
        <v>190</v>
      </c>
      <c r="B212" s="29">
        <v>271820.3841076794</v>
      </c>
      <c r="C212" s="29">
        <v>1227.3675062189202</v>
      </c>
      <c r="D212" s="47">
        <v>0</v>
      </c>
      <c r="E212" s="29">
        <v>44380.37205096335</v>
      </c>
      <c r="F212" s="29">
        <v>79737.45872702338</v>
      </c>
      <c r="G212" s="29">
        <v>122757.43399902794</v>
      </c>
      <c r="H212" s="30">
        <f t="shared" si="38"/>
        <v>519923.016390913</v>
      </c>
      <c r="I212" s="49">
        <v>0</v>
      </c>
      <c r="J212" s="31">
        <v>2617.1378</v>
      </c>
      <c r="K212" s="49">
        <v>0</v>
      </c>
      <c r="L212" s="49"/>
      <c r="M212" s="49">
        <v>0</v>
      </c>
      <c r="N212" s="29">
        <v>35819.904702833424</v>
      </c>
      <c r="O212" s="29">
        <v>48836.25799994192</v>
      </c>
      <c r="P212" s="34"/>
      <c r="Q212" s="32">
        <f t="shared" si="39"/>
        <v>87273.30050277534</v>
      </c>
      <c r="R212" s="36">
        <v>45852.233636950405</v>
      </c>
      <c r="S212" s="32">
        <f t="shared" si="46"/>
        <v>653048.5505306387</v>
      </c>
      <c r="U212" s="40"/>
    </row>
    <row r="213" spans="1:21" ht="18" hidden="1">
      <c r="A213" s="23" t="s">
        <v>192</v>
      </c>
      <c r="B213" s="29">
        <v>266887.82332450827</v>
      </c>
      <c r="C213" s="29">
        <v>1205.0952073713263</v>
      </c>
      <c r="D213" s="47">
        <v>0</v>
      </c>
      <c r="E213" s="29">
        <v>43547.7944715916</v>
      </c>
      <c r="F213" s="29">
        <v>77913.73440839791</v>
      </c>
      <c r="G213" s="29">
        <v>121956.34425356759</v>
      </c>
      <c r="H213" s="30">
        <f t="shared" si="38"/>
        <v>511510.7916654367</v>
      </c>
      <c r="I213" s="49">
        <v>0</v>
      </c>
      <c r="J213" s="31">
        <v>2617.1378</v>
      </c>
      <c r="K213" s="49">
        <v>0</v>
      </c>
      <c r="L213" s="49"/>
      <c r="M213" s="49">
        <v>0</v>
      </c>
      <c r="N213" s="29">
        <v>35819.904702833424</v>
      </c>
      <c r="O213" s="29">
        <v>52447.898819018745</v>
      </c>
      <c r="P213" s="34"/>
      <c r="Q213" s="32">
        <f t="shared" si="39"/>
        <v>90884.94132185217</v>
      </c>
      <c r="R213" s="36">
        <v>45867.297986014215</v>
      </c>
      <c r="S213" s="32">
        <f t="shared" si="46"/>
        <v>648263.030973303</v>
      </c>
      <c r="U213" s="40"/>
    </row>
    <row r="214" spans="1:21" ht="18" hidden="1">
      <c r="A214" s="23" t="s">
        <v>195</v>
      </c>
      <c r="B214" s="29">
        <v>272008.76196214725</v>
      </c>
      <c r="C214" s="29">
        <v>1228.2181004752122</v>
      </c>
      <c r="D214" s="47">
        <v>0</v>
      </c>
      <c r="E214" s="29">
        <v>44401.038261211994</v>
      </c>
      <c r="F214" s="29">
        <v>78491.29825407869</v>
      </c>
      <c r="G214" s="29">
        <v>123864.50145426457</v>
      </c>
      <c r="H214" s="30">
        <f t="shared" si="38"/>
        <v>519993.8180321777</v>
      </c>
      <c r="I214" s="49">
        <v>0</v>
      </c>
      <c r="J214" s="31">
        <v>2422.72778402</v>
      </c>
      <c r="K214" s="49">
        <v>0</v>
      </c>
      <c r="L214" s="49"/>
      <c r="M214" s="49">
        <v>0</v>
      </c>
      <c r="N214" s="29">
        <v>35499.13033348979</v>
      </c>
      <c r="O214" s="29">
        <v>53211.29150494919</v>
      </c>
      <c r="P214" s="34"/>
      <c r="Q214" s="32">
        <f t="shared" si="39"/>
        <v>91133.14962245898</v>
      </c>
      <c r="R214" s="36">
        <v>46077.61880310421</v>
      </c>
      <c r="S214" s="32">
        <f t="shared" si="46"/>
        <v>657204.586457741</v>
      </c>
      <c r="U214" s="40"/>
    </row>
    <row r="215" spans="1:21" ht="18" hidden="1">
      <c r="A215" s="23" t="s">
        <v>197</v>
      </c>
      <c r="B215" s="29">
        <v>271494.794772006</v>
      </c>
      <c r="C215" s="29">
        <v>1225.8973524175829</v>
      </c>
      <c r="D215" s="47">
        <v>0</v>
      </c>
      <c r="E215" s="29">
        <v>44552.27534076555</v>
      </c>
      <c r="F215" s="29">
        <v>79945.3728594345</v>
      </c>
      <c r="G215" s="29">
        <v>124066.84740736258</v>
      </c>
      <c r="H215" s="30">
        <f t="shared" si="38"/>
        <v>521285.1877319862</v>
      </c>
      <c r="I215" s="49">
        <v>0</v>
      </c>
      <c r="J215" s="31">
        <v>2434.39744028</v>
      </c>
      <c r="K215" s="49">
        <v>0</v>
      </c>
      <c r="L215" s="49"/>
      <c r="M215" s="49">
        <v>0</v>
      </c>
      <c r="N215" s="29">
        <v>35611.881703728155</v>
      </c>
      <c r="O215" s="29">
        <v>53446.77219486676</v>
      </c>
      <c r="P215" s="34"/>
      <c r="Q215" s="32">
        <f t="shared" si="39"/>
        <v>91493.05133887491</v>
      </c>
      <c r="R215" s="36">
        <v>46110.41786911821</v>
      </c>
      <c r="S215" s="32">
        <f t="shared" si="46"/>
        <v>658888.6569399793</v>
      </c>
      <c r="U215" s="40"/>
    </row>
    <row r="216" spans="1:21" ht="18" hidden="1">
      <c r="A216" s="23" t="s">
        <v>201</v>
      </c>
      <c r="B216" s="29">
        <v>270461.6226795257</v>
      </c>
      <c r="C216" s="29">
        <v>1225.2743243501639</v>
      </c>
      <c r="D216" s="47">
        <v>0</v>
      </c>
      <c r="E216" s="29">
        <v>44483.73331524143</v>
      </c>
      <c r="F216" s="29">
        <v>80713.32702397638</v>
      </c>
      <c r="G216" s="29">
        <v>124125.50690107516</v>
      </c>
      <c r="H216" s="30">
        <f t="shared" si="38"/>
        <v>521009.46424416883</v>
      </c>
      <c r="I216" s="49">
        <v>0</v>
      </c>
      <c r="J216" s="31">
        <v>2435.548992</v>
      </c>
      <c r="K216" s="49">
        <v>0</v>
      </c>
      <c r="L216" s="49"/>
      <c r="M216" s="49">
        <v>0</v>
      </c>
      <c r="N216" s="29">
        <v>35468.77841995859</v>
      </c>
      <c r="O216" s="29">
        <v>53298.18645949288</v>
      </c>
      <c r="P216" s="34"/>
      <c r="Q216" s="32">
        <f t="shared" si="39"/>
        <v>91202.51387145146</v>
      </c>
      <c r="R216" s="36">
        <v>46555.260241618205</v>
      </c>
      <c r="S216" s="32">
        <f t="shared" si="46"/>
        <v>658767.2383572385</v>
      </c>
      <c r="U216" s="40"/>
    </row>
    <row r="217" spans="1:21" ht="18">
      <c r="A217" s="23" t="s">
        <v>204</v>
      </c>
      <c r="B217" s="29">
        <v>267821.04356284614</v>
      </c>
      <c r="C217" s="29">
        <v>1213.4471730129906</v>
      </c>
      <c r="D217" s="47">
        <v>0</v>
      </c>
      <c r="E217" s="29">
        <v>44571.898194362</v>
      </c>
      <c r="F217" s="29">
        <v>91664.1823668131</v>
      </c>
      <c r="G217" s="29">
        <v>123511.50675686976</v>
      </c>
      <c r="H217" s="30">
        <f t="shared" si="38"/>
        <v>528782.078053904</v>
      </c>
      <c r="I217" s="49">
        <v>0</v>
      </c>
      <c r="J217" s="31">
        <v>2427.1594109000002</v>
      </c>
      <c r="K217" s="49">
        <v>0</v>
      </c>
      <c r="L217" s="49"/>
      <c r="M217" s="49">
        <v>0</v>
      </c>
      <c r="N217" s="29">
        <v>35342.1696520528</v>
      </c>
      <c r="O217" s="29">
        <v>54769.957262067925</v>
      </c>
      <c r="P217" s="34"/>
      <c r="Q217" s="32">
        <f t="shared" si="39"/>
        <v>92539.28632502072</v>
      </c>
      <c r="R217" s="36">
        <v>46588.88548714731</v>
      </c>
      <c r="S217" s="32">
        <f t="shared" si="46"/>
        <v>667910.249866072</v>
      </c>
      <c r="U217" s="40"/>
    </row>
    <row r="218" spans="1:21" ht="18">
      <c r="A218" s="23" t="s">
        <v>113</v>
      </c>
      <c r="B218" s="29">
        <v>262983.1765132613</v>
      </c>
      <c r="C218" s="29">
        <v>1194.9765914050536</v>
      </c>
      <c r="D218" s="47">
        <v>0</v>
      </c>
      <c r="E218" s="29">
        <v>43941.98305104373</v>
      </c>
      <c r="F218" s="29">
        <v>92481.96895322956</v>
      </c>
      <c r="G218" s="29">
        <v>122305.83347520768</v>
      </c>
      <c r="H218" s="30">
        <f t="shared" si="38"/>
        <v>522907.9385841473</v>
      </c>
      <c r="I218" s="49">
        <v>0</v>
      </c>
      <c r="J218" s="31">
        <v>2395.3965954</v>
      </c>
      <c r="K218" s="49">
        <v>0</v>
      </c>
      <c r="L218" s="49"/>
      <c r="M218" s="49">
        <v>0</v>
      </c>
      <c r="N218" s="29">
        <v>34723.33361265515</v>
      </c>
      <c r="O218" s="29">
        <v>54115.43790208308</v>
      </c>
      <c r="P218" s="34"/>
      <c r="Q218" s="32">
        <f t="shared" si="39"/>
        <v>91234.16811013824</v>
      </c>
      <c r="R218" s="36">
        <v>46804.107380588146</v>
      </c>
      <c r="S218" s="32">
        <f t="shared" si="46"/>
        <v>660946.2140748737</v>
      </c>
      <c r="U218" s="40"/>
    </row>
    <row r="219" spans="1:21" ht="18">
      <c r="A219" s="23" t="s">
        <v>164</v>
      </c>
      <c r="B219" s="29">
        <v>259922.5099308543</v>
      </c>
      <c r="C219" s="29">
        <v>1182.3948269229318</v>
      </c>
      <c r="D219" s="47">
        <v>0</v>
      </c>
      <c r="E219" s="29">
        <v>43381.09816129253</v>
      </c>
      <c r="F219" s="29">
        <v>91751.8284301952</v>
      </c>
      <c r="G219" s="29">
        <v>121462.97171907456</v>
      </c>
      <c r="H219" s="30">
        <f t="shared" si="38"/>
        <v>517700.8030683395</v>
      </c>
      <c r="I219" s="49">
        <v>0</v>
      </c>
      <c r="J219" s="31">
        <v>2444.6568654000002</v>
      </c>
      <c r="K219" s="49">
        <v>0</v>
      </c>
      <c r="L219" s="49"/>
      <c r="M219" s="49">
        <v>0</v>
      </c>
      <c r="N219" s="29">
        <v>34954.10094726796</v>
      </c>
      <c r="O219" s="29">
        <v>55213.60867015367</v>
      </c>
      <c r="P219" s="34"/>
      <c r="Q219" s="32">
        <f t="shared" si="39"/>
        <v>92612.36648282163</v>
      </c>
      <c r="R219" s="36">
        <v>46826.55164940409</v>
      </c>
      <c r="S219" s="32">
        <f t="shared" si="46"/>
        <v>657139.7212005652</v>
      </c>
      <c r="U219" s="40"/>
    </row>
    <row r="220" spans="1:21" ht="18">
      <c r="A220" s="23" t="s">
        <v>165</v>
      </c>
      <c r="B220" s="29">
        <v>256721.03905020357</v>
      </c>
      <c r="C220" s="29">
        <v>1167.8312456123601</v>
      </c>
      <c r="D220" s="47">
        <v>0</v>
      </c>
      <c r="E220" s="29">
        <v>42976.51225792627</v>
      </c>
      <c r="F220" s="29">
        <v>94562.54369699278</v>
      </c>
      <c r="G220" s="29">
        <v>121031.02664154602</v>
      </c>
      <c r="H220" s="30">
        <f t="shared" si="38"/>
        <v>516458.952892281</v>
      </c>
      <c r="I220" s="49">
        <v>0</v>
      </c>
      <c r="J220" s="31">
        <v>2395.747072</v>
      </c>
      <c r="K220" s="49">
        <v>0</v>
      </c>
      <c r="L220" s="49"/>
      <c r="M220" s="49">
        <v>0</v>
      </c>
      <c r="N220" s="29">
        <v>34488.966610534786</v>
      </c>
      <c r="O220" s="29">
        <v>55632.25064774457</v>
      </c>
      <c r="P220" s="34"/>
      <c r="Q220" s="32">
        <f t="shared" si="39"/>
        <v>92516.96433027936</v>
      </c>
      <c r="R220" s="36">
        <v>46848.27342104891</v>
      </c>
      <c r="S220" s="32">
        <f t="shared" si="46"/>
        <v>655824.1906436093</v>
      </c>
      <c r="U220" s="40"/>
    </row>
    <row r="221" spans="1:23" ht="18">
      <c r="A221" s="23" t="s">
        <v>167</v>
      </c>
      <c r="B221" s="29">
        <v>255188.49791817868</v>
      </c>
      <c r="C221" s="29">
        <v>1160.8596727884635</v>
      </c>
      <c r="D221" s="47">
        <v>0</v>
      </c>
      <c r="E221" s="29">
        <v>42719.95722811927</v>
      </c>
      <c r="F221" s="29">
        <v>95530.85662525274</v>
      </c>
      <c r="G221" s="29">
        <v>122728.0370512715</v>
      </c>
      <c r="H221" s="30">
        <f t="shared" si="38"/>
        <v>517328.2084956106</v>
      </c>
      <c r="I221" s="49">
        <v>0</v>
      </c>
      <c r="J221" s="31">
        <v>2410.068722</v>
      </c>
      <c r="K221" s="49">
        <v>0</v>
      </c>
      <c r="L221" s="49"/>
      <c r="M221" s="49">
        <v>0</v>
      </c>
      <c r="N221" s="29">
        <v>34186.77088143907</v>
      </c>
      <c r="O221" s="29">
        <v>55526.24200556871</v>
      </c>
      <c r="P221" s="34"/>
      <c r="Q221" s="32">
        <f t="shared" si="39"/>
        <v>92123.08160900779</v>
      </c>
      <c r="R221" s="36">
        <v>47112.372709369505</v>
      </c>
      <c r="S221" s="32">
        <f t="shared" si="46"/>
        <v>656563.6628139879</v>
      </c>
      <c r="U221" s="66"/>
      <c r="W221" s="67"/>
    </row>
    <row r="222" spans="1:21" ht="18">
      <c r="A222" s="23"/>
      <c r="B222" s="29"/>
      <c r="C222" s="29"/>
      <c r="D222" s="47"/>
      <c r="E222" s="29"/>
      <c r="F222" s="29"/>
      <c r="G222" s="29"/>
      <c r="H222" s="30"/>
      <c r="I222" s="49"/>
      <c r="J222" s="31"/>
      <c r="K222" s="49"/>
      <c r="L222" s="49"/>
      <c r="M222" s="49"/>
      <c r="N222" s="29"/>
      <c r="O222" s="29"/>
      <c r="P222" s="34"/>
      <c r="Q222" s="32"/>
      <c r="R222" s="36"/>
      <c r="S222" s="32"/>
      <c r="U222" s="40"/>
    </row>
    <row r="223" spans="1:21" ht="18">
      <c r="A223" s="23" t="s">
        <v>169</v>
      </c>
      <c r="B223" s="29">
        <v>248803.66450132558</v>
      </c>
      <c r="C223" s="29">
        <v>1135.53177725592</v>
      </c>
      <c r="D223" s="47">
        <v>0</v>
      </c>
      <c r="E223" s="29">
        <v>41787.88290504645</v>
      </c>
      <c r="F223" s="29">
        <v>96537.43757123928</v>
      </c>
      <c r="G223" s="29">
        <v>121055.2269465685</v>
      </c>
      <c r="H223" s="30">
        <f aca="true" t="shared" si="47" ref="H223:H234">SUM(B223:G223)</f>
        <v>509319.7437014356</v>
      </c>
      <c r="I223" s="49">
        <v>0</v>
      </c>
      <c r="J223" s="31">
        <v>2342.45238</v>
      </c>
      <c r="K223" s="49">
        <v>0</v>
      </c>
      <c r="L223" s="49">
        <v>0</v>
      </c>
      <c r="M223" s="49">
        <v>0</v>
      </c>
      <c r="N223" s="29">
        <v>32991.49427152716</v>
      </c>
      <c r="O223" s="29">
        <v>53851.57209802409</v>
      </c>
      <c r="P223" s="34"/>
      <c r="Q223" s="32">
        <f aca="true" t="shared" si="48" ref="Q223:Q234">SUM(I223:P223)</f>
        <v>89185.51874955125</v>
      </c>
      <c r="R223" s="36">
        <v>47467.50601427712</v>
      </c>
      <c r="S223" s="32">
        <f aca="true" t="shared" si="49" ref="S223:S234">+H223+Q223+R223</f>
        <v>645972.768465264</v>
      </c>
      <c r="U223" s="40"/>
    </row>
    <row r="224" spans="1:21" ht="18">
      <c r="A224" s="23" t="s">
        <v>134</v>
      </c>
      <c r="B224" s="29">
        <v>247051.63790789203</v>
      </c>
      <c r="C224" s="29">
        <v>1127.5355852567839</v>
      </c>
      <c r="D224" s="47">
        <v>0</v>
      </c>
      <c r="E224" s="29">
        <v>41389.024913198606</v>
      </c>
      <c r="F224" s="29">
        <v>96730.38278714458</v>
      </c>
      <c r="G224" s="29">
        <v>120532.0976200212</v>
      </c>
      <c r="H224" s="30">
        <f t="shared" si="47"/>
        <v>506830.6788135132</v>
      </c>
      <c r="I224" s="49">
        <v>0</v>
      </c>
      <c r="J224" s="31">
        <v>2468.86229482</v>
      </c>
      <c r="K224" s="49">
        <v>0</v>
      </c>
      <c r="L224" s="49"/>
      <c r="M224" s="49">
        <v>0</v>
      </c>
      <c r="N224" s="29">
        <v>34500.334636146654</v>
      </c>
      <c r="O224" s="29">
        <v>56660.770089361155</v>
      </c>
      <c r="P224" s="34"/>
      <c r="Q224" s="32">
        <f t="shared" si="48"/>
        <v>93629.96702032781</v>
      </c>
      <c r="R224" s="36">
        <v>47495.154854271634</v>
      </c>
      <c r="S224" s="32">
        <f t="shared" si="49"/>
        <v>647955.8006881127</v>
      </c>
      <c r="U224" s="40"/>
    </row>
    <row r="225" spans="1:21" ht="18">
      <c r="A225" s="23" t="s">
        <v>34</v>
      </c>
      <c r="B225" s="29">
        <v>241931.57585029563</v>
      </c>
      <c r="C225" s="29">
        <v>1107.4998604028385</v>
      </c>
      <c r="D225" s="47">
        <v>0</v>
      </c>
      <c r="E225" s="29">
        <v>40637.21633055153</v>
      </c>
      <c r="F225" s="29">
        <v>98978.50696481614</v>
      </c>
      <c r="G225" s="29">
        <v>118664.09880443368</v>
      </c>
      <c r="H225" s="30">
        <f t="shared" si="47"/>
        <v>501318.89781049977</v>
      </c>
      <c r="I225" s="49">
        <v>0</v>
      </c>
      <c r="J225" s="31">
        <v>2345.3326542000004</v>
      </c>
      <c r="K225" s="49">
        <v>0</v>
      </c>
      <c r="L225" s="49"/>
      <c r="M225" s="49">
        <v>0</v>
      </c>
      <c r="N225" s="29">
        <v>32716.369496223753</v>
      </c>
      <c r="O225" s="29">
        <v>53968.12573529185</v>
      </c>
      <c r="P225" s="34"/>
      <c r="Q225" s="32">
        <f t="shared" si="48"/>
        <v>89029.82788571561</v>
      </c>
      <c r="R225" s="36">
        <v>47726.98933148917</v>
      </c>
      <c r="S225" s="32">
        <f t="shared" si="49"/>
        <v>638075.7150277046</v>
      </c>
      <c r="U225" s="40"/>
    </row>
    <row r="226" spans="1:21" ht="18">
      <c r="A226" s="23" t="s">
        <v>105</v>
      </c>
      <c r="B226" s="29">
        <v>241342.23976666748</v>
      </c>
      <c r="C226" s="29">
        <v>1104.8020330189815</v>
      </c>
      <c r="D226" s="47">
        <v>0</v>
      </c>
      <c r="E226" s="29">
        <v>40457.10267222969</v>
      </c>
      <c r="F226" s="29">
        <v>98769.76740517815</v>
      </c>
      <c r="G226" s="29">
        <v>118578.16069812051</v>
      </c>
      <c r="H226" s="30">
        <f t="shared" si="47"/>
        <v>500252.0725752148</v>
      </c>
      <c r="I226" s="49">
        <v>0</v>
      </c>
      <c r="J226" s="31">
        <v>2265.548846668999</v>
      </c>
      <c r="K226" s="49">
        <v>0</v>
      </c>
      <c r="L226" s="49"/>
      <c r="M226" s="49">
        <v>0</v>
      </c>
      <c r="N226" s="29">
        <v>33611.53765270068</v>
      </c>
      <c r="O226" s="29">
        <v>56091.52494946882</v>
      </c>
      <c r="P226" s="34"/>
      <c r="Q226" s="32">
        <f t="shared" si="48"/>
        <v>91968.61144883849</v>
      </c>
      <c r="R226" s="36">
        <v>47795.78535517887</v>
      </c>
      <c r="S226" s="32">
        <f t="shared" si="49"/>
        <v>640016.4693792321</v>
      </c>
      <c r="U226" s="40"/>
    </row>
    <row r="227" spans="1:21" ht="18">
      <c r="A227" s="23" t="s">
        <v>107</v>
      </c>
      <c r="B227" s="29">
        <v>245459.44440193495</v>
      </c>
      <c r="C227" s="29">
        <v>1123.6495255084706</v>
      </c>
      <c r="D227" s="47">
        <v>0</v>
      </c>
      <c r="E227" s="29">
        <v>41147.28509041159</v>
      </c>
      <c r="F227" s="29">
        <v>104394.237262037</v>
      </c>
      <c r="G227" s="29">
        <v>120017.13949550732</v>
      </c>
      <c r="H227" s="30">
        <f t="shared" si="47"/>
        <v>512141.7557753993</v>
      </c>
      <c r="I227" s="49">
        <v>0</v>
      </c>
      <c r="J227" s="31">
        <v>2323.0824148870715</v>
      </c>
      <c r="K227" s="49">
        <v>0</v>
      </c>
      <c r="L227" s="49"/>
      <c r="M227" s="49">
        <v>0</v>
      </c>
      <c r="N227" s="29">
        <v>33953.114313508115</v>
      </c>
      <c r="O227" s="29">
        <v>56091.52494946882</v>
      </c>
      <c r="P227" s="34"/>
      <c r="Q227" s="32">
        <f t="shared" si="48"/>
        <v>92367.721677864</v>
      </c>
      <c r="R227" s="36">
        <v>47850.32775335489</v>
      </c>
      <c r="S227" s="32">
        <f t="shared" si="49"/>
        <v>652359.8052066182</v>
      </c>
      <c r="U227" s="40"/>
    </row>
    <row r="228" spans="1:21" ht="18">
      <c r="A228" s="23" t="s">
        <v>176</v>
      </c>
      <c r="B228" s="29">
        <v>246189.39887016776</v>
      </c>
      <c r="C228" s="29">
        <v>1126.9910673011323</v>
      </c>
      <c r="D228" s="47">
        <v>0</v>
      </c>
      <c r="E228" s="29">
        <v>41269.6500891615</v>
      </c>
      <c r="F228" s="29">
        <v>109073.48973860525</v>
      </c>
      <c r="G228" s="29">
        <v>120384.94687598711</v>
      </c>
      <c r="H228" s="30">
        <f t="shared" si="47"/>
        <v>518044.4766412227</v>
      </c>
      <c r="I228" s="49">
        <v>0</v>
      </c>
      <c r="J228" s="31">
        <v>2371.609815716331</v>
      </c>
      <c r="K228" s="49">
        <v>0</v>
      </c>
      <c r="L228" s="49"/>
      <c r="M228" s="49">
        <v>0</v>
      </c>
      <c r="N228" s="29">
        <v>34575.28514424571</v>
      </c>
      <c r="O228" s="29">
        <v>58365.23196695148</v>
      </c>
      <c r="P228" s="34"/>
      <c r="Q228" s="32">
        <f t="shared" si="48"/>
        <v>95312.12692691352</v>
      </c>
      <c r="R228" s="36">
        <v>48004.76099343544</v>
      </c>
      <c r="S228" s="32">
        <f t="shared" si="49"/>
        <v>661361.3645615716</v>
      </c>
      <c r="U228" s="40"/>
    </row>
    <row r="229" spans="1:21" ht="18">
      <c r="A229" s="23" t="s">
        <v>110</v>
      </c>
      <c r="B229" s="29">
        <v>246063.9004693522</v>
      </c>
      <c r="C229" s="29">
        <v>1126.416568247441</v>
      </c>
      <c r="D229" s="47">
        <v>0</v>
      </c>
      <c r="E229" s="29">
        <v>41220.35744593996</v>
      </c>
      <c r="F229" s="29">
        <v>109566.35468843853</v>
      </c>
      <c r="G229" s="29">
        <v>120540.34766272633</v>
      </c>
      <c r="H229" s="30">
        <f t="shared" si="47"/>
        <v>518517.3768347044</v>
      </c>
      <c r="I229" s="49">
        <v>0</v>
      </c>
      <c r="J229" s="31">
        <v>2281.5639114004757</v>
      </c>
      <c r="K229" s="49">
        <v>0</v>
      </c>
      <c r="L229" s="49"/>
      <c r="M229" s="49">
        <v>0</v>
      </c>
      <c r="N229" s="29">
        <v>33408.044305056974</v>
      </c>
      <c r="O229" s="29">
        <v>56292.390913979805</v>
      </c>
      <c r="P229" s="34"/>
      <c r="Q229" s="32">
        <f t="shared" si="48"/>
        <v>91981.99913043725</v>
      </c>
      <c r="R229" s="36">
        <v>48221.67840896338</v>
      </c>
      <c r="S229" s="32">
        <f t="shared" si="49"/>
        <v>658721.0543741051</v>
      </c>
      <c r="U229" s="40"/>
    </row>
    <row r="230" spans="1:21" ht="18">
      <c r="A230" s="23" t="s">
        <v>143</v>
      </c>
      <c r="B230" s="29">
        <v>246162.3447231718</v>
      </c>
      <c r="C230" s="29">
        <v>1133.8267884671202</v>
      </c>
      <c r="D230" s="47">
        <v>0</v>
      </c>
      <c r="E230" s="29">
        <v>41404.895044809244</v>
      </c>
      <c r="F230" s="29">
        <v>110422.63575007678</v>
      </c>
      <c r="G230" s="29">
        <v>121204.56474503258</v>
      </c>
      <c r="H230" s="30">
        <f t="shared" si="47"/>
        <v>520328.26705155754</v>
      </c>
      <c r="I230" s="49">
        <v>0</v>
      </c>
      <c r="J230" s="31">
        <v>2332.9519266778157</v>
      </c>
      <c r="K230" s="49">
        <v>0</v>
      </c>
      <c r="L230" s="49"/>
      <c r="M230" s="49">
        <v>0</v>
      </c>
      <c r="N230" s="29">
        <v>34321.125071353614</v>
      </c>
      <c r="O230" s="29">
        <v>57926.579963829594</v>
      </c>
      <c r="P230" s="34"/>
      <c r="Q230" s="32">
        <f t="shared" si="48"/>
        <v>94580.65696186102</v>
      </c>
      <c r="R230" s="36">
        <v>48384.51426338561</v>
      </c>
      <c r="S230" s="32">
        <f t="shared" si="49"/>
        <v>663293.4382768042</v>
      </c>
      <c r="U230" s="40"/>
    </row>
    <row r="231" spans="1:21" ht="18">
      <c r="A231" s="23" t="s">
        <v>113</v>
      </c>
      <c r="B231" s="29">
        <v>247387.7160375116</v>
      </c>
      <c r="C231" s="29">
        <v>1141.0901485530844</v>
      </c>
      <c r="D231" s="47">
        <v>0</v>
      </c>
      <c r="E231" s="29">
        <v>41594.83845459411</v>
      </c>
      <c r="F231" s="29">
        <v>111037.15818599248</v>
      </c>
      <c r="G231" s="29">
        <v>121828.24355265254</v>
      </c>
      <c r="H231" s="30">
        <f t="shared" si="47"/>
        <v>522989.0463793038</v>
      </c>
      <c r="I231" s="49">
        <v>0</v>
      </c>
      <c r="J231" s="31">
        <v>2328.0063868999964</v>
      </c>
      <c r="K231" s="49">
        <v>0</v>
      </c>
      <c r="L231" s="49"/>
      <c r="M231" s="49">
        <v>0</v>
      </c>
      <c r="N231" s="29">
        <v>34025.95733879145</v>
      </c>
      <c r="O231" s="29">
        <v>57134.33170705776</v>
      </c>
      <c r="P231" s="34"/>
      <c r="Q231" s="32">
        <f t="shared" si="48"/>
        <v>93488.2954327492</v>
      </c>
      <c r="R231" s="36">
        <v>48524.391796001066</v>
      </c>
      <c r="S231" s="32">
        <f t="shared" si="49"/>
        <v>665001.7336080541</v>
      </c>
      <c r="U231" s="40"/>
    </row>
    <row r="232" spans="1:21" ht="18">
      <c r="A232" s="23" t="s">
        <v>131</v>
      </c>
      <c r="B232" s="29">
        <v>247905.16727226492</v>
      </c>
      <c r="C232" s="29">
        <v>1143.4769223015599</v>
      </c>
      <c r="D232" s="47">
        <v>0</v>
      </c>
      <c r="E232" s="29">
        <v>41649.985882961824</v>
      </c>
      <c r="F232" s="29">
        <v>110550.75041398789</v>
      </c>
      <c r="G232" s="29">
        <v>122095.18357271387</v>
      </c>
      <c r="H232" s="30">
        <f t="shared" si="47"/>
        <v>523344.5640642301</v>
      </c>
      <c r="I232" s="49">
        <v>0</v>
      </c>
      <c r="J232" s="31">
        <v>2215.9158048519575</v>
      </c>
      <c r="K232" s="49">
        <v>0</v>
      </c>
      <c r="L232" s="49"/>
      <c r="M232" s="49">
        <v>0</v>
      </c>
      <c r="N232" s="29">
        <v>34078.658703635374</v>
      </c>
      <c r="O232" s="29">
        <v>57469.96435841622</v>
      </c>
      <c r="P232" s="34"/>
      <c r="Q232" s="32">
        <f t="shared" si="48"/>
        <v>93764.53886690355</v>
      </c>
      <c r="R232" s="36">
        <v>48639.37810762233</v>
      </c>
      <c r="S232" s="32">
        <f t="shared" si="49"/>
        <v>665748.481038756</v>
      </c>
      <c r="U232" s="40"/>
    </row>
    <row r="233" spans="1:21" ht="18">
      <c r="A233" s="23" t="s">
        <v>130</v>
      </c>
      <c r="B233" s="29">
        <v>246027.68757817888</v>
      </c>
      <c r="C233" s="29">
        <v>1134.8169386235297</v>
      </c>
      <c r="D233" s="47">
        <v>0</v>
      </c>
      <c r="E233" s="29">
        <v>41334.55477027206</v>
      </c>
      <c r="F233" s="29">
        <v>111329.71341813751</v>
      </c>
      <c r="G233" s="29">
        <v>121892.8934314966</v>
      </c>
      <c r="H233" s="30">
        <f t="shared" si="47"/>
        <v>521719.6661367086</v>
      </c>
      <c r="I233" s="49">
        <v>0</v>
      </c>
      <c r="J233" s="31">
        <v>2110.9023478497425</v>
      </c>
      <c r="K233" s="49">
        <v>0</v>
      </c>
      <c r="L233" s="49"/>
      <c r="M233" s="49">
        <v>0</v>
      </c>
      <c r="N233" s="29">
        <v>33737.912462646214</v>
      </c>
      <c r="O233" s="29">
        <v>56951.693280163876</v>
      </c>
      <c r="P233" s="34"/>
      <c r="Q233" s="32">
        <f t="shared" si="48"/>
        <v>92800.50809065983</v>
      </c>
      <c r="R233" s="36">
        <v>49075.25949626873</v>
      </c>
      <c r="S233" s="32">
        <f t="shared" si="49"/>
        <v>663595.4337236371</v>
      </c>
      <c r="U233" s="40"/>
    </row>
    <row r="234" spans="1:21" ht="18">
      <c r="A234" s="23" t="s">
        <v>129</v>
      </c>
      <c r="B234" s="29">
        <v>249093.55110060185</v>
      </c>
      <c r="C234" s="29">
        <v>1148.9584114431204</v>
      </c>
      <c r="D234" s="47">
        <v>0</v>
      </c>
      <c r="E234" s="29">
        <v>41849.643559396674</v>
      </c>
      <c r="F234" s="29">
        <v>113014.12295034862</v>
      </c>
      <c r="G234" s="29">
        <v>123304.05129679848</v>
      </c>
      <c r="H234" s="30">
        <f t="shared" si="47"/>
        <v>528410.3273185889</v>
      </c>
      <c r="I234" s="49">
        <v>0</v>
      </c>
      <c r="J234" s="31">
        <v>2249.396514027892</v>
      </c>
      <c r="K234" s="49">
        <v>0</v>
      </c>
      <c r="L234" s="49"/>
      <c r="M234" s="49">
        <v>0</v>
      </c>
      <c r="N234" s="29">
        <v>35471.17245748889</v>
      </c>
      <c r="O234" s="29">
        <v>60164.537204615845</v>
      </c>
      <c r="P234" s="34"/>
      <c r="Q234" s="32">
        <f t="shared" si="48"/>
        <v>97885.10617613263</v>
      </c>
      <c r="R234" s="36">
        <v>69371.28158288452</v>
      </c>
      <c r="S234" s="32">
        <f t="shared" si="49"/>
        <v>695666.715077606</v>
      </c>
      <c r="U234" s="40"/>
    </row>
    <row r="235" spans="1:21" ht="18">
      <c r="A235" s="23"/>
      <c r="B235" s="29"/>
      <c r="C235" s="29"/>
      <c r="D235" s="47"/>
      <c r="E235" s="29"/>
      <c r="F235" s="29"/>
      <c r="G235" s="29"/>
      <c r="H235" s="30"/>
      <c r="I235" s="49"/>
      <c r="J235" s="31"/>
      <c r="K235" s="49"/>
      <c r="L235" s="49"/>
      <c r="M235" s="49"/>
      <c r="N235" s="29"/>
      <c r="O235" s="29"/>
      <c r="P235" s="34"/>
      <c r="Q235" s="32"/>
      <c r="R235" s="36"/>
      <c r="S235" s="32"/>
      <c r="U235" s="40"/>
    </row>
    <row r="236" spans="1:21" ht="18">
      <c r="A236" s="23" t="s">
        <v>185</v>
      </c>
      <c r="B236" s="29">
        <v>248843.51744301338</v>
      </c>
      <c r="C236" s="29">
        <v>1151.6018101412</v>
      </c>
      <c r="D236" s="47">
        <v>0</v>
      </c>
      <c r="E236" s="29">
        <v>41945.92667303962</v>
      </c>
      <c r="F236" s="29">
        <v>114567.95596678361</v>
      </c>
      <c r="G236" s="29">
        <v>123719.33799398056</v>
      </c>
      <c r="H236" s="30">
        <f aca="true" t="shared" si="50" ref="H236:H243">SUM(B236:G236)</f>
        <v>530228.3398869584</v>
      </c>
      <c r="I236" s="49">
        <v>0</v>
      </c>
      <c r="J236" s="31">
        <v>2198.7298614625593</v>
      </c>
      <c r="K236" s="49">
        <v>0</v>
      </c>
      <c r="L236" s="49">
        <v>0</v>
      </c>
      <c r="M236" s="49">
        <v>0</v>
      </c>
      <c r="N236" s="29">
        <v>34571.57034143693</v>
      </c>
      <c r="O236" s="29">
        <v>58484.45581139109</v>
      </c>
      <c r="P236" s="34"/>
      <c r="Q236" s="32">
        <f aca="true" t="shared" si="51" ref="Q236:Q243">SUM(I236:P236)</f>
        <v>95254.75601429059</v>
      </c>
      <c r="R236" s="36">
        <v>68875.0011640055</v>
      </c>
      <c r="S236" s="32">
        <f aca="true" t="shared" si="52" ref="S236:S243">+H236+Q236+R236</f>
        <v>694358.0970652545</v>
      </c>
      <c r="U236" s="40"/>
    </row>
    <row r="237" spans="1:21" ht="18">
      <c r="A237" s="23" t="s">
        <v>186</v>
      </c>
      <c r="B237" s="29">
        <v>251967.73758593987</v>
      </c>
      <c r="C237" s="29">
        <v>1166.1106484728798</v>
      </c>
      <c r="D237" s="47">
        <v>0</v>
      </c>
      <c r="E237" s="29">
        <v>42474.39637794311</v>
      </c>
      <c r="F237" s="3">
        <v>116739.28260297557</v>
      </c>
      <c r="G237" s="29">
        <v>124896.90827916373</v>
      </c>
      <c r="H237" s="30">
        <f t="shared" si="50"/>
        <v>537244.4354944951</v>
      </c>
      <c r="I237" s="49">
        <v>0</v>
      </c>
      <c r="J237" s="31">
        <v>2261.793069491689</v>
      </c>
      <c r="K237" s="49">
        <v>0</v>
      </c>
      <c r="L237" s="49"/>
      <c r="M237" s="49">
        <v>0</v>
      </c>
      <c r="N237" s="29">
        <v>35573.00705546292</v>
      </c>
      <c r="O237" s="29">
        <v>60099.074902672124</v>
      </c>
      <c r="P237" s="34"/>
      <c r="Q237" s="32">
        <f t="shared" si="51"/>
        <v>97933.87502762672</v>
      </c>
      <c r="R237" s="36">
        <v>69329.51506464675</v>
      </c>
      <c r="S237" s="32">
        <f t="shared" si="52"/>
        <v>704507.8255867686</v>
      </c>
      <c r="U237" s="40"/>
    </row>
    <row r="238" spans="1:21" ht="18">
      <c r="A238" s="23" t="s">
        <v>189</v>
      </c>
      <c r="B238" s="29">
        <v>253036.9294942174</v>
      </c>
      <c r="C238" s="29">
        <v>1171.0588854235657</v>
      </c>
      <c r="D238" s="47">
        <v>0</v>
      </c>
      <c r="E238" s="29">
        <v>42654.63088475483</v>
      </c>
      <c r="F238" s="3">
        <v>135767.29252269943</v>
      </c>
      <c r="G238" s="29">
        <v>124821.8316237973</v>
      </c>
      <c r="H238" s="30">
        <f t="shared" si="50"/>
        <v>557451.7434108926</v>
      </c>
      <c r="I238" s="49">
        <v>0</v>
      </c>
      <c r="J238" s="31">
        <v>2238.9706506480006</v>
      </c>
      <c r="K238" s="49">
        <v>0</v>
      </c>
      <c r="L238" s="49"/>
      <c r="M238" s="49">
        <v>0</v>
      </c>
      <c r="N238" s="29">
        <v>35806.2273827548</v>
      </c>
      <c r="O238" s="29">
        <v>59814.177288381485</v>
      </c>
      <c r="P238" s="34"/>
      <c r="Q238" s="32">
        <f t="shared" si="51"/>
        <v>97859.37532178429</v>
      </c>
      <c r="R238" s="36">
        <v>69798.77538255005</v>
      </c>
      <c r="S238" s="32">
        <f t="shared" si="52"/>
        <v>725109.8941152269</v>
      </c>
      <c r="U238" s="40"/>
    </row>
    <row r="239" spans="1:21" ht="18">
      <c r="A239" s="23" t="s">
        <v>193</v>
      </c>
      <c r="B239" s="29">
        <v>256530.39793449407</v>
      </c>
      <c r="C239" s="29">
        <v>1187.2267122546543</v>
      </c>
      <c r="D239" s="47">
        <v>0</v>
      </c>
      <c r="E239" s="29">
        <v>43243.52756132057</v>
      </c>
      <c r="F239" s="3">
        <v>135835.32907622997</v>
      </c>
      <c r="G239" s="29">
        <v>126106.6428117145</v>
      </c>
      <c r="H239" s="30">
        <f t="shared" si="50"/>
        <v>562903.1240960138</v>
      </c>
      <c r="I239" s="49">
        <v>0</v>
      </c>
      <c r="J239" s="31">
        <v>2261.1427227291206</v>
      </c>
      <c r="K239" s="49">
        <v>0</v>
      </c>
      <c r="L239" s="49"/>
      <c r="M239" s="49">
        <v>0</v>
      </c>
      <c r="N239" s="29">
        <v>35317.296530800515</v>
      </c>
      <c r="O239" s="29">
        <v>59518.56913062072</v>
      </c>
      <c r="P239" s="34"/>
      <c r="Q239" s="32">
        <f t="shared" si="51"/>
        <v>97097.00838415037</v>
      </c>
      <c r="R239" s="36">
        <v>70077.58904733486</v>
      </c>
      <c r="S239" s="32">
        <f t="shared" si="52"/>
        <v>730077.721527499</v>
      </c>
      <c r="U239" s="40"/>
    </row>
    <row r="240" spans="1:21" ht="18">
      <c r="A240" s="23" t="s">
        <v>194</v>
      </c>
      <c r="B240" s="29">
        <v>257804.00113637745</v>
      </c>
      <c r="C240" s="29">
        <v>1193.120967883865</v>
      </c>
      <c r="D240" s="47"/>
      <c r="E240" s="29">
        <v>43458.2198379719</v>
      </c>
      <c r="F240" s="3">
        <v>136481.65025292063</v>
      </c>
      <c r="G240" s="29">
        <v>126644.29316356115</v>
      </c>
      <c r="H240" s="30">
        <f t="shared" si="50"/>
        <v>565581.285358715</v>
      </c>
      <c r="I240" s="49">
        <v>0</v>
      </c>
      <c r="J240" s="31">
        <v>2178.678356707233</v>
      </c>
      <c r="K240" s="49"/>
      <c r="L240" s="49"/>
      <c r="M240" s="49"/>
      <c r="N240" s="29">
        <v>35293.262060359135</v>
      </c>
      <c r="O240" s="29">
        <v>59419.60617491593</v>
      </c>
      <c r="P240" s="34"/>
      <c r="Q240" s="32">
        <f t="shared" si="51"/>
        <v>96891.5465919823</v>
      </c>
      <c r="R240" s="36">
        <v>70210.4933617507</v>
      </c>
      <c r="S240" s="32">
        <f t="shared" si="52"/>
        <v>732683.3253124481</v>
      </c>
      <c r="U240" s="40"/>
    </row>
    <row r="241" spans="1:21" ht="18">
      <c r="A241" s="23" t="s">
        <v>196</v>
      </c>
      <c r="B241" s="29">
        <v>257867.56004983804</v>
      </c>
      <c r="C241" s="29">
        <v>1193.4151195339998</v>
      </c>
      <c r="D241" s="47"/>
      <c r="E241" s="29">
        <v>43468.934013165686</v>
      </c>
      <c r="F241" s="3">
        <v>138836.73615618752</v>
      </c>
      <c r="G241" s="29">
        <v>126791.65604715867</v>
      </c>
      <c r="H241" s="30">
        <f t="shared" si="50"/>
        <v>568158.3013858839</v>
      </c>
      <c r="I241" s="49">
        <v>0</v>
      </c>
      <c r="J241" s="31">
        <v>2175.3172851725767</v>
      </c>
      <c r="K241" s="49"/>
      <c r="L241" s="49"/>
      <c r="M241" s="49"/>
      <c r="N241" s="29">
        <v>35358.687760257366</v>
      </c>
      <c r="O241" s="29">
        <v>59540.3700556782</v>
      </c>
      <c r="P241" s="34"/>
      <c r="Q241" s="32">
        <f t="shared" si="51"/>
        <v>97074.37510110813</v>
      </c>
      <c r="R241" s="36">
        <v>70113.02879682828</v>
      </c>
      <c r="S241" s="32">
        <f t="shared" si="52"/>
        <v>735345.7052838203</v>
      </c>
      <c r="U241" s="40"/>
    </row>
    <row r="242" spans="1:21" ht="18">
      <c r="A242" s="23" t="s">
        <v>202</v>
      </c>
      <c r="B242" s="29">
        <v>254688.7268203316</v>
      </c>
      <c r="C242" s="29">
        <v>1182.691972574464</v>
      </c>
      <c r="D242" s="47"/>
      <c r="E242" s="29">
        <v>43078.35427274848</v>
      </c>
      <c r="F242" s="3">
        <v>139363.15617766412</v>
      </c>
      <c r="G242" s="29">
        <v>126226.85954669758</v>
      </c>
      <c r="H242" s="30">
        <f t="shared" si="50"/>
        <v>564539.7887900162</v>
      </c>
      <c r="I242" s="49">
        <v>0</v>
      </c>
      <c r="J242" s="31">
        <v>2181.0846818688756</v>
      </c>
      <c r="K242" s="49"/>
      <c r="L242" s="49"/>
      <c r="M242" s="49"/>
      <c r="N242" s="29">
        <v>35367.59645165213</v>
      </c>
      <c r="O242" s="29">
        <v>59525.10967104418</v>
      </c>
      <c r="P242" s="34"/>
      <c r="Q242" s="32">
        <f t="shared" si="51"/>
        <v>97073.79080456519</v>
      </c>
      <c r="R242" s="36">
        <v>70145.75334741232</v>
      </c>
      <c r="S242" s="32">
        <f t="shared" si="52"/>
        <v>731759.3329419937</v>
      </c>
      <c r="U242" s="40"/>
    </row>
    <row r="243" spans="1:21" ht="18">
      <c r="A243" s="23" t="s">
        <v>203</v>
      </c>
      <c r="B243" s="29">
        <v>257173.80010845937</v>
      </c>
      <c r="C243" s="29">
        <v>1194.231848193699</v>
      </c>
      <c r="D243" s="47"/>
      <c r="E243" s="29">
        <v>45806.69127772556</v>
      </c>
      <c r="F243" s="3">
        <v>140161.09087626153</v>
      </c>
      <c r="G243" s="29">
        <v>127206.77393826596</v>
      </c>
      <c r="H243" s="30">
        <f t="shared" si="50"/>
        <v>571542.5880489061</v>
      </c>
      <c r="I243" s="49">
        <v>0</v>
      </c>
      <c r="J243" s="31">
        <v>2181.0846818688756</v>
      </c>
      <c r="K243" s="49"/>
      <c r="L243" s="49"/>
      <c r="M243" s="49"/>
      <c r="N243" s="29">
        <v>35367.59645165213</v>
      </c>
      <c r="O243" s="29">
        <v>59525.10967104418</v>
      </c>
      <c r="P243" s="34"/>
      <c r="Q243" s="32">
        <f t="shared" si="51"/>
        <v>97073.79080456519</v>
      </c>
      <c r="R243" s="36">
        <v>70320.14969092631</v>
      </c>
      <c r="S243" s="32">
        <f>+H243+Q243+R243</f>
        <v>738936.5285443976</v>
      </c>
      <c r="U243" s="40"/>
    </row>
    <row r="244" spans="1:19" ht="18">
      <c r="A244" s="23"/>
      <c r="B244" s="42"/>
      <c r="C244" s="43"/>
      <c r="D244" s="47"/>
      <c r="E244" s="43"/>
      <c r="F244" s="43"/>
      <c r="G244" s="43"/>
      <c r="H244" s="43"/>
      <c r="I244" s="43"/>
      <c r="J244" s="43"/>
      <c r="K244" s="43"/>
      <c r="L244" s="11"/>
      <c r="M244" s="49"/>
      <c r="N244" s="43"/>
      <c r="O244" s="43"/>
      <c r="P244" s="43"/>
      <c r="Q244" s="32"/>
      <c r="R244" s="11"/>
      <c r="S244" s="44"/>
    </row>
    <row r="245" spans="1:19" ht="15.75">
      <c r="A245" s="4" t="s">
        <v>191</v>
      </c>
      <c r="B245" s="5"/>
      <c r="C245" s="5"/>
      <c r="D245" s="5"/>
      <c r="E245" s="5"/>
      <c r="F245" s="5"/>
      <c r="G245" s="8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45" t="s">
        <v>1</v>
      </c>
      <c r="S245" s="6"/>
    </row>
    <row r="246" spans="1:19" ht="15.75">
      <c r="A246" s="14" t="s">
        <v>1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6"/>
    </row>
    <row r="247" spans="4:18" ht="15.75">
      <c r="D247" s="46"/>
      <c r="G247" s="46"/>
      <c r="H247" s="46"/>
      <c r="K247" s="45" t="s">
        <v>1</v>
      </c>
      <c r="P247" s="46" t="s">
        <v>1</v>
      </c>
      <c r="R247" s="46" t="s">
        <v>1</v>
      </c>
    </row>
    <row r="248" ht="15.75">
      <c r="K248" s="8"/>
    </row>
    <row r="249" spans="7:11" ht="15.75">
      <c r="G249" s="53"/>
      <c r="K249" s="8"/>
    </row>
    <row r="250" ht="15.75">
      <c r="K250" s="8"/>
    </row>
    <row r="251" ht="15.75">
      <c r="K251" s="8"/>
    </row>
    <row r="252" ht="15.75">
      <c r="K252" s="8"/>
    </row>
    <row r="253" ht="15.75">
      <c r="K253" s="8"/>
    </row>
    <row r="254" ht="15.75">
      <c r="K254" s="8"/>
    </row>
    <row r="255" ht="15.75">
      <c r="K255" s="8"/>
    </row>
    <row r="256" ht="15.75">
      <c r="K256" s="8"/>
    </row>
    <row r="257" ht="15.75">
      <c r="K257" s="8"/>
    </row>
    <row r="258" ht="15.75">
      <c r="K258" s="8"/>
    </row>
    <row r="259" ht="15.75">
      <c r="K259" s="8"/>
    </row>
    <row r="260" ht="15.75">
      <c r="K260" s="8"/>
    </row>
    <row r="261" ht="15.75">
      <c r="K261" s="8"/>
    </row>
    <row r="262" ht="15.75">
      <c r="K262" s="8"/>
    </row>
    <row r="263" ht="15.75">
      <c r="K263" s="8"/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horizontalDpi="360" verticalDpi="36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2016-09-21T08:52:11Z</cp:lastPrinted>
  <dcterms:created xsi:type="dcterms:W3CDTF">2000-07-26T13:44:39Z</dcterms:created>
  <dcterms:modified xsi:type="dcterms:W3CDTF">2016-11-04T06:41:30Z</dcterms:modified>
  <cp:category/>
  <cp:version/>
  <cp:contentType/>
  <cp:contentStatus/>
</cp:coreProperties>
</file>