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tabRatio="601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N">'A'!#REF!</definedName>
    <definedName name="CE">'A'!#REF!</definedName>
    <definedName name="R">'A'!#REF!</definedName>
    <definedName name="_xlnm.Print_Area" localSheetId="0">'A'!$5:$89</definedName>
    <definedName name="Zone_impres_MI" localSheetId="0">'A'!#REF!</definedName>
  </definedNames>
  <calcPr fullCalcOnLoad="1"/>
</workbook>
</file>

<file path=xl/sharedStrings.xml><?xml version="1.0" encoding="utf-8"?>
<sst xmlns="http://schemas.openxmlformats.org/spreadsheetml/2006/main" count="1262" uniqueCount="140">
  <si>
    <t>Janv.</t>
  </si>
  <si>
    <t>Févr.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</si>
  <si>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</si>
  <si>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</si>
  <si>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</si>
  <si>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</si>
  <si>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</si>
  <si>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</si>
  <si>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</si>
  <si>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</si>
  <si>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</si>
  <si>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-</t>
  </si>
  <si>
    <t>juillet</t>
  </si>
  <si>
    <t>,,,</t>
  </si>
  <si>
    <t>Déc</t>
  </si>
  <si>
    <t>Janv-Déc.</t>
  </si>
  <si>
    <t>…</t>
  </si>
  <si>
    <t>Avr</t>
  </si>
  <si>
    <t>Juil</t>
  </si>
  <si>
    <t>Sept</t>
  </si>
  <si>
    <t>Oct</t>
  </si>
  <si>
    <t>Nov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</si>
  <si>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</si>
  <si>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</si>
  <si>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</si>
  <si>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</si>
  <si>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</si>
  <si>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</si>
  <si>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</si>
  <si>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</si>
  <si>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</si>
  <si>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</si>
  <si>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..</t>
  </si>
  <si>
    <t>Févr</t>
  </si>
  <si>
    <t>Janv-décembre</t>
  </si>
  <si>
    <t>Janvier</t>
  </si>
  <si>
    <t>Janvier-juin</t>
  </si>
  <si>
    <t>Janvier-mai</t>
  </si>
  <si>
    <t>Janvier-juillet</t>
  </si>
  <si>
    <t>Janvier-août</t>
  </si>
  <si>
    <t>Janv-septembre</t>
  </si>
  <si>
    <t>Janvier-février</t>
  </si>
  <si>
    <t>Janvier-mars</t>
  </si>
  <si>
    <t>Janvier-avril</t>
  </si>
  <si>
    <t>Janvier-octobre</t>
  </si>
  <si>
    <t>Jan-novembre</t>
  </si>
  <si>
    <t>Jan-décembre</t>
  </si>
  <si>
    <t>Jan-octobre</t>
  </si>
  <si>
    <t xml:space="preserve">  IV.6</t>
  </si>
  <si>
    <t>Jan-février</t>
  </si>
  <si>
    <t>Jan-septembre</t>
  </si>
  <si>
    <t>Décembre</t>
  </si>
  <si>
    <t>Février</t>
  </si>
  <si>
    <t>jan-décembre</t>
  </si>
  <si>
    <t xml:space="preserve">                                 Period</t>
  </si>
  <si>
    <t>Countries</t>
  </si>
  <si>
    <t xml:space="preserve"> I. EUROPE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</si>
  <si>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</si>
  <si>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</si>
  <si>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</si>
  <si>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</si>
  <si>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</si>
  <si>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</si>
  <si>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</si>
  <si>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</si>
  <si>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</si>
  <si>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</si>
  <si>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</si>
  <si>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</si>
  <si>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</si>
  <si>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</si>
  <si>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</si>
  <si>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</si>
  <si>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</si>
  <si>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</si>
  <si>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</si>
  <si>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</si>
  <si>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</si>
  <si>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</si>
  <si>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</si>
  <si>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</si>
  <si>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</si>
  <si>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</si>
  <si>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</si>
  <si>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</si>
  <si>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</si>
  <si>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</si>
  <si>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</si>
  <si>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</si>
  <si>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</si>
  <si>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</si>
  <si>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</si>
  <si>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</si>
  <si>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 xml:space="preserve"> Rwanda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</si>
  <si>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</si>
  <si>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</si>
  <si>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</si>
  <si>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</si>
  <si>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</si>
  <si>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</si>
  <si>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</si>
  <si>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</si>
  <si>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</si>
  <si>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</si>
  <si>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(1)       :  Democratic Republic of Congo</t>
  </si>
  <si>
    <t>IMPORTS BY COUNTRY OF ORIGIN</t>
  </si>
  <si>
    <t>May</t>
  </si>
  <si>
    <t>1. European Union</t>
  </si>
  <si>
    <t>2. Other european countries</t>
  </si>
  <si>
    <t>June</t>
  </si>
  <si>
    <t>July</t>
  </si>
  <si>
    <t xml:space="preserve">Other Oceanian countries </t>
  </si>
  <si>
    <t>August</t>
  </si>
  <si>
    <t>september</t>
  </si>
  <si>
    <t>october</t>
  </si>
  <si>
    <t>november</t>
  </si>
  <si>
    <t>december</t>
  </si>
  <si>
    <t>Jan-december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</si>
  <si>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</si>
  <si>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</si>
  <si>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</si>
  <si>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</si>
  <si>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</si>
  <si>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</si>
  <si>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</si>
  <si>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</si>
  <si>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jan-dec</t>
  </si>
  <si>
    <t>january</t>
  </si>
  <si>
    <t>February</t>
  </si>
  <si>
    <t>March</t>
  </si>
  <si>
    <t>April</t>
  </si>
  <si>
    <t>September</t>
  </si>
  <si>
    <t>October</t>
  </si>
  <si>
    <t>November</t>
  </si>
  <si>
    <t>December</t>
  </si>
  <si>
    <t>United Arab Emirates</t>
  </si>
  <si>
    <t>Jan-August</t>
  </si>
  <si>
    <t>Source : OBR</t>
  </si>
  <si>
    <t xml:space="preserve"> (in T) </t>
  </si>
  <si>
    <t>VI.Other unspecified countries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</si>
</sst>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#,##0.0_);\(#,##0.0\)"/>
    <numFmt numFmtId="189" formatCode="General_)"/>
    <numFmt numFmtId="190" formatCode="#,##0.0"/>
    <numFmt numFmtId="191" formatCode="0.0_)"/>
    <numFmt numFmtId="192" formatCode="_-* #,##0.000\ _F_-;\-* #,##0.000\ _F_-;_-* &quot;-&quot;??\ _F_-;_-@_-"/>
    <numFmt numFmtId="193" formatCode="_-* #,##0.0000\ _F_-;\-* #,##0.0000\ _F_-;_-* &quot;-&quot;??\ _F_-;_-@_-"/>
    <numFmt numFmtId="194" formatCode="_-* #,##0.00000\ _F_-;\-* #,##0.00000\ _F_-;_-* &quot;-&quot;??\ _F_-;_-@_-"/>
    <numFmt numFmtId="195" formatCode="#,##0.000"/>
    <numFmt numFmtId="196" formatCode="_-* #,##0.000\ _€_-;\-* #,##0.000\ _€_-;_-* &quot;-&quot;???\ _€_-;_-@_-"/>
    <numFmt numFmtId="197" formatCode="_-* #,##0.0\ _F_-;\-* #,##0.0\ _F_-;_-* &quot;-&quot;??\ _F_-;_-@_-"/>
    <numFmt numFmtId="198" formatCode="_-* #,##0\ _F_-;\-* #,##0\ _F_-;_-* &quot;-&quot;??\ _F_-;_-@_-"/>
    <numFmt numFmtId="199" formatCode="_-* #,##0.000000\ _F_-;\-* #,##0.000000\ _F_-;_-* &quot;-&quot;??\ _F_-;_-@_-"/>
    <numFmt numFmtId="200" formatCode="_-* #,##0.0000000\ _F_-;\-* #,##0.0000000\ _F_-;_-* &quot;-&quot;??\ _F_-;_-@_-"/>
    <numFmt numFmtId="201" formatCode="[$-40C]dddd\ d\ mmmm\ yyyy"/>
    <numFmt numFmtId="202" formatCode="0.0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56">
    <xf numFmtId="189" fontId="0" fillId="0" borderId="0" xfId="0" applyAlignment="1">
      <alignment/>
    </xf>
    <xf numFmtId="189" fontId="7" fillId="0" borderId="0" xfId="0" applyFont="1" applyFill="1" applyAlignment="1">
      <alignment/>
    </xf>
    <xf numFmtId="189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89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189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89" fontId="7" fillId="0" borderId="0" xfId="0" applyFont="1" applyAlignment="1">
      <alignment/>
    </xf>
    <xf numFmtId="189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89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9" fontId="7" fillId="0" borderId="11" xfId="0" applyFont="1" applyFill="1" applyBorder="1" applyAlignment="1">
      <alignment/>
    </xf>
    <xf numFmtId="189" fontId="7" fillId="0" borderId="12" xfId="0" applyFont="1" applyFill="1" applyBorder="1" applyAlignment="1">
      <alignment/>
    </xf>
    <xf numFmtId="189" fontId="7" fillId="0" borderId="12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89" fontId="7" fillId="0" borderId="13" xfId="0" applyFont="1" applyFill="1" applyBorder="1" applyAlignment="1">
      <alignment/>
    </xf>
    <xf numFmtId="189" fontId="7" fillId="0" borderId="12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189" fontId="7" fillId="0" borderId="0" xfId="0" applyFont="1" applyBorder="1" applyAlignment="1">
      <alignment/>
    </xf>
    <xf numFmtId="189" fontId="7" fillId="0" borderId="14" xfId="0" applyFont="1" applyFill="1" applyBorder="1" applyAlignment="1">
      <alignment/>
    </xf>
    <xf numFmtId="189" fontId="7" fillId="0" borderId="0" xfId="0" applyFont="1" applyFill="1" applyBorder="1" applyAlignment="1">
      <alignment horizontal="center"/>
    </xf>
    <xf numFmtId="189" fontId="7" fillId="0" borderId="15" xfId="0" applyFont="1" applyFill="1" applyBorder="1" applyAlignment="1">
      <alignment/>
    </xf>
    <xf numFmtId="189" fontId="7" fillId="0" borderId="10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189" fontId="7" fillId="0" borderId="16" xfId="0" applyFont="1" applyFill="1" applyBorder="1" applyAlignment="1">
      <alignment horizontal="left"/>
    </xf>
    <xf numFmtId="189" fontId="7" fillId="0" borderId="11" xfId="0" applyFont="1" applyFill="1" applyBorder="1" applyAlignment="1">
      <alignment horizontal="right"/>
    </xf>
    <xf numFmtId="189" fontId="7" fillId="0" borderId="0" xfId="0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189" fontId="7" fillId="0" borderId="17" xfId="0" applyFont="1" applyFill="1" applyBorder="1" applyAlignment="1">
      <alignment horizontal="right"/>
    </xf>
    <xf numFmtId="189" fontId="7" fillId="0" borderId="18" xfId="0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89" fontId="7" fillId="0" borderId="19" xfId="0" applyFont="1" applyFill="1" applyBorder="1" applyAlignment="1">
      <alignment horizontal="right"/>
    </xf>
    <xf numFmtId="189" fontId="7" fillId="0" borderId="17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189" fontId="7" fillId="0" borderId="16" xfId="0" applyFont="1" applyFill="1" applyBorder="1" applyAlignment="1">
      <alignment/>
    </xf>
    <xf numFmtId="189" fontId="7" fillId="0" borderId="16" xfId="0" applyFont="1" applyFill="1" applyBorder="1" applyAlignment="1">
      <alignment horizontal="right"/>
    </xf>
    <xf numFmtId="189" fontId="7" fillId="0" borderId="1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189" fontId="7" fillId="0" borderId="14" xfId="0" applyFont="1" applyFill="1" applyBorder="1" applyAlignment="1">
      <alignment horizontal="left"/>
    </xf>
    <xf numFmtId="189" fontId="7" fillId="0" borderId="20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89" fontId="7" fillId="0" borderId="15" xfId="0" applyFont="1" applyFill="1" applyBorder="1" applyAlignment="1">
      <alignment horizontal="right"/>
    </xf>
    <xf numFmtId="189" fontId="7" fillId="0" borderId="14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center"/>
    </xf>
    <xf numFmtId="189" fontId="7" fillId="0" borderId="15" xfId="0" applyFont="1" applyFill="1" applyBorder="1" applyAlignment="1">
      <alignment horizontal="center"/>
    </xf>
    <xf numFmtId="189" fontId="7" fillId="0" borderId="14" xfId="0" applyFont="1" applyFill="1" applyBorder="1" applyAlignment="1">
      <alignment horizontal="center"/>
    </xf>
    <xf numFmtId="189" fontId="7" fillId="0" borderId="20" xfId="0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89" fontId="7" fillId="0" borderId="18" xfId="0" applyFont="1" applyFill="1" applyBorder="1" applyAlignment="1">
      <alignment/>
    </xf>
    <xf numFmtId="189" fontId="7" fillId="0" borderId="19" xfId="0" applyFont="1" applyFill="1" applyBorder="1" applyAlignment="1">
      <alignment/>
    </xf>
    <xf numFmtId="189" fontId="7" fillId="0" borderId="13" xfId="0" applyFont="1" applyFill="1" applyBorder="1" applyAlignment="1">
      <alignment horizontal="right"/>
    </xf>
    <xf numFmtId="3" fontId="8" fillId="0" borderId="19" xfId="0" applyNumberFormat="1" applyFont="1" applyFill="1" applyBorder="1" applyAlignment="1" applyProtection="1">
      <alignment horizontal="right"/>
      <protection/>
    </xf>
    <xf numFmtId="3" fontId="8" fillId="0" borderId="18" xfId="0" applyNumberFormat="1" applyFont="1" applyFill="1" applyBorder="1" applyAlignment="1" applyProtection="1">
      <alignment horizontal="right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189" fontId="8" fillId="0" borderId="19" xfId="0" applyFont="1" applyFill="1" applyBorder="1" applyAlignment="1">
      <alignment/>
    </xf>
    <xf numFmtId="189" fontId="8" fillId="0" borderId="0" xfId="0" applyFont="1" applyFill="1" applyBorder="1" applyAlignment="1">
      <alignment/>
    </xf>
    <xf numFmtId="189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189" fontId="8" fillId="0" borderId="19" xfId="0" applyFont="1" applyFill="1" applyBorder="1" applyAlignment="1">
      <alignment horizontal="right"/>
    </xf>
    <xf numFmtId="3" fontId="7" fillId="0" borderId="19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 applyProtection="1">
      <alignment horizontal="right"/>
      <protection/>
    </xf>
    <xf numFmtId="3" fontId="7" fillId="0" borderId="19" xfId="0" applyNumberFormat="1" applyFont="1" applyFill="1" applyBorder="1" applyAlignment="1">
      <alignment/>
    </xf>
    <xf numFmtId="3" fontId="7" fillId="0" borderId="0" xfId="0" applyNumberFormat="1" applyFont="1" applyFill="1" applyBorder="1" applyAlignment="1" quotePrefix="1">
      <alignment horizontal="right"/>
    </xf>
    <xf numFmtId="3" fontId="7" fillId="0" borderId="18" xfId="0" applyNumberFormat="1" applyFont="1" applyFill="1" applyBorder="1" applyAlignment="1" quotePrefix="1">
      <alignment horizontal="right"/>
    </xf>
    <xf numFmtId="3" fontId="7" fillId="0" borderId="19" xfId="0" applyNumberFormat="1" applyFont="1" applyFill="1" applyBorder="1" applyAlignment="1" quotePrefix="1">
      <alignment horizontal="right"/>
    </xf>
    <xf numFmtId="3" fontId="10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/>
      <protection/>
    </xf>
    <xf numFmtId="189" fontId="7" fillId="0" borderId="19" xfId="0" applyFont="1" applyFill="1" applyBorder="1" applyAlignment="1" quotePrefix="1">
      <alignment horizontal="right"/>
    </xf>
    <xf numFmtId="189" fontId="7" fillId="0" borderId="0" xfId="0" applyFont="1" applyFill="1" applyBorder="1" applyAlignment="1" quotePrefix="1">
      <alignment horizontal="right"/>
    </xf>
    <xf numFmtId="3" fontId="7" fillId="0" borderId="20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Alignment="1">
      <alignment/>
    </xf>
    <xf numFmtId="190" fontId="7" fillId="0" borderId="0" xfId="0" applyNumberFormat="1" applyFont="1" applyFill="1" applyAlignment="1">
      <alignment horizontal="right"/>
    </xf>
    <xf numFmtId="189" fontId="7" fillId="0" borderId="18" xfId="0" applyFont="1" applyBorder="1" applyAlignment="1">
      <alignment/>
    </xf>
    <xf numFmtId="189" fontId="7" fillId="0" borderId="17" xfId="0" applyFont="1" applyBorder="1" applyAlignment="1">
      <alignment/>
    </xf>
    <xf numFmtId="189" fontId="7" fillId="0" borderId="10" xfId="0" applyFont="1" applyBorder="1" applyAlignment="1">
      <alignment/>
    </xf>
    <xf numFmtId="189" fontId="7" fillId="0" borderId="12" xfId="0" applyFont="1" applyBorder="1" applyAlignment="1">
      <alignment/>
    </xf>
    <xf numFmtId="193" fontId="7" fillId="0" borderId="0" xfId="47" applyNumberFormat="1" applyFont="1" applyAlignment="1">
      <alignment/>
    </xf>
    <xf numFmtId="179" fontId="7" fillId="0" borderId="0" xfId="47" applyFont="1" applyAlignment="1">
      <alignment/>
    </xf>
    <xf numFmtId="192" fontId="7" fillId="0" borderId="0" xfId="47" applyNumberFormat="1" applyFont="1" applyAlignment="1">
      <alignment/>
    </xf>
    <xf numFmtId="198" fontId="7" fillId="0" borderId="0" xfId="47" applyNumberFormat="1" applyFont="1" applyAlignment="1">
      <alignment/>
    </xf>
    <xf numFmtId="198" fontId="7" fillId="0" borderId="0" xfId="47" applyNumberFormat="1" applyFont="1" applyBorder="1" applyAlignment="1">
      <alignment/>
    </xf>
    <xf numFmtId="198" fontId="7" fillId="0" borderId="10" xfId="47" applyNumberFormat="1" applyFont="1" applyBorder="1" applyAlignment="1">
      <alignment/>
    </xf>
    <xf numFmtId="198" fontId="7" fillId="0" borderId="17" xfId="47" applyNumberFormat="1" applyFont="1" applyBorder="1" applyAlignment="1">
      <alignment/>
    </xf>
    <xf numFmtId="198" fontId="7" fillId="0" borderId="19" xfId="47" applyNumberFormat="1" applyFont="1" applyFill="1" applyBorder="1" applyAlignment="1">
      <alignment horizontal="right"/>
    </xf>
    <xf numFmtId="198" fontId="7" fillId="0" borderId="20" xfId="47" applyNumberFormat="1" applyFont="1" applyFill="1" applyBorder="1" applyAlignment="1">
      <alignment/>
    </xf>
    <xf numFmtId="198" fontId="8" fillId="0" borderId="19" xfId="47" applyNumberFormat="1" applyFont="1" applyFill="1" applyBorder="1" applyAlignment="1">
      <alignment horizontal="right"/>
    </xf>
    <xf numFmtId="198" fontId="7" fillId="0" borderId="12" xfId="47" applyNumberFormat="1" applyFont="1" applyBorder="1" applyAlignment="1">
      <alignment/>
    </xf>
    <xf numFmtId="198" fontId="7" fillId="0" borderId="0" xfId="47" applyNumberFormat="1" applyFont="1" applyFill="1" applyAlignment="1">
      <alignment/>
    </xf>
    <xf numFmtId="0" fontId="8" fillId="0" borderId="19" xfId="52" applyFont="1" applyBorder="1">
      <alignment/>
      <protection/>
    </xf>
    <xf numFmtId="0" fontId="7" fillId="0" borderId="19" xfId="52" applyFont="1" applyBorder="1">
      <alignment/>
      <protection/>
    </xf>
    <xf numFmtId="0" fontId="7" fillId="0" borderId="16" xfId="52" applyFont="1" applyBorder="1">
      <alignment/>
      <protection/>
    </xf>
    <xf numFmtId="190" fontId="7" fillId="0" borderId="16" xfId="0" applyNumberFormat="1" applyFont="1" applyFill="1" applyBorder="1" applyAlignment="1">
      <alignment/>
    </xf>
    <xf numFmtId="0" fontId="8" fillId="0" borderId="16" xfId="52" applyFont="1" applyBorder="1">
      <alignment/>
      <protection/>
    </xf>
    <xf numFmtId="190" fontId="7" fillId="0" borderId="16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/>
    </xf>
    <xf numFmtId="189" fontId="8" fillId="0" borderId="13" xfId="0" applyFont="1" applyBorder="1" applyAlignment="1">
      <alignment horizontal="center"/>
    </xf>
    <xf numFmtId="0" fontId="8" fillId="0" borderId="19" xfId="52" applyFont="1" applyBorder="1" quotePrefix="1">
      <alignment/>
      <protection/>
    </xf>
    <xf numFmtId="200" fontId="7" fillId="0" borderId="0" xfId="47" applyNumberFormat="1" applyFont="1" applyAlignment="1">
      <alignment/>
    </xf>
    <xf numFmtId="179" fontId="7" fillId="0" borderId="0" xfId="47" applyNumberFormat="1" applyFont="1" applyAlignment="1">
      <alignment/>
    </xf>
    <xf numFmtId="189" fontId="8" fillId="0" borderId="0" xfId="0" applyFont="1" applyFill="1" applyBorder="1" applyAlignment="1">
      <alignment horizontal="center"/>
    </xf>
    <xf numFmtId="189" fontId="7" fillId="0" borderId="13" xfId="0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198" fontId="8" fillId="0" borderId="0" xfId="47" applyNumberFormat="1" applyFont="1" applyFill="1" applyBorder="1" applyAlignment="1">
      <alignment horizontal="center"/>
    </xf>
    <xf numFmtId="189" fontId="8" fillId="0" borderId="18" xfId="0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198" fontId="7" fillId="0" borderId="17" xfId="47" applyNumberFormat="1" applyFont="1" applyFill="1" applyBorder="1" applyAlignment="1">
      <alignment/>
    </xf>
    <xf numFmtId="198" fontId="7" fillId="0" borderId="19" xfId="47" applyNumberFormat="1" applyFont="1" applyFill="1" applyBorder="1" applyAlignment="1" applyProtection="1">
      <alignment horizontal="right"/>
      <protection/>
    </xf>
    <xf numFmtId="198" fontId="7" fillId="0" borderId="19" xfId="47" applyNumberFormat="1" applyFont="1" applyBorder="1" applyAlignment="1">
      <alignment/>
    </xf>
    <xf numFmtId="198" fontId="7" fillId="0" borderId="19" xfId="47" applyNumberFormat="1" applyFont="1" applyFill="1" applyBorder="1" applyAlignment="1">
      <alignment/>
    </xf>
    <xf numFmtId="198" fontId="7" fillId="0" borderId="18" xfId="47" applyNumberFormat="1" applyFont="1" applyFill="1" applyBorder="1" applyAlignment="1">
      <alignment/>
    </xf>
    <xf numFmtId="198" fontId="7" fillId="0" borderId="16" xfId="47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198" fontId="7" fillId="0" borderId="16" xfId="47" applyNumberFormat="1" applyFont="1" applyBorder="1" applyAlignment="1">
      <alignment/>
    </xf>
    <xf numFmtId="198" fontId="7" fillId="0" borderId="18" xfId="47" applyNumberFormat="1" applyFont="1" applyBorder="1" applyAlignment="1">
      <alignment/>
    </xf>
    <xf numFmtId="198" fontId="7" fillId="0" borderId="17" xfId="47" applyNumberFormat="1" applyFont="1" applyBorder="1" applyAlignment="1">
      <alignment/>
    </xf>
    <xf numFmtId="198" fontId="8" fillId="0" borderId="19" xfId="47" applyNumberFormat="1" applyFont="1" applyFill="1" applyBorder="1" applyAlignment="1">
      <alignment/>
    </xf>
    <xf numFmtId="198" fontId="7" fillId="0" borderId="0" xfId="47" applyNumberFormat="1" applyFont="1" applyFill="1" applyBorder="1" applyAlignment="1">
      <alignment/>
    </xf>
    <xf numFmtId="198" fontId="7" fillId="0" borderId="11" xfId="47" applyNumberFormat="1" applyFont="1" applyBorder="1" applyAlignment="1">
      <alignment/>
    </xf>
    <xf numFmtId="198" fontId="7" fillId="0" borderId="13" xfId="47" applyNumberFormat="1" applyFont="1" applyBorder="1" applyAlignment="1">
      <alignment/>
    </xf>
    <xf numFmtId="198" fontId="7" fillId="0" borderId="17" xfId="47" applyNumberFormat="1" applyFont="1" applyFill="1" applyBorder="1" applyAlignment="1">
      <alignment/>
    </xf>
    <xf numFmtId="198" fontId="7" fillId="0" borderId="19" xfId="47" applyNumberFormat="1" applyFont="1" applyFill="1" applyBorder="1" applyAlignment="1" applyProtection="1">
      <alignment/>
      <protection/>
    </xf>
    <xf numFmtId="198" fontId="8" fillId="0" borderId="18" xfId="47" applyNumberFormat="1" applyFont="1" applyFill="1" applyBorder="1" applyAlignment="1">
      <alignment/>
    </xf>
    <xf numFmtId="198" fontId="7" fillId="0" borderId="20" xfId="47" applyNumberFormat="1" applyFont="1" applyFill="1" applyBorder="1" applyAlignment="1">
      <alignment/>
    </xf>
    <xf numFmtId="198" fontId="7" fillId="0" borderId="17" xfId="47" applyNumberFormat="1" applyFont="1" applyFill="1" applyBorder="1" applyAlignment="1" applyProtection="1">
      <alignment/>
      <protection/>
    </xf>
    <xf numFmtId="198" fontId="7" fillId="0" borderId="13" xfId="47" applyNumberFormat="1" applyFont="1" applyFill="1" applyBorder="1" applyAlignment="1">
      <alignment/>
    </xf>
    <xf numFmtId="3" fontId="8" fillId="0" borderId="19" xfId="0" applyNumberFormat="1" applyFont="1" applyFill="1" applyBorder="1" applyAlignment="1" applyProtection="1">
      <alignment/>
      <protection/>
    </xf>
    <xf numFmtId="198" fontId="8" fillId="0" borderId="19" xfId="47" applyNumberFormat="1" applyFont="1" applyFill="1" applyBorder="1" applyAlignment="1" applyProtection="1">
      <alignment horizontal="right"/>
      <protection/>
    </xf>
    <xf numFmtId="198" fontId="8" fillId="0" borderId="19" xfId="47" applyNumberFormat="1" applyFont="1" applyFill="1" applyBorder="1" applyAlignment="1" applyProtection="1">
      <alignment/>
      <protection/>
    </xf>
    <xf numFmtId="2" fontId="7" fillId="0" borderId="17" xfId="47" applyNumberFormat="1" applyFont="1" applyFill="1" applyBorder="1" applyAlignment="1">
      <alignment/>
    </xf>
    <xf numFmtId="198" fontId="8" fillId="0" borderId="19" xfId="47" applyNumberFormat="1" applyFont="1" applyFill="1" applyBorder="1" applyAlignment="1" applyProtection="1">
      <alignment/>
      <protection/>
    </xf>
    <xf numFmtId="197" fontId="8" fillId="0" borderId="19" xfId="47" applyNumberFormat="1" applyFont="1" applyFill="1" applyBorder="1" applyAlignment="1" applyProtection="1">
      <alignment horizontal="right"/>
      <protection/>
    </xf>
    <xf numFmtId="197" fontId="7" fillId="0" borderId="19" xfId="47" applyNumberFormat="1" applyFont="1" applyFill="1" applyBorder="1" applyAlignment="1" applyProtection="1">
      <alignment horizontal="right"/>
      <protection/>
    </xf>
    <xf numFmtId="198" fontId="7" fillId="0" borderId="18" xfId="47" applyNumberFormat="1" applyFont="1" applyFill="1" applyBorder="1" applyAlignment="1">
      <alignment horizontal="right"/>
    </xf>
    <xf numFmtId="198" fontId="7" fillId="0" borderId="0" xfId="47" applyNumberFormat="1" applyFont="1" applyFill="1" applyBorder="1" applyAlignment="1">
      <alignment horizontal="right"/>
    </xf>
    <xf numFmtId="189" fontId="7" fillId="0" borderId="11" xfId="0" applyFont="1" applyFill="1" applyBorder="1" applyAlignment="1" quotePrefix="1">
      <alignment horizontal="left"/>
    </xf>
    <xf numFmtId="189" fontId="8" fillId="0" borderId="14" xfId="0" applyFont="1" applyFill="1" applyBorder="1" applyAlignment="1">
      <alignment horizontal="left"/>
    </xf>
    <xf numFmtId="190" fontId="7" fillId="0" borderId="10" xfId="0" applyNumberFormat="1" applyFont="1" applyFill="1" applyBorder="1" applyAlignment="1">
      <alignment horizontal="right"/>
    </xf>
    <xf numFmtId="189" fontId="8" fillId="0" borderId="0" xfId="0" applyFont="1" applyFill="1" applyBorder="1" applyAlignment="1">
      <alignment horizontal="center"/>
    </xf>
    <xf numFmtId="189" fontId="8" fillId="0" borderId="16" xfId="0" applyFont="1" applyFill="1" applyBorder="1" applyAlignment="1">
      <alignment horizontal="center"/>
    </xf>
    <xf numFmtId="179" fontId="7" fillId="0" borderId="19" xfId="47" applyNumberFormat="1" applyFont="1" applyFill="1" applyBorder="1" applyAlignment="1" applyProtection="1">
      <alignment horizontal="righ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9525</xdr:rowOff>
    </xdr:from>
    <xdr:to>
      <xdr:col>2</xdr:col>
      <xdr:colOff>0</xdr:colOff>
      <xdr:row>16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600075" y="1609725"/>
          <a:ext cx="2933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ME\Desktop\bulletin%20mai2010\Imports%20produits%20pays%20mai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B\Desktop\Fulgence%202014\commerce%20exterieur\JANVIER%202014%20TABLEAU\Version_anglaise\Francais\Imports%20pays%20juin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BRB\IMPORT%20MARS%20AVRIL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Mars%20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AVRIL%20201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_%20BULLETIN_SOUS_TEC\StatBRB\Stat-BRB\stat%20BRB1_Impor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1">
        <row r="4">
          <cell r="D4">
            <v>285.699</v>
          </cell>
        </row>
        <row r="6">
          <cell r="D6">
            <v>116.652</v>
          </cell>
        </row>
        <row r="8">
          <cell r="D8">
            <v>5748.114</v>
          </cell>
        </row>
        <row r="9">
          <cell r="D9">
            <v>1200.054</v>
          </cell>
        </row>
        <row r="10">
          <cell r="D10">
            <v>82.088</v>
          </cell>
        </row>
        <row r="11">
          <cell r="D11">
            <v>917.046</v>
          </cell>
        </row>
        <row r="12">
          <cell r="D12">
            <v>42.592</v>
          </cell>
        </row>
        <row r="13">
          <cell r="D13">
            <v>23.295</v>
          </cell>
        </row>
        <row r="15">
          <cell r="D15">
            <v>784.337</v>
          </cell>
        </row>
        <row r="16">
          <cell r="D16">
            <v>0.11</v>
          </cell>
        </row>
        <row r="17">
          <cell r="D17">
            <v>12.849</v>
          </cell>
        </row>
        <row r="18">
          <cell r="D18">
            <v>12.66</v>
          </cell>
        </row>
        <row r="19">
          <cell r="D19">
            <v>0.42</v>
          </cell>
        </row>
        <row r="20">
          <cell r="D20">
            <v>695.939</v>
          </cell>
        </row>
        <row r="21">
          <cell r="D21">
            <v>42.02</v>
          </cell>
        </row>
        <row r="23">
          <cell r="D23">
            <v>60.058</v>
          </cell>
        </row>
        <row r="24">
          <cell r="D24">
            <v>455.765</v>
          </cell>
        </row>
        <row r="25">
          <cell r="D25">
            <v>2597.023</v>
          </cell>
        </row>
        <row r="27">
          <cell r="D27">
            <v>2.035</v>
          </cell>
        </row>
        <row r="30">
          <cell r="D30">
            <v>4030.963</v>
          </cell>
        </row>
        <row r="31">
          <cell r="D31">
            <v>387.88</v>
          </cell>
        </row>
        <row r="32">
          <cell r="D32">
            <v>29.881</v>
          </cell>
        </row>
        <row r="33">
          <cell r="D33">
            <v>84.301</v>
          </cell>
        </row>
        <row r="35">
          <cell r="D35">
            <v>31.664</v>
          </cell>
        </row>
        <row r="36">
          <cell r="D36">
            <v>5.414</v>
          </cell>
        </row>
        <row r="37">
          <cell r="D37">
            <v>2116.535</v>
          </cell>
        </row>
        <row r="38">
          <cell r="D38">
            <v>20.222</v>
          </cell>
        </row>
        <row r="39">
          <cell r="D39">
            <v>87.675</v>
          </cell>
        </row>
        <row r="41">
          <cell r="D41">
            <v>6471.031</v>
          </cell>
        </row>
        <row r="42">
          <cell r="D42">
            <v>18.289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E4">
            <v>295.889</v>
          </cell>
        </row>
        <row r="5">
          <cell r="E5">
            <v>4.935</v>
          </cell>
        </row>
        <row r="6">
          <cell r="E6">
            <v>9364.799</v>
          </cell>
        </row>
        <row r="7">
          <cell r="E7">
            <v>746.569</v>
          </cell>
        </row>
        <row r="8">
          <cell r="E8">
            <v>80.994</v>
          </cell>
        </row>
        <row r="9">
          <cell r="E9">
            <v>1847.515</v>
          </cell>
        </row>
        <row r="10">
          <cell r="E10">
            <v>9.65</v>
          </cell>
        </row>
        <row r="11">
          <cell r="E11">
            <v>20.575</v>
          </cell>
        </row>
        <row r="12">
          <cell r="E12">
            <v>52.97</v>
          </cell>
        </row>
        <row r="13">
          <cell r="E13">
            <v>2.886</v>
          </cell>
        </row>
        <row r="14">
          <cell r="E14">
            <v>1619.04</v>
          </cell>
        </row>
        <row r="16">
          <cell r="E16">
            <v>50.931</v>
          </cell>
        </row>
        <row r="17">
          <cell r="E17">
            <v>155.46</v>
          </cell>
        </row>
        <row r="18">
          <cell r="E18">
            <v>8.491</v>
          </cell>
        </row>
        <row r="19">
          <cell r="E19">
            <v>1</v>
          </cell>
        </row>
        <row r="20">
          <cell r="E20">
            <v>902.236</v>
          </cell>
        </row>
        <row r="23">
          <cell r="E23">
            <v>204.784</v>
          </cell>
        </row>
        <row r="24">
          <cell r="E24">
            <v>595.619</v>
          </cell>
        </row>
        <row r="26">
          <cell r="E26">
            <v>2259.7</v>
          </cell>
        </row>
        <row r="28">
          <cell r="E28">
            <v>0.461</v>
          </cell>
        </row>
        <row r="30">
          <cell r="E30">
            <v>0.181</v>
          </cell>
        </row>
        <row r="31">
          <cell r="E31">
            <v>65.1</v>
          </cell>
        </row>
        <row r="33">
          <cell r="E33">
            <v>4177.748</v>
          </cell>
        </row>
        <row r="34">
          <cell r="E34">
            <v>113.197</v>
          </cell>
        </row>
        <row r="35">
          <cell r="E35">
            <v>2.61</v>
          </cell>
        </row>
        <row r="36">
          <cell r="E36">
            <v>25.256</v>
          </cell>
        </row>
        <row r="37">
          <cell r="E37">
            <v>145.825</v>
          </cell>
        </row>
        <row r="39">
          <cell r="E39">
            <v>14.5</v>
          </cell>
        </row>
        <row r="40">
          <cell r="E40">
            <v>1.196</v>
          </cell>
        </row>
        <row r="41">
          <cell r="E41">
            <v>11.69</v>
          </cell>
        </row>
        <row r="42">
          <cell r="E42">
            <v>4636.481</v>
          </cell>
        </row>
        <row r="43">
          <cell r="E43">
            <v>49.909</v>
          </cell>
        </row>
        <row r="44">
          <cell r="E44">
            <v>234.727</v>
          </cell>
        </row>
        <row r="45">
          <cell r="E45">
            <v>0.15</v>
          </cell>
        </row>
        <row r="46">
          <cell r="E46">
            <v>6900.058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rs rubriques"/>
      <sheetName val="mars pays"/>
      <sheetName val="avril rubriques"/>
      <sheetName val="avril pays"/>
    </sheetNames>
    <sheetDataSet>
      <sheetData sheetId="4">
        <row r="2">
          <cell r="C2">
            <v>632.335</v>
          </cell>
        </row>
        <row r="4">
          <cell r="C4">
            <v>29.775</v>
          </cell>
        </row>
        <row r="8">
          <cell r="C8">
            <v>14.582</v>
          </cell>
        </row>
        <row r="9">
          <cell r="C9">
            <v>0.072</v>
          </cell>
        </row>
        <row r="10">
          <cell r="C10">
            <v>154.205</v>
          </cell>
        </row>
        <row r="12">
          <cell r="C12">
            <v>473.183</v>
          </cell>
        </row>
        <row r="14">
          <cell r="C14">
            <v>876.843</v>
          </cell>
        </row>
        <row r="17">
          <cell r="C17">
            <v>363.612</v>
          </cell>
        </row>
        <row r="19">
          <cell r="C19">
            <v>0.008</v>
          </cell>
        </row>
        <row r="28">
          <cell r="C28">
            <v>3607.604</v>
          </cell>
        </row>
        <row r="30">
          <cell r="C30">
            <v>0.2</v>
          </cell>
        </row>
        <row r="32">
          <cell r="C32">
            <v>0.918</v>
          </cell>
        </row>
        <row r="33">
          <cell r="C33">
            <v>90.38</v>
          </cell>
        </row>
        <row r="36">
          <cell r="C36">
            <v>6024.668</v>
          </cell>
        </row>
        <row r="38">
          <cell r="C38">
            <v>5</v>
          </cell>
        </row>
        <row r="41">
          <cell r="C41">
            <v>2390.986</v>
          </cell>
        </row>
        <row r="45">
          <cell r="C45">
            <v>0.116</v>
          </cell>
        </row>
        <row r="46">
          <cell r="C46">
            <v>7615.334</v>
          </cell>
        </row>
        <row r="47">
          <cell r="C47">
            <v>1.762</v>
          </cell>
        </row>
        <row r="49">
          <cell r="C49">
            <v>8607.965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Feuil2"/>
      <sheetName val="Feuil3"/>
      <sheetName val="Feuil5"/>
      <sheetName val="Feuil7"/>
      <sheetName val="Feuil6"/>
      <sheetName val="IV2_IV3"/>
      <sheetName val="IV5-IV6"/>
    </sheetNames>
    <sheetDataSet>
      <sheetData sheetId="8">
        <row r="4">
          <cell r="D4">
            <v>650.797</v>
          </cell>
        </row>
        <row r="6">
          <cell r="D6">
            <v>0.087</v>
          </cell>
        </row>
        <row r="7">
          <cell r="D7">
            <v>125.475</v>
          </cell>
        </row>
        <row r="8">
          <cell r="D8">
            <v>8500.475</v>
          </cell>
        </row>
        <row r="9">
          <cell r="D9">
            <v>16.695</v>
          </cell>
        </row>
        <row r="10">
          <cell r="D10">
            <v>1361.785</v>
          </cell>
        </row>
        <row r="11">
          <cell r="D11">
            <v>3.829</v>
          </cell>
        </row>
        <row r="12">
          <cell r="D12">
            <v>141.348</v>
          </cell>
        </row>
        <row r="13">
          <cell r="D13">
            <v>2154.627</v>
          </cell>
        </row>
        <row r="14">
          <cell r="D14">
            <v>58.145</v>
          </cell>
        </row>
        <row r="15">
          <cell r="D15">
            <v>2.722</v>
          </cell>
        </row>
        <row r="17">
          <cell r="D17">
            <v>1312.338</v>
          </cell>
        </row>
        <row r="18">
          <cell r="D18">
            <v>0.209</v>
          </cell>
        </row>
        <row r="19">
          <cell r="D19">
            <v>0.148</v>
          </cell>
        </row>
        <row r="20">
          <cell r="D20">
            <v>162.611</v>
          </cell>
        </row>
        <row r="21">
          <cell r="D21">
            <v>0.04</v>
          </cell>
        </row>
        <row r="22">
          <cell r="D22">
            <v>19.55</v>
          </cell>
        </row>
        <row r="23">
          <cell r="D23">
            <v>95.683</v>
          </cell>
        </row>
        <row r="24">
          <cell r="D24">
            <v>0.119</v>
          </cell>
        </row>
        <row r="25">
          <cell r="D25">
            <v>15.145</v>
          </cell>
        </row>
        <row r="26">
          <cell r="D26">
            <v>1029.402</v>
          </cell>
        </row>
        <row r="28">
          <cell r="D28">
            <v>212.411</v>
          </cell>
        </row>
        <row r="29">
          <cell r="D29">
            <v>471.077</v>
          </cell>
        </row>
        <row r="30">
          <cell r="D30">
            <v>603.931</v>
          </cell>
        </row>
        <row r="32">
          <cell r="D32">
            <v>3874.669</v>
          </cell>
        </row>
        <row r="34">
          <cell r="D34">
            <v>50.5</v>
          </cell>
        </row>
        <row r="36">
          <cell r="D36">
            <v>0.585</v>
          </cell>
        </row>
        <row r="37">
          <cell r="D37">
            <v>75.8</v>
          </cell>
        </row>
        <row r="38">
          <cell r="D38">
            <v>500</v>
          </cell>
        </row>
        <row r="40">
          <cell r="D40">
            <v>5067.703</v>
          </cell>
        </row>
        <row r="41">
          <cell r="D41">
            <v>217.219</v>
          </cell>
        </row>
        <row r="43">
          <cell r="D43">
            <v>391.38</v>
          </cell>
        </row>
        <row r="44">
          <cell r="D44">
            <v>88.502</v>
          </cell>
        </row>
        <row r="45">
          <cell r="D45">
            <v>2159.85</v>
          </cell>
        </row>
        <row r="46">
          <cell r="D46">
            <v>101.55</v>
          </cell>
        </row>
        <row r="48">
          <cell r="D48">
            <v>108.142</v>
          </cell>
        </row>
        <row r="49">
          <cell r="D49">
            <v>65.62</v>
          </cell>
        </row>
        <row r="50">
          <cell r="D50">
            <v>9079.523</v>
          </cell>
        </row>
        <row r="51">
          <cell r="D51">
            <v>110.557</v>
          </cell>
        </row>
        <row r="52">
          <cell r="D52">
            <v>435.125</v>
          </cell>
        </row>
        <row r="54">
          <cell r="D54">
            <v>6907.966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8"/>
      <sheetName val="Feuil9"/>
      <sheetName val="Imports avril 2013"/>
      <sheetName val="Feuil13"/>
      <sheetName val="Feuil17"/>
      <sheetName val="Feuil18"/>
      <sheetName val="Feuil19"/>
      <sheetName val="Feuil20"/>
      <sheetName val="Export Avril 2013"/>
      <sheetName val="Or"/>
      <sheetName val="Thé"/>
      <sheetName val="M_ TEMPORAIRES"/>
      <sheetName val="EFFETS PERSONNEL"/>
      <sheetName val="Pour IV4"/>
      <sheetName val="Feuil1"/>
      <sheetName val="IV2_IV3"/>
      <sheetName val="IV5-IV6"/>
      <sheetName val="IV7_IV8"/>
      <sheetName val="IV9"/>
    </sheetNames>
    <sheetDataSet>
      <sheetData sheetId="16">
        <row r="3">
          <cell r="C3">
            <v>1027.707</v>
          </cell>
        </row>
        <row r="4">
          <cell r="C4">
            <v>0.04</v>
          </cell>
        </row>
        <row r="5">
          <cell r="C5">
            <v>1.2</v>
          </cell>
        </row>
        <row r="6">
          <cell r="C6">
            <v>217.605</v>
          </cell>
        </row>
        <row r="7">
          <cell r="C7">
            <v>205.432</v>
          </cell>
        </row>
        <row r="8">
          <cell r="C8">
            <v>0.441</v>
          </cell>
        </row>
        <row r="9">
          <cell r="C9">
            <v>0.24</v>
          </cell>
        </row>
        <row r="10">
          <cell r="C10">
            <v>57.23</v>
          </cell>
        </row>
        <row r="11">
          <cell r="C11">
            <v>2806.202</v>
          </cell>
        </row>
        <row r="12">
          <cell r="C12">
            <v>4.9</v>
          </cell>
        </row>
        <row r="13">
          <cell r="C13">
            <v>2.8</v>
          </cell>
        </row>
        <row r="14">
          <cell r="C14">
            <v>0.04</v>
          </cell>
        </row>
        <row r="15">
          <cell r="C15">
            <v>2.088</v>
          </cell>
        </row>
        <row r="16">
          <cell r="C16">
            <v>14356.528</v>
          </cell>
        </row>
        <row r="17">
          <cell r="C17">
            <v>4384.121</v>
          </cell>
        </row>
        <row r="18">
          <cell r="C18">
            <v>1.031</v>
          </cell>
        </row>
        <row r="19">
          <cell r="C19">
            <v>7060.423</v>
          </cell>
        </row>
        <row r="20">
          <cell r="C20">
            <v>0.05</v>
          </cell>
        </row>
        <row r="21">
          <cell r="C21">
            <v>349.725</v>
          </cell>
        </row>
        <row r="23">
          <cell r="C23">
            <v>34.004</v>
          </cell>
        </row>
        <row r="24">
          <cell r="C24">
            <v>30.418</v>
          </cell>
        </row>
        <row r="25">
          <cell r="C25">
            <v>394.198</v>
          </cell>
        </row>
        <row r="27">
          <cell r="C27">
            <v>1497.849</v>
          </cell>
        </row>
        <row r="30">
          <cell r="C30">
            <v>3629.852</v>
          </cell>
        </row>
        <row r="31">
          <cell r="C31">
            <v>3.25</v>
          </cell>
        </row>
        <row r="32">
          <cell r="C32">
            <v>49.05</v>
          </cell>
        </row>
        <row r="35">
          <cell r="C35">
            <v>21.509</v>
          </cell>
        </row>
        <row r="36">
          <cell r="C36">
            <v>1670.23</v>
          </cell>
        </row>
        <row r="39">
          <cell r="C39">
            <v>3263.062</v>
          </cell>
        </row>
        <row r="42">
          <cell r="C42">
            <v>1.515</v>
          </cell>
        </row>
        <row r="43">
          <cell r="C43">
            <v>0.123</v>
          </cell>
        </row>
        <row r="45">
          <cell r="C45">
            <v>232.552</v>
          </cell>
        </row>
        <row r="46">
          <cell r="C46">
            <v>7.5</v>
          </cell>
        </row>
        <row r="47">
          <cell r="C47">
            <v>4668.262</v>
          </cell>
        </row>
        <row r="48">
          <cell r="C48">
            <v>0.015</v>
          </cell>
        </row>
        <row r="49">
          <cell r="C49">
            <v>0.632</v>
          </cell>
        </row>
        <row r="50">
          <cell r="C50">
            <v>71.839</v>
          </cell>
        </row>
        <row r="51">
          <cell r="C51">
            <v>4.103</v>
          </cell>
        </row>
        <row r="52">
          <cell r="C52">
            <v>0.118</v>
          </cell>
        </row>
        <row r="53">
          <cell r="C53">
            <v>1170.537</v>
          </cell>
        </row>
        <row r="54">
          <cell r="C54">
            <v>1067.143</v>
          </cell>
        </row>
        <row r="55">
          <cell r="C55">
            <v>386.647</v>
          </cell>
        </row>
        <row r="56">
          <cell r="C56">
            <v>129.826</v>
          </cell>
        </row>
        <row r="57">
          <cell r="C57">
            <v>0.75</v>
          </cell>
        </row>
        <row r="58">
          <cell r="C58">
            <v>110.407</v>
          </cell>
        </row>
        <row r="60">
          <cell r="C60">
            <v>1</v>
          </cell>
        </row>
        <row r="61">
          <cell r="C61">
            <v>20.666</v>
          </cell>
        </row>
        <row r="62">
          <cell r="C62">
            <v>20</v>
          </cell>
        </row>
        <row r="63">
          <cell r="C63">
            <v>0.92</v>
          </cell>
        </row>
        <row r="64">
          <cell r="C64">
            <v>212.735</v>
          </cell>
        </row>
        <row r="65">
          <cell r="C65">
            <v>201.536</v>
          </cell>
        </row>
        <row r="66">
          <cell r="C66">
            <v>0.001</v>
          </cell>
        </row>
        <row r="68">
          <cell r="C68">
            <v>30.866</v>
          </cell>
        </row>
        <row r="69">
          <cell r="C69">
            <v>145.244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3"/>
      <sheetName val="Imports tous"/>
      <sheetName val="IV2_3_Mai"/>
      <sheetName val="IV2_3_Juin"/>
      <sheetName val="IV5_IV6_Juin"/>
      <sheetName val="IV5_IV6_Mai"/>
      <sheetName val="IV4_Mai"/>
      <sheetName val="IV4_Juin"/>
      <sheetName val="Feuil2"/>
      <sheetName val="Feuil1"/>
      <sheetName val="Feuil4"/>
    </sheetNames>
    <sheetDataSet>
      <sheetData sheetId="5">
        <row r="6">
          <cell r="D6">
            <v>566.403</v>
          </cell>
        </row>
        <row r="10">
          <cell r="D10">
            <v>3856.938</v>
          </cell>
        </row>
        <row r="14">
          <cell r="D14">
            <v>1758.037</v>
          </cell>
        </row>
        <row r="17">
          <cell r="D17">
            <v>7585.999</v>
          </cell>
        </row>
        <row r="18">
          <cell r="D18">
            <v>8004.736</v>
          </cell>
        </row>
        <row r="19">
          <cell r="D19">
            <v>884.52</v>
          </cell>
        </row>
        <row r="20">
          <cell r="D20">
            <v>2463.681</v>
          </cell>
        </row>
        <row r="21">
          <cell r="D21">
            <v>53.405</v>
          </cell>
        </row>
        <row r="23">
          <cell r="D23">
            <v>3.388</v>
          </cell>
        </row>
        <row r="24">
          <cell r="D24">
            <v>95.073</v>
          </cell>
        </row>
        <row r="25">
          <cell r="D25">
            <v>3821.427</v>
          </cell>
        </row>
        <row r="29">
          <cell r="D29">
            <v>1693.888</v>
          </cell>
        </row>
        <row r="30">
          <cell r="D30">
            <v>4.311</v>
          </cell>
        </row>
        <row r="32">
          <cell r="D32">
            <v>3424.36</v>
          </cell>
        </row>
        <row r="33">
          <cell r="D33">
            <v>337.206</v>
          </cell>
        </row>
        <row r="34">
          <cell r="D34">
            <v>6.3</v>
          </cell>
        </row>
        <row r="35">
          <cell r="D35">
            <v>61.714</v>
          </cell>
        </row>
        <row r="38">
          <cell r="D38">
            <v>1.667</v>
          </cell>
        </row>
        <row r="39">
          <cell r="D39">
            <v>4538.237</v>
          </cell>
        </row>
        <row r="40">
          <cell r="D40">
            <v>5.095</v>
          </cell>
        </row>
        <row r="60">
          <cell r="D60">
            <v>3423.35</v>
          </cell>
        </row>
        <row r="61">
          <cell r="D61">
            <v>154.414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4:HZ100"/>
  <sheetViews>
    <sheetView showGridLines="0" tabSelected="1" view="pageBreakPreview" zoomScale="60" zoomScalePageLayoutView="0" workbookViewId="0" topLeftCell="A16">
      <selection activeCell="IB27" sqref="IB27"/>
    </sheetView>
  </sheetViews>
  <sheetFormatPr defaultColWidth="10.99609375" defaultRowHeight="15.75"/>
  <cols>
    <col min="1" max="1" width="6.99609375" style="1" customWidth="1"/>
    <col min="2" max="2" width="34.21484375" style="1" bestFit="1" customWidth="1"/>
    <col min="3" max="4" width="10.5546875" style="3" hidden="1" customWidth="1"/>
    <col min="5" max="5" width="8.3359375" style="3" hidden="1" customWidth="1"/>
    <col min="6" max="6" width="0.10546875" style="3" hidden="1" customWidth="1"/>
    <col min="7" max="7" width="8.3359375" style="3" hidden="1" customWidth="1"/>
    <col min="8" max="8" width="6.99609375" style="3" hidden="1" customWidth="1"/>
    <col min="9" max="19" width="12.77734375" style="2" hidden="1" customWidth="1"/>
    <col min="20" max="20" width="10.10546875" style="2" hidden="1" customWidth="1"/>
    <col min="21" max="21" width="11.77734375" style="2" hidden="1" customWidth="1"/>
    <col min="22" max="22" width="12.77734375" style="2" hidden="1" customWidth="1"/>
    <col min="23" max="33" width="9.77734375" style="1" hidden="1" customWidth="1"/>
    <col min="34" max="34" width="11.77734375" style="5" hidden="1" customWidth="1"/>
    <col min="35" max="46" width="9.77734375" style="1" hidden="1" customWidth="1"/>
    <col min="47" max="47" width="11.77734375" style="5" hidden="1" customWidth="1"/>
    <col min="48" max="49" width="9.77734375" style="1" hidden="1" customWidth="1"/>
    <col min="50" max="50" width="9.77734375" style="6" hidden="1" customWidth="1"/>
    <col min="51" max="51" width="9.77734375" style="1" hidden="1" customWidth="1"/>
    <col min="52" max="52" width="9.77734375" style="6" hidden="1" customWidth="1"/>
    <col min="53" max="59" width="9.77734375" style="1" hidden="1" customWidth="1"/>
    <col min="60" max="60" width="11.77734375" style="1" hidden="1" customWidth="1"/>
    <col min="61" max="61" width="10.5546875" style="1" hidden="1" customWidth="1"/>
    <col min="62" max="62" width="9.77734375" style="1" hidden="1" customWidth="1"/>
    <col min="63" max="63" width="9.77734375" style="6" hidden="1" customWidth="1"/>
    <col min="64" max="64" width="9.77734375" style="1" hidden="1" customWidth="1"/>
    <col min="65" max="65" width="9.77734375" style="6" hidden="1" customWidth="1"/>
    <col min="66" max="72" width="9.77734375" style="1" hidden="1" customWidth="1"/>
    <col min="73" max="73" width="11.77734375" style="1" hidden="1" customWidth="1"/>
    <col min="74" max="76" width="11.6640625" style="6" hidden="1" customWidth="1"/>
    <col min="77" max="78" width="9.77734375" style="6" hidden="1" customWidth="1"/>
    <col min="79" max="80" width="10.99609375" style="6" hidden="1" customWidth="1"/>
    <col min="81" max="81" width="13.77734375" style="6" hidden="1" customWidth="1"/>
    <col min="82" max="82" width="13.21484375" style="6" hidden="1" customWidth="1"/>
    <col min="83" max="83" width="12.3359375" style="6" hidden="1" customWidth="1"/>
    <col min="84" max="84" width="13.21484375" style="6" hidden="1" customWidth="1"/>
    <col min="85" max="85" width="9.4453125" style="6" hidden="1" customWidth="1"/>
    <col min="86" max="86" width="7.4453125" style="6" hidden="1" customWidth="1"/>
    <col min="87" max="87" width="7.99609375" style="6" hidden="1" customWidth="1"/>
    <col min="88" max="88" width="8.99609375" style="6" hidden="1" customWidth="1"/>
    <col min="89" max="89" width="6.5546875" style="6" hidden="1" customWidth="1"/>
    <col min="90" max="94" width="13.99609375" style="6" bestFit="1" customWidth="1"/>
    <col min="95" max="95" width="8.21484375" style="6" hidden="1" customWidth="1"/>
    <col min="96" max="96" width="12.10546875" style="6" hidden="1" customWidth="1"/>
    <col min="97" max="97" width="10.99609375" style="6" hidden="1" customWidth="1"/>
    <col min="98" max="99" width="10.10546875" style="6" hidden="1" customWidth="1"/>
    <col min="100" max="100" width="9.99609375" style="6" hidden="1" customWidth="1"/>
    <col min="101" max="101" width="11.21484375" style="6" hidden="1" customWidth="1"/>
    <col min="102" max="102" width="11.6640625" style="6" hidden="1" customWidth="1"/>
    <col min="103" max="103" width="13.77734375" style="6" hidden="1" customWidth="1"/>
    <col min="104" max="104" width="10.3359375" style="6" hidden="1" customWidth="1"/>
    <col min="105" max="105" width="12.3359375" style="6" hidden="1" customWidth="1"/>
    <col min="106" max="106" width="12.3359375" style="7" hidden="1" customWidth="1"/>
    <col min="107" max="107" width="8.4453125" style="7" hidden="1" customWidth="1"/>
    <col min="108" max="108" width="9.21484375" style="7" hidden="1" customWidth="1"/>
    <col min="109" max="109" width="11.21484375" style="7" hidden="1" customWidth="1"/>
    <col min="110" max="110" width="10.4453125" style="7" hidden="1" customWidth="1"/>
    <col min="111" max="111" width="10.10546875" style="7" hidden="1" customWidth="1"/>
    <col min="112" max="112" width="9.99609375" style="7" hidden="1" customWidth="1"/>
    <col min="113" max="113" width="11.21484375" style="7" hidden="1" customWidth="1"/>
    <col min="114" max="114" width="10.77734375" style="7" hidden="1" customWidth="1"/>
    <col min="115" max="115" width="12.88671875" style="7" hidden="1" customWidth="1"/>
    <col min="116" max="116" width="10.4453125" style="7" hidden="1" customWidth="1"/>
    <col min="117" max="117" width="12.21484375" style="7" hidden="1" customWidth="1"/>
    <col min="118" max="118" width="11.99609375" style="7" hidden="1" customWidth="1"/>
    <col min="119" max="119" width="9.5546875" style="7" hidden="1" customWidth="1"/>
    <col min="120" max="120" width="9.10546875" style="7" hidden="1" customWidth="1"/>
    <col min="121" max="121" width="7.21484375" style="7" hidden="1" customWidth="1"/>
    <col min="122" max="122" width="10.10546875" style="7" hidden="1" customWidth="1"/>
    <col min="123" max="123" width="9.88671875" style="7" hidden="1" customWidth="1"/>
    <col min="124" max="124" width="7.21484375" style="7" hidden="1" customWidth="1"/>
    <col min="125" max="125" width="8.10546875" style="7" hidden="1" customWidth="1"/>
    <col min="126" max="126" width="8.6640625" style="7" hidden="1" customWidth="1"/>
    <col min="127" max="127" width="6.5546875" style="7" hidden="1" customWidth="1"/>
    <col min="128" max="128" width="10.4453125" style="7" hidden="1" customWidth="1"/>
    <col min="129" max="129" width="12.10546875" style="7" hidden="1" customWidth="1"/>
    <col min="130" max="130" width="9.4453125" style="7" hidden="1" customWidth="1"/>
    <col min="131" max="131" width="12.3359375" style="7" hidden="1" customWidth="1"/>
    <col min="132" max="139" width="10.10546875" style="7" hidden="1" customWidth="1"/>
    <col min="140" max="140" width="9.77734375" style="7" hidden="1" customWidth="1"/>
    <col min="141" max="141" width="7.99609375" style="7" hidden="1" customWidth="1"/>
    <col min="142" max="142" width="8.10546875" style="7" hidden="1" customWidth="1"/>
    <col min="143" max="143" width="10.6640625" style="7" hidden="1" customWidth="1"/>
    <col min="144" max="144" width="10.77734375" style="7" hidden="1" customWidth="1"/>
    <col min="145" max="145" width="5.77734375" style="7" hidden="1" customWidth="1"/>
    <col min="146" max="152" width="5.6640625" style="7" hidden="1" customWidth="1"/>
    <col min="153" max="153" width="8.4453125" style="7" hidden="1" customWidth="1"/>
    <col min="154" max="154" width="6.5546875" style="7" hidden="1" customWidth="1"/>
    <col min="155" max="156" width="8.10546875" style="7" hidden="1" customWidth="1"/>
    <col min="157" max="157" width="10.88671875" style="7" hidden="1" customWidth="1"/>
    <col min="158" max="163" width="10.21484375" style="8" hidden="1" customWidth="1"/>
    <col min="164" max="164" width="7.99609375" style="8" hidden="1" customWidth="1"/>
    <col min="165" max="165" width="5.6640625" style="8" hidden="1" customWidth="1"/>
    <col min="166" max="166" width="8.4453125" style="8" hidden="1" customWidth="1"/>
    <col min="167" max="167" width="8.88671875" style="8" hidden="1" customWidth="1"/>
    <col min="168" max="168" width="8.10546875" style="8" hidden="1" customWidth="1"/>
    <col min="169" max="169" width="9.21484375" style="94" hidden="1" customWidth="1"/>
    <col min="170" max="170" width="10.77734375" style="8" hidden="1" customWidth="1"/>
    <col min="171" max="171" width="7.10546875" style="8" hidden="1" customWidth="1"/>
    <col min="172" max="172" width="8.99609375" style="1" hidden="1" customWidth="1"/>
    <col min="173" max="173" width="8.10546875" style="1" hidden="1" customWidth="1"/>
    <col min="174" max="176" width="9.4453125" style="1" hidden="1" customWidth="1"/>
    <col min="177" max="177" width="6.21484375" style="1" hidden="1" customWidth="1"/>
    <col min="178" max="178" width="9.4453125" style="1" hidden="1" customWidth="1"/>
    <col min="179" max="179" width="8.99609375" style="1" hidden="1" customWidth="1"/>
    <col min="180" max="180" width="8.10546875" style="1" hidden="1" customWidth="1"/>
    <col min="181" max="181" width="8.99609375" style="1" hidden="1" customWidth="1"/>
    <col min="182" max="182" width="11.21484375" style="1" hidden="1" customWidth="1"/>
    <col min="183" max="183" width="10.77734375" style="8" hidden="1" customWidth="1"/>
    <col min="184" max="189" width="9.77734375" style="1" hidden="1" customWidth="1"/>
    <col min="190" max="190" width="7.99609375" style="1" hidden="1" customWidth="1"/>
    <col min="191" max="196" width="9.77734375" style="1" hidden="1" customWidth="1"/>
    <col min="197" max="197" width="9.3359375" style="1" hidden="1" customWidth="1"/>
    <col min="198" max="210" width="9.77734375" style="1" hidden="1" customWidth="1"/>
    <col min="211" max="217" width="5.6640625" style="1" hidden="1" customWidth="1"/>
    <col min="218" max="220" width="6.5546875" style="1" hidden="1" customWidth="1"/>
    <col min="221" max="221" width="7.99609375" style="1" hidden="1" customWidth="1"/>
    <col min="222" max="223" width="7.10546875" style="1" hidden="1" customWidth="1"/>
    <col min="224" max="224" width="7.99609375" style="1" hidden="1" customWidth="1"/>
    <col min="225" max="225" width="10.21484375" style="1" hidden="1" customWidth="1"/>
    <col min="226" max="228" width="7.99609375" style="1" hidden="1" customWidth="1"/>
    <col min="229" max="232" width="6.5546875" style="1" hidden="1" customWidth="1"/>
    <col min="233" max="234" width="13.99609375" style="1" bestFit="1" customWidth="1"/>
    <col min="235" max="16384" width="10.99609375" style="1" customWidth="1"/>
  </cols>
  <sheetData>
    <row r="4" ht="15.75">
      <c r="GA4" s="23"/>
    </row>
    <row r="5" spans="2:234" ht="15.75">
      <c r="B5" s="16"/>
      <c r="C5" s="109"/>
      <c r="D5" s="109"/>
      <c r="E5" s="109"/>
      <c r="F5" s="109"/>
      <c r="G5" s="109"/>
      <c r="H5" s="109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9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9"/>
      <c r="AV5" s="17"/>
      <c r="AW5" s="17"/>
      <c r="AX5" s="21"/>
      <c r="AY5" s="17"/>
      <c r="AZ5" s="21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21"/>
      <c r="BL5" s="17"/>
      <c r="BM5" s="21"/>
      <c r="BN5" s="17"/>
      <c r="BO5" s="17"/>
      <c r="BP5" s="17"/>
      <c r="BQ5" s="17"/>
      <c r="BR5" s="17"/>
      <c r="BS5" s="17"/>
      <c r="BT5" s="17"/>
      <c r="BU5" s="17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101"/>
      <c r="FN5" s="90"/>
      <c r="FO5" s="90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90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10" t="s">
        <v>48</v>
      </c>
    </row>
    <row r="6" spans="2:234" ht="15.75">
      <c r="B6" s="154" t="s">
        <v>105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55"/>
    </row>
    <row r="7" spans="2:234" ht="15.75">
      <c r="B7" s="154" t="s">
        <v>138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55"/>
    </row>
    <row r="8" spans="2:234" ht="15.75">
      <c r="B8" s="2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1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1"/>
      <c r="AV8" s="13"/>
      <c r="AW8" s="13"/>
      <c r="AX8" s="27"/>
      <c r="AY8" s="13"/>
      <c r="AZ8" s="27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27"/>
      <c r="BL8" s="13"/>
      <c r="BM8" s="27"/>
      <c r="BN8" s="13"/>
      <c r="BO8" s="13"/>
      <c r="BP8" s="13"/>
      <c r="BQ8" s="13"/>
      <c r="BR8" s="13"/>
      <c r="BS8" s="13"/>
      <c r="BT8" s="13"/>
      <c r="BU8" s="13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96"/>
      <c r="FN8" s="89"/>
      <c r="FO8" s="89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89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26"/>
    </row>
    <row r="9" spans="2:234" ht="15.75" hidden="1">
      <c r="B9" s="56"/>
      <c r="C9" s="116"/>
      <c r="D9" s="116"/>
      <c r="E9" s="116"/>
      <c r="F9" s="116"/>
      <c r="G9" s="116"/>
      <c r="H9" s="116"/>
      <c r="I9" s="11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2"/>
      <c r="AI9" s="55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12"/>
      <c r="AV9" s="4"/>
      <c r="AW9" s="4"/>
      <c r="AX9" s="31"/>
      <c r="AY9" s="4"/>
      <c r="AZ9" s="31"/>
      <c r="BA9" s="4"/>
      <c r="BB9" s="4"/>
      <c r="BC9" s="4"/>
      <c r="BD9" s="4"/>
      <c r="BE9" s="4"/>
      <c r="BF9" s="4"/>
      <c r="BG9" s="4"/>
      <c r="BH9" s="4"/>
      <c r="BI9" s="4"/>
      <c r="BJ9" s="4"/>
      <c r="BK9" s="31"/>
      <c r="BL9" s="4"/>
      <c r="BM9" s="31"/>
      <c r="BN9" s="4"/>
      <c r="BO9" s="4"/>
      <c r="BP9" s="4"/>
      <c r="BQ9" s="4"/>
      <c r="BR9" s="4"/>
      <c r="BS9" s="4"/>
      <c r="BT9" s="4"/>
      <c r="BU9" s="4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15"/>
      <c r="DC9" s="15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7"/>
      <c r="FN9" s="23"/>
      <c r="FO9" s="23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118" t="s">
        <v>48</v>
      </c>
      <c r="GB9" s="39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55"/>
    </row>
    <row r="10" spans="2:234" ht="15.75" hidden="1">
      <c r="B10" s="56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95"/>
      <c r="FN10" s="23"/>
      <c r="FO10" s="23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87"/>
      <c r="GB10" s="39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55"/>
    </row>
    <row r="11" spans="2:234" ht="15.75" hidden="1">
      <c r="B11" s="56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95"/>
      <c r="FN11" s="23"/>
      <c r="FO11" s="23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87"/>
      <c r="GB11" s="39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55"/>
    </row>
    <row r="12" spans="2:234" ht="15" customHeight="1" hidden="1">
      <c r="B12" s="53"/>
      <c r="C12" s="10"/>
      <c r="D12" s="10"/>
      <c r="E12" s="10"/>
      <c r="F12" s="10"/>
      <c r="G12" s="10"/>
      <c r="H12" s="10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1"/>
      <c r="AI12" s="26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1"/>
      <c r="AV12" s="13"/>
      <c r="AW12" s="13"/>
      <c r="AX12" s="27"/>
      <c r="AY12" s="13"/>
      <c r="AZ12" s="27"/>
      <c r="BA12" s="13"/>
      <c r="BB12" s="13"/>
      <c r="BC12" s="13"/>
      <c r="BD12" s="13"/>
      <c r="BE12" s="13"/>
      <c r="BF12" s="13"/>
      <c r="BG12" s="13"/>
      <c r="BH12" s="13"/>
      <c r="BI12" s="4"/>
      <c r="BJ12" s="13"/>
      <c r="BK12" s="27"/>
      <c r="BL12" s="13"/>
      <c r="BM12" s="27"/>
      <c r="BN12" s="13"/>
      <c r="BO12" s="13"/>
      <c r="BP12" s="13"/>
      <c r="BQ12" s="13"/>
      <c r="BR12" s="13"/>
      <c r="BS12" s="13"/>
      <c r="BT12" s="13"/>
      <c r="BU12" s="13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95"/>
      <c r="FN12" s="23"/>
      <c r="FO12" s="23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87"/>
      <c r="GB12" s="39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55"/>
    </row>
    <row r="13" spans="2:234" ht="15.75">
      <c r="B13" s="29" t="s">
        <v>54</v>
      </c>
      <c r="C13" s="33"/>
      <c r="D13" s="33"/>
      <c r="E13" s="33"/>
      <c r="F13" s="33"/>
      <c r="G13" s="33"/>
      <c r="H13" s="33"/>
      <c r="I13" s="34"/>
      <c r="J13" s="34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5"/>
      <c r="V13" s="36"/>
      <c r="W13" s="34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5"/>
      <c r="AI13" s="34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5"/>
      <c r="AV13" s="37"/>
      <c r="AW13" s="17"/>
      <c r="AX13" s="21"/>
      <c r="AY13" s="17"/>
      <c r="AZ13" s="21"/>
      <c r="BA13" s="17"/>
      <c r="BB13" s="17"/>
      <c r="BC13" s="17"/>
      <c r="BD13" s="17"/>
      <c r="BE13" s="17"/>
      <c r="BF13" s="17"/>
      <c r="BG13" s="17"/>
      <c r="BH13" s="17"/>
      <c r="BI13" s="37"/>
      <c r="BJ13" s="17"/>
      <c r="BK13" s="21"/>
      <c r="BL13" s="17"/>
      <c r="BM13" s="21"/>
      <c r="BN13" s="17"/>
      <c r="BO13" s="17"/>
      <c r="BP13" s="17"/>
      <c r="BQ13" s="17"/>
      <c r="BR13" s="17"/>
      <c r="BS13" s="17"/>
      <c r="BT13" s="17"/>
      <c r="BU13" s="17"/>
      <c r="BV13" s="30"/>
      <c r="BW13" s="30"/>
      <c r="BX13" s="30"/>
      <c r="BY13" s="33"/>
      <c r="BZ13" s="36"/>
      <c r="CA13" s="36"/>
      <c r="CB13" s="36"/>
      <c r="CC13" s="36"/>
      <c r="CD13" s="36"/>
      <c r="CE13" s="36"/>
      <c r="CF13" s="36"/>
      <c r="CG13" s="36"/>
      <c r="CH13" s="40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97"/>
      <c r="FN13" s="88"/>
      <c r="FO13" s="88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88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</row>
    <row r="14" spans="2:234" ht="15.75">
      <c r="B14" s="39"/>
      <c r="C14" s="36">
        <v>2001</v>
      </c>
      <c r="D14" s="36">
        <v>2002</v>
      </c>
      <c r="E14" s="36">
        <v>2003</v>
      </c>
      <c r="F14" s="36">
        <v>2004</v>
      </c>
      <c r="G14" s="36">
        <v>2005</v>
      </c>
      <c r="H14" s="36">
        <v>2006</v>
      </c>
      <c r="I14" s="36">
        <v>2006</v>
      </c>
      <c r="J14" s="36">
        <v>2006</v>
      </c>
      <c r="K14" s="36">
        <v>2006</v>
      </c>
      <c r="L14" s="36">
        <v>2006</v>
      </c>
      <c r="M14" s="36">
        <v>2006</v>
      </c>
      <c r="N14" s="36">
        <v>2006</v>
      </c>
      <c r="O14" s="36">
        <v>2006</v>
      </c>
      <c r="P14" s="36">
        <v>2006</v>
      </c>
      <c r="Q14" s="36">
        <v>2006</v>
      </c>
      <c r="R14" s="36">
        <v>2006</v>
      </c>
      <c r="S14" s="36">
        <v>2006</v>
      </c>
      <c r="T14" s="36">
        <v>2006</v>
      </c>
      <c r="U14" s="36">
        <v>2006</v>
      </c>
      <c r="V14" s="36">
        <v>2006</v>
      </c>
      <c r="W14" s="36">
        <v>2006</v>
      </c>
      <c r="X14" s="36">
        <v>2006</v>
      </c>
      <c r="Y14" s="36">
        <v>2006</v>
      </c>
      <c r="Z14" s="36">
        <v>2006</v>
      </c>
      <c r="AA14" s="36">
        <v>2006</v>
      </c>
      <c r="AB14" s="36">
        <v>2006</v>
      </c>
      <c r="AC14" s="36">
        <v>2006</v>
      </c>
      <c r="AD14" s="36">
        <v>2006</v>
      </c>
      <c r="AE14" s="36">
        <v>2006</v>
      </c>
      <c r="AF14" s="36">
        <v>2006</v>
      </c>
      <c r="AG14" s="36">
        <v>2006</v>
      </c>
      <c r="AH14" s="36">
        <v>2006</v>
      </c>
      <c r="AI14" s="36">
        <v>2006</v>
      </c>
      <c r="AJ14" s="36">
        <v>2006</v>
      </c>
      <c r="AK14" s="36">
        <v>2006</v>
      </c>
      <c r="AL14" s="36">
        <v>2006</v>
      </c>
      <c r="AM14" s="36">
        <v>2006</v>
      </c>
      <c r="AN14" s="36">
        <v>2006</v>
      </c>
      <c r="AO14" s="36">
        <v>2006</v>
      </c>
      <c r="AP14" s="36">
        <v>2006</v>
      </c>
      <c r="AQ14" s="36">
        <v>2006</v>
      </c>
      <c r="AR14" s="36">
        <v>2006</v>
      </c>
      <c r="AS14" s="36">
        <v>2006</v>
      </c>
      <c r="AT14" s="36">
        <v>2006</v>
      </c>
      <c r="AU14" s="36">
        <v>2006</v>
      </c>
      <c r="AV14" s="36">
        <v>2006</v>
      </c>
      <c r="AW14" s="36">
        <v>2006</v>
      </c>
      <c r="AX14" s="36">
        <v>2006</v>
      </c>
      <c r="AY14" s="36">
        <v>2006</v>
      </c>
      <c r="AZ14" s="36">
        <v>2006</v>
      </c>
      <c r="BA14" s="36">
        <v>2006</v>
      </c>
      <c r="BB14" s="36">
        <v>2006</v>
      </c>
      <c r="BC14" s="36">
        <v>2006</v>
      </c>
      <c r="BD14" s="36">
        <v>2006</v>
      </c>
      <c r="BE14" s="36">
        <v>2006</v>
      </c>
      <c r="BF14" s="36">
        <v>2006</v>
      </c>
      <c r="BG14" s="36">
        <v>2006</v>
      </c>
      <c r="BH14" s="36">
        <v>2006</v>
      </c>
      <c r="BI14" s="36">
        <v>2006</v>
      </c>
      <c r="BJ14" s="36">
        <v>2006</v>
      </c>
      <c r="BK14" s="36">
        <v>2006</v>
      </c>
      <c r="BL14" s="36">
        <v>2006</v>
      </c>
      <c r="BM14" s="36">
        <v>2006</v>
      </c>
      <c r="BN14" s="36">
        <v>2006</v>
      </c>
      <c r="BO14" s="36">
        <v>2006</v>
      </c>
      <c r="BP14" s="36">
        <v>2006</v>
      </c>
      <c r="BQ14" s="36">
        <v>2006</v>
      </c>
      <c r="BR14" s="36">
        <v>2006</v>
      </c>
      <c r="BS14" s="36">
        <v>2006</v>
      </c>
      <c r="BT14" s="36">
        <v>2006</v>
      </c>
      <c r="BU14" s="36">
        <v>2006</v>
      </c>
      <c r="BV14" s="36">
        <v>2006</v>
      </c>
      <c r="BW14" s="36">
        <v>2006</v>
      </c>
      <c r="BX14" s="36">
        <v>2006</v>
      </c>
      <c r="BY14" s="36">
        <v>2006</v>
      </c>
      <c r="BZ14" s="36">
        <v>2006</v>
      </c>
      <c r="CA14" s="36">
        <v>2006</v>
      </c>
      <c r="CB14" s="36">
        <v>2006</v>
      </c>
      <c r="CC14" s="36">
        <v>2006</v>
      </c>
      <c r="CD14" s="36">
        <v>2006</v>
      </c>
      <c r="CE14" s="36">
        <v>2006</v>
      </c>
      <c r="CF14" s="36">
        <v>2006</v>
      </c>
      <c r="CG14" s="36">
        <v>2007</v>
      </c>
      <c r="CH14" s="40">
        <v>2008</v>
      </c>
      <c r="CI14" s="36">
        <v>2009</v>
      </c>
      <c r="CJ14" s="36">
        <v>2010</v>
      </c>
      <c r="CK14" s="36">
        <v>2011</v>
      </c>
      <c r="CL14" s="36">
        <v>2012</v>
      </c>
      <c r="CM14" s="36">
        <v>2013</v>
      </c>
      <c r="CN14" s="36">
        <v>2014</v>
      </c>
      <c r="CO14" s="36">
        <v>2015</v>
      </c>
      <c r="CP14" s="36">
        <v>2016</v>
      </c>
      <c r="CQ14" s="36">
        <v>2007</v>
      </c>
      <c r="CR14" s="36">
        <v>2007</v>
      </c>
      <c r="CS14" s="36">
        <v>2007</v>
      </c>
      <c r="CT14" s="36">
        <v>2007</v>
      </c>
      <c r="CU14" s="36">
        <v>2007</v>
      </c>
      <c r="CV14" s="36">
        <v>2007</v>
      </c>
      <c r="CW14" s="36">
        <v>2007</v>
      </c>
      <c r="CX14" s="36">
        <v>2007</v>
      </c>
      <c r="CY14" s="36">
        <v>2007</v>
      </c>
      <c r="CZ14" s="36">
        <v>2007</v>
      </c>
      <c r="DA14" s="36">
        <v>2007</v>
      </c>
      <c r="DB14" s="42">
        <v>2007</v>
      </c>
      <c r="DC14" s="42">
        <v>2008</v>
      </c>
      <c r="DD14" s="42">
        <v>2008</v>
      </c>
      <c r="DE14" s="42">
        <v>2008</v>
      </c>
      <c r="DF14" s="42">
        <v>2008</v>
      </c>
      <c r="DG14" s="42">
        <v>2008</v>
      </c>
      <c r="DH14" s="42">
        <v>2008</v>
      </c>
      <c r="DI14" s="42">
        <v>2008</v>
      </c>
      <c r="DJ14" s="42">
        <v>2008</v>
      </c>
      <c r="DK14" s="42">
        <v>2008</v>
      </c>
      <c r="DL14" s="42">
        <v>2008</v>
      </c>
      <c r="DM14" s="42">
        <v>2008</v>
      </c>
      <c r="DN14" s="42">
        <v>2008</v>
      </c>
      <c r="DO14" s="42">
        <v>2009</v>
      </c>
      <c r="DP14" s="42">
        <v>2009</v>
      </c>
      <c r="DQ14" s="42">
        <v>2009</v>
      </c>
      <c r="DR14" s="42">
        <v>2009</v>
      </c>
      <c r="DS14" s="42">
        <v>2009</v>
      </c>
      <c r="DT14" s="42">
        <v>2009</v>
      </c>
      <c r="DU14" s="42">
        <v>2009</v>
      </c>
      <c r="DV14" s="42">
        <v>2009</v>
      </c>
      <c r="DW14" s="42">
        <v>2009</v>
      </c>
      <c r="DX14" s="42">
        <v>2009</v>
      </c>
      <c r="DY14" s="42">
        <v>2009</v>
      </c>
      <c r="DZ14" s="42"/>
      <c r="EA14" s="42">
        <v>2009</v>
      </c>
      <c r="EB14" s="42">
        <v>2010</v>
      </c>
      <c r="EC14" s="42">
        <v>2010</v>
      </c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>
        <v>2010</v>
      </c>
      <c r="EO14" s="42">
        <v>2011</v>
      </c>
      <c r="EP14" s="42">
        <v>2011</v>
      </c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>
        <v>2011</v>
      </c>
      <c r="FB14" s="42">
        <v>2012</v>
      </c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98"/>
      <c r="FN14" s="36">
        <v>2012</v>
      </c>
      <c r="FO14" s="36">
        <v>2013</v>
      </c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36">
        <v>2013</v>
      </c>
      <c r="GB14" s="36">
        <v>2014</v>
      </c>
      <c r="GC14" s="36">
        <v>2014</v>
      </c>
      <c r="GD14" s="36">
        <v>2014</v>
      </c>
      <c r="GE14" s="36">
        <v>2014</v>
      </c>
      <c r="GF14" s="36">
        <v>2014</v>
      </c>
      <c r="GG14" s="36">
        <v>2014</v>
      </c>
      <c r="GH14" s="36">
        <v>2014</v>
      </c>
      <c r="GI14" s="36">
        <v>2014</v>
      </c>
      <c r="GJ14" s="36">
        <v>2014</v>
      </c>
      <c r="GK14" s="36">
        <v>2014</v>
      </c>
      <c r="GL14" s="36">
        <v>2014</v>
      </c>
      <c r="GM14" s="36">
        <v>2014</v>
      </c>
      <c r="GN14" s="36">
        <v>2014</v>
      </c>
      <c r="GO14" s="36">
        <v>2015</v>
      </c>
      <c r="GP14" s="36">
        <v>2015</v>
      </c>
      <c r="GQ14" s="36">
        <v>2015</v>
      </c>
      <c r="GR14" s="36">
        <v>2015</v>
      </c>
      <c r="GS14" s="36">
        <v>2015</v>
      </c>
      <c r="GT14" s="36">
        <v>2015</v>
      </c>
      <c r="GU14" s="36">
        <v>2015</v>
      </c>
      <c r="GV14" s="36">
        <v>2015</v>
      </c>
      <c r="GW14" s="36">
        <v>2015</v>
      </c>
      <c r="GX14" s="36">
        <v>2015</v>
      </c>
      <c r="GY14" s="36">
        <v>2015</v>
      </c>
      <c r="GZ14" s="36">
        <v>2015</v>
      </c>
      <c r="HA14" s="36">
        <v>2016</v>
      </c>
      <c r="HB14" s="36">
        <v>2016</v>
      </c>
      <c r="HC14" s="36">
        <v>2016</v>
      </c>
      <c r="HD14" s="36">
        <v>2016</v>
      </c>
      <c r="HE14" s="36">
        <v>2016</v>
      </c>
      <c r="HF14" s="36">
        <v>2016</v>
      </c>
      <c r="HG14" s="36">
        <v>2016</v>
      </c>
      <c r="HH14" s="36">
        <v>2016</v>
      </c>
      <c r="HI14" s="36">
        <v>2016</v>
      </c>
      <c r="HJ14" s="36">
        <v>2016</v>
      </c>
      <c r="HK14" s="36">
        <v>2016</v>
      </c>
      <c r="HL14" s="36">
        <v>2017</v>
      </c>
      <c r="HM14" s="36">
        <v>2017</v>
      </c>
      <c r="HN14" s="36">
        <v>2017</v>
      </c>
      <c r="HO14" s="36">
        <v>2017</v>
      </c>
      <c r="HP14" s="36">
        <v>2017</v>
      </c>
      <c r="HQ14" s="36">
        <v>2017</v>
      </c>
      <c r="HR14" s="36">
        <v>2017</v>
      </c>
      <c r="HS14" s="36">
        <v>2017</v>
      </c>
      <c r="HT14" s="36">
        <v>2017</v>
      </c>
      <c r="HU14" s="36">
        <v>2017</v>
      </c>
      <c r="HV14" s="36">
        <v>2017</v>
      </c>
      <c r="HW14" s="36">
        <v>2017</v>
      </c>
      <c r="HX14" s="36">
        <v>2017</v>
      </c>
      <c r="HY14" s="56">
        <v>2016</v>
      </c>
      <c r="HZ14" s="56">
        <v>2017</v>
      </c>
    </row>
    <row r="15" spans="2:234" s="6" customFormat="1" ht="15.75">
      <c r="B15" s="29" t="s">
        <v>55</v>
      </c>
      <c r="C15" s="36"/>
      <c r="D15" s="36"/>
      <c r="E15" s="36"/>
      <c r="F15" s="36"/>
      <c r="G15" s="36"/>
      <c r="H15" s="36"/>
      <c r="I15" s="34" t="s">
        <v>0</v>
      </c>
      <c r="J15" s="34" t="s">
        <v>1</v>
      </c>
      <c r="K15" s="34" t="s">
        <v>2</v>
      </c>
      <c r="L15" s="34" t="s">
        <v>17</v>
      </c>
      <c r="M15" s="34" t="s">
        <v>4</v>
      </c>
      <c r="N15" s="34" t="s">
        <v>5</v>
      </c>
      <c r="O15" s="34" t="s">
        <v>18</v>
      </c>
      <c r="P15" s="34" t="s">
        <v>7</v>
      </c>
      <c r="Q15" s="34" t="s">
        <v>19</v>
      </c>
      <c r="R15" s="34" t="s">
        <v>20</v>
      </c>
      <c r="S15" s="34" t="s">
        <v>21</v>
      </c>
      <c r="T15" s="31" t="s">
        <v>14</v>
      </c>
      <c r="U15" s="44" t="s">
        <v>15</v>
      </c>
      <c r="V15" s="36" t="s">
        <v>0</v>
      </c>
      <c r="W15" s="34" t="s">
        <v>1</v>
      </c>
      <c r="X15" s="34" t="s">
        <v>2</v>
      </c>
      <c r="Y15" s="34" t="s">
        <v>17</v>
      </c>
      <c r="Z15" s="34" t="s">
        <v>4</v>
      </c>
      <c r="AA15" s="34" t="s">
        <v>5</v>
      </c>
      <c r="AB15" s="34" t="s">
        <v>18</v>
      </c>
      <c r="AC15" s="34" t="s">
        <v>7</v>
      </c>
      <c r="AD15" s="34" t="s">
        <v>19</v>
      </c>
      <c r="AE15" s="34" t="s">
        <v>20</v>
      </c>
      <c r="AF15" s="34" t="s">
        <v>21</v>
      </c>
      <c r="AG15" s="31" t="s">
        <v>14</v>
      </c>
      <c r="AH15" s="44" t="s">
        <v>34</v>
      </c>
      <c r="AI15" s="36" t="s">
        <v>0</v>
      </c>
      <c r="AJ15" s="31" t="s">
        <v>22</v>
      </c>
      <c r="AK15" s="31" t="s">
        <v>23</v>
      </c>
      <c r="AL15" s="31" t="s">
        <v>24</v>
      </c>
      <c r="AM15" s="31" t="s">
        <v>25</v>
      </c>
      <c r="AN15" s="31" t="s">
        <v>26</v>
      </c>
      <c r="AO15" s="31" t="s">
        <v>12</v>
      </c>
      <c r="AP15" s="31" t="s">
        <v>27</v>
      </c>
      <c r="AQ15" s="31" t="s">
        <v>28</v>
      </c>
      <c r="AR15" s="31" t="s">
        <v>29</v>
      </c>
      <c r="AS15" s="31" t="s">
        <v>30</v>
      </c>
      <c r="AT15" s="31" t="s">
        <v>31</v>
      </c>
      <c r="AU15" s="36" t="s">
        <v>34</v>
      </c>
      <c r="AV15" s="36" t="s">
        <v>35</v>
      </c>
      <c r="AW15" s="31" t="s">
        <v>33</v>
      </c>
      <c r="AX15" s="31" t="s">
        <v>2</v>
      </c>
      <c r="AY15" s="31" t="s">
        <v>17</v>
      </c>
      <c r="AZ15" s="31" t="s">
        <v>4</v>
      </c>
      <c r="BA15" s="31" t="s">
        <v>5</v>
      </c>
      <c r="BB15" s="31" t="s">
        <v>18</v>
      </c>
      <c r="BC15" s="31" t="s">
        <v>7</v>
      </c>
      <c r="BD15" s="31" t="s">
        <v>19</v>
      </c>
      <c r="BE15" s="31" t="s">
        <v>20</v>
      </c>
      <c r="BF15" s="31" t="s">
        <v>21</v>
      </c>
      <c r="BG15" s="31" t="s">
        <v>14</v>
      </c>
      <c r="BH15" s="31" t="s">
        <v>34</v>
      </c>
      <c r="BI15" s="36" t="s">
        <v>35</v>
      </c>
      <c r="BJ15" s="31" t="s">
        <v>33</v>
      </c>
      <c r="BK15" s="31" t="s">
        <v>2</v>
      </c>
      <c r="BL15" s="31" t="s">
        <v>17</v>
      </c>
      <c r="BM15" s="31" t="s">
        <v>4</v>
      </c>
      <c r="BN15" s="31" t="s">
        <v>5</v>
      </c>
      <c r="BO15" s="31" t="s">
        <v>18</v>
      </c>
      <c r="BP15" s="31" t="s">
        <v>7</v>
      </c>
      <c r="BQ15" s="31" t="s">
        <v>19</v>
      </c>
      <c r="BR15" s="31" t="s">
        <v>20</v>
      </c>
      <c r="BS15" s="31" t="s">
        <v>21</v>
      </c>
      <c r="BT15" s="31" t="s">
        <v>14</v>
      </c>
      <c r="BU15" s="31" t="s">
        <v>34</v>
      </c>
      <c r="BV15" s="36" t="s">
        <v>41</v>
      </c>
      <c r="BW15" s="36" t="s">
        <v>42</v>
      </c>
      <c r="BX15" s="36" t="s">
        <v>43</v>
      </c>
      <c r="BY15" s="36" t="s">
        <v>37</v>
      </c>
      <c r="BZ15" s="36" t="s">
        <v>36</v>
      </c>
      <c r="CA15" s="36" t="s">
        <v>38</v>
      </c>
      <c r="CB15" s="36" t="s">
        <v>39</v>
      </c>
      <c r="CC15" s="36" t="s">
        <v>40</v>
      </c>
      <c r="CD15" s="36" t="s">
        <v>44</v>
      </c>
      <c r="CE15" s="36" t="s">
        <v>45</v>
      </c>
      <c r="CF15" s="36" t="s">
        <v>34</v>
      </c>
      <c r="CG15" s="36"/>
      <c r="CH15" s="40"/>
      <c r="CI15" s="36"/>
      <c r="CJ15" s="36"/>
      <c r="CK15" s="36"/>
      <c r="CL15" s="36"/>
      <c r="CM15" s="36"/>
      <c r="CN15" s="36"/>
      <c r="CO15" s="36"/>
      <c r="CP15" s="36"/>
      <c r="CQ15" s="36" t="s">
        <v>35</v>
      </c>
      <c r="CR15" s="36" t="s">
        <v>41</v>
      </c>
      <c r="CS15" s="36" t="s">
        <v>42</v>
      </c>
      <c r="CT15" s="36" t="s">
        <v>43</v>
      </c>
      <c r="CU15" s="36" t="s">
        <v>37</v>
      </c>
      <c r="CV15" s="36" t="s">
        <v>36</v>
      </c>
      <c r="CW15" s="36" t="s">
        <v>38</v>
      </c>
      <c r="CX15" s="36" t="s">
        <v>39</v>
      </c>
      <c r="CY15" s="36" t="s">
        <v>40</v>
      </c>
      <c r="CZ15" s="36" t="s">
        <v>47</v>
      </c>
      <c r="DA15" s="36" t="s">
        <v>45</v>
      </c>
      <c r="DB15" s="42" t="s">
        <v>46</v>
      </c>
      <c r="DC15" s="42" t="s">
        <v>35</v>
      </c>
      <c r="DD15" s="36" t="s">
        <v>49</v>
      </c>
      <c r="DE15" s="36" t="s">
        <v>42</v>
      </c>
      <c r="DF15" s="36" t="s">
        <v>43</v>
      </c>
      <c r="DG15" s="36" t="s">
        <v>37</v>
      </c>
      <c r="DH15" s="36" t="s">
        <v>36</v>
      </c>
      <c r="DI15" s="36" t="s">
        <v>38</v>
      </c>
      <c r="DJ15" s="36" t="s">
        <v>39</v>
      </c>
      <c r="DK15" s="36" t="s">
        <v>50</v>
      </c>
      <c r="DL15" s="36" t="s">
        <v>47</v>
      </c>
      <c r="DM15" s="42" t="s">
        <v>45</v>
      </c>
      <c r="DN15" s="42" t="s">
        <v>46</v>
      </c>
      <c r="DO15" s="42" t="s">
        <v>35</v>
      </c>
      <c r="DP15" s="36" t="s">
        <v>49</v>
      </c>
      <c r="DQ15" s="36" t="s">
        <v>42</v>
      </c>
      <c r="DR15" s="36" t="s">
        <v>43</v>
      </c>
      <c r="DS15" s="36" t="s">
        <v>37</v>
      </c>
      <c r="DT15" s="36" t="s">
        <v>36</v>
      </c>
      <c r="DU15" s="36" t="s">
        <v>39</v>
      </c>
      <c r="DV15" s="36" t="s">
        <v>39</v>
      </c>
      <c r="DW15" s="36" t="s">
        <v>50</v>
      </c>
      <c r="DX15" s="36" t="s">
        <v>47</v>
      </c>
      <c r="DY15" s="36" t="s">
        <v>45</v>
      </c>
      <c r="DZ15" s="36" t="s">
        <v>51</v>
      </c>
      <c r="EA15" s="42" t="s">
        <v>46</v>
      </c>
      <c r="EB15" s="42" t="s">
        <v>35</v>
      </c>
      <c r="EC15" s="36" t="s">
        <v>52</v>
      </c>
      <c r="ED15" s="36" t="s">
        <v>2</v>
      </c>
      <c r="EE15" s="36" t="s">
        <v>3</v>
      </c>
      <c r="EF15" s="36" t="s">
        <v>4</v>
      </c>
      <c r="EG15" s="36" t="s">
        <v>5</v>
      </c>
      <c r="EH15" s="36" t="s">
        <v>6</v>
      </c>
      <c r="EI15" s="36" t="s">
        <v>7</v>
      </c>
      <c r="EJ15" s="36" t="s">
        <v>8</v>
      </c>
      <c r="EK15" s="36" t="s">
        <v>9</v>
      </c>
      <c r="EL15" s="36" t="s">
        <v>10</v>
      </c>
      <c r="EM15" s="36" t="s">
        <v>51</v>
      </c>
      <c r="EN15" s="36" t="s">
        <v>46</v>
      </c>
      <c r="EO15" s="36" t="s">
        <v>35</v>
      </c>
      <c r="EP15" s="36" t="s">
        <v>52</v>
      </c>
      <c r="EQ15" s="36" t="s">
        <v>2</v>
      </c>
      <c r="ER15" s="36" t="s">
        <v>3</v>
      </c>
      <c r="ES15" s="36" t="s">
        <v>4</v>
      </c>
      <c r="ET15" s="36" t="s">
        <v>5</v>
      </c>
      <c r="EU15" s="36" t="s">
        <v>6</v>
      </c>
      <c r="EV15" s="36" t="s">
        <v>7</v>
      </c>
      <c r="EW15" s="36" t="s">
        <v>8</v>
      </c>
      <c r="EX15" s="36" t="s">
        <v>9</v>
      </c>
      <c r="EY15" s="36" t="s">
        <v>10</v>
      </c>
      <c r="EZ15" s="36" t="s">
        <v>51</v>
      </c>
      <c r="FA15" s="41" t="s">
        <v>53</v>
      </c>
      <c r="FB15" s="36" t="s">
        <v>35</v>
      </c>
      <c r="FC15" s="36" t="s">
        <v>52</v>
      </c>
      <c r="FD15" s="36" t="s">
        <v>2</v>
      </c>
      <c r="FE15" s="36" t="s">
        <v>3</v>
      </c>
      <c r="FF15" s="36" t="s">
        <v>4</v>
      </c>
      <c r="FG15" s="36" t="s">
        <v>5</v>
      </c>
      <c r="FH15" s="36" t="s">
        <v>6</v>
      </c>
      <c r="FI15" s="36" t="s">
        <v>7</v>
      </c>
      <c r="FJ15" s="36" t="s">
        <v>8</v>
      </c>
      <c r="FK15" s="36" t="s">
        <v>9</v>
      </c>
      <c r="FL15" s="36" t="s">
        <v>10</v>
      </c>
      <c r="FM15" s="98" t="s">
        <v>51</v>
      </c>
      <c r="FN15" s="41" t="s">
        <v>117</v>
      </c>
      <c r="FO15" s="36" t="s">
        <v>118</v>
      </c>
      <c r="FP15" s="36" t="s">
        <v>52</v>
      </c>
      <c r="FQ15" s="36" t="s">
        <v>2</v>
      </c>
      <c r="FR15" s="36" t="s">
        <v>3</v>
      </c>
      <c r="FS15" s="36" t="s">
        <v>106</v>
      </c>
      <c r="FT15" s="36" t="s">
        <v>109</v>
      </c>
      <c r="FU15" s="36" t="s">
        <v>110</v>
      </c>
      <c r="FV15" s="36" t="s">
        <v>112</v>
      </c>
      <c r="FW15" s="36" t="s">
        <v>113</v>
      </c>
      <c r="FX15" s="36" t="s">
        <v>114</v>
      </c>
      <c r="FY15" s="36" t="s">
        <v>115</v>
      </c>
      <c r="FZ15" s="36" t="s">
        <v>116</v>
      </c>
      <c r="GA15" s="41" t="s">
        <v>117</v>
      </c>
      <c r="GB15" s="36" t="s">
        <v>118</v>
      </c>
      <c r="GC15" s="36" t="s">
        <v>119</v>
      </c>
      <c r="GD15" s="36" t="s">
        <v>120</v>
      </c>
      <c r="GE15" s="36" t="s">
        <v>121</v>
      </c>
      <c r="GF15" s="36" t="s">
        <v>122</v>
      </c>
      <c r="GG15" s="36" t="s">
        <v>123</v>
      </c>
      <c r="GH15" s="36" t="s">
        <v>124</v>
      </c>
      <c r="GI15" s="36" t="s">
        <v>125</v>
      </c>
      <c r="GJ15" s="36" t="s">
        <v>113</v>
      </c>
      <c r="GK15" s="36" t="s">
        <v>114</v>
      </c>
      <c r="GL15" s="36" t="s">
        <v>115</v>
      </c>
      <c r="GM15" s="36" t="s">
        <v>116</v>
      </c>
      <c r="GN15" s="36" t="s">
        <v>126</v>
      </c>
      <c r="GO15" s="36" t="s">
        <v>127</v>
      </c>
      <c r="GP15" s="36" t="s">
        <v>119</v>
      </c>
      <c r="GQ15" s="36" t="s">
        <v>120</v>
      </c>
      <c r="GR15" s="36" t="s">
        <v>121</v>
      </c>
      <c r="GS15" s="36" t="s">
        <v>122</v>
      </c>
      <c r="GT15" s="36" t="s">
        <v>123</v>
      </c>
      <c r="GU15" s="36" t="s">
        <v>124</v>
      </c>
      <c r="GV15" s="36" t="s">
        <v>125</v>
      </c>
      <c r="GW15" s="36" t="s">
        <v>113</v>
      </c>
      <c r="GX15" s="36" t="s">
        <v>114</v>
      </c>
      <c r="GY15" s="36" t="s">
        <v>115</v>
      </c>
      <c r="GZ15" s="36" t="s">
        <v>116</v>
      </c>
      <c r="HA15" s="36" t="s">
        <v>118</v>
      </c>
      <c r="HB15" s="36" t="s">
        <v>128</v>
      </c>
      <c r="HC15" s="36" t="s">
        <v>129</v>
      </c>
      <c r="HD15" s="36" t="s">
        <v>130</v>
      </c>
      <c r="HE15" s="36" t="s">
        <v>106</v>
      </c>
      <c r="HF15" s="36" t="s">
        <v>109</v>
      </c>
      <c r="HG15" s="36" t="s">
        <v>110</v>
      </c>
      <c r="HH15" s="36" t="s">
        <v>112</v>
      </c>
      <c r="HI15" s="36" t="s">
        <v>131</v>
      </c>
      <c r="HJ15" s="36" t="s">
        <v>132</v>
      </c>
      <c r="HK15" s="36" t="s">
        <v>133</v>
      </c>
      <c r="HL15" s="36" t="s">
        <v>134</v>
      </c>
      <c r="HM15" s="36" t="s">
        <v>118</v>
      </c>
      <c r="HN15" s="36" t="s">
        <v>128</v>
      </c>
      <c r="HO15" s="36" t="s">
        <v>129</v>
      </c>
      <c r="HP15" s="36" t="s">
        <v>130</v>
      </c>
      <c r="HQ15" s="36" t="s">
        <v>106</v>
      </c>
      <c r="HR15" s="36" t="s">
        <v>109</v>
      </c>
      <c r="HS15" s="36" t="s">
        <v>110</v>
      </c>
      <c r="HT15" s="36" t="s">
        <v>112</v>
      </c>
      <c r="HU15" s="36" t="s">
        <v>131</v>
      </c>
      <c r="HV15" s="36" t="s">
        <v>132</v>
      </c>
      <c r="HW15" s="36" t="s">
        <v>133</v>
      </c>
      <c r="HX15" s="36" t="s">
        <v>134</v>
      </c>
      <c r="HY15" s="36" t="s">
        <v>136</v>
      </c>
      <c r="HZ15" s="36" t="s">
        <v>136</v>
      </c>
    </row>
    <row r="16" spans="2:234" ht="15.75">
      <c r="B16" s="45"/>
      <c r="C16" s="47"/>
      <c r="D16" s="47"/>
      <c r="E16" s="47"/>
      <c r="F16" s="47"/>
      <c r="G16" s="47"/>
      <c r="H16" s="47"/>
      <c r="I16" s="28"/>
      <c r="J16" s="48"/>
      <c r="K16" s="49"/>
      <c r="L16" s="27"/>
      <c r="M16" s="27"/>
      <c r="N16" s="27"/>
      <c r="O16" s="27"/>
      <c r="P16" s="27"/>
      <c r="Q16" s="27"/>
      <c r="R16" s="27"/>
      <c r="S16" s="27"/>
      <c r="T16" s="27"/>
      <c r="U16" s="50"/>
      <c r="V16" s="50"/>
      <c r="W16" s="51"/>
      <c r="X16" s="52"/>
      <c r="Y16" s="9"/>
      <c r="Z16" s="9"/>
      <c r="AA16" s="9"/>
      <c r="AB16" s="9"/>
      <c r="AC16" s="9"/>
      <c r="AD16" s="9"/>
      <c r="AE16" s="9"/>
      <c r="AF16" s="9"/>
      <c r="AG16" s="9"/>
      <c r="AH16" s="50"/>
      <c r="AI16" s="51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50"/>
      <c r="AV16" s="53"/>
      <c r="AW16" s="13"/>
      <c r="AX16" s="27"/>
      <c r="AY16" s="13"/>
      <c r="AZ16" s="27"/>
      <c r="BA16" s="13"/>
      <c r="BB16" s="13"/>
      <c r="BC16" s="13"/>
      <c r="BD16" s="13"/>
      <c r="BE16" s="13"/>
      <c r="BF16" s="13"/>
      <c r="BG16" s="13"/>
      <c r="BH16" s="13"/>
      <c r="BI16" s="53"/>
      <c r="BJ16" s="13"/>
      <c r="BK16" s="27"/>
      <c r="BL16" s="13"/>
      <c r="BM16" s="27"/>
      <c r="BN16" s="13"/>
      <c r="BO16" s="13"/>
      <c r="BP16" s="13"/>
      <c r="BQ16" s="13"/>
      <c r="BR16" s="13"/>
      <c r="BS16" s="13"/>
      <c r="BT16" s="13"/>
      <c r="BU16" s="13"/>
      <c r="BV16" s="49"/>
      <c r="BW16" s="49"/>
      <c r="BX16" s="49"/>
      <c r="BY16" s="46"/>
      <c r="BZ16" s="46"/>
      <c r="CA16" s="46"/>
      <c r="CB16" s="46"/>
      <c r="CC16" s="46"/>
      <c r="CD16" s="46"/>
      <c r="CE16" s="46"/>
      <c r="CF16" s="46"/>
      <c r="CG16" s="46"/>
      <c r="CH16" s="49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7"/>
      <c r="DC16" s="47"/>
      <c r="DD16" s="47"/>
      <c r="DE16" s="46"/>
      <c r="DF16" s="53"/>
      <c r="DG16" s="53"/>
      <c r="DH16" s="53"/>
      <c r="DI16" s="53"/>
      <c r="DJ16" s="53"/>
      <c r="DK16" s="54"/>
      <c r="DL16" s="54"/>
      <c r="DM16" s="54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99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</row>
    <row r="17" spans="2:234" ht="15.75">
      <c r="B17" s="39"/>
      <c r="C17" s="36"/>
      <c r="D17" s="36"/>
      <c r="E17" s="40"/>
      <c r="F17" s="33"/>
      <c r="G17" s="33"/>
      <c r="H17" s="36"/>
      <c r="I17" s="34"/>
      <c r="J17" s="34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42"/>
      <c r="V17" s="56"/>
      <c r="W17" s="34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42"/>
      <c r="AI17" s="34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42"/>
      <c r="AV17" s="56"/>
      <c r="AW17" s="4"/>
      <c r="AX17" s="31"/>
      <c r="AY17" s="4"/>
      <c r="AZ17" s="31"/>
      <c r="BA17" s="4"/>
      <c r="BB17" s="4"/>
      <c r="BC17" s="4"/>
      <c r="BD17" s="4"/>
      <c r="BE17" s="4"/>
      <c r="BF17" s="4"/>
      <c r="BG17" s="4"/>
      <c r="BH17" s="4"/>
      <c r="BI17" s="56"/>
      <c r="BJ17" s="4"/>
      <c r="BK17" s="31"/>
      <c r="BL17" s="4"/>
      <c r="BM17" s="31"/>
      <c r="BN17" s="4"/>
      <c r="BO17" s="4"/>
      <c r="BP17" s="4"/>
      <c r="BQ17" s="4"/>
      <c r="BR17" s="4"/>
      <c r="BS17" s="4"/>
      <c r="BT17" s="4"/>
      <c r="BU17" s="4"/>
      <c r="BV17" s="40"/>
      <c r="BW17" s="40"/>
      <c r="BX17" s="40"/>
      <c r="BY17" s="36"/>
      <c r="BZ17" s="36"/>
      <c r="CA17" s="36"/>
      <c r="CB17" s="36"/>
      <c r="CC17" s="33"/>
      <c r="CD17" s="33"/>
      <c r="CE17" s="35"/>
      <c r="CF17" s="35"/>
      <c r="CG17" s="35"/>
      <c r="CH17" s="32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57"/>
      <c r="CW17" s="33"/>
      <c r="CX17" s="33"/>
      <c r="CY17" s="33"/>
      <c r="CZ17" s="33"/>
      <c r="DA17" s="33"/>
      <c r="DB17" s="35"/>
      <c r="DC17" s="35"/>
      <c r="DD17" s="35"/>
      <c r="DE17" s="33"/>
      <c r="DF17" s="20"/>
      <c r="DG17" s="20"/>
      <c r="DH17" s="20"/>
      <c r="DI17" s="20"/>
      <c r="DJ17" s="20"/>
      <c r="DK17" s="120"/>
      <c r="DL17" s="120"/>
      <c r="DM17" s="120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1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16"/>
      <c r="FG17" s="37"/>
      <c r="FH17" s="37"/>
      <c r="FI17" s="37"/>
      <c r="FJ17" s="37"/>
      <c r="FK17" s="37"/>
      <c r="FL17" s="37"/>
      <c r="FM17" s="121"/>
      <c r="FN17" s="37"/>
      <c r="FO17" s="115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144"/>
      <c r="HR17" s="37"/>
      <c r="HS17" s="37"/>
      <c r="HT17" s="37"/>
      <c r="HU17" s="37"/>
      <c r="HV17" s="37"/>
      <c r="HW17" s="37"/>
      <c r="HX17" s="37"/>
      <c r="HY17" s="37"/>
      <c r="HZ17" s="37"/>
    </row>
    <row r="18" spans="2:234" ht="15.75">
      <c r="B18" s="103" t="s">
        <v>56</v>
      </c>
      <c r="C18" s="58">
        <f aca="true" t="shared" si="0" ref="C18:H18">SUM(C20,C35)</f>
        <v>28246</v>
      </c>
      <c r="D18" s="58">
        <f t="shared" si="0"/>
        <v>26748</v>
      </c>
      <c r="E18" s="58">
        <f t="shared" si="0"/>
        <v>24559</v>
      </c>
      <c r="F18" s="58">
        <f t="shared" si="0"/>
        <v>21076</v>
      </c>
      <c r="G18" s="58">
        <f t="shared" si="0"/>
        <v>137146.40000000002</v>
      </c>
      <c r="H18" s="58">
        <f t="shared" si="0"/>
        <v>45419.6</v>
      </c>
      <c r="I18" s="59">
        <f aca="true" t="shared" si="1" ref="I18:BG18">SUM(I20,I35)</f>
        <v>2848</v>
      </c>
      <c r="J18" s="58">
        <f t="shared" si="1"/>
        <v>1381</v>
      </c>
      <c r="K18" s="58">
        <f t="shared" si="1"/>
        <v>1244</v>
      </c>
      <c r="L18" s="58">
        <f t="shared" si="1"/>
        <v>2864</v>
      </c>
      <c r="M18" s="58">
        <f t="shared" si="1"/>
        <v>970</v>
      </c>
      <c r="N18" s="58">
        <f t="shared" si="1"/>
        <v>4249</v>
      </c>
      <c r="O18" s="58">
        <f t="shared" si="1"/>
        <v>2946</v>
      </c>
      <c r="P18" s="58">
        <f t="shared" si="1"/>
        <v>1772</v>
      </c>
      <c r="Q18" s="58">
        <f t="shared" si="1"/>
        <v>1129</v>
      </c>
      <c r="R18" s="58">
        <f t="shared" si="1"/>
        <v>2747</v>
      </c>
      <c r="S18" s="58">
        <f t="shared" si="1"/>
        <v>2214</v>
      </c>
      <c r="T18" s="58">
        <f t="shared" si="1"/>
        <v>2348</v>
      </c>
      <c r="U18" s="58">
        <f>SUM(U20,U35)</f>
        <v>26748</v>
      </c>
      <c r="V18" s="58">
        <f t="shared" si="1"/>
        <v>1865</v>
      </c>
      <c r="W18" s="58">
        <f t="shared" si="1"/>
        <v>1860</v>
      </c>
      <c r="X18" s="58">
        <f t="shared" si="1"/>
        <v>1810</v>
      </c>
      <c r="Y18" s="58">
        <f t="shared" si="1"/>
        <v>3109</v>
      </c>
      <c r="Z18" s="58">
        <f t="shared" si="1"/>
        <v>1484</v>
      </c>
      <c r="AA18" s="58">
        <f t="shared" si="1"/>
        <v>3484</v>
      </c>
      <c r="AB18" s="58">
        <f t="shared" si="1"/>
        <v>2582</v>
      </c>
      <c r="AC18" s="58">
        <f t="shared" si="1"/>
        <v>2118</v>
      </c>
      <c r="AD18" s="58">
        <f t="shared" si="1"/>
        <v>2196</v>
      </c>
      <c r="AE18" s="58">
        <f t="shared" si="1"/>
        <v>1365</v>
      </c>
      <c r="AF18" s="58">
        <f t="shared" si="1"/>
        <v>1051</v>
      </c>
      <c r="AG18" s="58">
        <f t="shared" si="1"/>
        <v>1635</v>
      </c>
      <c r="AH18" s="58">
        <f>SUM(AH20,AH35)</f>
        <v>24559</v>
      </c>
      <c r="AI18" s="58">
        <f t="shared" si="1"/>
        <v>1668</v>
      </c>
      <c r="AJ18" s="58">
        <f t="shared" si="1"/>
        <v>1246</v>
      </c>
      <c r="AK18" s="58">
        <f t="shared" si="1"/>
        <v>2365</v>
      </c>
      <c r="AL18" s="58">
        <f t="shared" si="1"/>
        <v>2020</v>
      </c>
      <c r="AM18" s="58">
        <f t="shared" si="1"/>
        <v>2345</v>
      </c>
      <c r="AN18" s="58">
        <f t="shared" si="1"/>
        <v>1582</v>
      </c>
      <c r="AO18" s="58">
        <f t="shared" si="1"/>
        <v>1382</v>
      </c>
      <c r="AP18" s="58">
        <f t="shared" si="1"/>
        <v>1621</v>
      </c>
      <c r="AQ18" s="58">
        <f t="shared" si="1"/>
        <v>1515</v>
      </c>
      <c r="AR18" s="58">
        <f t="shared" si="1"/>
        <v>2685</v>
      </c>
      <c r="AS18" s="58">
        <f t="shared" si="1"/>
        <v>1001</v>
      </c>
      <c r="AT18" s="58">
        <f t="shared" si="1"/>
        <v>1646</v>
      </c>
      <c r="AU18" s="58">
        <f t="shared" si="1"/>
        <v>21076</v>
      </c>
      <c r="AV18" s="58">
        <f t="shared" si="1"/>
        <v>1313</v>
      </c>
      <c r="AW18" s="58">
        <f t="shared" si="1"/>
        <v>1771</v>
      </c>
      <c r="AX18" s="58">
        <f t="shared" si="1"/>
        <v>2365</v>
      </c>
      <c r="AY18" s="58">
        <f t="shared" si="1"/>
        <v>2721</v>
      </c>
      <c r="AZ18" s="58">
        <f t="shared" si="1"/>
        <v>2464</v>
      </c>
      <c r="BA18" s="58">
        <f t="shared" si="1"/>
        <v>2853</v>
      </c>
      <c r="BB18" s="58">
        <f t="shared" si="1"/>
        <v>2424.9999999999995</v>
      </c>
      <c r="BC18" s="58">
        <f t="shared" si="1"/>
        <v>3853.2</v>
      </c>
      <c r="BD18" s="58">
        <f t="shared" si="1"/>
        <v>2143.1000000000004</v>
      </c>
      <c r="BE18" s="58">
        <f t="shared" si="1"/>
        <v>3444.1000000000004</v>
      </c>
      <c r="BF18" s="58">
        <f t="shared" si="1"/>
        <v>106060</v>
      </c>
      <c r="BG18" s="58">
        <f t="shared" si="1"/>
        <v>5734</v>
      </c>
      <c r="BH18" s="58">
        <f>SUM(AV18:BG18)</f>
        <v>137146.4</v>
      </c>
      <c r="BI18" s="58">
        <f aca="true" t="shared" si="2" ref="BI18:BT18">SUM(BI20,BI35)</f>
        <v>6963</v>
      </c>
      <c r="BJ18" s="58">
        <f t="shared" si="2"/>
        <v>7035.8</v>
      </c>
      <c r="BK18" s="58">
        <f t="shared" si="2"/>
        <v>3178.7</v>
      </c>
      <c r="BL18" s="58">
        <f t="shared" si="2"/>
        <v>2171.9999999999995</v>
      </c>
      <c r="BM18" s="58">
        <f t="shared" si="2"/>
        <v>3534.8</v>
      </c>
      <c r="BN18" s="58">
        <f t="shared" si="2"/>
        <v>3190.199999999999</v>
      </c>
      <c r="BO18" s="58">
        <f t="shared" si="2"/>
        <v>4802.3</v>
      </c>
      <c r="BP18" s="58">
        <f>SUM(BP20,BP35)</f>
        <v>5667.5</v>
      </c>
      <c r="BQ18" s="58">
        <f>SUM(BQ20,BQ35)</f>
        <v>1944.4999999999977</v>
      </c>
      <c r="BR18" s="58">
        <f t="shared" si="2"/>
        <v>2075.8999999999996</v>
      </c>
      <c r="BS18" s="58">
        <f t="shared" si="2"/>
        <v>2694.2000000000035</v>
      </c>
      <c r="BT18" s="60">
        <f t="shared" si="2"/>
        <v>2160.599999999996</v>
      </c>
      <c r="BU18" s="60">
        <f>SUM(BI18:BT18)</f>
        <v>45419.50000000001</v>
      </c>
      <c r="BV18" s="58">
        <f aca="true" t="shared" si="3" ref="BV18:CD18">BV20+BV35</f>
        <v>13998.5</v>
      </c>
      <c r="BW18" s="58">
        <f t="shared" si="3"/>
        <v>17177.3</v>
      </c>
      <c r="BX18" s="58">
        <f t="shared" si="3"/>
        <v>19349.6</v>
      </c>
      <c r="BY18" s="58">
        <f t="shared" si="3"/>
        <v>22880.399999999998</v>
      </c>
      <c r="BZ18" s="58">
        <f t="shared" si="3"/>
        <v>26075</v>
      </c>
      <c r="CA18" s="58">
        <f t="shared" si="3"/>
        <v>30875.6</v>
      </c>
      <c r="CB18" s="58">
        <f t="shared" si="3"/>
        <v>36544.2</v>
      </c>
      <c r="CC18" s="58">
        <f t="shared" si="3"/>
        <v>38489.399999999994</v>
      </c>
      <c r="CD18" s="58">
        <f t="shared" si="3"/>
        <v>40336</v>
      </c>
      <c r="CE18" s="58">
        <f>CE20+CE35</f>
        <v>43258.799999999996</v>
      </c>
      <c r="CF18" s="58">
        <f>SUM(CF20,CF35)</f>
        <v>45419.7</v>
      </c>
      <c r="CG18" s="58">
        <v>25428</v>
      </c>
      <c r="CH18" s="60">
        <f>CH20+CH35</f>
        <v>26747.799999999996</v>
      </c>
      <c r="CI18" s="58">
        <f aca="true" t="shared" si="4" ref="CI18:EW18">CI20+CI35</f>
        <v>28480.5</v>
      </c>
      <c r="CJ18" s="141">
        <f t="shared" si="4"/>
        <v>29122.019000000004</v>
      </c>
      <c r="CK18" s="141">
        <f t="shared" si="4"/>
        <v>59434.061</v>
      </c>
      <c r="CL18" s="145">
        <f t="shared" si="4"/>
        <v>70972.67799999999</v>
      </c>
      <c r="CM18" s="145">
        <f>CM20+CM35</f>
        <v>73968.896</v>
      </c>
      <c r="CN18" s="145">
        <f>CN20+CN35</f>
        <v>99467.121</v>
      </c>
      <c r="CO18" s="145">
        <f>CO20+CO35</f>
        <v>70200.92100000002</v>
      </c>
      <c r="CP18" s="145">
        <f>CP20+CP35</f>
        <v>107263.34899999999</v>
      </c>
      <c r="CQ18" s="145">
        <f>CQ20+CQ35</f>
        <v>2008.9</v>
      </c>
      <c r="CR18" s="145">
        <f t="shared" si="4"/>
        <v>3868.9999999999995</v>
      </c>
      <c r="CS18" s="145">
        <f t="shared" si="4"/>
        <v>7117.6</v>
      </c>
      <c r="CT18" s="145">
        <f t="shared" si="4"/>
        <v>8469.9</v>
      </c>
      <c r="CU18" s="145">
        <f t="shared" si="4"/>
        <v>10721.6</v>
      </c>
      <c r="CV18" s="145">
        <f t="shared" si="4"/>
        <v>12901.5</v>
      </c>
      <c r="CW18" s="145">
        <f t="shared" si="4"/>
        <v>15164.5</v>
      </c>
      <c r="CX18" s="145">
        <f t="shared" si="4"/>
        <v>17906.1</v>
      </c>
      <c r="CY18" s="145">
        <f t="shared" si="4"/>
        <v>20471.4</v>
      </c>
      <c r="CZ18" s="145">
        <f t="shared" si="4"/>
        <v>21929.8</v>
      </c>
      <c r="DA18" s="145">
        <f t="shared" si="4"/>
        <v>23756.699999999997</v>
      </c>
      <c r="DB18" s="145">
        <f t="shared" si="4"/>
        <v>25428</v>
      </c>
      <c r="DC18" s="145">
        <f t="shared" si="4"/>
        <v>2549.9</v>
      </c>
      <c r="DD18" s="145">
        <f t="shared" si="4"/>
        <v>4621.6</v>
      </c>
      <c r="DE18" s="145">
        <f t="shared" si="4"/>
        <v>6786.199999999999</v>
      </c>
      <c r="DF18" s="145">
        <f t="shared" si="4"/>
        <v>9063.1</v>
      </c>
      <c r="DG18" s="145">
        <f t="shared" si="4"/>
        <v>10734.2</v>
      </c>
      <c r="DH18" s="145">
        <f t="shared" si="4"/>
        <v>12400.199999999999</v>
      </c>
      <c r="DI18" s="145">
        <f t="shared" si="4"/>
        <v>13636</v>
      </c>
      <c r="DJ18" s="145">
        <f t="shared" si="4"/>
        <v>16477</v>
      </c>
      <c r="DK18" s="145">
        <f t="shared" si="4"/>
        <v>19710.3</v>
      </c>
      <c r="DL18" s="145">
        <f t="shared" si="4"/>
        <v>21831.199999999997</v>
      </c>
      <c r="DM18" s="145">
        <f t="shared" si="4"/>
        <v>23443.6</v>
      </c>
      <c r="DN18" s="145">
        <f t="shared" si="4"/>
        <v>26747.799999999996</v>
      </c>
      <c r="DO18" s="145">
        <f t="shared" si="4"/>
        <v>1953.2</v>
      </c>
      <c r="DP18" s="145">
        <f t="shared" si="4"/>
        <v>5436.299999999999</v>
      </c>
      <c r="DQ18" s="145">
        <f t="shared" si="4"/>
        <v>9391.4</v>
      </c>
      <c r="DR18" s="145">
        <f t="shared" si="4"/>
        <v>11371.700000000003</v>
      </c>
      <c r="DS18" s="145">
        <f t="shared" si="4"/>
        <v>13106.8</v>
      </c>
      <c r="DT18" s="145">
        <f t="shared" si="4"/>
        <v>14430.900000000001</v>
      </c>
      <c r="DU18" s="145">
        <f t="shared" si="4"/>
        <v>17461.899999999998</v>
      </c>
      <c r="DV18" s="145">
        <f t="shared" si="4"/>
        <v>19422.600000000002</v>
      </c>
      <c r="DW18" s="145">
        <f t="shared" si="4"/>
        <v>21542.499999999996</v>
      </c>
      <c r="DX18" s="145">
        <f t="shared" si="4"/>
        <v>22848.2</v>
      </c>
      <c r="DY18" s="145">
        <f t="shared" si="4"/>
        <v>25571.5</v>
      </c>
      <c r="DZ18" s="145">
        <f t="shared" si="4"/>
        <v>2909</v>
      </c>
      <c r="EA18" s="145">
        <f t="shared" si="4"/>
        <v>28480.5</v>
      </c>
      <c r="EB18" s="145">
        <f t="shared" si="4"/>
        <v>1922</v>
      </c>
      <c r="EC18" s="145">
        <f t="shared" si="4"/>
        <v>1756</v>
      </c>
      <c r="ED18" s="145">
        <f t="shared" si="4"/>
        <v>2796</v>
      </c>
      <c r="EE18" s="145">
        <f t="shared" si="4"/>
        <v>2642</v>
      </c>
      <c r="EF18" s="145">
        <f t="shared" si="4"/>
        <v>1950.3490000000004</v>
      </c>
      <c r="EG18" s="145">
        <f t="shared" si="4"/>
        <v>1506.731</v>
      </c>
      <c r="EH18" s="145">
        <f t="shared" si="4"/>
        <v>1991</v>
      </c>
      <c r="EI18" s="145">
        <f t="shared" si="4"/>
        <v>2298.2000000000003</v>
      </c>
      <c r="EJ18" s="145">
        <f t="shared" si="4"/>
        <v>1604.3329999999999</v>
      </c>
      <c r="EK18" s="145">
        <f t="shared" si="4"/>
        <v>3391.2380000000003</v>
      </c>
      <c r="EL18" s="145">
        <f t="shared" si="4"/>
        <v>4114.138000000001</v>
      </c>
      <c r="EM18" s="145">
        <f t="shared" si="4"/>
        <v>3150.0299999999997</v>
      </c>
      <c r="EN18" s="145">
        <f t="shared" si="4"/>
        <v>29122.019000000004</v>
      </c>
      <c r="EO18" s="145">
        <f t="shared" si="4"/>
        <v>2474.2</v>
      </c>
      <c r="EP18" s="145">
        <f t="shared" si="4"/>
        <v>4909</v>
      </c>
      <c r="EQ18" s="145">
        <f t="shared" si="4"/>
        <v>3546.1</v>
      </c>
      <c r="ER18" s="145">
        <f t="shared" si="4"/>
        <v>6957.605</v>
      </c>
      <c r="ES18" s="145">
        <f t="shared" si="4"/>
        <v>4085.9</v>
      </c>
      <c r="ET18" s="145">
        <f t="shared" si="4"/>
        <v>4710.6</v>
      </c>
      <c r="EU18" s="145">
        <f t="shared" si="4"/>
        <v>4206.599999999999</v>
      </c>
      <c r="EV18" s="145">
        <f t="shared" si="4"/>
        <v>7725.5</v>
      </c>
      <c r="EW18" s="145">
        <f t="shared" si="4"/>
        <v>5168.511</v>
      </c>
      <c r="EX18" s="145">
        <f aca="true" t="shared" si="5" ref="EX18:GM18">EX20+EX35</f>
        <v>2867.545</v>
      </c>
      <c r="EY18" s="145">
        <f t="shared" si="5"/>
        <v>5378.900000000001</v>
      </c>
      <c r="EZ18" s="145">
        <f t="shared" si="5"/>
        <v>7403.6</v>
      </c>
      <c r="FA18" s="145">
        <f t="shared" si="5"/>
        <v>59434.061</v>
      </c>
      <c r="FB18" s="145">
        <f t="shared" si="5"/>
        <v>8069.152</v>
      </c>
      <c r="FC18" s="145">
        <f t="shared" si="5"/>
        <v>3268.5780000000004</v>
      </c>
      <c r="FD18" s="145">
        <f t="shared" si="5"/>
        <v>3530.807</v>
      </c>
      <c r="FE18" s="145">
        <f t="shared" si="5"/>
        <v>7075.240000000002</v>
      </c>
      <c r="FF18" s="145">
        <f t="shared" si="5"/>
        <v>7550.879</v>
      </c>
      <c r="FG18" s="145">
        <f t="shared" si="5"/>
        <v>5348.5</v>
      </c>
      <c r="FH18" s="145">
        <f t="shared" si="5"/>
        <v>5546.797</v>
      </c>
      <c r="FI18" s="145">
        <f t="shared" si="5"/>
        <v>4642.58</v>
      </c>
      <c r="FJ18" s="145">
        <f t="shared" si="5"/>
        <v>6558.625</v>
      </c>
      <c r="FK18" s="145">
        <f t="shared" si="5"/>
        <v>6817.419999999998</v>
      </c>
      <c r="FL18" s="145">
        <f t="shared" si="5"/>
        <v>5662.349</v>
      </c>
      <c r="FM18" s="145">
        <f t="shared" si="5"/>
        <v>6901.751</v>
      </c>
      <c r="FN18" s="145">
        <f t="shared" si="5"/>
        <v>70972.67799999999</v>
      </c>
      <c r="FO18" s="145">
        <f t="shared" si="5"/>
        <v>5807.0960000000005</v>
      </c>
      <c r="FP18" s="145">
        <f t="shared" si="5"/>
        <v>8375.402</v>
      </c>
      <c r="FQ18" s="145">
        <f t="shared" si="5"/>
        <v>5138.504</v>
      </c>
      <c r="FR18" s="145">
        <f t="shared" si="5"/>
        <v>8307.188999999998</v>
      </c>
      <c r="FS18" s="145">
        <f t="shared" si="5"/>
        <v>4620.101000000001</v>
      </c>
      <c r="FT18" s="145">
        <f t="shared" si="5"/>
        <v>5747.5</v>
      </c>
      <c r="FU18" s="145">
        <f t="shared" si="5"/>
        <v>2465.186</v>
      </c>
      <c r="FV18" s="145">
        <f t="shared" si="5"/>
        <v>2911.486</v>
      </c>
      <c r="FW18" s="145">
        <f t="shared" si="5"/>
        <v>4448.039</v>
      </c>
      <c r="FX18" s="145">
        <f t="shared" si="5"/>
        <v>6067.099999999999</v>
      </c>
      <c r="FY18" s="145">
        <f t="shared" si="5"/>
        <v>14677.193</v>
      </c>
      <c r="FZ18" s="145">
        <f t="shared" si="5"/>
        <v>5404.1</v>
      </c>
      <c r="GA18" s="145">
        <f t="shared" si="5"/>
        <v>73968.896</v>
      </c>
      <c r="GB18" s="145">
        <f t="shared" si="5"/>
        <v>10330.697</v>
      </c>
      <c r="GC18" s="145">
        <f t="shared" si="5"/>
        <v>6814.715999999999</v>
      </c>
      <c r="GD18" s="145">
        <f t="shared" si="5"/>
        <v>6237.5470000000005</v>
      </c>
      <c r="GE18" s="145">
        <f t="shared" si="5"/>
        <v>5148.565</v>
      </c>
      <c r="GF18" s="145">
        <f t="shared" si="5"/>
        <v>5111.322</v>
      </c>
      <c r="GG18" s="145">
        <f t="shared" si="5"/>
        <v>20753.189000000002</v>
      </c>
      <c r="GH18" s="145">
        <f t="shared" si="5"/>
        <v>2405.196</v>
      </c>
      <c r="GI18" s="145">
        <f t="shared" si="5"/>
        <v>7543.0689999999995</v>
      </c>
      <c r="GJ18" s="145">
        <f t="shared" si="5"/>
        <v>12663.403000000002</v>
      </c>
      <c r="GK18" s="145">
        <f t="shared" si="5"/>
        <v>6036.172</v>
      </c>
      <c r="GL18" s="145">
        <f t="shared" si="5"/>
        <v>8997.488</v>
      </c>
      <c r="GM18" s="145">
        <f t="shared" si="5"/>
        <v>7424.824</v>
      </c>
      <c r="GN18" s="145">
        <f aca="true" t="shared" si="6" ref="GN18:GZ18">GN20+GN35</f>
        <v>99466.188</v>
      </c>
      <c r="GO18" s="145">
        <f t="shared" si="6"/>
        <v>6797.217</v>
      </c>
      <c r="GP18" s="145">
        <f t="shared" si="6"/>
        <v>8783.621000000001</v>
      </c>
      <c r="GQ18" s="145">
        <f t="shared" si="6"/>
        <v>8883.991</v>
      </c>
      <c r="GR18" s="145">
        <f t="shared" si="6"/>
        <v>8521.345000000001</v>
      </c>
      <c r="GS18" s="145">
        <f t="shared" si="6"/>
        <v>3698.267999999999</v>
      </c>
      <c r="GT18" s="145">
        <f t="shared" si="6"/>
        <v>7909.038</v>
      </c>
      <c r="GU18" s="145">
        <f t="shared" si="6"/>
        <v>8485.621</v>
      </c>
      <c r="GV18" s="145">
        <f t="shared" si="6"/>
        <v>3938.812</v>
      </c>
      <c r="GW18" s="145">
        <f t="shared" si="6"/>
        <v>2731.993</v>
      </c>
      <c r="GX18" s="145">
        <f t="shared" si="6"/>
        <v>7760.183999999999</v>
      </c>
      <c r="GY18" s="145">
        <f t="shared" si="6"/>
        <v>7731.051</v>
      </c>
      <c r="GZ18" s="145">
        <f t="shared" si="6"/>
        <v>11203.055</v>
      </c>
      <c r="HA18" s="145">
        <f aca="true" t="shared" si="7" ref="HA18:HZ18">HA20+HA35</f>
        <v>6102.925000000001</v>
      </c>
      <c r="HB18" s="145">
        <f t="shared" si="7"/>
        <v>15430.292</v>
      </c>
      <c r="HC18" s="145">
        <f t="shared" si="7"/>
        <v>2533.5860000000002</v>
      </c>
      <c r="HD18" s="145">
        <f t="shared" si="7"/>
        <v>5675.022999999999</v>
      </c>
      <c r="HE18" s="145">
        <f t="shared" si="7"/>
        <v>6153.535999999999</v>
      </c>
      <c r="HF18" s="145">
        <f t="shared" si="7"/>
        <v>18365.126</v>
      </c>
      <c r="HG18" s="145">
        <f t="shared" si="7"/>
        <v>4921.245999999999</v>
      </c>
      <c r="HH18" s="145">
        <f t="shared" si="7"/>
        <v>8387.436</v>
      </c>
      <c r="HI18" s="145">
        <f t="shared" si="7"/>
        <v>12271.596000000001</v>
      </c>
      <c r="HJ18" s="145">
        <f t="shared" si="7"/>
        <v>7102.058999999999</v>
      </c>
      <c r="HK18" s="145">
        <f t="shared" si="7"/>
        <v>5791.602000000001</v>
      </c>
      <c r="HL18" s="145">
        <f t="shared" si="7"/>
        <v>14528.921999999999</v>
      </c>
      <c r="HM18" s="145">
        <f t="shared" si="7"/>
        <v>6220.195</v>
      </c>
      <c r="HN18" s="145">
        <f t="shared" si="7"/>
        <v>4134.452</v>
      </c>
      <c r="HO18" s="145">
        <f t="shared" si="7"/>
        <v>5461.11</v>
      </c>
      <c r="HP18" s="145">
        <f t="shared" si="7"/>
        <v>3379.1289999999995</v>
      </c>
      <c r="HQ18" s="143">
        <f t="shared" si="7"/>
        <v>11128.392</v>
      </c>
      <c r="HR18" s="145">
        <f t="shared" si="7"/>
        <v>9010.220000000001</v>
      </c>
      <c r="HS18" s="145">
        <f t="shared" si="7"/>
        <v>5586.432</v>
      </c>
      <c r="HT18" s="145">
        <f t="shared" si="7"/>
        <v>9735.854</v>
      </c>
      <c r="HU18" s="145">
        <f t="shared" si="7"/>
        <v>0</v>
      </c>
      <c r="HV18" s="145">
        <f t="shared" si="7"/>
        <v>0</v>
      </c>
      <c r="HW18" s="145">
        <f t="shared" si="7"/>
        <v>0</v>
      </c>
      <c r="HX18" s="145">
        <f t="shared" si="7"/>
        <v>0</v>
      </c>
      <c r="HY18" s="145">
        <f t="shared" si="7"/>
        <v>67569.17</v>
      </c>
      <c r="HZ18" s="145">
        <f t="shared" si="7"/>
        <v>54655.784</v>
      </c>
    </row>
    <row r="19" spans="2:234" ht="15.75">
      <c r="B19" s="103"/>
      <c r="C19" s="58"/>
      <c r="D19" s="62"/>
      <c r="E19" s="63"/>
      <c r="F19" s="62"/>
      <c r="G19" s="62"/>
      <c r="H19" s="62"/>
      <c r="I19" s="59"/>
      <c r="J19" s="64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/>
      <c r="V19" s="65"/>
      <c r="W19" s="64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58"/>
      <c r="AI19" s="64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58"/>
      <c r="AV19" s="65"/>
      <c r="AW19" s="66"/>
      <c r="AX19" s="67"/>
      <c r="AY19" s="66"/>
      <c r="AZ19" s="67"/>
      <c r="BA19" s="66"/>
      <c r="BB19" s="66"/>
      <c r="BC19" s="66"/>
      <c r="BD19" s="66"/>
      <c r="BE19" s="66"/>
      <c r="BF19" s="68"/>
      <c r="BG19" s="68"/>
      <c r="BH19" s="58"/>
      <c r="BI19" s="69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0"/>
      <c r="BV19" s="63"/>
      <c r="BW19" s="62"/>
      <c r="BX19" s="61"/>
      <c r="BY19" s="61"/>
      <c r="BZ19" s="58"/>
      <c r="CA19" s="58"/>
      <c r="CB19" s="58"/>
      <c r="CC19" s="58"/>
      <c r="CD19" s="58"/>
      <c r="CE19" s="58"/>
      <c r="CF19" s="58"/>
      <c r="CG19" s="58"/>
      <c r="CH19" s="72"/>
      <c r="CI19" s="42"/>
      <c r="CJ19" s="141"/>
      <c r="CK19" s="141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98"/>
      <c r="HR19" s="145"/>
      <c r="HS19" s="145"/>
      <c r="HT19" s="145"/>
      <c r="HU19" s="145"/>
      <c r="HV19" s="145"/>
      <c r="HW19" s="145"/>
      <c r="HX19" s="145"/>
      <c r="HY19" s="145"/>
      <c r="HZ19" s="145"/>
    </row>
    <row r="20" spans="2:234" ht="15.75">
      <c r="B20" s="111" t="s">
        <v>107</v>
      </c>
      <c r="C20" s="58">
        <f aca="true" t="shared" si="8" ref="C20:H20">SUM(C22:C33)</f>
        <v>21393</v>
      </c>
      <c r="D20" s="58">
        <f t="shared" si="8"/>
        <v>23936</v>
      </c>
      <c r="E20" s="58">
        <f t="shared" si="8"/>
        <v>21163</v>
      </c>
      <c r="F20" s="58">
        <f t="shared" si="8"/>
        <v>19619</v>
      </c>
      <c r="G20" s="58">
        <f t="shared" si="8"/>
        <v>134281.2</v>
      </c>
      <c r="H20" s="58">
        <f t="shared" si="8"/>
        <v>41829</v>
      </c>
      <c r="I20" s="59">
        <f aca="true" t="shared" si="9" ref="I20:T20">SUM(I22:I33)</f>
        <v>2387</v>
      </c>
      <c r="J20" s="58">
        <f t="shared" si="9"/>
        <v>1332</v>
      </c>
      <c r="K20" s="58">
        <f t="shared" si="9"/>
        <v>1170</v>
      </c>
      <c r="L20" s="58">
        <f t="shared" si="9"/>
        <v>2714</v>
      </c>
      <c r="M20" s="58">
        <f t="shared" si="9"/>
        <v>964</v>
      </c>
      <c r="N20" s="58">
        <f t="shared" si="9"/>
        <v>3821</v>
      </c>
      <c r="O20" s="58">
        <f t="shared" si="9"/>
        <v>2771</v>
      </c>
      <c r="P20" s="58">
        <f t="shared" si="9"/>
        <v>1557</v>
      </c>
      <c r="Q20" s="58">
        <f t="shared" si="9"/>
        <v>1096</v>
      </c>
      <c r="R20" s="58">
        <f t="shared" si="9"/>
        <v>2033</v>
      </c>
      <c r="S20" s="58">
        <f t="shared" si="9"/>
        <v>1971</v>
      </c>
      <c r="T20" s="58">
        <f t="shared" si="9"/>
        <v>2120</v>
      </c>
      <c r="U20" s="60">
        <f>SUM(U22:U33)</f>
        <v>23936</v>
      </c>
      <c r="V20" s="58">
        <f>SUM(V22:V33)</f>
        <v>1567</v>
      </c>
      <c r="W20" s="58">
        <f aca="true" t="shared" si="10" ref="W20:AT20">SUM(W22:W33)</f>
        <v>1849</v>
      </c>
      <c r="X20" s="58">
        <f t="shared" si="10"/>
        <v>1548</v>
      </c>
      <c r="Y20" s="58">
        <f t="shared" si="10"/>
        <v>1830</v>
      </c>
      <c r="Z20" s="58">
        <f t="shared" si="10"/>
        <v>1222</v>
      </c>
      <c r="AA20" s="58">
        <f t="shared" si="10"/>
        <v>3247</v>
      </c>
      <c r="AB20" s="58">
        <f t="shared" si="10"/>
        <v>2515</v>
      </c>
      <c r="AC20" s="58">
        <f t="shared" si="10"/>
        <v>2116</v>
      </c>
      <c r="AD20" s="58">
        <f t="shared" si="10"/>
        <v>1538</v>
      </c>
      <c r="AE20" s="58">
        <f t="shared" si="10"/>
        <v>1277</v>
      </c>
      <c r="AF20" s="58">
        <f t="shared" si="10"/>
        <v>923</v>
      </c>
      <c r="AG20" s="58">
        <f t="shared" si="10"/>
        <v>1531</v>
      </c>
      <c r="AH20" s="58">
        <f t="shared" si="10"/>
        <v>21163</v>
      </c>
      <c r="AI20" s="58">
        <f t="shared" si="10"/>
        <v>1393</v>
      </c>
      <c r="AJ20" s="58">
        <f t="shared" si="10"/>
        <v>1056</v>
      </c>
      <c r="AK20" s="58">
        <f t="shared" si="10"/>
        <v>2313</v>
      </c>
      <c r="AL20" s="58">
        <f t="shared" si="10"/>
        <v>1927</v>
      </c>
      <c r="AM20" s="58">
        <f t="shared" si="10"/>
        <v>2231</v>
      </c>
      <c r="AN20" s="58">
        <f t="shared" si="10"/>
        <v>1510</v>
      </c>
      <c r="AO20" s="58">
        <f t="shared" si="10"/>
        <v>1131</v>
      </c>
      <c r="AP20" s="58">
        <f t="shared" si="10"/>
        <v>1513</v>
      </c>
      <c r="AQ20" s="58">
        <f t="shared" si="10"/>
        <v>1388</v>
      </c>
      <c r="AR20" s="58">
        <f t="shared" si="10"/>
        <v>2524</v>
      </c>
      <c r="AS20" s="58">
        <f t="shared" si="10"/>
        <v>993</v>
      </c>
      <c r="AT20" s="58">
        <f t="shared" si="10"/>
        <v>1640</v>
      </c>
      <c r="AU20" s="58">
        <f aca="true" t="shared" si="11" ref="AU20:BG20">SUM(AU22:AU33)</f>
        <v>19619</v>
      </c>
      <c r="AV20" s="58">
        <f t="shared" si="11"/>
        <v>1234</v>
      </c>
      <c r="AW20" s="58">
        <f t="shared" si="11"/>
        <v>1700</v>
      </c>
      <c r="AX20" s="58">
        <f t="shared" si="11"/>
        <v>2313</v>
      </c>
      <c r="AY20" s="58">
        <f t="shared" si="11"/>
        <v>2471</v>
      </c>
      <c r="AZ20" s="58">
        <f t="shared" si="11"/>
        <v>2333</v>
      </c>
      <c r="BA20" s="58">
        <f t="shared" si="11"/>
        <v>2457</v>
      </c>
      <c r="BB20" s="58">
        <f t="shared" si="11"/>
        <v>2259.7999999999997</v>
      </c>
      <c r="BC20" s="58">
        <f t="shared" si="11"/>
        <v>3094.9</v>
      </c>
      <c r="BD20" s="58">
        <f t="shared" si="11"/>
        <v>1807.4000000000003</v>
      </c>
      <c r="BE20" s="58">
        <f t="shared" si="11"/>
        <v>3324.5000000000005</v>
      </c>
      <c r="BF20" s="58">
        <f t="shared" si="11"/>
        <v>105789.6</v>
      </c>
      <c r="BG20" s="58">
        <f t="shared" si="11"/>
        <v>5497</v>
      </c>
      <c r="BH20" s="58">
        <f>SUM(AV20:BG20)</f>
        <v>134281.2</v>
      </c>
      <c r="BI20" s="58">
        <f aca="true" t="shared" si="12" ref="BI20:BT20">SUM(BI22:BI33)</f>
        <v>6812</v>
      </c>
      <c r="BJ20" s="58">
        <f t="shared" si="12"/>
        <v>6796.6</v>
      </c>
      <c r="BK20" s="58">
        <f t="shared" si="12"/>
        <v>2930.7999999999997</v>
      </c>
      <c r="BL20" s="58">
        <f t="shared" si="12"/>
        <v>2134.8999999999996</v>
      </c>
      <c r="BM20" s="58">
        <f t="shared" si="12"/>
        <v>2932.8</v>
      </c>
      <c r="BN20" s="58">
        <f t="shared" si="12"/>
        <v>3008.199999999999</v>
      </c>
      <c r="BO20" s="58">
        <f t="shared" si="12"/>
        <v>3336.6000000000004</v>
      </c>
      <c r="BP20" s="58">
        <f t="shared" si="12"/>
        <v>5596.5</v>
      </c>
      <c r="BQ20" s="58">
        <f t="shared" si="12"/>
        <v>1881.4999999999977</v>
      </c>
      <c r="BR20" s="58">
        <f t="shared" si="12"/>
        <v>1994.8999999999999</v>
      </c>
      <c r="BS20" s="58">
        <f t="shared" si="12"/>
        <v>2456.2000000000035</v>
      </c>
      <c r="BT20" s="60">
        <f t="shared" si="12"/>
        <v>1947.5999999999958</v>
      </c>
      <c r="BU20" s="60">
        <f>SUM(BI20:BT20)</f>
        <v>41828.600000000006</v>
      </c>
      <c r="BV20" s="58">
        <f aca="true" t="shared" si="13" ref="BV20:CD20">SUM(BV22:BV33)</f>
        <v>13517.7</v>
      </c>
      <c r="BW20" s="58">
        <f t="shared" si="13"/>
        <v>16539</v>
      </c>
      <c r="BX20" s="58">
        <f t="shared" si="13"/>
        <v>18674.3</v>
      </c>
      <c r="BY20" s="58">
        <f t="shared" si="13"/>
        <v>21607.1</v>
      </c>
      <c r="BZ20" s="58">
        <f t="shared" si="13"/>
        <v>24615.2</v>
      </c>
      <c r="CA20" s="58">
        <f t="shared" si="13"/>
        <v>27949.8</v>
      </c>
      <c r="CB20" s="58">
        <f t="shared" si="13"/>
        <v>33548.5</v>
      </c>
      <c r="CC20" s="58">
        <f t="shared" si="13"/>
        <v>35430.299999999996</v>
      </c>
      <c r="CD20" s="58">
        <f t="shared" si="13"/>
        <v>37424.5</v>
      </c>
      <c r="CE20" s="58">
        <f>SUM(CE22:CE33)</f>
        <v>39881.1</v>
      </c>
      <c r="CF20" s="58">
        <f>SUM(CF22:CF33)</f>
        <v>41828.6</v>
      </c>
      <c r="CG20" s="58">
        <v>23036.4</v>
      </c>
      <c r="CH20" s="60">
        <f>SUM(CH22:CH33)</f>
        <v>25877.699999999997</v>
      </c>
      <c r="CI20" s="58">
        <f aca="true" t="shared" si="14" ref="CI20:EW20">SUM(CI22:CI33)</f>
        <v>26357.3</v>
      </c>
      <c r="CJ20" s="141">
        <f t="shared" si="14"/>
        <v>24263.627000000004</v>
      </c>
      <c r="CK20" s="141">
        <f t="shared" si="14"/>
        <v>48963.667</v>
      </c>
      <c r="CL20" s="145">
        <f t="shared" si="14"/>
        <v>48486.01499999999</v>
      </c>
      <c r="CM20" s="145">
        <f>SUM(CM22:CM33)</f>
        <v>42769.37499999999</v>
      </c>
      <c r="CN20" s="145">
        <f>SUM(CN22:CN33)</f>
        <v>39707.201</v>
      </c>
      <c r="CO20" s="145">
        <f>SUM(CO22:CO33)</f>
        <v>41869.45900000001</v>
      </c>
      <c r="CP20" s="145">
        <f>SUM(CP22:CP33)</f>
        <v>83074.27999999998</v>
      </c>
      <c r="CQ20" s="145">
        <f>SUM(CQ22:CQ33)</f>
        <v>1836.4</v>
      </c>
      <c r="CR20" s="145">
        <f t="shared" si="14"/>
        <v>3104.9999999999995</v>
      </c>
      <c r="CS20" s="145">
        <f t="shared" si="14"/>
        <v>5087</v>
      </c>
      <c r="CT20" s="145">
        <f t="shared" si="14"/>
        <v>6389.9</v>
      </c>
      <c r="CU20" s="145">
        <f t="shared" si="14"/>
        <v>8598.6</v>
      </c>
      <c r="CV20" s="145">
        <f t="shared" si="14"/>
        <v>10700.8</v>
      </c>
      <c r="CW20" s="145">
        <f t="shared" si="14"/>
        <v>12835.3</v>
      </c>
      <c r="CX20" s="145">
        <f t="shared" si="14"/>
        <v>15445.3</v>
      </c>
      <c r="CY20" s="145">
        <f t="shared" si="14"/>
        <v>17877.100000000002</v>
      </c>
      <c r="CZ20" s="145">
        <f t="shared" si="14"/>
        <v>19577.8</v>
      </c>
      <c r="DA20" s="145">
        <f t="shared" si="14"/>
        <v>21380.6</v>
      </c>
      <c r="DB20" s="145">
        <f t="shared" si="14"/>
        <v>23036.4</v>
      </c>
      <c r="DC20" s="145">
        <f t="shared" si="14"/>
        <v>2120.3</v>
      </c>
      <c r="DD20" s="145">
        <f t="shared" si="14"/>
        <v>4157.3</v>
      </c>
      <c r="DE20" s="145">
        <f t="shared" si="14"/>
        <v>6311.499999999999</v>
      </c>
      <c r="DF20" s="145">
        <f t="shared" si="14"/>
        <v>8514.1</v>
      </c>
      <c r="DG20" s="145">
        <f t="shared" si="14"/>
        <v>10115.300000000001</v>
      </c>
      <c r="DH20" s="145">
        <f t="shared" si="14"/>
        <v>11667.4</v>
      </c>
      <c r="DI20" s="145">
        <f t="shared" si="14"/>
        <v>12895</v>
      </c>
      <c r="DJ20" s="145">
        <f t="shared" si="14"/>
        <v>15697.699999999999</v>
      </c>
      <c r="DK20" s="145">
        <f t="shared" si="14"/>
        <v>18890.1</v>
      </c>
      <c r="DL20" s="145">
        <f t="shared" si="14"/>
        <v>21007.1</v>
      </c>
      <c r="DM20" s="145">
        <f t="shared" si="14"/>
        <v>22584.5</v>
      </c>
      <c r="DN20" s="145">
        <f t="shared" si="14"/>
        <v>25877.699999999997</v>
      </c>
      <c r="DO20" s="145">
        <f t="shared" si="14"/>
        <v>1928.8</v>
      </c>
      <c r="DP20" s="145">
        <f t="shared" si="14"/>
        <v>4976.9</v>
      </c>
      <c r="DQ20" s="145">
        <f t="shared" si="14"/>
        <v>8773.9</v>
      </c>
      <c r="DR20" s="145">
        <f t="shared" si="14"/>
        <v>10545.000000000002</v>
      </c>
      <c r="DS20" s="145">
        <f t="shared" si="14"/>
        <v>12174</v>
      </c>
      <c r="DT20" s="145">
        <f t="shared" si="14"/>
        <v>13471.7</v>
      </c>
      <c r="DU20" s="145">
        <f t="shared" si="14"/>
        <v>16249.699999999999</v>
      </c>
      <c r="DV20" s="145">
        <f t="shared" si="14"/>
        <v>18182.7</v>
      </c>
      <c r="DW20" s="145">
        <f t="shared" si="14"/>
        <v>20240.499999999996</v>
      </c>
      <c r="DX20" s="145">
        <f t="shared" si="14"/>
        <v>21530</v>
      </c>
      <c r="DY20" s="145">
        <f t="shared" si="14"/>
        <v>24019.3</v>
      </c>
      <c r="DZ20" s="145">
        <f t="shared" si="14"/>
        <v>2338</v>
      </c>
      <c r="EA20" s="145">
        <f t="shared" si="14"/>
        <v>26357.3</v>
      </c>
      <c r="EB20" s="145">
        <f t="shared" si="14"/>
        <v>1606</v>
      </c>
      <c r="EC20" s="145">
        <f t="shared" si="14"/>
        <v>1688</v>
      </c>
      <c r="ED20" s="145">
        <f t="shared" si="14"/>
        <v>2646</v>
      </c>
      <c r="EE20" s="145">
        <f t="shared" si="14"/>
        <v>1501</v>
      </c>
      <c r="EF20" s="145">
        <f t="shared" si="14"/>
        <v>1918.6850000000004</v>
      </c>
      <c r="EG20" s="145">
        <f t="shared" si="14"/>
        <v>1253.548</v>
      </c>
      <c r="EH20" s="145">
        <f t="shared" si="14"/>
        <v>1932</v>
      </c>
      <c r="EI20" s="145">
        <f t="shared" si="14"/>
        <v>2230.8</v>
      </c>
      <c r="EJ20" s="145">
        <f t="shared" si="14"/>
        <v>1454.6399999999999</v>
      </c>
      <c r="EK20" s="145">
        <f t="shared" si="14"/>
        <v>3335.0460000000003</v>
      </c>
      <c r="EL20" s="145">
        <f t="shared" si="14"/>
        <v>2544.1380000000004</v>
      </c>
      <c r="EM20" s="145">
        <f t="shared" si="14"/>
        <v>2153.77</v>
      </c>
      <c r="EN20" s="145">
        <f t="shared" si="14"/>
        <v>24263.627000000004</v>
      </c>
      <c r="EO20" s="145">
        <f t="shared" si="14"/>
        <v>2205.2</v>
      </c>
      <c r="EP20" s="145">
        <f t="shared" si="14"/>
        <v>4057</v>
      </c>
      <c r="EQ20" s="145">
        <f t="shared" si="14"/>
        <v>2503.1</v>
      </c>
      <c r="ER20" s="145">
        <f t="shared" si="14"/>
        <v>6556.143999999999</v>
      </c>
      <c r="ES20" s="145">
        <f t="shared" si="14"/>
        <v>3292.9</v>
      </c>
      <c r="ET20" s="145">
        <f t="shared" si="14"/>
        <v>3321.6000000000004</v>
      </c>
      <c r="EU20" s="145">
        <f t="shared" si="14"/>
        <v>3679.2</v>
      </c>
      <c r="EV20" s="145">
        <f t="shared" si="14"/>
        <v>5721.21</v>
      </c>
      <c r="EW20" s="145">
        <f t="shared" si="14"/>
        <v>4418.198</v>
      </c>
      <c r="EX20" s="145">
        <f aca="true" t="shared" si="15" ref="EX20:GM20">SUM(EX22:EX33)</f>
        <v>2574.1150000000002</v>
      </c>
      <c r="EY20" s="145">
        <f t="shared" si="15"/>
        <v>4706.1</v>
      </c>
      <c r="EZ20" s="145">
        <f t="shared" si="15"/>
        <v>5928.900000000001</v>
      </c>
      <c r="FA20" s="145">
        <f t="shared" si="15"/>
        <v>48963.667</v>
      </c>
      <c r="FB20" s="145">
        <f t="shared" si="15"/>
        <v>5534.4800000000005</v>
      </c>
      <c r="FC20" s="145">
        <f t="shared" si="15"/>
        <v>2407.7680000000005</v>
      </c>
      <c r="FD20" s="145">
        <f t="shared" si="15"/>
        <v>2821.115</v>
      </c>
      <c r="FE20" s="145">
        <f t="shared" si="15"/>
        <v>5447.420000000001</v>
      </c>
      <c r="FF20" s="145">
        <f t="shared" si="15"/>
        <v>3467.031</v>
      </c>
      <c r="FG20" s="145">
        <f t="shared" si="15"/>
        <v>3104.1</v>
      </c>
      <c r="FH20" s="145">
        <f t="shared" si="15"/>
        <v>4662.427</v>
      </c>
      <c r="FI20" s="145">
        <f t="shared" si="15"/>
        <v>3896.7059999999997</v>
      </c>
      <c r="FJ20" s="145">
        <f t="shared" si="15"/>
        <v>3903.9250000000006</v>
      </c>
      <c r="FK20" s="145">
        <f t="shared" si="15"/>
        <v>5020.449999999999</v>
      </c>
      <c r="FL20" s="145">
        <f t="shared" si="15"/>
        <v>4383.475</v>
      </c>
      <c r="FM20" s="145">
        <f t="shared" si="15"/>
        <v>3837.118</v>
      </c>
      <c r="FN20" s="145">
        <f t="shared" si="15"/>
        <v>48486.01499999999</v>
      </c>
      <c r="FO20" s="145">
        <f t="shared" si="15"/>
        <v>1308.5990000000002</v>
      </c>
      <c r="FP20" s="145">
        <f t="shared" si="15"/>
        <v>3017.9930000000004</v>
      </c>
      <c r="FQ20" s="145">
        <f t="shared" si="15"/>
        <v>3053.4049999999997</v>
      </c>
      <c r="FR20" s="145">
        <f t="shared" si="15"/>
        <v>7850.330999999999</v>
      </c>
      <c r="FS20" s="145">
        <f t="shared" si="15"/>
        <v>4588.656000000001</v>
      </c>
      <c r="FT20" s="145">
        <f t="shared" si="15"/>
        <v>5516.9</v>
      </c>
      <c r="FU20" s="145">
        <f t="shared" si="15"/>
        <v>1575.219</v>
      </c>
      <c r="FV20" s="145">
        <f t="shared" si="15"/>
        <v>2456.089</v>
      </c>
      <c r="FW20" s="145">
        <f t="shared" si="15"/>
        <v>1739.327</v>
      </c>
      <c r="FX20" s="145">
        <f t="shared" si="15"/>
        <v>5201.9</v>
      </c>
      <c r="FY20" s="145">
        <f t="shared" si="15"/>
        <v>4930.856</v>
      </c>
      <c r="FZ20" s="145">
        <f t="shared" si="15"/>
        <v>1530.1000000000001</v>
      </c>
      <c r="GA20" s="145">
        <f t="shared" si="15"/>
        <v>42769.37499999999</v>
      </c>
      <c r="GB20" s="145">
        <f t="shared" si="15"/>
        <v>2723.2549999999997</v>
      </c>
      <c r="GC20" s="145">
        <f t="shared" si="15"/>
        <v>2515.191</v>
      </c>
      <c r="GD20" s="145">
        <f t="shared" si="15"/>
        <v>3922.0920000000006</v>
      </c>
      <c r="GE20" s="145">
        <f t="shared" si="15"/>
        <v>2998.2719999999995</v>
      </c>
      <c r="GF20" s="145">
        <f t="shared" si="15"/>
        <v>2960.0110000000004</v>
      </c>
      <c r="GG20" s="145">
        <f t="shared" si="15"/>
        <v>4483.614000000001</v>
      </c>
      <c r="GH20" s="145">
        <f t="shared" si="15"/>
        <v>1876.416</v>
      </c>
      <c r="GI20" s="145">
        <f t="shared" si="15"/>
        <v>4288.757</v>
      </c>
      <c r="GJ20" s="145">
        <f t="shared" si="15"/>
        <v>4532.347000000001</v>
      </c>
      <c r="GK20" s="145">
        <f t="shared" si="15"/>
        <v>2799.5119999999997</v>
      </c>
      <c r="GL20" s="145">
        <f t="shared" si="15"/>
        <v>2558.1949999999993</v>
      </c>
      <c r="GM20" s="145">
        <f t="shared" si="15"/>
        <v>4048.4799999999996</v>
      </c>
      <c r="GN20" s="145">
        <f aca="true" t="shared" si="16" ref="GN20:GZ20">SUM(GN22:GN33)</f>
        <v>39706.142</v>
      </c>
      <c r="GO20" s="145">
        <f t="shared" si="16"/>
        <v>3131.5779999999995</v>
      </c>
      <c r="GP20" s="145">
        <f t="shared" si="16"/>
        <v>3196.6630000000005</v>
      </c>
      <c r="GQ20" s="145">
        <f t="shared" si="16"/>
        <v>6640.371</v>
      </c>
      <c r="GR20" s="145">
        <f t="shared" si="16"/>
        <v>3481.9040000000005</v>
      </c>
      <c r="GS20" s="145">
        <f t="shared" si="16"/>
        <v>3351.5279999999993</v>
      </c>
      <c r="GT20" s="145">
        <f t="shared" si="16"/>
        <v>4630.456999999999</v>
      </c>
      <c r="GU20" s="145">
        <f t="shared" si="16"/>
        <v>3473.8300000000004</v>
      </c>
      <c r="GV20" s="145">
        <f t="shared" si="16"/>
        <v>3065.598</v>
      </c>
      <c r="GW20" s="145">
        <f t="shared" si="16"/>
        <v>2500.7</v>
      </c>
      <c r="GX20" s="145">
        <f t="shared" si="16"/>
        <v>3214.5869999999995</v>
      </c>
      <c r="GY20" s="145">
        <f t="shared" si="16"/>
        <v>1957.9000000000003</v>
      </c>
      <c r="GZ20" s="145">
        <f t="shared" si="16"/>
        <v>4184.342</v>
      </c>
      <c r="HA20" s="145">
        <f aca="true" t="shared" si="17" ref="HA20:HZ20">SUM(HA22:HA33)</f>
        <v>5916.920000000001</v>
      </c>
      <c r="HB20" s="145">
        <f t="shared" si="17"/>
        <v>14606.499</v>
      </c>
      <c r="HC20" s="145">
        <f t="shared" si="17"/>
        <v>2171.5640000000003</v>
      </c>
      <c r="HD20" s="145">
        <f t="shared" si="17"/>
        <v>2417.2439999999997</v>
      </c>
      <c r="HE20" s="145">
        <f t="shared" si="17"/>
        <v>4974.898999999999</v>
      </c>
      <c r="HF20" s="145">
        <f t="shared" si="17"/>
        <v>14933.689999999999</v>
      </c>
      <c r="HG20" s="145">
        <f t="shared" si="17"/>
        <v>2368.908</v>
      </c>
      <c r="HH20" s="145">
        <f t="shared" si="17"/>
        <v>7043.383</v>
      </c>
      <c r="HI20" s="145">
        <f t="shared" si="17"/>
        <v>9324.479000000001</v>
      </c>
      <c r="HJ20" s="145">
        <f t="shared" si="17"/>
        <v>3469.758</v>
      </c>
      <c r="HK20" s="145">
        <f t="shared" si="17"/>
        <v>4992.7480000000005</v>
      </c>
      <c r="HL20" s="145">
        <f t="shared" si="17"/>
        <v>10854.187999999998</v>
      </c>
      <c r="HM20" s="145">
        <f t="shared" si="17"/>
        <v>4769.939</v>
      </c>
      <c r="HN20" s="145">
        <f t="shared" si="17"/>
        <v>2776.308</v>
      </c>
      <c r="HO20" s="145">
        <f t="shared" si="17"/>
        <v>2325.4159999999997</v>
      </c>
      <c r="HP20" s="145">
        <f t="shared" si="17"/>
        <v>3023.8599999999997</v>
      </c>
      <c r="HQ20" s="143">
        <f t="shared" si="17"/>
        <v>6419.683000000001</v>
      </c>
      <c r="HR20" s="145">
        <f t="shared" si="17"/>
        <v>5718.120000000001</v>
      </c>
      <c r="HS20" s="145">
        <f t="shared" si="17"/>
        <v>1629.9819999999997</v>
      </c>
      <c r="HT20" s="145">
        <f t="shared" si="17"/>
        <v>5111.425</v>
      </c>
      <c r="HU20" s="145">
        <f t="shared" si="17"/>
        <v>0</v>
      </c>
      <c r="HV20" s="145">
        <f t="shared" si="17"/>
        <v>0</v>
      </c>
      <c r="HW20" s="145">
        <f t="shared" si="17"/>
        <v>0</v>
      </c>
      <c r="HX20" s="145">
        <f t="shared" si="17"/>
        <v>0</v>
      </c>
      <c r="HY20" s="145">
        <f t="shared" si="17"/>
        <v>54433.107</v>
      </c>
      <c r="HZ20" s="145">
        <f t="shared" si="17"/>
        <v>31774.733000000004</v>
      </c>
    </row>
    <row r="21" spans="2:234" ht="15.75">
      <c r="B21" s="104"/>
      <c r="C21" s="71"/>
      <c r="D21" s="42"/>
      <c r="E21" s="72"/>
      <c r="F21" s="42"/>
      <c r="G21" s="42"/>
      <c r="H21" s="42"/>
      <c r="I21" s="43"/>
      <c r="J21" s="43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42"/>
      <c r="V21" s="56"/>
      <c r="W21" s="43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71"/>
      <c r="AI21" s="43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71"/>
      <c r="AV21" s="56"/>
      <c r="AW21" s="4"/>
      <c r="AX21" s="31"/>
      <c r="AY21" s="4"/>
      <c r="AZ21" s="31"/>
      <c r="BA21" s="4"/>
      <c r="BB21" s="4"/>
      <c r="BC21" s="4"/>
      <c r="BD21" s="4"/>
      <c r="BE21" s="4"/>
      <c r="BF21" s="12"/>
      <c r="BG21" s="12"/>
      <c r="BH21" s="71"/>
      <c r="BI21" s="36"/>
      <c r="BJ21" s="4"/>
      <c r="BK21" s="31"/>
      <c r="BL21" s="4"/>
      <c r="BM21" s="31"/>
      <c r="BN21" s="4"/>
      <c r="BO21" s="4"/>
      <c r="BP21" s="4"/>
      <c r="BQ21" s="4"/>
      <c r="BR21" s="4"/>
      <c r="BS21" s="12"/>
      <c r="BT21" s="12"/>
      <c r="BU21" s="73"/>
      <c r="BV21" s="72"/>
      <c r="BW21" s="42"/>
      <c r="BX21" s="72"/>
      <c r="BY21" s="71"/>
      <c r="BZ21" s="71"/>
      <c r="CA21" s="71"/>
      <c r="CB21" s="71"/>
      <c r="CC21" s="71"/>
      <c r="CD21" s="71"/>
      <c r="CE21" s="43"/>
      <c r="CF21" s="43"/>
      <c r="CG21" s="43"/>
      <c r="CH21" s="72"/>
      <c r="CI21" s="42"/>
      <c r="CJ21" s="124"/>
      <c r="CK21" s="124"/>
      <c r="CL21" s="124"/>
      <c r="CM21" s="125"/>
      <c r="CN21" s="125"/>
      <c r="CO21" s="125"/>
      <c r="CP21" s="125"/>
      <c r="CQ21" s="125"/>
      <c r="CR21" s="124"/>
      <c r="CS21" s="124"/>
      <c r="CT21" s="124"/>
      <c r="CU21" s="124"/>
      <c r="CV21" s="125"/>
      <c r="CW21" s="124"/>
      <c r="CX21" s="124"/>
      <c r="CY21" s="124"/>
      <c r="CZ21" s="124"/>
      <c r="DA21" s="124"/>
      <c r="DB21" s="124"/>
      <c r="DC21" s="124"/>
      <c r="DD21" s="124"/>
      <c r="DE21" s="124"/>
      <c r="DF21" s="125"/>
      <c r="DG21" s="124"/>
      <c r="DH21" s="125"/>
      <c r="DI21" s="124"/>
      <c r="DJ21" s="125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5"/>
      <c r="ED21" s="125"/>
      <c r="EE21" s="125"/>
      <c r="EF21" s="125"/>
      <c r="EG21" s="125"/>
      <c r="EH21" s="125"/>
      <c r="EI21" s="125"/>
      <c r="EJ21" s="124"/>
      <c r="EK21" s="124"/>
      <c r="EL21" s="125"/>
      <c r="EM21" s="125"/>
      <c r="EN21" s="136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3"/>
      <c r="FC21" s="123"/>
      <c r="FD21" s="123"/>
      <c r="FE21" s="123"/>
      <c r="FF21" s="128"/>
      <c r="FG21" s="123"/>
      <c r="FH21" s="123"/>
      <c r="FI21" s="123"/>
      <c r="FJ21" s="123"/>
      <c r="FK21" s="123"/>
      <c r="FL21" s="123"/>
      <c r="FM21" s="123"/>
      <c r="FN21" s="123"/>
      <c r="FO21" s="129"/>
      <c r="FP21" s="126"/>
      <c r="FQ21" s="126"/>
      <c r="FR21" s="132"/>
      <c r="FS21" s="132"/>
      <c r="FT21" s="132"/>
      <c r="FU21" s="132"/>
      <c r="FV21" s="124"/>
      <c r="FW21" s="124"/>
      <c r="FX21" s="124"/>
      <c r="FY21" s="124"/>
      <c r="FZ21" s="124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98"/>
      <c r="HR21" s="123"/>
      <c r="HS21" s="123"/>
      <c r="HT21" s="123"/>
      <c r="HU21" s="123"/>
      <c r="HV21" s="123"/>
      <c r="HW21" s="123"/>
      <c r="HX21" s="123"/>
      <c r="HY21" s="124"/>
      <c r="HZ21" s="124"/>
    </row>
    <row r="22" spans="2:234" ht="15.75">
      <c r="B22" s="104" t="s">
        <v>57</v>
      </c>
      <c r="C22" s="71">
        <v>1262</v>
      </c>
      <c r="D22" s="42">
        <v>1611</v>
      </c>
      <c r="E22" s="72">
        <v>1447</v>
      </c>
      <c r="F22" s="42">
        <v>1368</v>
      </c>
      <c r="G22" s="42">
        <v>1830.5</v>
      </c>
      <c r="H22" s="42">
        <v>1717</v>
      </c>
      <c r="I22" s="43">
        <v>141</v>
      </c>
      <c r="J22" s="43">
        <v>256</v>
      </c>
      <c r="K22" s="15">
        <v>79</v>
      </c>
      <c r="L22" s="15">
        <v>64</v>
      </c>
      <c r="M22" s="15">
        <v>92</v>
      </c>
      <c r="N22" s="15">
        <v>61</v>
      </c>
      <c r="O22" s="15">
        <v>33</v>
      </c>
      <c r="P22" s="15">
        <v>330</v>
      </c>
      <c r="Q22" s="15">
        <v>165</v>
      </c>
      <c r="R22" s="15">
        <v>196</v>
      </c>
      <c r="S22" s="15">
        <v>148</v>
      </c>
      <c r="T22" s="15">
        <v>46</v>
      </c>
      <c r="U22" s="42">
        <f aca="true" t="shared" si="18" ref="U22:U30">+I22+J22+K22+L22+M22+N22+O22+P22+Q22+R22+S22+T22</f>
        <v>1611</v>
      </c>
      <c r="V22" s="56">
        <v>64</v>
      </c>
      <c r="W22" s="43">
        <v>73</v>
      </c>
      <c r="X22" s="15">
        <v>192</v>
      </c>
      <c r="Y22" s="15">
        <v>85</v>
      </c>
      <c r="Z22" s="15">
        <v>147</v>
      </c>
      <c r="AA22" s="15">
        <v>66</v>
      </c>
      <c r="AB22" s="15">
        <v>296</v>
      </c>
      <c r="AC22" s="15">
        <v>82</v>
      </c>
      <c r="AD22" s="15">
        <v>168</v>
      </c>
      <c r="AE22" s="15">
        <v>111</v>
      </c>
      <c r="AF22" s="15">
        <v>64</v>
      </c>
      <c r="AG22" s="15">
        <v>99</v>
      </c>
      <c r="AH22" s="71">
        <f aca="true" t="shared" si="19" ref="AH22:AH30">SUM(V22:AG22)</f>
        <v>1447</v>
      </c>
      <c r="AI22" s="43">
        <v>121</v>
      </c>
      <c r="AJ22" s="15">
        <v>75</v>
      </c>
      <c r="AK22" s="15">
        <v>214</v>
      </c>
      <c r="AL22" s="15">
        <v>76</v>
      </c>
      <c r="AM22" s="15">
        <v>85</v>
      </c>
      <c r="AN22" s="15">
        <v>31</v>
      </c>
      <c r="AO22" s="15">
        <v>124</v>
      </c>
      <c r="AP22" s="15">
        <v>261</v>
      </c>
      <c r="AQ22" s="15">
        <v>91</v>
      </c>
      <c r="AR22" s="15">
        <v>48</v>
      </c>
      <c r="AS22" s="15">
        <v>103</v>
      </c>
      <c r="AT22" s="15">
        <v>139</v>
      </c>
      <c r="AU22" s="71">
        <f aca="true" t="shared" si="20" ref="AU22:AU30">AI22+AJ22+AK22+AL22+AM22+AN22+AO22+AP22+AQ22+AR22+AS22+AT22</f>
        <v>1368</v>
      </c>
      <c r="AV22" s="42">
        <v>62</v>
      </c>
      <c r="AW22" s="15">
        <v>96</v>
      </c>
      <c r="AX22" s="31">
        <v>214</v>
      </c>
      <c r="AY22" s="15">
        <v>302</v>
      </c>
      <c r="AZ22" s="15">
        <v>85</v>
      </c>
      <c r="BA22" s="15">
        <v>346</v>
      </c>
      <c r="BB22" s="4">
        <v>34.8</v>
      </c>
      <c r="BC22" s="4">
        <v>119.2</v>
      </c>
      <c r="BD22" s="4">
        <v>127.6</v>
      </c>
      <c r="BE22" s="4">
        <v>195.5</v>
      </c>
      <c r="BF22" s="4">
        <v>178.4</v>
      </c>
      <c r="BG22" s="12">
        <v>70</v>
      </c>
      <c r="BH22" s="71">
        <f aca="true" t="shared" si="21" ref="BH22:BH30">SUM(AV22:BG22)</f>
        <v>1830.5</v>
      </c>
      <c r="BI22" s="36">
        <v>210</v>
      </c>
      <c r="BJ22" s="15">
        <f>350.6-BI22</f>
        <v>140.60000000000002</v>
      </c>
      <c r="BK22" s="15">
        <f>383.1-BI22-BJ22</f>
        <v>32.5</v>
      </c>
      <c r="BL22" s="15">
        <f>631.2-BJ22-BK22-BI22</f>
        <v>248.10000000000002</v>
      </c>
      <c r="BM22" s="15">
        <f>701.7-BK22-BL22-BJ22-BI22</f>
        <v>70.5</v>
      </c>
      <c r="BN22" s="15">
        <f>885.2-BL22-BM22-BK22-BJ22-BI22</f>
        <v>183.5</v>
      </c>
      <c r="BO22" s="15">
        <f aca="true" t="shared" si="22" ref="BO22:BO32">CA22-BN22-BM22-BL22-BK22-BJ22-BI22</f>
        <v>62.69999999999993</v>
      </c>
      <c r="BP22" s="15">
        <f aca="true" t="shared" si="23" ref="BP22:BP32">CB22-BO22-BN22-BM22-BL22-BK22-BJ22-BI22</f>
        <v>119.89999999999998</v>
      </c>
      <c r="BQ22" s="15">
        <f aca="true" t="shared" si="24" ref="BQ22:BQ32">CC22-BP22-BO22-BN22-BM22-BL22-BK22-BJ22-BI22</f>
        <v>91.50000000000011</v>
      </c>
      <c r="BR22" s="15">
        <f aca="true" t="shared" si="25" ref="BR22:BR32">CD22-BQ22-BP22-BO22-BN22-BM22-BL22-BK22-BJ22-BI22</f>
        <v>31.999999999999773</v>
      </c>
      <c r="BS22" s="15">
        <f aca="true" t="shared" si="26" ref="BS22:BS32">CE22-BR22-BQ22-BP22-BO22-BN22-BM22-BL22-BK22-BJ22-BI22</f>
        <v>206.20000000000005</v>
      </c>
      <c r="BT22" s="15">
        <f aca="true" t="shared" si="27" ref="BT22:BT33">CF22-BS22-BR22-BQ22-BP22-BO22-BN22-BM22-BL22-BK22-BJ22-BI22</f>
        <v>319.79999999999995</v>
      </c>
      <c r="BU22" s="73">
        <f aca="true" t="shared" si="28" ref="BU22:BU33">SUM(BI22:BT22)</f>
        <v>1717.3</v>
      </c>
      <c r="BV22" s="72">
        <v>350.6</v>
      </c>
      <c r="BW22" s="42">
        <v>383</v>
      </c>
      <c r="BX22" s="72">
        <v>631.2</v>
      </c>
      <c r="BY22" s="71">
        <v>701.7</v>
      </c>
      <c r="BZ22" s="71">
        <v>885.2</v>
      </c>
      <c r="CA22" s="71">
        <v>947.9</v>
      </c>
      <c r="CB22" s="71">
        <v>1067.8</v>
      </c>
      <c r="CC22" s="42">
        <v>1159.3</v>
      </c>
      <c r="CD22" s="42">
        <v>1191.3</v>
      </c>
      <c r="CE22" s="43">
        <v>1397.5</v>
      </c>
      <c r="CF22" s="43">
        <v>1717.3</v>
      </c>
      <c r="CG22" s="43">
        <v>1017.5</v>
      </c>
      <c r="CH22" s="119">
        <v>957.3</v>
      </c>
      <c r="CI22" s="124">
        <v>913.4</v>
      </c>
      <c r="CJ22" s="71">
        <v>1054.465</v>
      </c>
      <c r="CK22" s="71">
        <v>4555.1630000000005</v>
      </c>
      <c r="CL22" s="122">
        <v>2434.143</v>
      </c>
      <c r="CM22" s="122">
        <v>2369.125</v>
      </c>
      <c r="CN22" s="122">
        <v>2976.015</v>
      </c>
      <c r="CO22" s="122">
        <v>2927.395</v>
      </c>
      <c r="CP22" s="122">
        <v>10311.988</v>
      </c>
      <c r="CQ22" s="122">
        <v>38.2</v>
      </c>
      <c r="CR22" s="122">
        <f>138.7</f>
        <v>138.7</v>
      </c>
      <c r="CS22" s="122">
        <v>226.4</v>
      </c>
      <c r="CT22" s="122">
        <v>351.6</v>
      </c>
      <c r="CU22" s="122">
        <v>451.3</v>
      </c>
      <c r="CV22" s="122">
        <v>520.1</v>
      </c>
      <c r="CW22" s="122">
        <v>567.6</v>
      </c>
      <c r="CX22" s="122">
        <v>745.1</v>
      </c>
      <c r="CY22" s="122">
        <v>842.4</v>
      </c>
      <c r="CZ22" s="122">
        <v>910.7</v>
      </c>
      <c r="DA22" s="122">
        <v>1002</v>
      </c>
      <c r="DB22" s="122">
        <v>1017.5</v>
      </c>
      <c r="DC22" s="122">
        <v>36</v>
      </c>
      <c r="DD22" s="122">
        <v>95</v>
      </c>
      <c r="DE22" s="122">
        <v>141.4</v>
      </c>
      <c r="DF22" s="122">
        <v>614.2</v>
      </c>
      <c r="DG22" s="122">
        <v>701.3</v>
      </c>
      <c r="DH22" s="122">
        <v>737.6</v>
      </c>
      <c r="DI22" s="122">
        <v>775.1</v>
      </c>
      <c r="DJ22" s="122">
        <v>780.4</v>
      </c>
      <c r="DK22" s="122">
        <v>800.2</v>
      </c>
      <c r="DL22" s="122">
        <v>820.2</v>
      </c>
      <c r="DM22" s="122">
        <v>911.6</v>
      </c>
      <c r="DN22" s="122">
        <v>957.3</v>
      </c>
      <c r="DO22" s="122">
        <v>80.6</v>
      </c>
      <c r="DP22" s="122">
        <v>168.1</v>
      </c>
      <c r="DQ22" s="122">
        <v>256.4</v>
      </c>
      <c r="DR22" s="122">
        <v>266</v>
      </c>
      <c r="DS22" s="122">
        <v>355</v>
      </c>
      <c r="DT22" s="122">
        <v>446.6</v>
      </c>
      <c r="DU22" s="122">
        <v>593.4</v>
      </c>
      <c r="DV22" s="122">
        <v>695.5</v>
      </c>
      <c r="DW22" s="122">
        <v>760.2</v>
      </c>
      <c r="DX22" s="122">
        <v>834.4</v>
      </c>
      <c r="DY22" s="122">
        <v>868.4</v>
      </c>
      <c r="DZ22" s="122">
        <v>45</v>
      </c>
      <c r="EA22" s="122">
        <f aca="true" t="shared" si="29" ref="EA22:EA27">DY22+DZ22</f>
        <v>913.4</v>
      </c>
      <c r="EB22" s="122">
        <v>18</v>
      </c>
      <c r="EC22" s="122">
        <v>72</v>
      </c>
      <c r="ED22" s="122">
        <v>130</v>
      </c>
      <c r="EE22" s="122">
        <v>150</v>
      </c>
      <c r="EF22" s="122">
        <f>'[1]Feuil2'!$D$6</f>
        <v>116.652</v>
      </c>
      <c r="EG22" s="122">
        <f>'[2]Feuil3'!$E$5</f>
        <v>4.935</v>
      </c>
      <c r="EH22" s="122">
        <v>113</v>
      </c>
      <c r="EI22" s="122">
        <v>129</v>
      </c>
      <c r="EJ22" s="122">
        <v>20.065</v>
      </c>
      <c r="EK22" s="122">
        <v>117.343</v>
      </c>
      <c r="EL22" s="122">
        <v>69</v>
      </c>
      <c r="EM22" s="122">
        <v>114.47</v>
      </c>
      <c r="EN22" s="122">
        <f aca="true" t="shared" si="30" ref="EN22:EN30">SUM(EB22:EM22)</f>
        <v>1054.465</v>
      </c>
      <c r="EO22" s="122">
        <v>69</v>
      </c>
      <c r="EP22" s="122">
        <v>2209</v>
      </c>
      <c r="EQ22" s="122">
        <v>125</v>
      </c>
      <c r="ER22" s="122">
        <v>135.215</v>
      </c>
      <c r="ES22" s="122">
        <v>509</v>
      </c>
      <c r="ET22" s="122">
        <v>269.4</v>
      </c>
      <c r="EU22" s="122">
        <v>113</v>
      </c>
      <c r="EV22" s="122">
        <v>115.26</v>
      </c>
      <c r="EW22" s="122">
        <v>107.836</v>
      </c>
      <c r="EX22" s="122">
        <v>177.852</v>
      </c>
      <c r="EY22" s="122">
        <v>183.3</v>
      </c>
      <c r="EZ22" s="122">
        <v>541.3</v>
      </c>
      <c r="FA22" s="122">
        <f>SUM(EO22:EZ22)</f>
        <v>4555.1630000000005</v>
      </c>
      <c r="FB22" s="122">
        <v>258.16</v>
      </c>
      <c r="FC22" s="122">
        <v>145.585</v>
      </c>
      <c r="FD22" s="122">
        <f>'[4]IV5-IV6'!$D$7</f>
        <v>125.475</v>
      </c>
      <c r="FE22" s="122">
        <v>163.72</v>
      </c>
      <c r="FF22" s="122">
        <v>219.19</v>
      </c>
      <c r="FG22" s="122">
        <v>138.1</v>
      </c>
      <c r="FH22" s="122">
        <v>299.077</v>
      </c>
      <c r="FI22" s="122">
        <v>221.077</v>
      </c>
      <c r="FJ22" s="122">
        <v>286.1</v>
      </c>
      <c r="FK22" s="122">
        <v>109.97</v>
      </c>
      <c r="FL22" s="122">
        <v>185.235</v>
      </c>
      <c r="FM22" s="122">
        <v>282.454</v>
      </c>
      <c r="FN22" s="122">
        <f>SUM(FB22:FM22)</f>
        <v>2434.143</v>
      </c>
      <c r="FO22" s="122">
        <v>145.664</v>
      </c>
      <c r="FP22" s="122">
        <v>220.32</v>
      </c>
      <c r="FQ22" s="122">
        <v>265.16</v>
      </c>
      <c r="FR22" s="122">
        <f>'[5]IV5-IV6'!$C$45</f>
        <v>232.552</v>
      </c>
      <c r="FS22" s="122">
        <v>126.119</v>
      </c>
      <c r="FT22" s="122">
        <v>173.8</v>
      </c>
      <c r="FU22" s="122">
        <v>165.933</v>
      </c>
      <c r="FV22" s="122">
        <v>152.169</v>
      </c>
      <c r="FW22" s="122">
        <v>189.208</v>
      </c>
      <c r="FX22" s="122">
        <v>300.8</v>
      </c>
      <c r="FY22" s="122">
        <v>321.2</v>
      </c>
      <c r="FZ22" s="122">
        <v>76.2</v>
      </c>
      <c r="GA22" s="122">
        <f>FO22+FP22+FQ22+FR22+FS22+FT22+FU22+FV22+FW22+FX22+FY22+FZ22</f>
        <v>2369.125</v>
      </c>
      <c r="GB22" s="122">
        <v>256.323</v>
      </c>
      <c r="GC22" s="122">
        <v>210.354</v>
      </c>
      <c r="GD22" s="122">
        <v>109.525</v>
      </c>
      <c r="GE22" s="122">
        <v>245.234</v>
      </c>
      <c r="GF22" s="122">
        <v>163.659</v>
      </c>
      <c r="GG22" s="122">
        <v>230.115</v>
      </c>
      <c r="GH22" s="122">
        <v>156.759</v>
      </c>
      <c r="GI22" s="122">
        <v>265.551</v>
      </c>
      <c r="GJ22" s="122">
        <v>495.543</v>
      </c>
      <c r="GK22" s="122">
        <v>278.098</v>
      </c>
      <c r="GL22" s="122">
        <v>326.193</v>
      </c>
      <c r="GM22" s="122">
        <v>238.042</v>
      </c>
      <c r="GN22" s="122">
        <f>SUM(GB22:GM22)</f>
        <v>2975.396</v>
      </c>
      <c r="GO22" s="122">
        <v>679.98</v>
      </c>
      <c r="GP22" s="122">
        <v>323.605</v>
      </c>
      <c r="GQ22" s="122">
        <v>505.786</v>
      </c>
      <c r="GR22" s="122">
        <v>255.935</v>
      </c>
      <c r="GS22" s="122">
        <v>167.749</v>
      </c>
      <c r="GT22" s="122">
        <v>111.683</v>
      </c>
      <c r="GU22" s="122">
        <v>118.043</v>
      </c>
      <c r="GV22" s="122">
        <v>142.815</v>
      </c>
      <c r="GW22" s="122">
        <v>138.333</v>
      </c>
      <c r="GX22" s="122">
        <v>205.679</v>
      </c>
      <c r="GY22" s="122">
        <v>171.384</v>
      </c>
      <c r="GZ22" s="122">
        <v>225.153</v>
      </c>
      <c r="HA22" s="122">
        <v>140.606</v>
      </c>
      <c r="HB22" s="122">
        <v>307.736</v>
      </c>
      <c r="HC22" s="122">
        <v>111.994</v>
      </c>
      <c r="HD22" s="122">
        <v>251.312</v>
      </c>
      <c r="HE22" s="122">
        <v>159.609</v>
      </c>
      <c r="HF22" s="122">
        <v>3102.784</v>
      </c>
      <c r="HG22" s="122">
        <v>280.991</v>
      </c>
      <c r="HH22" s="122">
        <v>3705.086</v>
      </c>
      <c r="HI22" s="122">
        <v>1733.376</v>
      </c>
      <c r="HJ22" s="122">
        <v>152.559</v>
      </c>
      <c r="HK22" s="122">
        <v>230.303</v>
      </c>
      <c r="HL22" s="122">
        <v>135.632</v>
      </c>
      <c r="HM22" s="98">
        <v>59.548</v>
      </c>
      <c r="HN22" s="98">
        <v>170.48</v>
      </c>
      <c r="HO22" s="98">
        <v>223.837</v>
      </c>
      <c r="HP22" s="122">
        <v>263.483</v>
      </c>
      <c r="HQ22" s="98">
        <v>2146.633</v>
      </c>
      <c r="HR22" s="122">
        <v>2450.679</v>
      </c>
      <c r="HS22" s="122">
        <v>277.473</v>
      </c>
      <c r="HT22" s="122">
        <v>2805.911</v>
      </c>
      <c r="HU22" s="122"/>
      <c r="HV22" s="122"/>
      <c r="HW22" s="122"/>
      <c r="HX22" s="122"/>
      <c r="HY22" s="122">
        <f>HA22+HB22+HC22+HD22+HE22+HF22+HG22+HH22</f>
        <v>8060.118</v>
      </c>
      <c r="HZ22" s="122">
        <f>HM22+HN22+HO22+HP22+HQ22+HR22+HS22+HT22</f>
        <v>8398.044</v>
      </c>
    </row>
    <row r="23" spans="2:234" ht="15.75">
      <c r="B23" s="104" t="s">
        <v>58</v>
      </c>
      <c r="C23" s="71">
        <v>11757</v>
      </c>
      <c r="D23" s="42">
        <v>11416</v>
      </c>
      <c r="E23" s="72">
        <v>11622</v>
      </c>
      <c r="F23" s="42">
        <v>10555</v>
      </c>
      <c r="G23" s="42">
        <v>15463.7</v>
      </c>
      <c r="H23" s="42">
        <v>10760</v>
      </c>
      <c r="I23" s="43">
        <v>1543</v>
      </c>
      <c r="J23" s="43">
        <v>602</v>
      </c>
      <c r="K23" s="15">
        <v>714</v>
      </c>
      <c r="L23" s="15">
        <v>721</v>
      </c>
      <c r="M23" s="15">
        <v>521</v>
      </c>
      <c r="N23" s="15">
        <v>1257</v>
      </c>
      <c r="O23" s="15">
        <v>1135</v>
      </c>
      <c r="P23" s="15">
        <v>646</v>
      </c>
      <c r="Q23" s="15">
        <v>497</v>
      </c>
      <c r="R23" s="15">
        <v>1039</v>
      </c>
      <c r="S23" s="15">
        <v>1195</v>
      </c>
      <c r="T23" s="15">
        <v>1546</v>
      </c>
      <c r="U23" s="42">
        <f t="shared" si="18"/>
        <v>11416</v>
      </c>
      <c r="V23" s="56">
        <v>1034</v>
      </c>
      <c r="W23" s="43">
        <v>1220</v>
      </c>
      <c r="X23" s="15">
        <v>663</v>
      </c>
      <c r="Y23" s="15">
        <v>1172</v>
      </c>
      <c r="Z23" s="15">
        <v>823</v>
      </c>
      <c r="AA23" s="15">
        <v>1609</v>
      </c>
      <c r="AB23" s="15">
        <v>1279</v>
      </c>
      <c r="AC23" s="15">
        <v>1235</v>
      </c>
      <c r="AD23" s="15">
        <v>1064</v>
      </c>
      <c r="AE23" s="15">
        <v>400</v>
      </c>
      <c r="AF23" s="15">
        <v>433</v>
      </c>
      <c r="AG23" s="15">
        <v>690</v>
      </c>
      <c r="AH23" s="71">
        <f t="shared" si="19"/>
        <v>11622</v>
      </c>
      <c r="AI23" s="43">
        <v>707</v>
      </c>
      <c r="AJ23" s="15">
        <v>443</v>
      </c>
      <c r="AK23" s="15">
        <v>609</v>
      </c>
      <c r="AL23" s="15">
        <v>1193</v>
      </c>
      <c r="AM23" s="15">
        <v>1908</v>
      </c>
      <c r="AN23" s="15">
        <v>1048</v>
      </c>
      <c r="AO23" s="15">
        <v>550</v>
      </c>
      <c r="AP23" s="15">
        <v>875</v>
      </c>
      <c r="AQ23" s="15">
        <v>885</v>
      </c>
      <c r="AR23" s="15">
        <v>973</v>
      </c>
      <c r="AS23" s="15">
        <v>352</v>
      </c>
      <c r="AT23" s="15">
        <v>1012</v>
      </c>
      <c r="AU23" s="71">
        <f t="shared" si="20"/>
        <v>10555</v>
      </c>
      <c r="AV23" s="42">
        <v>410</v>
      </c>
      <c r="AW23" s="15">
        <v>596</v>
      </c>
      <c r="AX23" s="31">
        <v>609</v>
      </c>
      <c r="AY23" s="15">
        <v>555</v>
      </c>
      <c r="AZ23" s="15">
        <v>1067</v>
      </c>
      <c r="BA23" s="15">
        <v>1236</v>
      </c>
      <c r="BB23" s="31">
        <v>2002.2</v>
      </c>
      <c r="BC23" s="31">
        <v>2187.3</v>
      </c>
      <c r="BD23" s="31">
        <v>531.6</v>
      </c>
      <c r="BE23" s="31">
        <v>761.2</v>
      </c>
      <c r="BF23" s="31">
        <v>729.4</v>
      </c>
      <c r="BG23" s="12">
        <v>4779</v>
      </c>
      <c r="BH23" s="71">
        <f t="shared" si="21"/>
        <v>15463.7</v>
      </c>
      <c r="BI23" s="36">
        <v>1010</v>
      </c>
      <c r="BJ23" s="15">
        <f>2029.6-BI23</f>
        <v>1019.5999999999999</v>
      </c>
      <c r="BK23" s="15">
        <f>2702-BI23-BJ23</f>
        <v>672.4000000000001</v>
      </c>
      <c r="BL23" s="15">
        <f>3058.8-BJ23-BK23-BI23</f>
        <v>356.8000000000002</v>
      </c>
      <c r="BM23" s="15">
        <f>4276.3-BK23-BL23-BJ23-BI23</f>
        <v>1217.5</v>
      </c>
      <c r="BN23" s="15">
        <f>5345.4-BL23-BM23-BK23-BJ23-BI23</f>
        <v>1069.0999999999995</v>
      </c>
      <c r="BO23" s="15">
        <f t="shared" si="22"/>
        <v>1995.9000000000005</v>
      </c>
      <c r="BP23" s="15">
        <f t="shared" si="23"/>
        <v>416.8000000000002</v>
      </c>
      <c r="BQ23" s="15">
        <f t="shared" si="24"/>
        <v>1098.7999999999984</v>
      </c>
      <c r="BR23" s="15">
        <f t="shared" si="25"/>
        <v>1035.4000000000005</v>
      </c>
      <c r="BS23" s="15">
        <f t="shared" si="26"/>
        <v>350.800000000002</v>
      </c>
      <c r="BT23" s="15">
        <f t="shared" si="27"/>
        <v>517.1999999999953</v>
      </c>
      <c r="BU23" s="73">
        <f t="shared" si="28"/>
        <v>10760.299999999997</v>
      </c>
      <c r="BV23" s="72">
        <v>2029.6</v>
      </c>
      <c r="BW23" s="42">
        <v>2702</v>
      </c>
      <c r="BX23" s="72">
        <v>3058.8</v>
      </c>
      <c r="BY23" s="71">
        <v>4276.3</v>
      </c>
      <c r="BZ23" s="71">
        <v>5345.4</v>
      </c>
      <c r="CA23" s="71">
        <v>7341.3</v>
      </c>
      <c r="CB23" s="71">
        <v>7758.1</v>
      </c>
      <c r="CC23" s="42">
        <v>8856.9</v>
      </c>
      <c r="CD23" s="42">
        <v>9892.3</v>
      </c>
      <c r="CE23" s="43">
        <v>10243.1</v>
      </c>
      <c r="CF23" s="43">
        <v>10760.3</v>
      </c>
      <c r="CG23" s="43">
        <v>12960.6</v>
      </c>
      <c r="CH23" s="119">
        <v>11322.9</v>
      </c>
      <c r="CI23" s="124">
        <v>11652.5</v>
      </c>
      <c r="CJ23" s="71">
        <v>11920.933</v>
      </c>
      <c r="CK23" s="71">
        <v>18940.452</v>
      </c>
      <c r="CL23" s="122">
        <v>19192.724</v>
      </c>
      <c r="CM23" s="122">
        <v>15114.309000000001</v>
      </c>
      <c r="CN23" s="122">
        <v>9143.097</v>
      </c>
      <c r="CO23" s="122">
        <v>13940.423</v>
      </c>
      <c r="CP23" s="122">
        <v>12060.206999999999</v>
      </c>
      <c r="CQ23" s="122">
        <v>564.3</v>
      </c>
      <c r="CR23" s="122">
        <f>1225.6</f>
        <v>1225.6</v>
      </c>
      <c r="CS23" s="122">
        <v>1990.3</v>
      </c>
      <c r="CT23" s="122">
        <v>2698.5</v>
      </c>
      <c r="CU23" s="122">
        <v>4105.8</v>
      </c>
      <c r="CV23" s="122">
        <v>5308.2</v>
      </c>
      <c r="CW23" s="122">
        <v>6958</v>
      </c>
      <c r="CX23" s="122">
        <v>8814.5</v>
      </c>
      <c r="CY23" s="122">
        <v>10311.8</v>
      </c>
      <c r="CZ23" s="122">
        <v>11157.8</v>
      </c>
      <c r="DA23" s="122">
        <v>12068.2</v>
      </c>
      <c r="DB23" s="122">
        <v>12960.6</v>
      </c>
      <c r="DC23" s="122">
        <v>942.7</v>
      </c>
      <c r="DD23" s="122">
        <v>1660.9</v>
      </c>
      <c r="DE23" s="122">
        <v>3013.8</v>
      </c>
      <c r="DF23" s="122">
        <v>4137.5</v>
      </c>
      <c r="DG23" s="122">
        <v>5069</v>
      </c>
      <c r="DH23" s="122">
        <v>5601.3</v>
      </c>
      <c r="DI23" s="122">
        <v>6008.5</v>
      </c>
      <c r="DJ23" s="122">
        <v>6776.7</v>
      </c>
      <c r="DK23" s="122">
        <v>7345.8</v>
      </c>
      <c r="DL23" s="122">
        <v>8430.4</v>
      </c>
      <c r="DM23" s="122">
        <v>9416.3</v>
      </c>
      <c r="DN23" s="122">
        <v>11322.9</v>
      </c>
      <c r="DO23" s="122">
        <v>1039.9</v>
      </c>
      <c r="DP23" s="122">
        <v>2819.3</v>
      </c>
      <c r="DQ23" s="122">
        <v>4058.5</v>
      </c>
      <c r="DR23" s="122">
        <v>4326.7</v>
      </c>
      <c r="DS23" s="122">
        <v>5020</v>
      </c>
      <c r="DT23" s="122">
        <v>5330.5</v>
      </c>
      <c r="DU23" s="122">
        <v>6650.2</v>
      </c>
      <c r="DV23" s="122">
        <v>7834.4</v>
      </c>
      <c r="DW23" s="122">
        <v>8684.3</v>
      </c>
      <c r="DX23" s="122">
        <v>9532.5</v>
      </c>
      <c r="DY23" s="122">
        <v>11478.5</v>
      </c>
      <c r="DZ23" s="122">
        <v>174</v>
      </c>
      <c r="EA23" s="122">
        <f t="shared" si="29"/>
        <v>11652.5</v>
      </c>
      <c r="EB23" s="122">
        <v>876</v>
      </c>
      <c r="EC23" s="122">
        <v>1026</v>
      </c>
      <c r="ED23" s="122">
        <v>1847</v>
      </c>
      <c r="EE23" s="122">
        <v>713</v>
      </c>
      <c r="EF23" s="122">
        <f>'[1]Feuil2'!$D$9</f>
        <v>1200.054</v>
      </c>
      <c r="EG23" s="122">
        <f>'[2]Feuil3'!$E$7+'[2]Feuil3'!$E$28</f>
        <v>747.03</v>
      </c>
      <c r="EH23" s="122">
        <v>989</v>
      </c>
      <c r="EI23" s="122">
        <f>412+0.3</f>
        <v>412.3</v>
      </c>
      <c r="EJ23" s="122">
        <v>437.272</v>
      </c>
      <c r="EK23" s="122">
        <v>1482.277</v>
      </c>
      <c r="EL23" s="122">
        <v>1281</v>
      </c>
      <c r="EM23" s="122">
        <v>910</v>
      </c>
      <c r="EN23" s="122">
        <f t="shared" si="30"/>
        <v>11920.933</v>
      </c>
      <c r="EO23" s="122">
        <v>1322</v>
      </c>
      <c r="EP23" s="122">
        <v>1301</v>
      </c>
      <c r="EQ23" s="122">
        <v>1362</v>
      </c>
      <c r="ER23" s="122">
        <v>3152.028</v>
      </c>
      <c r="ES23" s="122">
        <v>627.5</v>
      </c>
      <c r="ET23" s="122">
        <v>406.7</v>
      </c>
      <c r="EU23" s="122">
        <v>935</v>
      </c>
      <c r="EV23" s="122">
        <v>1890.7</v>
      </c>
      <c r="EW23" s="122">
        <v>1810.976</v>
      </c>
      <c r="EX23" s="122">
        <v>419.348</v>
      </c>
      <c r="EY23" s="122">
        <f>2410+20.2</f>
        <v>2430.2</v>
      </c>
      <c r="EZ23" s="122">
        <v>3283</v>
      </c>
      <c r="FA23" s="122">
        <f aca="true" t="shared" si="31" ref="FA23:FA33">SUM(EO23:EZ23)</f>
        <v>18940.452</v>
      </c>
      <c r="FB23" s="122">
        <v>1812.686</v>
      </c>
      <c r="FC23" s="122">
        <v>1383.29</v>
      </c>
      <c r="FD23" s="122">
        <f>'[4]IV5-IV6'!$D$10</f>
        <v>1361.785</v>
      </c>
      <c r="FE23" s="122">
        <f>874.02+0.24</f>
        <v>874.26</v>
      </c>
      <c r="FF23" s="122">
        <v>1011</v>
      </c>
      <c r="FG23" s="122">
        <v>1984.7</v>
      </c>
      <c r="FH23" s="122">
        <v>1822.308</v>
      </c>
      <c r="FI23" s="122">
        <v>1120.665</v>
      </c>
      <c r="FJ23" s="122">
        <v>2055.3</v>
      </c>
      <c r="FK23" s="122">
        <v>1806.483</v>
      </c>
      <c r="FL23" s="122">
        <v>1135.515</v>
      </c>
      <c r="FM23" s="122">
        <v>2824.732</v>
      </c>
      <c r="FN23" s="122">
        <f aca="true" t="shared" si="32" ref="FN23:FN33">SUM(FB23:FM23)</f>
        <v>19192.724</v>
      </c>
      <c r="FO23" s="122">
        <v>641.091</v>
      </c>
      <c r="FP23" s="122">
        <v>1627.121</v>
      </c>
      <c r="FQ23" s="122">
        <v>818.8380000000001</v>
      </c>
      <c r="FR23" s="122">
        <f>'[5]IV5-IV6'!$C$47</f>
        <v>4668.262</v>
      </c>
      <c r="FS23" s="122">
        <v>748.826</v>
      </c>
      <c r="FT23" s="122">
        <v>966.9</v>
      </c>
      <c r="FU23" s="122">
        <v>486.495</v>
      </c>
      <c r="FV23" s="122">
        <v>1231.737</v>
      </c>
      <c r="FW23" s="122">
        <v>529.562</v>
      </c>
      <c r="FX23" s="122">
        <v>557.6</v>
      </c>
      <c r="FY23" s="122">
        <v>2486.277</v>
      </c>
      <c r="FZ23" s="122">
        <v>351.6</v>
      </c>
      <c r="GA23" s="122">
        <f aca="true" t="shared" si="33" ref="GA23:GA33">FO23+FP23+FQ23+FR23+FS23+FT23+FU23+FV23+FW23+FX23+FY23+FZ23</f>
        <v>15114.309000000001</v>
      </c>
      <c r="GB23" s="122">
        <v>992.118</v>
      </c>
      <c r="GC23" s="122">
        <v>1070.108</v>
      </c>
      <c r="GD23" s="122">
        <v>411.31</v>
      </c>
      <c r="GE23" s="122">
        <v>851.183</v>
      </c>
      <c r="GF23" s="122">
        <v>481.804</v>
      </c>
      <c r="GG23" s="122">
        <v>300.488</v>
      </c>
      <c r="GH23" s="122">
        <v>347.619</v>
      </c>
      <c r="GI23" s="122">
        <v>927.791</v>
      </c>
      <c r="GJ23" s="122">
        <v>752.509</v>
      </c>
      <c r="GK23" s="122">
        <v>510.752</v>
      </c>
      <c r="GL23" s="122">
        <v>822.239</v>
      </c>
      <c r="GM23" s="122">
        <v>1675.176</v>
      </c>
      <c r="GN23" s="122">
        <f aca="true" t="shared" si="34" ref="GN23:GN33">SUM(GB23:GM23)</f>
        <v>9143.097</v>
      </c>
      <c r="GO23" s="122">
        <v>1285.263</v>
      </c>
      <c r="GP23" s="122">
        <v>1199.937</v>
      </c>
      <c r="GQ23" s="122">
        <v>2181.773</v>
      </c>
      <c r="GR23" s="122">
        <v>1446.803</v>
      </c>
      <c r="GS23" s="122">
        <v>1254.887</v>
      </c>
      <c r="GT23" s="122">
        <v>1386.121</v>
      </c>
      <c r="GU23" s="122">
        <v>1527.509</v>
      </c>
      <c r="GV23" s="122">
        <v>1426.395</v>
      </c>
      <c r="GW23" s="122">
        <v>410.633</v>
      </c>
      <c r="GX23" s="122">
        <v>815.907</v>
      </c>
      <c r="GY23" s="122">
        <v>458.173</v>
      </c>
      <c r="GZ23" s="122">
        <v>789.251</v>
      </c>
      <c r="HA23" s="122">
        <v>2110.738</v>
      </c>
      <c r="HB23" s="122">
        <v>238.869</v>
      </c>
      <c r="HC23" s="122">
        <v>911.267</v>
      </c>
      <c r="HD23" s="122">
        <v>268.962</v>
      </c>
      <c r="HE23" s="122">
        <v>1563.346</v>
      </c>
      <c r="HF23" s="122">
        <v>2406.449</v>
      </c>
      <c r="HG23" s="122">
        <v>277.958</v>
      </c>
      <c r="HH23" s="122">
        <v>791.118</v>
      </c>
      <c r="HI23" s="122">
        <v>488.799</v>
      </c>
      <c r="HJ23" s="122">
        <v>932.153</v>
      </c>
      <c r="HK23" s="122">
        <v>1764.654</v>
      </c>
      <c r="HL23" s="122">
        <v>305.894</v>
      </c>
      <c r="HM23" s="98">
        <v>2357.209</v>
      </c>
      <c r="HN23" s="98">
        <v>1223.646</v>
      </c>
      <c r="HO23" s="98">
        <v>414.445</v>
      </c>
      <c r="HP23" s="122">
        <v>1110.977</v>
      </c>
      <c r="HQ23" s="98">
        <v>1040.224</v>
      </c>
      <c r="HR23" s="122">
        <v>305.915</v>
      </c>
      <c r="HS23" s="122">
        <v>208.056</v>
      </c>
      <c r="HT23" s="122">
        <v>427.938</v>
      </c>
      <c r="HU23" s="122"/>
      <c r="HV23" s="122"/>
      <c r="HW23" s="122"/>
      <c r="HX23" s="122"/>
      <c r="HY23" s="122">
        <f aca="true" t="shared" si="35" ref="HY23:HY33">HA23+HB23+HC23+HD23+HE23+HF23+HG23+HH23</f>
        <v>8568.706999999999</v>
      </c>
      <c r="HZ23" s="122">
        <f aca="true" t="shared" si="36" ref="HZ23:HZ33">HM23+HN23+HO23+HP23+HQ23+HR23+HS23+HT23</f>
        <v>7088.41</v>
      </c>
    </row>
    <row r="24" spans="2:234" ht="15.75">
      <c r="B24" s="104" t="s">
        <v>59</v>
      </c>
      <c r="C24" s="71">
        <v>472</v>
      </c>
      <c r="D24" s="42">
        <v>526</v>
      </c>
      <c r="E24" s="72">
        <v>856</v>
      </c>
      <c r="F24" s="42">
        <v>533</v>
      </c>
      <c r="G24" s="42">
        <v>695.1</v>
      </c>
      <c r="H24" s="42">
        <v>538</v>
      </c>
      <c r="I24" s="43">
        <v>17</v>
      </c>
      <c r="J24" s="43">
        <v>50</v>
      </c>
      <c r="K24" s="15">
        <v>43</v>
      </c>
      <c r="L24" s="15">
        <v>22</v>
      </c>
      <c r="M24" s="15">
        <v>18</v>
      </c>
      <c r="N24" s="15">
        <v>86</v>
      </c>
      <c r="O24" s="15">
        <v>18</v>
      </c>
      <c r="P24" s="15">
        <v>17</v>
      </c>
      <c r="Q24" s="15">
        <v>13</v>
      </c>
      <c r="R24" s="15">
        <v>43</v>
      </c>
      <c r="S24" s="15">
        <v>15</v>
      </c>
      <c r="T24" s="15">
        <v>184</v>
      </c>
      <c r="U24" s="42">
        <f t="shared" si="18"/>
        <v>526</v>
      </c>
      <c r="V24" s="56">
        <v>67</v>
      </c>
      <c r="W24" s="43">
        <v>36</v>
      </c>
      <c r="X24" s="15">
        <v>5</v>
      </c>
      <c r="Y24" s="15">
        <v>95</v>
      </c>
      <c r="Z24" s="15" t="s">
        <v>11</v>
      </c>
      <c r="AA24" s="15">
        <v>518</v>
      </c>
      <c r="AB24" s="15">
        <v>2</v>
      </c>
      <c r="AC24" s="15">
        <v>40</v>
      </c>
      <c r="AD24" s="15">
        <v>7</v>
      </c>
      <c r="AE24" s="15">
        <v>59</v>
      </c>
      <c r="AF24" s="15">
        <v>20</v>
      </c>
      <c r="AG24" s="15">
        <v>7</v>
      </c>
      <c r="AH24" s="71">
        <f t="shared" si="19"/>
        <v>856</v>
      </c>
      <c r="AI24" s="43">
        <v>12</v>
      </c>
      <c r="AJ24" s="15">
        <v>8</v>
      </c>
      <c r="AK24" s="15">
        <v>130</v>
      </c>
      <c r="AL24" s="15">
        <v>57</v>
      </c>
      <c r="AM24" s="15">
        <v>91</v>
      </c>
      <c r="AN24" s="15">
        <v>31</v>
      </c>
      <c r="AO24" s="15">
        <v>62</v>
      </c>
      <c r="AP24" s="15">
        <v>90</v>
      </c>
      <c r="AQ24" s="15">
        <v>30</v>
      </c>
      <c r="AR24" s="15">
        <v>7</v>
      </c>
      <c r="AS24" s="15">
        <v>7</v>
      </c>
      <c r="AT24" s="15">
        <v>8</v>
      </c>
      <c r="AU24" s="71">
        <f t="shared" si="20"/>
        <v>533</v>
      </c>
      <c r="AV24" s="42">
        <v>55</v>
      </c>
      <c r="AW24" s="15">
        <v>7</v>
      </c>
      <c r="AX24" s="31">
        <v>130</v>
      </c>
      <c r="AY24" s="15">
        <v>3</v>
      </c>
      <c r="AZ24" s="15">
        <v>37</v>
      </c>
      <c r="BA24" s="15">
        <v>134</v>
      </c>
      <c r="BB24" s="4">
        <v>15.6</v>
      </c>
      <c r="BC24" s="4">
        <v>38.8</v>
      </c>
      <c r="BD24" s="4">
        <v>133.7</v>
      </c>
      <c r="BE24" s="4">
        <v>56.2</v>
      </c>
      <c r="BF24" s="4">
        <v>61.8</v>
      </c>
      <c r="BG24" s="12">
        <v>23</v>
      </c>
      <c r="BH24" s="71">
        <f t="shared" si="21"/>
        <v>695.1</v>
      </c>
      <c r="BI24" s="36">
        <v>11</v>
      </c>
      <c r="BJ24" s="15">
        <f>16.5-BI24</f>
        <v>5.5</v>
      </c>
      <c r="BK24" s="15">
        <f>18.1-BI24-BJ24</f>
        <v>1.6000000000000014</v>
      </c>
      <c r="BL24" s="15">
        <f>95.1-BJ24-BK24-BI24</f>
        <v>77</v>
      </c>
      <c r="BM24" s="15">
        <f>330.5-BK24-BL24-BJ24-BI24</f>
        <v>235.39999999999998</v>
      </c>
      <c r="BN24" s="15">
        <f>331.4-BL24-BM24-BK24-BJ24-BI24</f>
        <v>0.8999999999999986</v>
      </c>
      <c r="BO24" s="15">
        <f t="shared" si="22"/>
        <v>5.800000000000033</v>
      </c>
      <c r="BP24" s="15">
        <f t="shared" si="23"/>
        <v>50.40000000000006</v>
      </c>
      <c r="BQ24" s="15">
        <f t="shared" si="24"/>
        <v>50.89999999999995</v>
      </c>
      <c r="BR24" s="15">
        <f t="shared" si="25"/>
        <v>18.20000000000001</v>
      </c>
      <c r="BS24" s="15">
        <f t="shared" si="26"/>
        <v>79.79999999999993</v>
      </c>
      <c r="BT24" s="15">
        <f t="shared" si="27"/>
        <v>1.5000000000000782</v>
      </c>
      <c r="BU24" s="73">
        <f t="shared" si="28"/>
        <v>538</v>
      </c>
      <c r="BV24" s="72">
        <v>16.5</v>
      </c>
      <c r="BW24" s="42">
        <v>18</v>
      </c>
      <c r="BX24" s="72">
        <v>95.1</v>
      </c>
      <c r="BY24" s="71">
        <v>330.5</v>
      </c>
      <c r="BZ24" s="71">
        <v>331.4</v>
      </c>
      <c r="CA24" s="71">
        <v>337.2</v>
      </c>
      <c r="CB24" s="71">
        <v>387.6</v>
      </c>
      <c r="CC24" s="42">
        <v>438.5</v>
      </c>
      <c r="CD24" s="42">
        <v>456.7</v>
      </c>
      <c r="CE24" s="43">
        <v>536.5</v>
      </c>
      <c r="CF24" s="43">
        <v>538</v>
      </c>
      <c r="CG24" s="43">
        <v>916.4</v>
      </c>
      <c r="CH24" s="119">
        <v>608.2</v>
      </c>
      <c r="CI24" s="124">
        <v>953.8</v>
      </c>
      <c r="CJ24" s="71">
        <v>220.851</v>
      </c>
      <c r="CK24" s="71">
        <v>1645.374</v>
      </c>
      <c r="CL24" s="122">
        <v>682.833</v>
      </c>
      <c r="CM24" s="122">
        <v>782.854</v>
      </c>
      <c r="CN24" s="122">
        <v>644.9469999999998</v>
      </c>
      <c r="CO24" s="122">
        <v>548.204</v>
      </c>
      <c r="CP24" s="122">
        <v>995.109</v>
      </c>
      <c r="CQ24" s="122">
        <v>163.9</v>
      </c>
      <c r="CR24" s="122">
        <f>164.7</f>
        <v>164.7</v>
      </c>
      <c r="CS24" s="122">
        <v>806.3</v>
      </c>
      <c r="CT24" s="122">
        <v>806.3</v>
      </c>
      <c r="CU24" s="122">
        <v>870.4</v>
      </c>
      <c r="CV24" s="122">
        <v>875.2</v>
      </c>
      <c r="CW24" s="122">
        <v>896.5</v>
      </c>
      <c r="CX24" s="122">
        <v>896.8</v>
      </c>
      <c r="CY24" s="122">
        <v>897.5</v>
      </c>
      <c r="CZ24" s="122">
        <v>914.2</v>
      </c>
      <c r="DA24" s="122">
        <v>914.6</v>
      </c>
      <c r="DB24" s="122">
        <v>916.4</v>
      </c>
      <c r="DC24" s="122">
        <v>25.6</v>
      </c>
      <c r="DD24" s="122">
        <v>64.8</v>
      </c>
      <c r="DE24" s="122">
        <v>383.6</v>
      </c>
      <c r="DF24" s="122">
        <v>390.3</v>
      </c>
      <c r="DG24" s="122">
        <v>414.1</v>
      </c>
      <c r="DH24" s="122">
        <v>422.3</v>
      </c>
      <c r="DI24" s="122">
        <v>438.4</v>
      </c>
      <c r="DJ24" s="122">
        <v>442.8</v>
      </c>
      <c r="DK24" s="122">
        <v>586.9</v>
      </c>
      <c r="DL24" s="122">
        <v>604.1</v>
      </c>
      <c r="DM24" s="122">
        <v>604.8</v>
      </c>
      <c r="DN24" s="122">
        <v>608.2</v>
      </c>
      <c r="DO24" s="122">
        <v>3.3</v>
      </c>
      <c r="DP24" s="122">
        <v>59.5</v>
      </c>
      <c r="DQ24" s="122">
        <v>67.4</v>
      </c>
      <c r="DR24" s="122">
        <v>82.1</v>
      </c>
      <c r="DS24" s="122">
        <v>93</v>
      </c>
      <c r="DT24" s="122">
        <v>211.8</v>
      </c>
      <c r="DU24" s="122">
        <v>242.8</v>
      </c>
      <c r="DV24" s="122">
        <v>289.7</v>
      </c>
      <c r="DW24" s="122">
        <v>789.8</v>
      </c>
      <c r="DX24" s="122">
        <v>830.8</v>
      </c>
      <c r="DY24" s="122">
        <v>953.8</v>
      </c>
      <c r="DZ24" s="122">
        <v>0</v>
      </c>
      <c r="EA24" s="122">
        <f t="shared" si="29"/>
        <v>953.8</v>
      </c>
      <c r="EB24" s="122" t="s">
        <v>11</v>
      </c>
      <c r="EC24" s="122">
        <v>6</v>
      </c>
      <c r="ED24" s="122">
        <v>2</v>
      </c>
      <c r="EE24" s="122" t="s">
        <v>16</v>
      </c>
      <c r="EF24" s="122">
        <f>'[1]Feuil2'!$D$13</f>
        <v>23.295</v>
      </c>
      <c r="EG24" s="122">
        <f>'[2]Feuil3'!$E$13</f>
        <v>2.886</v>
      </c>
      <c r="EH24" s="122">
        <v>14</v>
      </c>
      <c r="EI24" s="122">
        <v>25</v>
      </c>
      <c r="EJ24" s="122">
        <v>14.743</v>
      </c>
      <c r="EK24" s="122">
        <v>27.927</v>
      </c>
      <c r="EL24" s="122">
        <v>26</v>
      </c>
      <c r="EM24" s="122">
        <v>79</v>
      </c>
      <c r="EN24" s="122">
        <f t="shared" si="30"/>
        <v>220.851</v>
      </c>
      <c r="EO24" s="122">
        <v>149</v>
      </c>
      <c r="EP24" s="122">
        <v>30</v>
      </c>
      <c r="EQ24" s="122">
        <v>3</v>
      </c>
      <c r="ER24" s="122">
        <v>0.372</v>
      </c>
      <c r="ES24" s="122">
        <v>61.6</v>
      </c>
      <c r="ET24" s="122">
        <v>815.4</v>
      </c>
      <c r="EU24" s="122">
        <v>125.5</v>
      </c>
      <c r="EV24" s="122">
        <v>43</v>
      </c>
      <c r="EW24" s="122">
        <v>20.507</v>
      </c>
      <c r="EX24" s="122">
        <v>262.195</v>
      </c>
      <c r="EY24" s="122">
        <v>88.3</v>
      </c>
      <c r="EZ24" s="122">
        <v>46.5</v>
      </c>
      <c r="FA24" s="122">
        <f t="shared" si="31"/>
        <v>1645.374</v>
      </c>
      <c r="FB24" s="122">
        <v>89.178</v>
      </c>
      <c r="FC24" s="122">
        <v>87.318</v>
      </c>
      <c r="FD24" s="122">
        <f>'[4]IV5-IV6'!$D$15</f>
        <v>2.722</v>
      </c>
      <c r="FE24" s="122">
        <v>127.66</v>
      </c>
      <c r="FF24" s="122">
        <v>8.5</v>
      </c>
      <c r="FG24" s="122">
        <v>18.5</v>
      </c>
      <c r="FH24" s="122">
        <v>19.848</v>
      </c>
      <c r="FI24" s="122">
        <v>65.213</v>
      </c>
      <c r="FJ24" s="122">
        <v>1.4</v>
      </c>
      <c r="FK24" s="122">
        <v>136.613</v>
      </c>
      <c r="FL24" s="122">
        <v>95.9</v>
      </c>
      <c r="FM24" s="122">
        <v>29.981</v>
      </c>
      <c r="FN24" s="122">
        <f t="shared" si="32"/>
        <v>682.833</v>
      </c>
      <c r="FO24" s="122">
        <v>20.267</v>
      </c>
      <c r="FP24" s="122">
        <v>11.177</v>
      </c>
      <c r="FQ24" s="122">
        <v>111.218</v>
      </c>
      <c r="FR24" s="122">
        <f>'[5]IV5-IV6'!$C$50</f>
        <v>71.839</v>
      </c>
      <c r="FS24" s="122">
        <v>24.968</v>
      </c>
      <c r="FT24" s="122">
        <v>95.7</v>
      </c>
      <c r="FU24" s="122">
        <v>129.803</v>
      </c>
      <c r="FV24" s="122">
        <v>28.948</v>
      </c>
      <c r="FW24" s="122">
        <v>22.63</v>
      </c>
      <c r="FX24" s="122">
        <v>93.6</v>
      </c>
      <c r="FY24" s="122">
        <v>17.004</v>
      </c>
      <c r="FZ24" s="122">
        <v>155.7</v>
      </c>
      <c r="GA24" s="122">
        <f t="shared" si="33"/>
        <v>782.854</v>
      </c>
      <c r="GB24" s="122">
        <v>29.166</v>
      </c>
      <c r="GC24" s="122">
        <v>80.877</v>
      </c>
      <c r="GD24" s="122">
        <v>289.414</v>
      </c>
      <c r="GE24" s="122">
        <v>22.779</v>
      </c>
      <c r="GF24" s="122">
        <v>37.787</v>
      </c>
      <c r="GG24" s="122">
        <v>22.812</v>
      </c>
      <c r="GH24" s="122">
        <v>11.286</v>
      </c>
      <c r="GI24" s="122">
        <v>30.738</v>
      </c>
      <c r="GJ24" s="122">
        <v>10.401</v>
      </c>
      <c r="GK24" s="122">
        <v>61.761</v>
      </c>
      <c r="GL24" s="122">
        <v>27.318</v>
      </c>
      <c r="GM24" s="122">
        <v>20.608</v>
      </c>
      <c r="GN24" s="122">
        <f t="shared" si="34"/>
        <v>644.9469999999998</v>
      </c>
      <c r="GO24" s="122">
        <v>24.937</v>
      </c>
      <c r="GP24" s="122">
        <v>6.256</v>
      </c>
      <c r="GQ24" s="122">
        <v>9.757</v>
      </c>
      <c r="GR24" s="122">
        <v>52.349</v>
      </c>
      <c r="GS24" s="122">
        <v>24.395</v>
      </c>
      <c r="GT24" s="122">
        <v>33.867</v>
      </c>
      <c r="GU24" s="122">
        <v>21.028</v>
      </c>
      <c r="GV24" s="122">
        <v>52.596</v>
      </c>
      <c r="GW24" s="122">
        <v>153.158</v>
      </c>
      <c r="GX24" s="122">
        <v>23.461</v>
      </c>
      <c r="GY24" s="122">
        <v>136.91</v>
      </c>
      <c r="GZ24" s="122">
        <v>25.015</v>
      </c>
      <c r="HA24" s="122">
        <v>16.276</v>
      </c>
      <c r="HB24" s="122">
        <v>32.693</v>
      </c>
      <c r="HC24" s="122">
        <v>26.115</v>
      </c>
      <c r="HD24" s="122">
        <v>4.704</v>
      </c>
      <c r="HE24" s="122">
        <v>104.161</v>
      </c>
      <c r="HF24" s="122">
        <v>205.709</v>
      </c>
      <c r="HG24" s="122">
        <v>34.629</v>
      </c>
      <c r="HH24" s="122">
        <v>38.184</v>
      </c>
      <c r="HI24" s="122">
        <v>178.677</v>
      </c>
      <c r="HJ24" s="122">
        <v>88.981</v>
      </c>
      <c r="HK24" s="122">
        <v>258.002</v>
      </c>
      <c r="HL24" s="122">
        <v>6.978</v>
      </c>
      <c r="HM24" s="98">
        <v>15.605</v>
      </c>
      <c r="HN24" s="98">
        <v>1.869</v>
      </c>
      <c r="HO24" s="98">
        <v>14.075</v>
      </c>
      <c r="HP24" s="122">
        <v>72.932</v>
      </c>
      <c r="HQ24" s="98">
        <v>118.039</v>
      </c>
      <c r="HR24" s="122">
        <v>3.429</v>
      </c>
      <c r="HS24" s="122">
        <v>110.31</v>
      </c>
      <c r="HT24" s="122">
        <v>59.958</v>
      </c>
      <c r="HU24" s="122"/>
      <c r="HV24" s="122"/>
      <c r="HW24" s="122"/>
      <c r="HX24" s="122"/>
      <c r="HY24" s="122">
        <f t="shared" si="35"/>
        <v>462.471</v>
      </c>
      <c r="HZ24" s="122">
        <f t="shared" si="36"/>
        <v>396.217</v>
      </c>
    </row>
    <row r="25" spans="2:234" ht="15.75">
      <c r="B25" s="104" t="s">
        <v>60</v>
      </c>
      <c r="C25" s="71">
        <v>298</v>
      </c>
      <c r="D25" s="42">
        <v>130</v>
      </c>
      <c r="E25" s="72">
        <v>180</v>
      </c>
      <c r="F25" s="42">
        <v>160</v>
      </c>
      <c r="G25" s="42">
        <v>189.6</v>
      </c>
      <c r="H25" s="42">
        <v>468</v>
      </c>
      <c r="I25" s="43">
        <v>19</v>
      </c>
      <c r="J25" s="43">
        <v>46</v>
      </c>
      <c r="K25" s="15">
        <v>5</v>
      </c>
      <c r="L25" s="15" t="s">
        <v>11</v>
      </c>
      <c r="M25" s="15" t="s">
        <v>16</v>
      </c>
      <c r="N25" s="15" t="s">
        <v>11</v>
      </c>
      <c r="O25" s="15" t="s">
        <v>11</v>
      </c>
      <c r="P25" s="15">
        <v>2</v>
      </c>
      <c r="Q25" s="15">
        <v>14</v>
      </c>
      <c r="R25" s="15" t="s">
        <v>16</v>
      </c>
      <c r="S25" s="15">
        <v>1</v>
      </c>
      <c r="T25" s="15">
        <v>43</v>
      </c>
      <c r="U25" s="42">
        <f t="shared" si="18"/>
        <v>130</v>
      </c>
      <c r="V25" s="56">
        <v>16</v>
      </c>
      <c r="W25" s="43">
        <v>9</v>
      </c>
      <c r="X25" s="15" t="s">
        <v>16</v>
      </c>
      <c r="Y25" s="15">
        <v>2</v>
      </c>
      <c r="Z25" s="15">
        <v>43</v>
      </c>
      <c r="AA25" s="15">
        <v>2</v>
      </c>
      <c r="AB25" s="15">
        <v>14</v>
      </c>
      <c r="AC25" s="15" t="s">
        <v>11</v>
      </c>
      <c r="AD25" s="15" t="s">
        <v>11</v>
      </c>
      <c r="AE25" s="15">
        <v>2</v>
      </c>
      <c r="AF25" s="15">
        <v>92</v>
      </c>
      <c r="AG25" s="15" t="s">
        <v>11</v>
      </c>
      <c r="AH25" s="71">
        <f t="shared" si="19"/>
        <v>180</v>
      </c>
      <c r="AI25" s="43">
        <v>3</v>
      </c>
      <c r="AJ25" s="15">
        <v>23</v>
      </c>
      <c r="AK25" s="15" t="s">
        <v>11</v>
      </c>
      <c r="AL25" s="15">
        <v>38</v>
      </c>
      <c r="AM25" s="15">
        <v>29</v>
      </c>
      <c r="AN25" s="15">
        <v>38</v>
      </c>
      <c r="AO25" s="15">
        <v>2</v>
      </c>
      <c r="AP25" s="15">
        <v>4</v>
      </c>
      <c r="AQ25" s="75" t="s">
        <v>11</v>
      </c>
      <c r="AR25" s="15" t="s">
        <v>32</v>
      </c>
      <c r="AS25" s="15">
        <v>23</v>
      </c>
      <c r="AT25" s="15" t="s">
        <v>11</v>
      </c>
      <c r="AU25" s="71">
        <f t="shared" si="20"/>
        <v>160</v>
      </c>
      <c r="AV25" s="77" t="s">
        <v>11</v>
      </c>
      <c r="AW25" s="4">
        <v>2</v>
      </c>
      <c r="AX25" s="31" t="s">
        <v>11</v>
      </c>
      <c r="AY25" s="4">
        <v>96</v>
      </c>
      <c r="AZ25" s="31" t="s">
        <v>11</v>
      </c>
      <c r="BA25" s="4">
        <v>4</v>
      </c>
      <c r="BB25" s="4">
        <v>7.5</v>
      </c>
      <c r="BC25" s="4">
        <v>1.7</v>
      </c>
      <c r="BD25" s="4">
        <v>13.1</v>
      </c>
      <c r="BE25" s="4">
        <v>65.2</v>
      </c>
      <c r="BF25" s="4">
        <v>0.09999999999999432</v>
      </c>
      <c r="BG25" s="12">
        <v>0</v>
      </c>
      <c r="BH25" s="71">
        <f t="shared" si="21"/>
        <v>189.6</v>
      </c>
      <c r="BI25" s="36" t="s">
        <v>11</v>
      </c>
      <c r="BJ25" s="15">
        <f>BV25-BI25</f>
        <v>5.3</v>
      </c>
      <c r="BK25" s="15">
        <f>40.2-BI25-BJ25</f>
        <v>34.900000000000006</v>
      </c>
      <c r="BL25" s="15">
        <f>101.2-BJ25-BK25-BI25</f>
        <v>61</v>
      </c>
      <c r="BM25" s="15">
        <f>120.8-BK25-BL25-BJ25-BI25</f>
        <v>19.59999999999999</v>
      </c>
      <c r="BN25" s="15">
        <f>193.6-BL25-BM25-BK25-BJ25-BI25</f>
        <v>72.8</v>
      </c>
      <c r="BO25" s="15">
        <f t="shared" si="22"/>
        <v>-2.6645352591003757E-15</v>
      </c>
      <c r="BP25" s="15">
        <f t="shared" si="23"/>
        <v>5.900000000000003</v>
      </c>
      <c r="BQ25" s="15">
        <f t="shared" si="24"/>
        <v>0.09999999999999165</v>
      </c>
      <c r="BR25" s="15">
        <f t="shared" si="25"/>
        <v>39.59999999999998</v>
      </c>
      <c r="BS25" s="15">
        <f t="shared" si="26"/>
        <v>221.40000000000012</v>
      </c>
      <c r="BT25" s="15">
        <f t="shared" si="27"/>
        <v>7.6999999999998865</v>
      </c>
      <c r="BU25" s="73">
        <f t="shared" si="28"/>
        <v>468.3</v>
      </c>
      <c r="BV25" s="72">
        <v>5.3</v>
      </c>
      <c r="BW25" s="42">
        <v>40</v>
      </c>
      <c r="BX25" s="72">
        <v>101.2</v>
      </c>
      <c r="BY25" s="71">
        <v>120.8</v>
      </c>
      <c r="BZ25" s="71">
        <v>193.6</v>
      </c>
      <c r="CA25" s="71">
        <v>193.6</v>
      </c>
      <c r="CB25" s="71">
        <v>199.5</v>
      </c>
      <c r="CC25" s="42">
        <v>199.6</v>
      </c>
      <c r="CD25" s="42">
        <v>239.2</v>
      </c>
      <c r="CE25" s="43">
        <v>460.6</v>
      </c>
      <c r="CF25" s="43">
        <v>468.3</v>
      </c>
      <c r="CG25" s="43">
        <v>116.4</v>
      </c>
      <c r="CH25" s="119">
        <v>491.7</v>
      </c>
      <c r="CI25" s="124">
        <v>215.5</v>
      </c>
      <c r="CJ25" s="71">
        <v>100.774</v>
      </c>
      <c r="CK25" s="71">
        <v>336.32200000000006</v>
      </c>
      <c r="CL25" s="122">
        <v>298.77799999999996</v>
      </c>
      <c r="CM25" s="122">
        <v>157.992</v>
      </c>
      <c r="CN25" s="122">
        <v>132.644</v>
      </c>
      <c r="CO25" s="122">
        <v>263.762</v>
      </c>
      <c r="CP25" s="122">
        <v>97.553</v>
      </c>
      <c r="CQ25" s="122">
        <v>11.6</v>
      </c>
      <c r="CR25" s="122">
        <v>14.5</v>
      </c>
      <c r="CS25" s="122">
        <v>26.9</v>
      </c>
      <c r="CT25" s="122">
        <v>45</v>
      </c>
      <c r="CU25" s="122">
        <v>45</v>
      </c>
      <c r="CV25" s="122">
        <v>58</v>
      </c>
      <c r="CW25" s="122">
        <v>59</v>
      </c>
      <c r="CX25" s="122">
        <v>64.9</v>
      </c>
      <c r="CY25" s="122">
        <v>92.6</v>
      </c>
      <c r="CZ25" s="122">
        <v>106.9</v>
      </c>
      <c r="DA25" s="122">
        <v>116.4</v>
      </c>
      <c r="DB25" s="122">
        <v>116.4</v>
      </c>
      <c r="DC25" s="122">
        <v>1.1</v>
      </c>
      <c r="DD25" s="122">
        <v>22</v>
      </c>
      <c r="DE25" s="122">
        <v>215.5</v>
      </c>
      <c r="DF25" s="122">
        <v>216.1</v>
      </c>
      <c r="DG25" s="122">
        <v>227.3</v>
      </c>
      <c r="DH25" s="122">
        <v>323.9</v>
      </c>
      <c r="DI25" s="122">
        <v>417.8</v>
      </c>
      <c r="DJ25" s="122">
        <v>453.1</v>
      </c>
      <c r="DK25" s="122">
        <v>453.1</v>
      </c>
      <c r="DL25" s="122">
        <v>458</v>
      </c>
      <c r="DM25" s="122">
        <v>473</v>
      </c>
      <c r="DN25" s="122">
        <v>491.7</v>
      </c>
      <c r="DO25" s="122">
        <v>51</v>
      </c>
      <c r="DP25" s="122">
        <v>63.2</v>
      </c>
      <c r="DQ25" s="122">
        <v>81.5</v>
      </c>
      <c r="DR25" s="122">
        <v>99</v>
      </c>
      <c r="DS25" s="122">
        <v>140</v>
      </c>
      <c r="DT25" s="122">
        <v>157.8</v>
      </c>
      <c r="DU25" s="122">
        <v>157.9</v>
      </c>
      <c r="DV25" s="122">
        <v>158.2</v>
      </c>
      <c r="DW25" s="122">
        <v>180</v>
      </c>
      <c r="DX25" s="122">
        <v>180.5</v>
      </c>
      <c r="DY25" s="122">
        <v>192.5</v>
      </c>
      <c r="DZ25" s="122">
        <v>23</v>
      </c>
      <c r="EA25" s="122">
        <f t="shared" si="29"/>
        <v>215.5</v>
      </c>
      <c r="EB25" s="122">
        <v>1</v>
      </c>
      <c r="EC25" s="122">
        <v>29</v>
      </c>
      <c r="ED25" s="122">
        <v>24</v>
      </c>
      <c r="EE25" s="122">
        <v>2</v>
      </c>
      <c r="EF25" s="122">
        <f>'[1]Feuil2'!$D$16</f>
        <v>0.11</v>
      </c>
      <c r="EG25" s="122">
        <v>0</v>
      </c>
      <c r="EH25" s="122">
        <v>0</v>
      </c>
      <c r="EI25" s="122">
        <v>0</v>
      </c>
      <c r="EJ25" s="122">
        <v>5.614</v>
      </c>
      <c r="EK25" s="122">
        <v>2.35</v>
      </c>
      <c r="EL25" s="122">
        <v>2.4</v>
      </c>
      <c r="EM25" s="122">
        <v>34.3</v>
      </c>
      <c r="EN25" s="122">
        <f t="shared" si="30"/>
        <v>100.774</v>
      </c>
      <c r="EO25" s="122">
        <v>74</v>
      </c>
      <c r="EP25" s="122">
        <v>42</v>
      </c>
      <c r="EQ25" s="122">
        <v>0.1</v>
      </c>
      <c r="ER25" s="122">
        <v>5.2</v>
      </c>
      <c r="ES25" s="122">
        <v>15.4</v>
      </c>
      <c r="ET25" s="122">
        <v>68.7</v>
      </c>
      <c r="EU25" s="122">
        <v>21.3</v>
      </c>
      <c r="EV25" s="122">
        <v>15.6</v>
      </c>
      <c r="EW25" s="122">
        <v>16.2</v>
      </c>
      <c r="EX25" s="122">
        <v>43.122</v>
      </c>
      <c r="EY25" s="122">
        <v>34.6</v>
      </c>
      <c r="EZ25" s="122">
        <v>0.1</v>
      </c>
      <c r="FA25" s="122">
        <f t="shared" si="31"/>
        <v>336.32200000000006</v>
      </c>
      <c r="FB25" s="122">
        <v>26.46</v>
      </c>
      <c r="FC25" s="122" t="s">
        <v>16</v>
      </c>
      <c r="FD25" s="122">
        <f>'[4]IV5-IV6'!$D$19</f>
        <v>0.148</v>
      </c>
      <c r="FE25" s="122">
        <v>25.19</v>
      </c>
      <c r="FF25" s="122">
        <v>13.28</v>
      </c>
      <c r="FG25" s="122">
        <v>23.8</v>
      </c>
      <c r="FH25" s="122">
        <v>25.06</v>
      </c>
      <c r="FI25" s="122">
        <v>8.231</v>
      </c>
      <c r="FJ25" s="122">
        <v>20.3</v>
      </c>
      <c r="FK25" s="122">
        <v>25.746</v>
      </c>
      <c r="FL25" s="122">
        <v>130.32</v>
      </c>
      <c r="FM25" s="122">
        <v>0.243</v>
      </c>
      <c r="FN25" s="122">
        <f t="shared" si="32"/>
        <v>298.77799999999996</v>
      </c>
      <c r="FO25" s="122">
        <v>2.4</v>
      </c>
      <c r="FP25" s="122">
        <v>16.8</v>
      </c>
      <c r="FQ25" s="122">
        <v>8.928</v>
      </c>
      <c r="FR25" s="122">
        <f>'[5]IV5-IV6'!$C$51</f>
        <v>4.103</v>
      </c>
      <c r="FS25" s="122">
        <v>0.954</v>
      </c>
      <c r="FT25" s="122">
        <v>60.7</v>
      </c>
      <c r="FU25" s="122">
        <v>0.219</v>
      </c>
      <c r="FV25" s="122">
        <v>0</v>
      </c>
      <c r="FW25" s="122">
        <v>7.55</v>
      </c>
      <c r="FX25" s="122">
        <v>40.7</v>
      </c>
      <c r="FY25" s="122">
        <v>15.638</v>
      </c>
      <c r="FZ25" s="122">
        <v>0</v>
      </c>
      <c r="GA25" s="122">
        <f t="shared" si="33"/>
        <v>157.992</v>
      </c>
      <c r="GB25" s="122">
        <v>0.275</v>
      </c>
      <c r="GC25" s="122">
        <v>0.028</v>
      </c>
      <c r="GD25" s="122">
        <v>0</v>
      </c>
      <c r="GE25" s="122">
        <v>4.128</v>
      </c>
      <c r="GF25" s="122">
        <v>40.475</v>
      </c>
      <c r="GG25" s="122">
        <v>23.886</v>
      </c>
      <c r="GH25" s="122">
        <v>1.708</v>
      </c>
      <c r="GI25" s="122">
        <v>18.088</v>
      </c>
      <c r="GJ25" s="122">
        <v>2.347</v>
      </c>
      <c r="GK25" s="122">
        <v>14.191</v>
      </c>
      <c r="GL25" s="122">
        <v>0.518</v>
      </c>
      <c r="GM25" s="122">
        <v>27</v>
      </c>
      <c r="GN25" s="122">
        <f t="shared" si="34"/>
        <v>132.644</v>
      </c>
      <c r="GO25" s="122">
        <v>18.555</v>
      </c>
      <c r="GP25" s="122">
        <v>208.176</v>
      </c>
      <c r="GQ25" s="122">
        <v>0.134</v>
      </c>
      <c r="GR25" s="122">
        <v>0</v>
      </c>
      <c r="GS25" s="122">
        <v>0.002</v>
      </c>
      <c r="GT25" s="122">
        <v>19.699</v>
      </c>
      <c r="GU25" s="122">
        <v>6</v>
      </c>
      <c r="GV25" s="122">
        <v>0.506</v>
      </c>
      <c r="GW25" s="122"/>
      <c r="GX25" s="122"/>
      <c r="GY25" s="122">
        <v>0.006</v>
      </c>
      <c r="GZ25" s="122">
        <v>10.684</v>
      </c>
      <c r="HA25" s="122">
        <v>0.588</v>
      </c>
      <c r="HB25" s="122">
        <v>1.892</v>
      </c>
      <c r="HC25" s="122">
        <v>8.667</v>
      </c>
      <c r="HD25" s="122">
        <v>2.913</v>
      </c>
      <c r="HE25" s="122">
        <v>0.21</v>
      </c>
      <c r="HF25" s="122">
        <v>0.688</v>
      </c>
      <c r="HG25" s="122">
        <v>24.595</v>
      </c>
      <c r="HH25" s="122"/>
      <c r="HI25" s="122">
        <v>34.38</v>
      </c>
      <c r="HJ25" s="122">
        <v>9.496</v>
      </c>
      <c r="HK25" s="122">
        <v>0.29</v>
      </c>
      <c r="HL25" s="122">
        <v>13.834</v>
      </c>
      <c r="HM25" s="98">
        <v>20.117</v>
      </c>
      <c r="HN25" s="98">
        <v>8.45</v>
      </c>
      <c r="HO25" s="98">
        <v>14.242</v>
      </c>
      <c r="HP25" s="122">
        <v>0.109</v>
      </c>
      <c r="HQ25" s="98">
        <v>17.822</v>
      </c>
      <c r="HR25" s="122">
        <v>7.142</v>
      </c>
      <c r="HS25" s="122">
        <v>20.418</v>
      </c>
      <c r="HT25" s="122">
        <v>0.022</v>
      </c>
      <c r="HU25" s="122"/>
      <c r="HV25" s="122"/>
      <c r="HW25" s="122"/>
      <c r="HX25" s="122"/>
      <c r="HY25" s="122">
        <f t="shared" si="35"/>
        <v>39.553</v>
      </c>
      <c r="HZ25" s="122">
        <f t="shared" si="36"/>
        <v>88.32199999999999</v>
      </c>
    </row>
    <row r="26" spans="2:234" ht="15.75">
      <c r="B26" s="104" t="s">
        <v>61</v>
      </c>
      <c r="C26" s="71">
        <v>3212</v>
      </c>
      <c r="D26" s="42">
        <v>5982</v>
      </c>
      <c r="E26" s="72">
        <v>2485</v>
      </c>
      <c r="F26" s="42">
        <v>2302</v>
      </c>
      <c r="G26" s="42">
        <v>6681.7</v>
      </c>
      <c r="H26" s="42">
        <v>11300</v>
      </c>
      <c r="I26" s="43">
        <v>254</v>
      </c>
      <c r="J26" s="43">
        <v>104</v>
      </c>
      <c r="K26" s="15">
        <v>105</v>
      </c>
      <c r="L26" s="15">
        <v>1614</v>
      </c>
      <c r="M26" s="15">
        <v>31</v>
      </c>
      <c r="N26" s="15">
        <v>2087</v>
      </c>
      <c r="O26" s="15">
        <v>1179</v>
      </c>
      <c r="P26" s="15">
        <v>171</v>
      </c>
      <c r="Q26" s="15">
        <v>23</v>
      </c>
      <c r="R26" s="15">
        <v>230</v>
      </c>
      <c r="S26" s="15">
        <v>165</v>
      </c>
      <c r="T26" s="15">
        <v>19</v>
      </c>
      <c r="U26" s="42">
        <f t="shared" si="18"/>
        <v>5982</v>
      </c>
      <c r="V26" s="56">
        <v>30</v>
      </c>
      <c r="W26" s="43">
        <v>34</v>
      </c>
      <c r="X26" s="15">
        <v>430</v>
      </c>
      <c r="Y26" s="15">
        <v>314</v>
      </c>
      <c r="Z26" s="15">
        <v>17</v>
      </c>
      <c r="AA26" s="15">
        <v>212</v>
      </c>
      <c r="AB26" s="15">
        <v>503</v>
      </c>
      <c r="AC26" s="15">
        <v>120</v>
      </c>
      <c r="AD26" s="15">
        <v>28</v>
      </c>
      <c r="AE26" s="15">
        <v>216</v>
      </c>
      <c r="AF26" s="15">
        <v>159</v>
      </c>
      <c r="AG26" s="15">
        <v>422</v>
      </c>
      <c r="AH26" s="71">
        <f t="shared" si="19"/>
        <v>2485</v>
      </c>
      <c r="AI26" s="43">
        <v>60</v>
      </c>
      <c r="AJ26" s="15">
        <v>207</v>
      </c>
      <c r="AK26" s="15">
        <v>869</v>
      </c>
      <c r="AL26" s="15">
        <v>39</v>
      </c>
      <c r="AM26" s="15">
        <v>21</v>
      </c>
      <c r="AN26" s="15">
        <v>72</v>
      </c>
      <c r="AO26" s="15">
        <v>50</v>
      </c>
      <c r="AP26" s="15">
        <v>147</v>
      </c>
      <c r="AQ26" s="15">
        <v>111</v>
      </c>
      <c r="AR26" s="15">
        <v>363</v>
      </c>
      <c r="AS26" s="15">
        <v>246</v>
      </c>
      <c r="AT26" s="15">
        <v>117</v>
      </c>
      <c r="AU26" s="71">
        <f t="shared" si="20"/>
        <v>2302</v>
      </c>
      <c r="AV26" s="42">
        <v>374</v>
      </c>
      <c r="AW26" s="15">
        <v>764</v>
      </c>
      <c r="AX26" s="31">
        <v>869</v>
      </c>
      <c r="AY26" s="15">
        <v>1018</v>
      </c>
      <c r="AZ26" s="15">
        <v>930</v>
      </c>
      <c r="BA26" s="15">
        <v>318</v>
      </c>
      <c r="BB26" s="4">
        <v>7.5</v>
      </c>
      <c r="BC26" s="4">
        <v>107.3</v>
      </c>
      <c r="BD26" s="4">
        <v>190.2</v>
      </c>
      <c r="BE26" s="4">
        <v>782.8</v>
      </c>
      <c r="BF26" s="4">
        <v>1005.9</v>
      </c>
      <c r="BG26" s="12">
        <v>315</v>
      </c>
      <c r="BH26" s="71">
        <f t="shared" si="21"/>
        <v>6681.7</v>
      </c>
      <c r="BI26" s="36">
        <v>3316</v>
      </c>
      <c r="BJ26" s="15">
        <f>4096.1-BI26</f>
        <v>780.1000000000004</v>
      </c>
      <c r="BK26" s="15">
        <f>5518.3-BI26-BJ26</f>
        <v>1422.1999999999998</v>
      </c>
      <c r="BL26" s="15">
        <f>6386.9-BJ26-BK26-BI26</f>
        <v>868.5999999999995</v>
      </c>
      <c r="BM26" s="15">
        <f>7053.5-BK26-BL26-BJ26-BI26</f>
        <v>666.6000000000004</v>
      </c>
      <c r="BN26" s="15">
        <f>8216.6-BL26-BM26-BK26-BJ26-BI26</f>
        <v>1163.1000000000004</v>
      </c>
      <c r="BO26" s="15">
        <f t="shared" si="22"/>
        <v>213.29999999999927</v>
      </c>
      <c r="BP26" s="15">
        <f t="shared" si="23"/>
        <v>750.3999999999996</v>
      </c>
      <c r="BQ26" s="15">
        <f t="shared" si="24"/>
        <v>157.60000000000036</v>
      </c>
      <c r="BR26" s="15">
        <f t="shared" si="25"/>
        <v>547.3999999999996</v>
      </c>
      <c r="BS26" s="15">
        <f t="shared" si="26"/>
        <v>874.4000000000015</v>
      </c>
      <c r="BT26" s="15">
        <f t="shared" si="27"/>
        <v>540</v>
      </c>
      <c r="BU26" s="73">
        <f t="shared" si="28"/>
        <v>11299.7</v>
      </c>
      <c r="BV26" s="72">
        <v>4096.1</v>
      </c>
      <c r="BW26" s="42">
        <v>5518</v>
      </c>
      <c r="BX26" s="72">
        <v>6386.9</v>
      </c>
      <c r="BY26" s="71">
        <v>7053.5</v>
      </c>
      <c r="BZ26" s="71">
        <v>8216.6</v>
      </c>
      <c r="CA26" s="71">
        <v>8429.9</v>
      </c>
      <c r="CB26" s="71">
        <v>9180.3</v>
      </c>
      <c r="CC26" s="42">
        <v>9337.9</v>
      </c>
      <c r="CD26" s="42">
        <v>9885.3</v>
      </c>
      <c r="CE26" s="43">
        <v>10759.7</v>
      </c>
      <c r="CF26" s="43">
        <v>11299.7</v>
      </c>
      <c r="CG26" s="43">
        <v>1758.5</v>
      </c>
      <c r="CH26" s="119">
        <v>2721.8</v>
      </c>
      <c r="CI26" s="124">
        <v>2485</v>
      </c>
      <c r="CJ26" s="71">
        <v>2418.59</v>
      </c>
      <c r="CK26" s="71">
        <v>4723.469000000001</v>
      </c>
      <c r="CL26" s="122">
        <v>7285.177000000001</v>
      </c>
      <c r="CM26" s="122">
        <v>3268.801</v>
      </c>
      <c r="CN26" s="122">
        <v>8129.684</v>
      </c>
      <c r="CO26" s="122">
        <v>9440.683</v>
      </c>
      <c r="CP26" s="122">
        <v>7651.0830000000005</v>
      </c>
      <c r="CQ26" s="122">
        <v>541.9</v>
      </c>
      <c r="CR26" s="122">
        <v>732.6</v>
      </c>
      <c r="CS26" s="122">
        <v>792.5</v>
      </c>
      <c r="CT26" s="122">
        <v>828.7</v>
      </c>
      <c r="CU26" s="122">
        <v>941.7</v>
      </c>
      <c r="CV26" s="122">
        <v>1186.7</v>
      </c>
      <c r="CW26" s="122">
        <v>1242.8</v>
      </c>
      <c r="CX26" s="122">
        <v>1321.9</v>
      </c>
      <c r="CY26" s="122">
        <v>1403.4</v>
      </c>
      <c r="CZ26" s="122">
        <v>1505.4</v>
      </c>
      <c r="DA26" s="122">
        <v>1651.4</v>
      </c>
      <c r="DB26" s="122">
        <v>1758.5</v>
      </c>
      <c r="DC26" s="122">
        <v>241.7</v>
      </c>
      <c r="DD26" s="122">
        <v>647.1</v>
      </c>
      <c r="DE26" s="122">
        <v>655.4</v>
      </c>
      <c r="DF26" s="122">
        <v>735</v>
      </c>
      <c r="DG26" s="122">
        <v>781.3</v>
      </c>
      <c r="DH26" s="122">
        <v>938.3</v>
      </c>
      <c r="DI26" s="122">
        <v>1117.9</v>
      </c>
      <c r="DJ26" s="122">
        <v>1154.3</v>
      </c>
      <c r="DK26" s="122">
        <v>1862.7</v>
      </c>
      <c r="DL26" s="122">
        <v>2393.4</v>
      </c>
      <c r="DM26" s="122">
        <v>2468.5</v>
      </c>
      <c r="DN26" s="122">
        <v>2721.8</v>
      </c>
      <c r="DO26" s="122">
        <v>240.4</v>
      </c>
      <c r="DP26" s="122">
        <v>773.7</v>
      </c>
      <c r="DQ26" s="122">
        <v>940.1</v>
      </c>
      <c r="DR26" s="122">
        <v>1180.4</v>
      </c>
      <c r="DS26" s="122">
        <v>1431</v>
      </c>
      <c r="DT26" s="122">
        <v>1514.1</v>
      </c>
      <c r="DU26" s="122">
        <v>1575.3</v>
      </c>
      <c r="DV26" s="122">
        <v>1732.2</v>
      </c>
      <c r="DW26" s="122">
        <v>1859.4</v>
      </c>
      <c r="DX26" s="122">
        <v>1919</v>
      </c>
      <c r="DY26" s="122">
        <v>2142</v>
      </c>
      <c r="DZ26" s="122">
        <v>343</v>
      </c>
      <c r="EA26" s="122">
        <f t="shared" si="29"/>
        <v>2485</v>
      </c>
      <c r="EB26" s="122">
        <v>165</v>
      </c>
      <c r="EC26" s="122">
        <v>148</v>
      </c>
      <c r="ED26" s="122">
        <v>202</v>
      </c>
      <c r="EE26" s="122">
        <v>169</v>
      </c>
      <c r="EF26" s="122">
        <f>'[1]Feuil2'!$D$18</f>
        <v>12.66</v>
      </c>
      <c r="EG26" s="122">
        <f>'[2]Feuil3'!$E$17</f>
        <v>155.46</v>
      </c>
      <c r="EH26" s="122">
        <v>90</v>
      </c>
      <c r="EI26" s="122">
        <v>109</v>
      </c>
      <c r="EJ26" s="122">
        <v>290.092</v>
      </c>
      <c r="EK26" s="122">
        <v>259.378</v>
      </c>
      <c r="EL26" s="122">
        <v>209</v>
      </c>
      <c r="EM26" s="122">
        <v>609</v>
      </c>
      <c r="EN26" s="122">
        <f t="shared" si="30"/>
        <v>2418.59</v>
      </c>
      <c r="EO26" s="122">
        <v>194</v>
      </c>
      <c r="EP26" s="122">
        <v>116</v>
      </c>
      <c r="EQ26" s="122">
        <v>96</v>
      </c>
      <c r="ER26" s="122">
        <v>250.209</v>
      </c>
      <c r="ES26" s="122">
        <v>277.3</v>
      </c>
      <c r="ET26" s="122">
        <v>1030.3</v>
      </c>
      <c r="EU26" s="122">
        <v>786.5</v>
      </c>
      <c r="EV26" s="122">
        <v>958.5</v>
      </c>
      <c r="EW26" s="122">
        <v>71.819</v>
      </c>
      <c r="EX26" s="122">
        <v>319.141</v>
      </c>
      <c r="EY26" s="122">
        <v>280.6</v>
      </c>
      <c r="EZ26" s="122">
        <f>337.1+6</f>
        <v>343.1</v>
      </c>
      <c r="FA26" s="122">
        <f t="shared" si="31"/>
        <v>4723.469000000001</v>
      </c>
      <c r="FB26" s="122">
        <v>1362.781</v>
      </c>
      <c r="FC26" s="122">
        <v>275.779</v>
      </c>
      <c r="FD26" s="122">
        <f>'[4]IV5-IV6'!$D$23</f>
        <v>95.683</v>
      </c>
      <c r="FE26" s="122">
        <v>3651.68</v>
      </c>
      <c r="FF26" s="122">
        <v>747.217</v>
      </c>
      <c r="FG26" s="122">
        <v>200.5</v>
      </c>
      <c r="FH26" s="122">
        <v>124.417</v>
      </c>
      <c r="FI26" s="122">
        <v>119.198</v>
      </c>
      <c r="FJ26" s="122">
        <v>184.5</v>
      </c>
      <c r="FK26" s="122">
        <v>128.563</v>
      </c>
      <c r="FL26" s="122">
        <v>140.817</v>
      </c>
      <c r="FM26" s="122">
        <v>254.042</v>
      </c>
      <c r="FN26" s="122">
        <f t="shared" si="32"/>
        <v>7285.177000000001</v>
      </c>
      <c r="FO26" s="122">
        <v>167.991</v>
      </c>
      <c r="FP26" s="122">
        <v>146.844</v>
      </c>
      <c r="FQ26" s="122">
        <v>180.786</v>
      </c>
      <c r="FR26" s="122">
        <f>'[5]IV5-IV6'!$C$53</f>
        <v>1170.537</v>
      </c>
      <c r="FS26" s="122">
        <v>87.367</v>
      </c>
      <c r="FT26" s="122">
        <v>391</v>
      </c>
      <c r="FU26" s="122">
        <v>186.229</v>
      </c>
      <c r="FV26" s="122">
        <v>248.303</v>
      </c>
      <c r="FW26" s="122">
        <v>104.082</v>
      </c>
      <c r="FX26" s="122">
        <v>174.3</v>
      </c>
      <c r="FY26" s="122">
        <v>204.762</v>
      </c>
      <c r="FZ26" s="122">
        <v>206.6</v>
      </c>
      <c r="GA26" s="122">
        <f t="shared" si="33"/>
        <v>3268.801</v>
      </c>
      <c r="GB26" s="122">
        <v>495.591</v>
      </c>
      <c r="GC26" s="122">
        <v>488.296</v>
      </c>
      <c r="GD26" s="122">
        <v>590.638</v>
      </c>
      <c r="GE26" s="122">
        <v>127.11</v>
      </c>
      <c r="GF26" s="122">
        <v>1087.308</v>
      </c>
      <c r="GG26" s="122">
        <v>637.919</v>
      </c>
      <c r="GH26" s="122">
        <v>202.929</v>
      </c>
      <c r="GI26" s="122">
        <v>749.917</v>
      </c>
      <c r="GJ26" s="122">
        <v>2154.533</v>
      </c>
      <c r="GK26" s="122">
        <v>587.651</v>
      </c>
      <c r="GL26" s="122">
        <v>769.997</v>
      </c>
      <c r="GM26" s="122">
        <v>237.795</v>
      </c>
      <c r="GN26" s="122">
        <f t="shared" si="34"/>
        <v>8129.684</v>
      </c>
      <c r="GO26" s="122">
        <v>177.636</v>
      </c>
      <c r="GP26" s="122">
        <v>675.714</v>
      </c>
      <c r="GQ26" s="122">
        <v>2401.958</v>
      </c>
      <c r="GR26" s="122">
        <v>667.081</v>
      </c>
      <c r="GS26" s="122">
        <v>651.773</v>
      </c>
      <c r="GT26" s="122">
        <v>181.838</v>
      </c>
      <c r="GU26" s="122">
        <v>163.637</v>
      </c>
      <c r="GV26" s="122">
        <v>594.593</v>
      </c>
      <c r="GW26" s="122">
        <v>1427.192</v>
      </c>
      <c r="GX26" s="122">
        <v>1269.874</v>
      </c>
      <c r="GY26" s="122">
        <v>764.942</v>
      </c>
      <c r="GZ26" s="122">
        <v>737.658</v>
      </c>
      <c r="HA26" s="122">
        <v>114.316</v>
      </c>
      <c r="HB26" s="122">
        <v>252.148</v>
      </c>
      <c r="HC26" s="122">
        <v>698.383</v>
      </c>
      <c r="HD26" s="122">
        <v>771.732</v>
      </c>
      <c r="HE26" s="122">
        <v>258.552</v>
      </c>
      <c r="HF26" s="122">
        <v>1075.253</v>
      </c>
      <c r="HG26" s="122">
        <v>662.386</v>
      </c>
      <c r="HH26" s="122">
        <v>1209.937</v>
      </c>
      <c r="HI26" s="122">
        <v>247.77</v>
      </c>
      <c r="HJ26" s="122">
        <v>912.097</v>
      </c>
      <c r="HK26" s="122">
        <v>771.601</v>
      </c>
      <c r="HL26" s="122">
        <v>676.908</v>
      </c>
      <c r="HM26" s="98">
        <v>223.602</v>
      </c>
      <c r="HN26" s="98">
        <v>766.829</v>
      </c>
      <c r="HO26" s="98">
        <v>654.315</v>
      </c>
      <c r="HP26" s="122">
        <v>1067.822</v>
      </c>
      <c r="HQ26" s="98">
        <v>1159.834</v>
      </c>
      <c r="HR26" s="122">
        <v>592.793</v>
      </c>
      <c r="HS26" s="122">
        <v>597.339</v>
      </c>
      <c r="HT26" s="122">
        <v>1199.712</v>
      </c>
      <c r="HU26" s="122"/>
      <c r="HV26" s="122"/>
      <c r="HW26" s="122"/>
      <c r="HX26" s="122"/>
      <c r="HY26" s="122">
        <f t="shared" si="35"/>
        <v>5042.707</v>
      </c>
      <c r="HZ26" s="122">
        <f t="shared" si="36"/>
        <v>6262.245999999999</v>
      </c>
    </row>
    <row r="27" spans="2:234" ht="15.75">
      <c r="B27" s="105" t="s">
        <v>62</v>
      </c>
      <c r="C27" s="71">
        <v>50</v>
      </c>
      <c r="D27" s="71">
        <v>21</v>
      </c>
      <c r="E27" s="72">
        <v>6</v>
      </c>
      <c r="F27" s="42">
        <v>36</v>
      </c>
      <c r="G27" s="42">
        <v>169.1</v>
      </c>
      <c r="H27" s="42">
        <v>36</v>
      </c>
      <c r="I27" s="43" t="s">
        <v>11</v>
      </c>
      <c r="J27" s="43" t="s">
        <v>11</v>
      </c>
      <c r="K27" s="15" t="s">
        <v>11</v>
      </c>
      <c r="L27" s="15" t="s">
        <v>11</v>
      </c>
      <c r="M27" s="15" t="s">
        <v>16</v>
      </c>
      <c r="N27" s="15" t="s">
        <v>11</v>
      </c>
      <c r="O27" s="15" t="s">
        <v>11</v>
      </c>
      <c r="P27" s="15" t="s">
        <v>11</v>
      </c>
      <c r="Q27" s="15">
        <v>21</v>
      </c>
      <c r="R27" s="15" t="s">
        <v>11</v>
      </c>
      <c r="S27" s="15" t="s">
        <v>16</v>
      </c>
      <c r="T27" s="15" t="s">
        <v>11</v>
      </c>
      <c r="U27" s="42">
        <f t="shared" si="18"/>
        <v>21</v>
      </c>
      <c r="V27" s="36" t="s">
        <v>11</v>
      </c>
      <c r="W27" s="43">
        <v>3</v>
      </c>
      <c r="X27" s="15" t="s">
        <v>16</v>
      </c>
      <c r="Y27" s="15" t="s">
        <v>11</v>
      </c>
      <c r="Z27" s="15" t="s">
        <v>11</v>
      </c>
      <c r="AA27" s="15">
        <v>1</v>
      </c>
      <c r="AB27" s="15" t="s">
        <v>11</v>
      </c>
      <c r="AC27" s="15">
        <v>2</v>
      </c>
      <c r="AD27" s="15" t="s">
        <v>11</v>
      </c>
      <c r="AE27" s="15" t="s">
        <v>11</v>
      </c>
      <c r="AF27" s="15" t="s">
        <v>16</v>
      </c>
      <c r="AG27" s="15" t="s">
        <v>11</v>
      </c>
      <c r="AH27" s="71">
        <f t="shared" si="19"/>
        <v>6</v>
      </c>
      <c r="AI27" s="43" t="s">
        <v>11</v>
      </c>
      <c r="AJ27" s="15" t="s">
        <v>11</v>
      </c>
      <c r="AK27" s="15" t="s">
        <v>11</v>
      </c>
      <c r="AL27" s="15">
        <v>16</v>
      </c>
      <c r="AM27" s="15">
        <v>20</v>
      </c>
      <c r="AN27" s="15" t="s">
        <v>11</v>
      </c>
      <c r="AO27" s="15" t="s">
        <v>11</v>
      </c>
      <c r="AP27" s="15" t="s">
        <v>11</v>
      </c>
      <c r="AQ27" s="15" t="s">
        <v>11</v>
      </c>
      <c r="AR27" s="15" t="s">
        <v>11</v>
      </c>
      <c r="AS27" s="15" t="s">
        <v>11</v>
      </c>
      <c r="AT27" s="15" t="s">
        <v>11</v>
      </c>
      <c r="AU27" s="71">
        <f t="shared" si="20"/>
        <v>36</v>
      </c>
      <c r="AV27" s="71" t="s">
        <v>11</v>
      </c>
      <c r="AW27" s="79" t="s">
        <v>11</v>
      </c>
      <c r="AX27" s="79" t="s">
        <v>11</v>
      </c>
      <c r="AY27" s="79" t="s">
        <v>11</v>
      </c>
      <c r="AZ27" s="79" t="s">
        <v>11</v>
      </c>
      <c r="BA27" s="79">
        <v>10</v>
      </c>
      <c r="BB27" s="4">
        <v>0</v>
      </c>
      <c r="BC27" s="4">
        <v>137.1</v>
      </c>
      <c r="BD27" s="4">
        <v>0</v>
      </c>
      <c r="BE27" s="4">
        <v>0.09999999999999432</v>
      </c>
      <c r="BF27" s="4">
        <v>21.9</v>
      </c>
      <c r="BG27" s="79">
        <v>0</v>
      </c>
      <c r="BH27" s="71">
        <f t="shared" si="21"/>
        <v>169.1</v>
      </c>
      <c r="BI27" s="36" t="s">
        <v>11</v>
      </c>
      <c r="BJ27" s="15" t="s">
        <v>11</v>
      </c>
      <c r="BK27" s="15">
        <f>0-BI27-BJ27</f>
        <v>0</v>
      </c>
      <c r="BL27" s="15">
        <f>BX27-BK27-BJ27-BI27</f>
        <v>0</v>
      </c>
      <c r="BM27" s="15">
        <v>0</v>
      </c>
      <c r="BN27" s="15">
        <f>0.1-BL27-BM27-BK27-BJ27-BI27</f>
        <v>0.1</v>
      </c>
      <c r="BO27" s="15">
        <f t="shared" si="22"/>
        <v>-0.1</v>
      </c>
      <c r="BP27" s="15">
        <f t="shared" si="23"/>
        <v>0</v>
      </c>
      <c r="BQ27" s="15">
        <f t="shared" si="24"/>
        <v>0</v>
      </c>
      <c r="BR27" s="15">
        <f t="shared" si="25"/>
        <v>2</v>
      </c>
      <c r="BS27" s="15">
        <f t="shared" si="26"/>
        <v>33.8</v>
      </c>
      <c r="BT27" s="15">
        <f t="shared" si="27"/>
        <v>0</v>
      </c>
      <c r="BU27" s="73">
        <f t="shared" si="28"/>
        <v>35.8</v>
      </c>
      <c r="BV27" s="73" t="s">
        <v>11</v>
      </c>
      <c r="BW27" s="71" t="s">
        <v>11</v>
      </c>
      <c r="BX27" s="73" t="s">
        <v>11</v>
      </c>
      <c r="BY27" s="71" t="s">
        <v>11</v>
      </c>
      <c r="BZ27" s="71" t="s">
        <v>11</v>
      </c>
      <c r="CA27" s="71" t="s">
        <v>11</v>
      </c>
      <c r="CB27" s="71" t="s">
        <v>11</v>
      </c>
      <c r="CC27" s="42" t="s">
        <v>11</v>
      </c>
      <c r="CD27" s="42">
        <v>2</v>
      </c>
      <c r="CE27" s="43">
        <v>35.8</v>
      </c>
      <c r="CF27" s="43">
        <v>35.8</v>
      </c>
      <c r="CG27" s="43">
        <v>2.4</v>
      </c>
      <c r="CH27" s="119">
        <v>20.9</v>
      </c>
      <c r="CI27" s="124">
        <v>52.9</v>
      </c>
      <c r="CJ27" s="71">
        <v>22.845</v>
      </c>
      <c r="CK27" s="71">
        <v>24.756999999999998</v>
      </c>
      <c r="CL27" s="122">
        <v>30.64</v>
      </c>
      <c r="CM27" s="122">
        <v>71.90400000000001</v>
      </c>
      <c r="CN27" s="122">
        <v>5.075</v>
      </c>
      <c r="CO27" s="122">
        <v>57.838</v>
      </c>
      <c r="CP27" s="122">
        <v>60.306</v>
      </c>
      <c r="CQ27" s="122" t="s">
        <v>11</v>
      </c>
      <c r="CR27" s="122" t="s">
        <v>11</v>
      </c>
      <c r="CS27" s="122" t="s">
        <v>11</v>
      </c>
      <c r="CT27" s="122" t="s">
        <v>11</v>
      </c>
      <c r="CU27" s="122" t="s">
        <v>11</v>
      </c>
      <c r="CV27" s="122" t="s">
        <v>11</v>
      </c>
      <c r="CW27" s="122" t="s">
        <v>11</v>
      </c>
      <c r="CX27" s="122" t="s">
        <v>11</v>
      </c>
      <c r="CY27" s="122">
        <v>2.1</v>
      </c>
      <c r="CZ27" s="122">
        <v>2.4</v>
      </c>
      <c r="DA27" s="122">
        <v>2.4</v>
      </c>
      <c r="DB27" s="122">
        <v>2.4</v>
      </c>
      <c r="DC27" s="122" t="s">
        <v>11</v>
      </c>
      <c r="DD27" s="122" t="s">
        <v>11</v>
      </c>
      <c r="DE27" s="122" t="s">
        <v>11</v>
      </c>
      <c r="DF27" s="122" t="s">
        <v>11</v>
      </c>
      <c r="DG27" s="122" t="s">
        <v>11</v>
      </c>
      <c r="DH27" s="122" t="s">
        <v>11</v>
      </c>
      <c r="DI27" s="122" t="s">
        <v>11</v>
      </c>
      <c r="DJ27" s="122" t="s">
        <v>11</v>
      </c>
      <c r="DK27" s="122" t="s">
        <v>11</v>
      </c>
      <c r="DL27" s="122" t="s">
        <v>11</v>
      </c>
      <c r="DM27" s="122">
        <v>20.9</v>
      </c>
      <c r="DN27" s="122">
        <v>20.9</v>
      </c>
      <c r="DO27" s="122" t="s">
        <v>11</v>
      </c>
      <c r="DP27" s="122" t="s">
        <v>11</v>
      </c>
      <c r="DQ27" s="122" t="s">
        <v>16</v>
      </c>
      <c r="DR27" s="122" t="s">
        <v>16</v>
      </c>
      <c r="DS27" s="122">
        <v>5</v>
      </c>
      <c r="DT27" s="122">
        <v>5.5</v>
      </c>
      <c r="DU27" s="122">
        <v>5.5</v>
      </c>
      <c r="DV27" s="122">
        <v>5.6</v>
      </c>
      <c r="DW27" s="122">
        <v>43.5</v>
      </c>
      <c r="DX27" s="122">
        <v>43.6</v>
      </c>
      <c r="DY27" s="122">
        <v>43.9</v>
      </c>
      <c r="DZ27" s="122">
        <v>9</v>
      </c>
      <c r="EA27" s="122">
        <f t="shared" si="29"/>
        <v>52.9</v>
      </c>
      <c r="EB27" s="122" t="s">
        <v>11</v>
      </c>
      <c r="EC27" s="122"/>
      <c r="ED27" s="122">
        <v>2</v>
      </c>
      <c r="EE27" s="122" t="s">
        <v>11</v>
      </c>
      <c r="EF27" s="122">
        <f>'[1]Feuil2'!$D$19</f>
        <v>0.42</v>
      </c>
      <c r="EG27" s="122">
        <v>0</v>
      </c>
      <c r="EH27" s="122">
        <v>0</v>
      </c>
      <c r="EI27" s="122">
        <v>0</v>
      </c>
      <c r="EJ27" s="122">
        <v>0</v>
      </c>
      <c r="EK27" s="122">
        <v>14.025</v>
      </c>
      <c r="EL27" s="122">
        <v>6.4</v>
      </c>
      <c r="EM27" s="122"/>
      <c r="EN27" s="122">
        <f t="shared" si="30"/>
        <v>22.845</v>
      </c>
      <c r="EO27" s="122">
        <v>0</v>
      </c>
      <c r="EP27" s="122">
        <v>15</v>
      </c>
      <c r="EQ27" s="122">
        <v>0</v>
      </c>
      <c r="ER27" s="122">
        <v>0</v>
      </c>
      <c r="ES27" s="122"/>
      <c r="ET27" s="122"/>
      <c r="EU27" s="122"/>
      <c r="EV27" s="122">
        <v>0</v>
      </c>
      <c r="EW27" s="122">
        <v>0.195</v>
      </c>
      <c r="EX27" s="122">
        <v>2.762</v>
      </c>
      <c r="EY27" s="122">
        <v>0.2</v>
      </c>
      <c r="EZ27" s="122">
        <v>6.6</v>
      </c>
      <c r="FA27" s="122">
        <f t="shared" si="31"/>
        <v>24.756999999999998</v>
      </c>
      <c r="FB27" s="122">
        <v>22.3</v>
      </c>
      <c r="FC27" s="122">
        <v>1.14</v>
      </c>
      <c r="FD27" s="122">
        <v>0</v>
      </c>
      <c r="FE27" s="122"/>
      <c r="FF27" s="122"/>
      <c r="FG27" s="122">
        <v>7.2</v>
      </c>
      <c r="FH27" s="122"/>
      <c r="FI27" s="122">
        <v>0</v>
      </c>
      <c r="FJ27" s="122"/>
      <c r="FK27" s="122">
        <v>0</v>
      </c>
      <c r="FL27" s="122">
        <v>0</v>
      </c>
      <c r="FM27" s="122">
        <v>0</v>
      </c>
      <c r="FN27" s="122">
        <f t="shared" si="32"/>
        <v>30.64</v>
      </c>
      <c r="FO27" s="122" t="s">
        <v>11</v>
      </c>
      <c r="FP27" s="122">
        <v>17.2</v>
      </c>
      <c r="FQ27" s="122">
        <v>0</v>
      </c>
      <c r="FR27" s="122">
        <v>0</v>
      </c>
      <c r="FS27" s="122">
        <v>0</v>
      </c>
      <c r="FT27" s="122">
        <v>20.8</v>
      </c>
      <c r="FU27" s="122">
        <v>0</v>
      </c>
      <c r="FV27" s="122">
        <v>0.014</v>
      </c>
      <c r="FW27" s="122">
        <v>12</v>
      </c>
      <c r="FX27" s="122">
        <v>0</v>
      </c>
      <c r="FY27" s="122">
        <v>17.49</v>
      </c>
      <c r="FZ27" s="122">
        <v>4.4</v>
      </c>
      <c r="GA27" s="122">
        <f t="shared" si="33"/>
        <v>71.90400000000001</v>
      </c>
      <c r="GB27" s="122"/>
      <c r="GC27" s="122">
        <v>0</v>
      </c>
      <c r="GD27" s="122">
        <v>0</v>
      </c>
      <c r="GE27" s="122">
        <v>0</v>
      </c>
      <c r="GF27" s="122">
        <v>0</v>
      </c>
      <c r="GG27" s="122">
        <v>0</v>
      </c>
      <c r="GH27" s="122">
        <v>0</v>
      </c>
      <c r="GI27" s="122">
        <v>3.2</v>
      </c>
      <c r="GJ27" s="122">
        <v>0.036</v>
      </c>
      <c r="GK27" s="122"/>
      <c r="GL27" s="122"/>
      <c r="GM27" s="122">
        <v>1.839</v>
      </c>
      <c r="GN27" s="122">
        <f t="shared" si="34"/>
        <v>5.075</v>
      </c>
      <c r="GO27" s="122">
        <v>0.526</v>
      </c>
      <c r="GP27" s="122">
        <v>0</v>
      </c>
      <c r="GQ27" s="122"/>
      <c r="GR27" s="122">
        <v>12.537</v>
      </c>
      <c r="GS27" s="122"/>
      <c r="GT27" s="122"/>
      <c r="GU27" s="122">
        <v>1.193</v>
      </c>
      <c r="GV27" s="122"/>
      <c r="GW27" s="122">
        <v>21.949</v>
      </c>
      <c r="GX27" s="122"/>
      <c r="GY27" s="122"/>
      <c r="GZ27" s="122">
        <v>21.633</v>
      </c>
      <c r="HA27" s="122"/>
      <c r="HB27" s="122"/>
      <c r="HC27" s="122"/>
      <c r="HD27" s="122">
        <v>21.725</v>
      </c>
      <c r="HE27" s="122"/>
      <c r="HF27" s="122"/>
      <c r="HG27" s="122"/>
      <c r="HH27" s="122">
        <v>20.641</v>
      </c>
      <c r="HI27" s="122">
        <v>17.94</v>
      </c>
      <c r="HJ27" s="122"/>
      <c r="HK27" s="122"/>
      <c r="HL27" s="122"/>
      <c r="HM27" s="98">
        <v>21.76</v>
      </c>
      <c r="HN27" s="98">
        <v>0.18</v>
      </c>
      <c r="HO27" s="98"/>
      <c r="HP27" s="122">
        <v>0</v>
      </c>
      <c r="HQ27" s="98"/>
      <c r="HR27" s="122">
        <v>18.42</v>
      </c>
      <c r="HS27" s="122">
        <v>22.04</v>
      </c>
      <c r="HT27" s="122"/>
      <c r="HU27" s="122"/>
      <c r="HV27" s="122"/>
      <c r="HW27" s="122"/>
      <c r="HX27" s="122"/>
      <c r="HY27" s="122">
        <f t="shared" si="35"/>
        <v>42.366</v>
      </c>
      <c r="HZ27" s="122">
        <f t="shared" si="36"/>
        <v>62.4</v>
      </c>
    </row>
    <row r="28" spans="2:234" ht="15.75">
      <c r="B28" s="105" t="s">
        <v>63</v>
      </c>
      <c r="C28" s="71">
        <v>3</v>
      </c>
      <c r="D28" s="42">
        <v>4</v>
      </c>
      <c r="E28" s="72">
        <v>6</v>
      </c>
      <c r="F28" s="42">
        <v>22</v>
      </c>
      <c r="G28" s="42">
        <v>2.6</v>
      </c>
      <c r="H28" s="42">
        <v>2</v>
      </c>
      <c r="I28" s="76" t="s">
        <v>13</v>
      </c>
      <c r="J28" s="43" t="s">
        <v>11</v>
      </c>
      <c r="K28" s="15" t="s">
        <v>11</v>
      </c>
      <c r="L28" s="15" t="s">
        <v>11</v>
      </c>
      <c r="M28" s="15" t="s">
        <v>16</v>
      </c>
      <c r="N28" s="15" t="s">
        <v>11</v>
      </c>
      <c r="O28" s="15" t="s">
        <v>11</v>
      </c>
      <c r="P28" s="15">
        <v>2</v>
      </c>
      <c r="Q28" s="15" t="s">
        <v>11</v>
      </c>
      <c r="R28" s="15" t="s">
        <v>11</v>
      </c>
      <c r="S28" s="15">
        <v>2</v>
      </c>
      <c r="T28" s="15" t="s">
        <v>11</v>
      </c>
      <c r="U28" s="42">
        <f t="shared" si="18"/>
        <v>4</v>
      </c>
      <c r="V28" s="56">
        <v>2</v>
      </c>
      <c r="W28" s="43" t="s">
        <v>16</v>
      </c>
      <c r="X28" s="15" t="s">
        <v>11</v>
      </c>
      <c r="Y28" s="15" t="s">
        <v>11</v>
      </c>
      <c r="Z28" s="15" t="s">
        <v>11</v>
      </c>
      <c r="AA28" s="15">
        <v>4</v>
      </c>
      <c r="AB28" s="15" t="s">
        <v>16</v>
      </c>
      <c r="AC28" s="15" t="s">
        <v>11</v>
      </c>
      <c r="AD28" s="15" t="s">
        <v>11</v>
      </c>
      <c r="AE28" s="15" t="s">
        <v>16</v>
      </c>
      <c r="AF28" s="15" t="s">
        <v>11</v>
      </c>
      <c r="AG28" s="15" t="s">
        <v>11</v>
      </c>
      <c r="AH28" s="71">
        <f t="shared" si="19"/>
        <v>6</v>
      </c>
      <c r="AI28" s="43" t="s">
        <v>11</v>
      </c>
      <c r="AJ28" s="15" t="s">
        <v>11</v>
      </c>
      <c r="AK28" s="15" t="s">
        <v>11</v>
      </c>
      <c r="AL28" s="15">
        <v>5</v>
      </c>
      <c r="AM28" s="15" t="s">
        <v>11</v>
      </c>
      <c r="AN28" s="15" t="s">
        <v>11</v>
      </c>
      <c r="AO28" s="15" t="s">
        <v>11</v>
      </c>
      <c r="AP28" s="15">
        <v>17</v>
      </c>
      <c r="AQ28" s="15" t="s">
        <v>11</v>
      </c>
      <c r="AR28" s="15" t="s">
        <v>11</v>
      </c>
      <c r="AS28" s="15" t="s">
        <v>11</v>
      </c>
      <c r="AT28" s="15" t="s">
        <v>11</v>
      </c>
      <c r="AU28" s="71">
        <f t="shared" si="20"/>
        <v>22</v>
      </c>
      <c r="AV28" s="77" t="s">
        <v>11</v>
      </c>
      <c r="AW28" s="75" t="s">
        <v>11</v>
      </c>
      <c r="AX28" s="31" t="s">
        <v>11</v>
      </c>
      <c r="AY28" s="4"/>
      <c r="AZ28" s="31"/>
      <c r="BA28" s="4"/>
      <c r="BB28" s="4">
        <v>0</v>
      </c>
      <c r="BC28" s="4">
        <v>2.6</v>
      </c>
      <c r="BD28" s="4">
        <v>0</v>
      </c>
      <c r="BE28" s="4">
        <v>0</v>
      </c>
      <c r="BF28" s="4">
        <v>0</v>
      </c>
      <c r="BG28" s="12">
        <v>0</v>
      </c>
      <c r="BH28" s="71">
        <f t="shared" si="21"/>
        <v>2.6</v>
      </c>
      <c r="BI28" s="36" t="s">
        <v>11</v>
      </c>
      <c r="BJ28" s="15">
        <f>BV28-BI28</f>
        <v>1.5</v>
      </c>
      <c r="BK28" s="15">
        <f>1.5-BI28-BJ28</f>
        <v>0</v>
      </c>
      <c r="BL28" s="15">
        <f>1.5-BJ28-BK28-BI28</f>
        <v>0</v>
      </c>
      <c r="BM28" s="15">
        <f>1.5-BK28-BL28-BJ28-BI28</f>
        <v>0</v>
      </c>
      <c r="BN28" s="15">
        <f>1.5-BL28-BM28-BK28-BJ28-BI28</f>
        <v>0</v>
      </c>
      <c r="BO28" s="15">
        <f t="shared" si="22"/>
        <v>0</v>
      </c>
      <c r="BP28" s="15">
        <f t="shared" si="23"/>
        <v>0</v>
      </c>
      <c r="BQ28" s="15">
        <f t="shared" si="24"/>
        <v>0</v>
      </c>
      <c r="BR28" s="15">
        <f t="shared" si="25"/>
        <v>0</v>
      </c>
      <c r="BS28" s="15">
        <f t="shared" si="26"/>
        <v>0</v>
      </c>
      <c r="BT28" s="15">
        <f t="shared" si="27"/>
        <v>0</v>
      </c>
      <c r="BU28" s="73">
        <f t="shared" si="28"/>
        <v>1.5</v>
      </c>
      <c r="BV28" s="72">
        <v>1.5</v>
      </c>
      <c r="BW28" s="42">
        <v>1</v>
      </c>
      <c r="BX28" s="72">
        <v>1.5</v>
      </c>
      <c r="BY28" s="71">
        <v>1.5</v>
      </c>
      <c r="BZ28" s="71">
        <v>1.5</v>
      </c>
      <c r="CA28" s="71">
        <v>1.5</v>
      </c>
      <c r="CB28" s="71">
        <v>1.5</v>
      </c>
      <c r="CC28" s="42">
        <v>1.5</v>
      </c>
      <c r="CD28" s="42">
        <v>1.5</v>
      </c>
      <c r="CE28" s="43">
        <v>1.5</v>
      </c>
      <c r="CF28" s="43">
        <v>1.5</v>
      </c>
      <c r="CG28" s="43" t="s">
        <v>11</v>
      </c>
      <c r="CH28" s="119">
        <v>1.4</v>
      </c>
      <c r="CI28" s="98" t="s">
        <v>11</v>
      </c>
      <c r="CJ28" s="71">
        <v>6.4</v>
      </c>
      <c r="CK28" s="71">
        <v>20</v>
      </c>
      <c r="CL28" s="122">
        <v>50.032999999999994</v>
      </c>
      <c r="CM28" s="122">
        <v>13.46</v>
      </c>
      <c r="CN28" s="122">
        <v>37.846000000000004</v>
      </c>
      <c r="CO28" s="122">
        <v>56.949</v>
      </c>
      <c r="CP28" s="122">
        <v>1.0150000000000001</v>
      </c>
      <c r="CQ28" s="122" t="s">
        <v>11</v>
      </c>
      <c r="CR28" s="122" t="s">
        <v>11</v>
      </c>
      <c r="CS28" s="122" t="s">
        <v>11</v>
      </c>
      <c r="CT28" s="122" t="s">
        <v>11</v>
      </c>
      <c r="CU28" s="122" t="s">
        <v>11</v>
      </c>
      <c r="CV28" s="122" t="s">
        <v>11</v>
      </c>
      <c r="CW28" s="122" t="s">
        <v>11</v>
      </c>
      <c r="CX28" s="122" t="s">
        <v>11</v>
      </c>
      <c r="CY28" s="122" t="s">
        <v>11</v>
      </c>
      <c r="CZ28" s="122" t="s">
        <v>11</v>
      </c>
      <c r="DA28" s="122" t="s">
        <v>11</v>
      </c>
      <c r="DB28" s="122" t="s">
        <v>11</v>
      </c>
      <c r="DC28" s="122" t="s">
        <v>11</v>
      </c>
      <c r="DD28" s="122" t="s">
        <v>11</v>
      </c>
      <c r="DE28" s="122" t="s">
        <v>11</v>
      </c>
      <c r="DF28" s="122">
        <v>1.4</v>
      </c>
      <c r="DG28" s="122">
        <v>1.4</v>
      </c>
      <c r="DH28" s="122">
        <v>1.4</v>
      </c>
      <c r="DI28" s="122">
        <v>1.4</v>
      </c>
      <c r="DJ28" s="122">
        <v>1.4</v>
      </c>
      <c r="DK28" s="122">
        <v>1.4</v>
      </c>
      <c r="DL28" s="122">
        <v>1.4</v>
      </c>
      <c r="DM28" s="122">
        <v>1.4</v>
      </c>
      <c r="DN28" s="122">
        <v>1.4</v>
      </c>
      <c r="DO28" s="122" t="s">
        <v>11</v>
      </c>
      <c r="DP28" s="122" t="s">
        <v>11</v>
      </c>
      <c r="DQ28" s="122" t="s">
        <v>11</v>
      </c>
      <c r="DR28" s="122" t="s">
        <v>11</v>
      </c>
      <c r="DS28" s="122" t="s">
        <v>11</v>
      </c>
      <c r="DT28" s="122" t="s">
        <v>11</v>
      </c>
      <c r="DU28" s="122" t="s">
        <v>11</v>
      </c>
      <c r="DV28" s="122" t="s">
        <v>11</v>
      </c>
      <c r="DW28" s="122" t="s">
        <v>11</v>
      </c>
      <c r="DX28" s="122" t="s">
        <v>11</v>
      </c>
      <c r="DY28" s="122" t="s">
        <v>11</v>
      </c>
      <c r="DZ28" s="122"/>
      <c r="EA28" s="122" t="s">
        <v>11</v>
      </c>
      <c r="EB28" s="122" t="s">
        <v>11</v>
      </c>
      <c r="EC28" s="122"/>
      <c r="ED28" s="122">
        <v>0</v>
      </c>
      <c r="EE28" s="122" t="s">
        <v>11</v>
      </c>
      <c r="EF28" s="122" t="s">
        <v>11</v>
      </c>
      <c r="EG28" s="122">
        <v>0</v>
      </c>
      <c r="EH28" s="122">
        <v>5</v>
      </c>
      <c r="EI28" s="122">
        <v>0</v>
      </c>
      <c r="EJ28" s="122">
        <v>0</v>
      </c>
      <c r="EK28" s="122">
        <v>0</v>
      </c>
      <c r="EL28" s="122">
        <v>1.4</v>
      </c>
      <c r="EM28" s="122"/>
      <c r="EN28" s="122">
        <f t="shared" si="30"/>
        <v>6.4</v>
      </c>
      <c r="EO28" s="122">
        <v>0</v>
      </c>
      <c r="EP28" s="122"/>
      <c r="EQ28" s="122">
        <v>0</v>
      </c>
      <c r="ER28" s="122">
        <v>19.2</v>
      </c>
      <c r="ES28" s="122"/>
      <c r="ET28" s="122"/>
      <c r="EU28" s="122"/>
      <c r="EV28" s="122">
        <v>0</v>
      </c>
      <c r="EW28" s="122">
        <v>0</v>
      </c>
      <c r="EX28" s="122">
        <v>0</v>
      </c>
      <c r="EY28" s="122"/>
      <c r="EZ28" s="122">
        <v>0.8</v>
      </c>
      <c r="FA28" s="122">
        <f t="shared" si="31"/>
        <v>20</v>
      </c>
      <c r="FB28" s="122">
        <v>2.177</v>
      </c>
      <c r="FC28" s="122">
        <v>21.455</v>
      </c>
      <c r="FD28" s="122">
        <v>0</v>
      </c>
      <c r="FE28" s="122">
        <v>25.26</v>
      </c>
      <c r="FF28" s="122"/>
      <c r="FG28" s="122"/>
      <c r="FH28" s="122"/>
      <c r="FI28" s="122">
        <v>0</v>
      </c>
      <c r="FJ28" s="122">
        <v>0.025</v>
      </c>
      <c r="FK28" s="122">
        <v>0.831</v>
      </c>
      <c r="FL28" s="122">
        <v>0</v>
      </c>
      <c r="FM28" s="122">
        <v>0.285</v>
      </c>
      <c r="FN28" s="122">
        <f t="shared" si="32"/>
        <v>50.032999999999994</v>
      </c>
      <c r="FO28" s="122" t="s">
        <v>11</v>
      </c>
      <c r="FP28" s="122">
        <v>0</v>
      </c>
      <c r="FQ28" s="122">
        <v>13.3</v>
      </c>
      <c r="FR28" s="122">
        <v>0</v>
      </c>
      <c r="FS28" s="122">
        <v>0.01</v>
      </c>
      <c r="FT28" s="122">
        <v>0</v>
      </c>
      <c r="FU28" s="122">
        <v>0.15</v>
      </c>
      <c r="FV28" s="122">
        <v>0</v>
      </c>
      <c r="FW28" s="122">
        <v>0</v>
      </c>
      <c r="FX28" s="122">
        <v>0</v>
      </c>
      <c r="FY28" s="122">
        <v>0</v>
      </c>
      <c r="FZ28" s="122">
        <v>0</v>
      </c>
      <c r="GA28" s="122">
        <f t="shared" si="33"/>
        <v>13.46</v>
      </c>
      <c r="GB28" s="122"/>
      <c r="GC28" s="122">
        <v>13.168</v>
      </c>
      <c r="GD28" s="122">
        <v>24.256</v>
      </c>
      <c r="GE28" s="122">
        <v>0</v>
      </c>
      <c r="GF28" s="122">
        <v>0</v>
      </c>
      <c r="GG28" s="122">
        <v>0.141</v>
      </c>
      <c r="GH28" s="122">
        <v>0.008</v>
      </c>
      <c r="GI28" s="122">
        <v>0.198</v>
      </c>
      <c r="GJ28" s="122"/>
      <c r="GK28" s="122">
        <v>0.002</v>
      </c>
      <c r="GL28" s="122"/>
      <c r="GM28" s="122">
        <v>0.073</v>
      </c>
      <c r="GN28" s="122">
        <f t="shared" si="34"/>
        <v>37.846000000000004</v>
      </c>
      <c r="GO28" s="122">
        <v>20.056</v>
      </c>
      <c r="GP28" s="122">
        <v>36.821</v>
      </c>
      <c r="GQ28" s="122">
        <v>36.791</v>
      </c>
      <c r="GR28" s="122">
        <v>0.003</v>
      </c>
      <c r="GS28" s="122"/>
      <c r="GT28" s="122"/>
      <c r="GU28" s="122"/>
      <c r="GV28" s="122">
        <v>0.069</v>
      </c>
      <c r="GW28" s="122"/>
      <c r="GX28" s="122"/>
      <c r="GY28" s="122"/>
      <c r="GZ28" s="122"/>
      <c r="HA28" s="122">
        <v>0.041</v>
      </c>
      <c r="HB28" s="122">
        <v>0.217</v>
      </c>
      <c r="HC28" s="122"/>
      <c r="HD28" s="122">
        <v>0.243</v>
      </c>
      <c r="HE28" s="122"/>
      <c r="HF28" s="122"/>
      <c r="HG28" s="122"/>
      <c r="HH28" s="122">
        <v>0.146</v>
      </c>
      <c r="HI28" s="122">
        <v>0.117</v>
      </c>
      <c r="HJ28" s="122"/>
      <c r="HK28" s="122">
        <v>0.021</v>
      </c>
      <c r="HL28" s="122">
        <v>0.23</v>
      </c>
      <c r="HM28" s="98">
        <v>7</v>
      </c>
      <c r="HN28" s="98">
        <v>11.914</v>
      </c>
      <c r="HO28" s="98"/>
      <c r="HP28" s="122">
        <v>0</v>
      </c>
      <c r="HQ28" s="98"/>
      <c r="HR28" s="122">
        <v>0</v>
      </c>
      <c r="HS28" s="122"/>
      <c r="HT28" s="122"/>
      <c r="HU28" s="122"/>
      <c r="HV28" s="122"/>
      <c r="HW28" s="122"/>
      <c r="HX28" s="122"/>
      <c r="HY28" s="122">
        <f t="shared" si="35"/>
        <v>0.647</v>
      </c>
      <c r="HZ28" s="122">
        <f t="shared" si="36"/>
        <v>18.914</v>
      </c>
    </row>
    <row r="29" spans="2:234" ht="15.75">
      <c r="B29" s="105" t="s">
        <v>64</v>
      </c>
      <c r="C29" s="71">
        <v>2453</v>
      </c>
      <c r="D29" s="42">
        <v>2403</v>
      </c>
      <c r="E29" s="72">
        <v>2146</v>
      </c>
      <c r="F29" s="42">
        <v>2648</v>
      </c>
      <c r="G29" s="42">
        <v>106670.8</v>
      </c>
      <c r="H29" s="42">
        <v>7430</v>
      </c>
      <c r="I29" s="43">
        <v>258</v>
      </c>
      <c r="J29" s="43">
        <v>184</v>
      </c>
      <c r="K29" s="15">
        <v>87</v>
      </c>
      <c r="L29" s="15">
        <v>204</v>
      </c>
      <c r="M29" s="15">
        <v>213</v>
      </c>
      <c r="N29" s="15">
        <v>152</v>
      </c>
      <c r="O29" s="15">
        <v>248</v>
      </c>
      <c r="P29" s="15">
        <v>97</v>
      </c>
      <c r="Q29" s="15">
        <v>265</v>
      </c>
      <c r="R29" s="15">
        <v>188</v>
      </c>
      <c r="S29" s="15">
        <v>324</v>
      </c>
      <c r="T29" s="15">
        <v>183</v>
      </c>
      <c r="U29" s="42">
        <f t="shared" si="18"/>
        <v>2403</v>
      </c>
      <c r="V29" s="56">
        <v>297</v>
      </c>
      <c r="W29" s="43">
        <v>285</v>
      </c>
      <c r="X29" s="15">
        <v>204</v>
      </c>
      <c r="Y29" s="15">
        <v>85</v>
      </c>
      <c r="Z29" s="15">
        <v>144</v>
      </c>
      <c r="AA29" s="15">
        <v>55</v>
      </c>
      <c r="AB29" s="15">
        <v>369</v>
      </c>
      <c r="AC29" s="15">
        <v>170</v>
      </c>
      <c r="AD29" s="15">
        <v>183</v>
      </c>
      <c r="AE29" s="42">
        <v>177</v>
      </c>
      <c r="AF29" s="15">
        <v>70</v>
      </c>
      <c r="AG29" s="15">
        <v>107</v>
      </c>
      <c r="AH29" s="71">
        <f t="shared" si="19"/>
        <v>2146</v>
      </c>
      <c r="AI29" s="43">
        <v>161</v>
      </c>
      <c r="AJ29" s="15">
        <v>110</v>
      </c>
      <c r="AK29" s="15">
        <v>108</v>
      </c>
      <c r="AL29" s="15">
        <v>248</v>
      </c>
      <c r="AM29" s="15">
        <v>2</v>
      </c>
      <c r="AN29" s="15">
        <v>125</v>
      </c>
      <c r="AO29" s="15">
        <v>206</v>
      </c>
      <c r="AP29" s="15">
        <v>74</v>
      </c>
      <c r="AQ29" s="15">
        <v>190</v>
      </c>
      <c r="AR29" s="15">
        <v>1007</v>
      </c>
      <c r="AS29" s="15">
        <v>204</v>
      </c>
      <c r="AT29" s="15">
        <v>213</v>
      </c>
      <c r="AU29" s="71">
        <f t="shared" si="20"/>
        <v>2648</v>
      </c>
      <c r="AV29" s="42">
        <v>205</v>
      </c>
      <c r="AW29" s="15">
        <v>181</v>
      </c>
      <c r="AX29" s="31">
        <v>108</v>
      </c>
      <c r="AY29" s="15">
        <v>217</v>
      </c>
      <c r="AZ29" s="15">
        <v>176</v>
      </c>
      <c r="BA29" s="15">
        <v>240</v>
      </c>
      <c r="BB29" s="4">
        <v>62.2</v>
      </c>
      <c r="BC29" s="4">
        <v>380.3</v>
      </c>
      <c r="BD29" s="4">
        <v>568.6</v>
      </c>
      <c r="BE29" s="4">
        <v>1150.3</v>
      </c>
      <c r="BF29" s="4">
        <v>103194.4</v>
      </c>
      <c r="BG29" s="12">
        <v>188</v>
      </c>
      <c r="BH29" s="71">
        <f t="shared" si="21"/>
        <v>106670.79999999999</v>
      </c>
      <c r="BI29" s="36">
        <v>2112</v>
      </c>
      <c r="BJ29" s="15">
        <f>4425.6-BI29</f>
        <v>2313.6000000000004</v>
      </c>
      <c r="BK29" s="15">
        <f>4576.5-BI29-BJ29</f>
        <v>150.89999999999964</v>
      </c>
      <c r="BL29" s="15">
        <f>4826.1-BJ29-BK29-BI29</f>
        <v>249.60000000000036</v>
      </c>
      <c r="BM29" s="15">
        <f>5280.5-BK29-BL29-BJ29-BI29</f>
        <v>454.39999999999964</v>
      </c>
      <c r="BN29" s="15">
        <f>5593.9-BL29-BM29-BK29-BJ29-BI29</f>
        <v>313.39999999999964</v>
      </c>
      <c r="BO29" s="15">
        <f t="shared" si="22"/>
        <v>626.9000000000005</v>
      </c>
      <c r="BP29" s="15">
        <f t="shared" si="23"/>
        <v>298.3000000000002</v>
      </c>
      <c r="BQ29" s="15">
        <f t="shared" si="24"/>
        <v>200.29999999999927</v>
      </c>
      <c r="BR29" s="15">
        <f t="shared" si="25"/>
        <v>180.80000000000018</v>
      </c>
      <c r="BS29" s="15">
        <f t="shared" si="26"/>
        <v>162.80000000000018</v>
      </c>
      <c r="BT29" s="15">
        <f t="shared" si="27"/>
        <v>366.8000000000002</v>
      </c>
      <c r="BU29" s="73">
        <f t="shared" si="28"/>
        <v>7429.8</v>
      </c>
      <c r="BV29" s="72">
        <v>4425.6</v>
      </c>
      <c r="BW29" s="42">
        <v>4577</v>
      </c>
      <c r="BX29" s="72">
        <v>4826.1</v>
      </c>
      <c r="BY29" s="71">
        <v>5280.5</v>
      </c>
      <c r="BZ29" s="71">
        <v>5593.9</v>
      </c>
      <c r="CA29" s="71">
        <v>6220.8</v>
      </c>
      <c r="CB29" s="71">
        <v>6519.1</v>
      </c>
      <c r="CC29" s="42">
        <v>6719.4</v>
      </c>
      <c r="CD29" s="42">
        <v>6900.2</v>
      </c>
      <c r="CE29" s="43">
        <v>7063</v>
      </c>
      <c r="CF29" s="43">
        <v>7429.8</v>
      </c>
      <c r="CG29" s="43">
        <v>3096.8</v>
      </c>
      <c r="CH29" s="119">
        <v>6105.8</v>
      </c>
      <c r="CI29" s="124">
        <v>3028.3</v>
      </c>
      <c r="CJ29" s="71">
        <v>3103.1330000000003</v>
      </c>
      <c r="CK29" s="71">
        <v>7245.932999999999</v>
      </c>
      <c r="CL29" s="122">
        <v>9140.416</v>
      </c>
      <c r="CM29" s="122">
        <v>7623.9039999999995</v>
      </c>
      <c r="CN29" s="122">
        <v>8073.160999999999</v>
      </c>
      <c r="CO29" s="122">
        <v>4714.026</v>
      </c>
      <c r="CP29" s="122">
        <v>5548.743</v>
      </c>
      <c r="CQ29" s="122">
        <v>135.3</v>
      </c>
      <c r="CR29" s="122">
        <v>405</v>
      </c>
      <c r="CS29" s="122">
        <v>671.3</v>
      </c>
      <c r="CT29" s="122">
        <v>1021.8</v>
      </c>
      <c r="CU29" s="122">
        <v>1222.5</v>
      </c>
      <c r="CV29" s="122">
        <v>1661.3</v>
      </c>
      <c r="CW29" s="122">
        <v>1788.3</v>
      </c>
      <c r="CX29" s="122">
        <v>1910.7</v>
      </c>
      <c r="CY29" s="122">
        <v>2286.1</v>
      </c>
      <c r="CZ29" s="122">
        <v>2662.1</v>
      </c>
      <c r="DA29" s="122">
        <v>2999</v>
      </c>
      <c r="DB29" s="122">
        <v>3096.8</v>
      </c>
      <c r="DC29" s="122">
        <v>449.3</v>
      </c>
      <c r="DD29" s="122">
        <v>683.3</v>
      </c>
      <c r="DE29" s="122">
        <v>782.2</v>
      </c>
      <c r="DF29" s="122">
        <v>934.2</v>
      </c>
      <c r="DG29" s="122">
        <v>1138.5</v>
      </c>
      <c r="DH29" s="122">
        <v>1614.6</v>
      </c>
      <c r="DI29" s="122">
        <v>1726.8</v>
      </c>
      <c r="DJ29" s="122">
        <v>3410.6</v>
      </c>
      <c r="DK29" s="122">
        <v>4813.7</v>
      </c>
      <c r="DL29" s="122">
        <v>5141.9</v>
      </c>
      <c r="DM29" s="122">
        <v>5310.5</v>
      </c>
      <c r="DN29" s="122">
        <v>6105.8</v>
      </c>
      <c r="DO29" s="122">
        <v>182.7</v>
      </c>
      <c r="DP29" s="122">
        <v>418.4</v>
      </c>
      <c r="DQ29" s="122">
        <v>631.6</v>
      </c>
      <c r="DR29" s="122">
        <v>1172.1</v>
      </c>
      <c r="DS29" s="122">
        <v>1468</v>
      </c>
      <c r="DT29" s="122">
        <v>1897.7</v>
      </c>
      <c r="DU29" s="122">
        <v>2644.4</v>
      </c>
      <c r="DV29" s="122">
        <v>2703.3</v>
      </c>
      <c r="DW29" s="122">
        <v>2780.6</v>
      </c>
      <c r="DX29" s="122">
        <v>2873.3</v>
      </c>
      <c r="DY29" s="122">
        <v>2953.3</v>
      </c>
      <c r="DZ29" s="122">
        <v>75</v>
      </c>
      <c r="EA29" s="122">
        <f>DY29+DZ29</f>
        <v>3028.3</v>
      </c>
      <c r="EB29" s="122">
        <v>136</v>
      </c>
      <c r="EC29" s="122">
        <v>180</v>
      </c>
      <c r="ED29" s="122">
        <v>260</v>
      </c>
      <c r="EE29" s="122">
        <v>43</v>
      </c>
      <c r="EF29" s="122">
        <f>'[1]Feuil2'!$D$23</f>
        <v>60.058</v>
      </c>
      <c r="EG29" s="122">
        <f>'[2]Feuil3'!$E$23</f>
        <v>204.784</v>
      </c>
      <c r="EH29" s="122">
        <v>244</v>
      </c>
      <c r="EI29" s="122">
        <v>1145</v>
      </c>
      <c r="EJ29" s="122">
        <v>287.42</v>
      </c>
      <c r="EK29" s="122">
        <v>232.871</v>
      </c>
      <c r="EL29" s="122">
        <v>119</v>
      </c>
      <c r="EM29" s="122">
        <v>191</v>
      </c>
      <c r="EN29" s="122">
        <f t="shared" si="30"/>
        <v>3103.1330000000003</v>
      </c>
      <c r="EO29" s="122">
        <v>226</v>
      </c>
      <c r="EP29" s="122">
        <v>153</v>
      </c>
      <c r="EQ29" s="122">
        <v>471</v>
      </c>
      <c r="ER29" s="122">
        <v>609.734</v>
      </c>
      <c r="ES29" s="122">
        <v>204.3</v>
      </c>
      <c r="ET29" s="122">
        <v>198.9</v>
      </c>
      <c r="EU29" s="122">
        <v>808.4</v>
      </c>
      <c r="EV29" s="122">
        <v>1371.61</v>
      </c>
      <c r="EW29" s="122">
        <v>170.923</v>
      </c>
      <c r="EX29" s="122">
        <v>1197.066</v>
      </c>
      <c r="EY29" s="122">
        <v>715.3</v>
      </c>
      <c r="EZ29" s="122">
        <v>1119.7</v>
      </c>
      <c r="FA29" s="122">
        <f t="shared" si="31"/>
        <v>7245.932999999999</v>
      </c>
      <c r="FB29" s="122">
        <v>1464.387</v>
      </c>
      <c r="FC29" s="122">
        <v>289.525</v>
      </c>
      <c r="FD29" s="122">
        <f>'[4]IV5-IV6'!$D$29</f>
        <v>471.077</v>
      </c>
      <c r="FE29" s="122">
        <v>208.34</v>
      </c>
      <c r="FF29" s="122">
        <v>269.5</v>
      </c>
      <c r="FG29" s="122">
        <v>380.8</v>
      </c>
      <c r="FH29" s="122">
        <v>1136.383</v>
      </c>
      <c r="FI29" s="122">
        <v>1880.78</v>
      </c>
      <c r="FJ29" s="122">
        <v>666</v>
      </c>
      <c r="FK29" s="122">
        <v>1090.502</v>
      </c>
      <c r="FL29" s="122">
        <v>1127.535</v>
      </c>
      <c r="FM29" s="122">
        <v>155.587</v>
      </c>
      <c r="FN29" s="122">
        <f t="shared" si="32"/>
        <v>9140.416</v>
      </c>
      <c r="FO29" s="122">
        <v>263.159</v>
      </c>
      <c r="FP29" s="122">
        <v>354.646</v>
      </c>
      <c r="FQ29" s="122">
        <v>983.425</v>
      </c>
      <c r="FR29" s="122">
        <f>'[5]IV5-IV6'!$C$54</f>
        <v>1067.143</v>
      </c>
      <c r="FS29" s="122">
        <v>2940.885</v>
      </c>
      <c r="FT29" s="122">
        <v>654.2</v>
      </c>
      <c r="FU29" s="122">
        <v>164.029</v>
      </c>
      <c r="FV29" s="122">
        <v>215.066</v>
      </c>
      <c r="FW29" s="122">
        <v>375.024</v>
      </c>
      <c r="FX29" s="122">
        <v>136.1</v>
      </c>
      <c r="FY29" s="122">
        <v>301.027</v>
      </c>
      <c r="FZ29" s="122">
        <v>169.2</v>
      </c>
      <c r="GA29" s="122">
        <f t="shared" si="33"/>
        <v>7623.9039999999995</v>
      </c>
      <c r="GB29" s="122">
        <v>235.694</v>
      </c>
      <c r="GC29" s="122">
        <v>245.791</v>
      </c>
      <c r="GD29" s="122">
        <v>1268.936</v>
      </c>
      <c r="GE29" s="122">
        <v>682.239</v>
      </c>
      <c r="GF29" s="122">
        <v>396.427</v>
      </c>
      <c r="GG29" s="122">
        <v>2952.409</v>
      </c>
      <c r="GH29" s="122">
        <v>903.084</v>
      </c>
      <c r="GI29" s="122">
        <v>53.008</v>
      </c>
      <c r="GJ29" s="122">
        <v>383.329</v>
      </c>
      <c r="GK29" s="122">
        <v>171.503</v>
      </c>
      <c r="GL29" s="122">
        <v>313.167</v>
      </c>
      <c r="GM29" s="122">
        <v>467.574</v>
      </c>
      <c r="GN29" s="122">
        <f t="shared" si="34"/>
        <v>8073.160999999999</v>
      </c>
      <c r="GO29" s="122">
        <v>56.035</v>
      </c>
      <c r="GP29" s="122">
        <v>305.233</v>
      </c>
      <c r="GQ29" s="122">
        <v>955.664</v>
      </c>
      <c r="GR29" s="122">
        <v>346.909</v>
      </c>
      <c r="GS29" s="122">
        <v>625.006</v>
      </c>
      <c r="GT29" s="122">
        <v>1280.242</v>
      </c>
      <c r="GU29" s="122">
        <v>300.929</v>
      </c>
      <c r="GV29" s="122">
        <v>391.467</v>
      </c>
      <c r="GW29" s="122">
        <v>220.605</v>
      </c>
      <c r="GX29" s="122">
        <v>92.845</v>
      </c>
      <c r="GY29" s="122">
        <v>56.563</v>
      </c>
      <c r="GZ29" s="122">
        <v>250.363</v>
      </c>
      <c r="HA29" s="122">
        <v>386.571</v>
      </c>
      <c r="HB29" s="122">
        <v>268.191</v>
      </c>
      <c r="HC29" s="122">
        <v>254.17</v>
      </c>
      <c r="HD29" s="122">
        <v>387.776</v>
      </c>
      <c r="HE29" s="122">
        <v>830.438</v>
      </c>
      <c r="HF29" s="122">
        <v>1961.876</v>
      </c>
      <c r="HG29" s="122">
        <v>226.805</v>
      </c>
      <c r="HH29" s="122">
        <v>94.207</v>
      </c>
      <c r="HI29" s="122">
        <v>235.604</v>
      </c>
      <c r="HJ29" s="122">
        <v>198.332</v>
      </c>
      <c r="HK29" s="122">
        <v>434.623</v>
      </c>
      <c r="HL29" s="122">
        <v>270.15</v>
      </c>
      <c r="HM29" s="98">
        <v>113.863</v>
      </c>
      <c r="HN29" s="98">
        <v>179.506</v>
      </c>
      <c r="HO29" s="98">
        <v>95.558</v>
      </c>
      <c r="HP29" s="122">
        <v>67.524</v>
      </c>
      <c r="HQ29" s="98">
        <v>1715.598</v>
      </c>
      <c r="HR29" s="122">
        <v>727.433</v>
      </c>
      <c r="HS29" s="122">
        <v>91.446</v>
      </c>
      <c r="HT29" s="122">
        <v>201.143</v>
      </c>
      <c r="HU29" s="122"/>
      <c r="HV29" s="122"/>
      <c r="HW29" s="122"/>
      <c r="HX29" s="122"/>
      <c r="HY29" s="122">
        <f t="shared" si="35"/>
        <v>4410.034000000001</v>
      </c>
      <c r="HZ29" s="122">
        <f t="shared" si="36"/>
        <v>3192.071</v>
      </c>
    </row>
    <row r="30" spans="2:234" ht="15.75">
      <c r="B30" s="105" t="s">
        <v>65</v>
      </c>
      <c r="C30" s="71">
        <v>1106</v>
      </c>
      <c r="D30" s="42">
        <v>947</v>
      </c>
      <c r="E30" s="72">
        <v>2031</v>
      </c>
      <c r="F30" s="42">
        <v>1203</v>
      </c>
      <c r="G30" s="42">
        <v>850.5</v>
      </c>
      <c r="H30" s="42">
        <v>1457</v>
      </c>
      <c r="I30" s="43">
        <v>85</v>
      </c>
      <c r="J30" s="43">
        <v>77</v>
      </c>
      <c r="K30" s="15">
        <v>45</v>
      </c>
      <c r="L30" s="15">
        <v>54</v>
      </c>
      <c r="M30" s="15">
        <v>51</v>
      </c>
      <c r="N30" s="15">
        <v>105</v>
      </c>
      <c r="O30" s="15">
        <v>106</v>
      </c>
      <c r="P30" s="15">
        <v>77</v>
      </c>
      <c r="Q30" s="15">
        <v>86</v>
      </c>
      <c r="R30" s="15">
        <v>115</v>
      </c>
      <c r="S30" s="15">
        <v>94</v>
      </c>
      <c r="T30" s="15">
        <v>52</v>
      </c>
      <c r="U30" s="42">
        <f t="shared" si="18"/>
        <v>947</v>
      </c>
      <c r="V30" s="56">
        <v>28</v>
      </c>
      <c r="W30" s="43">
        <v>54</v>
      </c>
      <c r="X30" s="15">
        <v>32</v>
      </c>
      <c r="Y30" s="15">
        <v>73</v>
      </c>
      <c r="Z30" s="15">
        <v>37</v>
      </c>
      <c r="AA30" s="15">
        <v>727</v>
      </c>
      <c r="AB30" s="15">
        <v>34</v>
      </c>
      <c r="AC30" s="15">
        <v>448</v>
      </c>
      <c r="AD30" s="15">
        <v>67</v>
      </c>
      <c r="AE30" s="15">
        <v>283</v>
      </c>
      <c r="AF30" s="15">
        <v>72</v>
      </c>
      <c r="AG30" s="15">
        <v>176</v>
      </c>
      <c r="AH30" s="71">
        <f t="shared" si="19"/>
        <v>2031</v>
      </c>
      <c r="AI30" s="43">
        <v>320</v>
      </c>
      <c r="AJ30" s="15">
        <v>119</v>
      </c>
      <c r="AK30" s="15">
        <v>121</v>
      </c>
      <c r="AL30" s="15">
        <v>104</v>
      </c>
      <c r="AM30" s="15">
        <v>58</v>
      </c>
      <c r="AN30" s="15">
        <v>121</v>
      </c>
      <c r="AO30" s="15">
        <v>65</v>
      </c>
      <c r="AP30" s="15">
        <v>35</v>
      </c>
      <c r="AQ30" s="15">
        <v>60</v>
      </c>
      <c r="AR30" s="15">
        <v>65</v>
      </c>
      <c r="AS30" s="15">
        <v>26</v>
      </c>
      <c r="AT30" s="15">
        <v>109</v>
      </c>
      <c r="AU30" s="71">
        <f t="shared" si="20"/>
        <v>1203</v>
      </c>
      <c r="AV30" s="42">
        <v>87</v>
      </c>
      <c r="AW30" s="15">
        <v>3</v>
      </c>
      <c r="AX30" s="31">
        <v>121</v>
      </c>
      <c r="AY30" s="15">
        <v>62</v>
      </c>
      <c r="AZ30" s="15">
        <v>24</v>
      </c>
      <c r="BA30" s="15">
        <v>156</v>
      </c>
      <c r="BB30" s="4">
        <v>54</v>
      </c>
      <c r="BC30" s="4">
        <v>99.4</v>
      </c>
      <c r="BD30" s="4">
        <v>79.7</v>
      </c>
      <c r="BE30" s="4">
        <v>68.4</v>
      </c>
      <c r="BF30" s="4">
        <v>43</v>
      </c>
      <c r="BG30" s="12">
        <v>53</v>
      </c>
      <c r="BH30" s="71">
        <f t="shared" si="21"/>
        <v>850.5</v>
      </c>
      <c r="BI30" s="36">
        <v>73</v>
      </c>
      <c r="BJ30" s="15">
        <f>172.4-BI30</f>
        <v>99.4</v>
      </c>
      <c r="BK30" s="15">
        <f>248.8-BI30-BJ30</f>
        <v>76.4</v>
      </c>
      <c r="BL30" s="15">
        <f>440.7-BJ30-BK30-BI30</f>
        <v>191.89999999999998</v>
      </c>
      <c r="BM30" s="15">
        <f>484.5-BK30-BL30-BJ30-BI30</f>
        <v>43.80000000000004</v>
      </c>
      <c r="BN30" s="15">
        <f>612.3-BL30-BM30-BK30-BJ30-BI30</f>
        <v>127.79999999999993</v>
      </c>
      <c r="BO30" s="15">
        <f t="shared" si="22"/>
        <v>93.40000000000006</v>
      </c>
      <c r="BP30" s="15">
        <f t="shared" si="23"/>
        <v>343.5</v>
      </c>
      <c r="BQ30" s="15">
        <f t="shared" si="24"/>
        <v>201.89999999999986</v>
      </c>
      <c r="BR30" s="15">
        <f t="shared" si="25"/>
        <v>75.10000000000008</v>
      </c>
      <c r="BS30" s="15">
        <f t="shared" si="26"/>
        <v>103.49999999999997</v>
      </c>
      <c r="BT30" s="15">
        <f t="shared" si="27"/>
        <v>27.299999999999898</v>
      </c>
      <c r="BU30" s="73">
        <f t="shared" si="28"/>
        <v>1457</v>
      </c>
      <c r="BV30" s="72">
        <v>172.4</v>
      </c>
      <c r="BW30" s="42">
        <v>249</v>
      </c>
      <c r="BX30" s="72">
        <v>440.7</v>
      </c>
      <c r="BY30" s="71">
        <v>484.5</v>
      </c>
      <c r="BZ30" s="71">
        <v>612.3</v>
      </c>
      <c r="CA30" s="71">
        <v>705.7</v>
      </c>
      <c r="CB30" s="71">
        <v>1049.2</v>
      </c>
      <c r="CC30" s="42">
        <v>1251.1</v>
      </c>
      <c r="CD30" s="42">
        <v>1326.2</v>
      </c>
      <c r="CE30" s="43">
        <v>1429.7</v>
      </c>
      <c r="CF30" s="43">
        <v>1457</v>
      </c>
      <c r="CG30" s="43">
        <v>1038.6</v>
      </c>
      <c r="CH30" s="119">
        <v>1282.3</v>
      </c>
      <c r="CI30" s="124">
        <v>1470.1</v>
      </c>
      <c r="CJ30" s="71">
        <v>1970.0550000000003</v>
      </c>
      <c r="CK30" s="71">
        <v>2342.4700000000003</v>
      </c>
      <c r="CL30" s="122">
        <v>3321.2329999999997</v>
      </c>
      <c r="CM30" s="122">
        <v>3794.4049999999993</v>
      </c>
      <c r="CN30" s="122">
        <v>4897.696</v>
      </c>
      <c r="CO30" s="122">
        <v>5687.965</v>
      </c>
      <c r="CP30" s="122">
        <v>1605.072</v>
      </c>
      <c r="CQ30" s="122">
        <v>22.4</v>
      </c>
      <c r="CR30" s="122">
        <v>43.7</v>
      </c>
      <c r="CS30" s="122">
        <v>135.8</v>
      </c>
      <c r="CT30" s="122">
        <v>168.5</v>
      </c>
      <c r="CU30" s="122">
        <v>216.3</v>
      </c>
      <c r="CV30" s="122">
        <v>252.3</v>
      </c>
      <c r="CW30" s="122">
        <v>388.6</v>
      </c>
      <c r="CX30" s="122">
        <v>536.1</v>
      </c>
      <c r="CY30" s="122">
        <v>671</v>
      </c>
      <c r="CZ30" s="122">
        <v>829.2</v>
      </c>
      <c r="DA30" s="122">
        <v>914.8</v>
      </c>
      <c r="DB30" s="122">
        <v>1038.6</v>
      </c>
      <c r="DC30" s="122">
        <v>51.9</v>
      </c>
      <c r="DD30" s="122">
        <v>208.7</v>
      </c>
      <c r="DE30" s="122">
        <v>211.7</v>
      </c>
      <c r="DF30" s="122">
        <v>302.5</v>
      </c>
      <c r="DG30" s="122">
        <v>435.6</v>
      </c>
      <c r="DH30" s="122">
        <v>566.4</v>
      </c>
      <c r="DI30" s="122">
        <v>632.7</v>
      </c>
      <c r="DJ30" s="122">
        <v>884</v>
      </c>
      <c r="DK30" s="122">
        <v>1029.2</v>
      </c>
      <c r="DL30" s="122">
        <v>1078.1</v>
      </c>
      <c r="DM30" s="122">
        <v>1228.4</v>
      </c>
      <c r="DN30" s="122">
        <v>1282.3</v>
      </c>
      <c r="DO30" s="122">
        <v>200.7</v>
      </c>
      <c r="DP30" s="122">
        <v>433.2</v>
      </c>
      <c r="DQ30" s="122">
        <v>589.2</v>
      </c>
      <c r="DR30" s="122">
        <v>766.9</v>
      </c>
      <c r="DS30" s="122">
        <v>866</v>
      </c>
      <c r="DT30" s="122">
        <v>894.9</v>
      </c>
      <c r="DU30" s="122">
        <v>967.4</v>
      </c>
      <c r="DV30" s="122">
        <v>1174.4</v>
      </c>
      <c r="DW30" s="122">
        <v>1361.1</v>
      </c>
      <c r="DX30" s="122">
        <v>1417.1</v>
      </c>
      <c r="DY30" s="122">
        <v>1470.1</v>
      </c>
      <c r="DZ30" s="122">
        <v>0</v>
      </c>
      <c r="EA30" s="122">
        <f>DY30+DZ30</f>
        <v>1470.1</v>
      </c>
      <c r="EB30" s="122">
        <v>102</v>
      </c>
      <c r="EC30" s="122">
        <v>132</v>
      </c>
      <c r="ED30" s="122">
        <v>94</v>
      </c>
      <c r="EE30" s="122">
        <v>350</v>
      </c>
      <c r="EF30" s="122">
        <f>'[1]Feuil2'!$D$31</f>
        <v>387.88</v>
      </c>
      <c r="EG30" s="122">
        <f>'[2]Feuil3'!$E$34</f>
        <v>113.197</v>
      </c>
      <c r="EH30" s="122">
        <v>176</v>
      </c>
      <c r="EI30" s="122">
        <v>62</v>
      </c>
      <c r="EJ30" s="122">
        <v>57.819</v>
      </c>
      <c r="EK30" s="122">
        <v>206.159</v>
      </c>
      <c r="EL30" s="122">
        <v>260</v>
      </c>
      <c r="EM30" s="122">
        <v>29</v>
      </c>
      <c r="EN30" s="122">
        <f t="shared" si="30"/>
        <v>1970.0550000000003</v>
      </c>
      <c r="EO30" s="122">
        <v>150</v>
      </c>
      <c r="EP30" s="122">
        <v>38</v>
      </c>
      <c r="EQ30" s="122">
        <v>217</v>
      </c>
      <c r="ER30" s="122">
        <v>162.909</v>
      </c>
      <c r="ES30" s="122">
        <v>220.7</v>
      </c>
      <c r="ET30" s="122">
        <v>356</v>
      </c>
      <c r="EU30" s="122">
        <v>187.3</v>
      </c>
      <c r="EV30" s="122">
        <v>78.52</v>
      </c>
      <c r="EW30" s="122">
        <v>478.562</v>
      </c>
      <c r="EX30" s="122">
        <v>30.679</v>
      </c>
      <c r="EY30" s="122">
        <v>128.3</v>
      </c>
      <c r="EZ30" s="122">
        <v>294.5</v>
      </c>
      <c r="FA30" s="122">
        <f t="shared" si="31"/>
        <v>2342.4700000000003</v>
      </c>
      <c r="FB30" s="122">
        <v>197.745</v>
      </c>
      <c r="FC30" s="122">
        <v>49.705</v>
      </c>
      <c r="FD30" s="122">
        <f>'[4]IV5-IV6'!$D$41</f>
        <v>217.219</v>
      </c>
      <c r="FE30" s="122">
        <v>76.95</v>
      </c>
      <c r="FF30" s="122">
        <v>80.8</v>
      </c>
      <c r="FG30" s="122">
        <v>234.5</v>
      </c>
      <c r="FH30" s="122">
        <v>219.129</v>
      </c>
      <c r="FI30" s="122">
        <v>234.589</v>
      </c>
      <c r="FJ30" s="122">
        <v>209.3</v>
      </c>
      <c r="FK30" s="122">
        <v>909.533</v>
      </c>
      <c r="FL30" s="122">
        <v>772.399</v>
      </c>
      <c r="FM30" s="122">
        <v>119.364</v>
      </c>
      <c r="FN30" s="122">
        <f t="shared" si="32"/>
        <v>3321.2329999999997</v>
      </c>
      <c r="FO30" s="122">
        <v>8.067</v>
      </c>
      <c r="FP30" s="122">
        <v>44.994</v>
      </c>
      <c r="FQ30" s="122">
        <v>402.566</v>
      </c>
      <c r="FR30" s="122">
        <f>'[5]IV5-IV6'!$C$55</f>
        <v>386.647</v>
      </c>
      <c r="FS30" s="122">
        <v>192.055</v>
      </c>
      <c r="FT30" s="122">
        <v>394.3</v>
      </c>
      <c r="FU30" s="122">
        <v>196.888</v>
      </c>
      <c r="FV30" s="122">
        <v>492.997</v>
      </c>
      <c r="FW30" s="122">
        <v>386.247</v>
      </c>
      <c r="FX30" s="122">
        <v>301.4</v>
      </c>
      <c r="FY30" s="122">
        <v>497.144</v>
      </c>
      <c r="FZ30" s="122">
        <v>491.1</v>
      </c>
      <c r="GA30" s="122">
        <f t="shared" si="33"/>
        <v>3794.4049999999993</v>
      </c>
      <c r="GB30" s="122">
        <v>644.011</v>
      </c>
      <c r="GC30" s="122">
        <v>276.429</v>
      </c>
      <c r="GD30" s="122">
        <v>783.896</v>
      </c>
      <c r="GE30" s="122">
        <v>599.54</v>
      </c>
      <c r="GF30" s="122">
        <v>402.206</v>
      </c>
      <c r="GG30" s="122">
        <v>200.779</v>
      </c>
      <c r="GH30" s="122">
        <v>92.799</v>
      </c>
      <c r="GI30" s="122">
        <v>44.712</v>
      </c>
      <c r="GJ30" s="122">
        <v>459.947</v>
      </c>
      <c r="GK30" s="122">
        <v>984.325</v>
      </c>
      <c r="GL30" s="122">
        <v>99.392</v>
      </c>
      <c r="GM30" s="122">
        <v>309.22</v>
      </c>
      <c r="GN30" s="122">
        <f t="shared" si="34"/>
        <v>4897.256</v>
      </c>
      <c r="GO30" s="122">
        <v>791.636</v>
      </c>
      <c r="GP30" s="122">
        <v>269.835</v>
      </c>
      <c r="GQ30" s="122">
        <v>387.002</v>
      </c>
      <c r="GR30" s="122">
        <v>520.882</v>
      </c>
      <c r="GS30" s="122">
        <v>543.868</v>
      </c>
      <c r="GT30" s="122">
        <v>267.983</v>
      </c>
      <c r="GU30" s="122">
        <v>1250.354</v>
      </c>
      <c r="GV30" s="122">
        <v>436.783</v>
      </c>
      <c r="GW30" s="122">
        <v>80.973</v>
      </c>
      <c r="GX30" s="122">
        <v>732.309</v>
      </c>
      <c r="GY30" s="122">
        <v>222.668</v>
      </c>
      <c r="GZ30" s="122">
        <v>249.486</v>
      </c>
      <c r="HA30" s="122">
        <v>394.431</v>
      </c>
      <c r="HB30" s="122">
        <v>6.778</v>
      </c>
      <c r="HC30" s="122">
        <v>66.282</v>
      </c>
      <c r="HD30" s="122">
        <v>11.486</v>
      </c>
      <c r="HE30" s="122">
        <v>38.486</v>
      </c>
      <c r="HF30" s="122">
        <v>207.326</v>
      </c>
      <c r="HG30" s="122">
        <v>131.955</v>
      </c>
      <c r="HH30" s="122">
        <v>114.943</v>
      </c>
      <c r="HI30" s="122">
        <v>162.893</v>
      </c>
      <c r="HJ30" s="122">
        <v>168.022</v>
      </c>
      <c r="HK30" s="122">
        <v>140.844</v>
      </c>
      <c r="HL30" s="122">
        <v>161.626</v>
      </c>
      <c r="HM30" s="98">
        <v>61.67</v>
      </c>
      <c r="HN30" s="98">
        <v>208.845</v>
      </c>
      <c r="HO30" s="98">
        <v>181.569</v>
      </c>
      <c r="HP30" s="122">
        <v>211.677</v>
      </c>
      <c r="HQ30" s="98">
        <v>162.026</v>
      </c>
      <c r="HR30" s="122">
        <v>353.894</v>
      </c>
      <c r="HS30" s="122">
        <v>210.736</v>
      </c>
      <c r="HT30" s="122">
        <v>298.634</v>
      </c>
      <c r="HU30" s="122"/>
      <c r="HV30" s="122"/>
      <c r="HW30" s="122"/>
      <c r="HX30" s="122"/>
      <c r="HY30" s="122">
        <f t="shared" si="35"/>
        <v>971.687</v>
      </c>
      <c r="HZ30" s="122">
        <f t="shared" si="36"/>
        <v>1689.051</v>
      </c>
    </row>
    <row r="31" spans="2:234" ht="15.75">
      <c r="B31" s="105" t="s">
        <v>66</v>
      </c>
      <c r="C31" s="71">
        <v>82</v>
      </c>
      <c r="D31" s="42">
        <v>17</v>
      </c>
      <c r="E31" s="72" t="s">
        <v>11</v>
      </c>
      <c r="F31" s="42" t="s">
        <v>11</v>
      </c>
      <c r="G31" s="42" t="s">
        <v>11</v>
      </c>
      <c r="H31" s="42" t="s">
        <v>11</v>
      </c>
      <c r="I31" s="43" t="s">
        <v>11</v>
      </c>
      <c r="J31" s="43" t="s">
        <v>11</v>
      </c>
      <c r="K31" s="43" t="s">
        <v>11</v>
      </c>
      <c r="L31" s="15" t="s">
        <v>11</v>
      </c>
      <c r="M31" s="15" t="s">
        <v>11</v>
      </c>
      <c r="N31" s="15" t="s">
        <v>11</v>
      </c>
      <c r="O31" s="15" t="s">
        <v>11</v>
      </c>
      <c r="P31" s="15">
        <v>17</v>
      </c>
      <c r="Q31" s="15" t="s">
        <v>11</v>
      </c>
      <c r="R31" s="15" t="s">
        <v>11</v>
      </c>
      <c r="S31" s="15" t="s">
        <v>11</v>
      </c>
      <c r="T31" s="15" t="s">
        <v>11</v>
      </c>
      <c r="U31" s="42">
        <v>17</v>
      </c>
      <c r="V31" s="42" t="s">
        <v>11</v>
      </c>
      <c r="W31" s="43" t="s">
        <v>11</v>
      </c>
      <c r="X31" s="43" t="s">
        <v>11</v>
      </c>
      <c r="Y31" s="42" t="s">
        <v>11</v>
      </c>
      <c r="Z31" s="15" t="s">
        <v>11</v>
      </c>
      <c r="AA31" s="15" t="s">
        <v>11</v>
      </c>
      <c r="AB31" s="15" t="s">
        <v>11</v>
      </c>
      <c r="AC31" s="15" t="s">
        <v>11</v>
      </c>
      <c r="AD31" s="15" t="s">
        <v>11</v>
      </c>
      <c r="AE31" s="15" t="s">
        <v>11</v>
      </c>
      <c r="AF31" s="15" t="s">
        <v>11</v>
      </c>
      <c r="AG31" s="15" t="s">
        <v>11</v>
      </c>
      <c r="AH31" s="42" t="s">
        <v>11</v>
      </c>
      <c r="AI31" s="43" t="s">
        <v>11</v>
      </c>
      <c r="AJ31" s="15" t="s">
        <v>11</v>
      </c>
      <c r="AK31" s="15" t="s">
        <v>11</v>
      </c>
      <c r="AL31" s="15" t="s">
        <v>11</v>
      </c>
      <c r="AM31" s="15" t="s">
        <v>11</v>
      </c>
      <c r="AN31" s="15" t="s">
        <v>11</v>
      </c>
      <c r="AO31" s="15" t="s">
        <v>11</v>
      </c>
      <c r="AP31" s="15" t="s">
        <v>11</v>
      </c>
      <c r="AQ31" s="15" t="s">
        <v>11</v>
      </c>
      <c r="AR31" s="15" t="s">
        <v>11</v>
      </c>
      <c r="AS31" s="15" t="s">
        <v>11</v>
      </c>
      <c r="AT31" s="15" t="s">
        <v>11</v>
      </c>
      <c r="AU31" s="42" t="s">
        <v>11</v>
      </c>
      <c r="AV31" s="42" t="s">
        <v>11</v>
      </c>
      <c r="AW31" s="42" t="s">
        <v>11</v>
      </c>
      <c r="AX31" s="42" t="s">
        <v>11</v>
      </c>
      <c r="AY31" s="42" t="s">
        <v>11</v>
      </c>
      <c r="AZ31" s="42" t="s">
        <v>11</v>
      </c>
      <c r="BA31" s="42" t="s">
        <v>11</v>
      </c>
      <c r="BB31" s="15" t="s">
        <v>11</v>
      </c>
      <c r="BC31" s="15" t="s">
        <v>11</v>
      </c>
      <c r="BD31" s="15" t="s">
        <v>11</v>
      </c>
      <c r="BE31" s="15" t="s">
        <v>11</v>
      </c>
      <c r="BF31" s="15" t="s">
        <v>11</v>
      </c>
      <c r="BG31" s="42" t="s">
        <v>11</v>
      </c>
      <c r="BH31" s="42" t="s">
        <v>11</v>
      </c>
      <c r="BI31" s="36" t="s">
        <v>11</v>
      </c>
      <c r="BJ31" s="15" t="s">
        <v>11</v>
      </c>
      <c r="BK31" s="15">
        <v>0</v>
      </c>
      <c r="BL31" s="15">
        <f>BX31-BK31-BJ31-BI31</f>
        <v>0</v>
      </c>
      <c r="BM31" s="15">
        <v>0</v>
      </c>
      <c r="BN31" s="15">
        <v>0</v>
      </c>
      <c r="BO31" s="15">
        <f t="shared" si="22"/>
        <v>0</v>
      </c>
      <c r="BP31" s="15">
        <f t="shared" si="23"/>
        <v>0</v>
      </c>
      <c r="BQ31" s="15">
        <f t="shared" si="24"/>
        <v>0</v>
      </c>
      <c r="BR31" s="15">
        <f t="shared" si="25"/>
        <v>0</v>
      </c>
      <c r="BS31" s="15">
        <f t="shared" si="26"/>
        <v>0</v>
      </c>
      <c r="BT31" s="15">
        <f t="shared" si="27"/>
        <v>0</v>
      </c>
      <c r="BU31" s="73">
        <f t="shared" si="28"/>
        <v>0</v>
      </c>
      <c r="BV31" s="71" t="s">
        <v>11</v>
      </c>
      <c r="BW31" s="71" t="s">
        <v>11</v>
      </c>
      <c r="BX31" s="71" t="s">
        <v>11</v>
      </c>
      <c r="BY31" s="71" t="s">
        <v>11</v>
      </c>
      <c r="BZ31" s="71" t="s">
        <v>11</v>
      </c>
      <c r="CA31" s="71" t="s">
        <v>11</v>
      </c>
      <c r="CB31" s="71" t="s">
        <v>11</v>
      </c>
      <c r="CC31" s="42" t="s">
        <v>11</v>
      </c>
      <c r="CD31" s="42" t="s">
        <v>11</v>
      </c>
      <c r="CE31" s="43" t="s">
        <v>11</v>
      </c>
      <c r="CF31" s="43" t="s">
        <v>11</v>
      </c>
      <c r="CG31" s="43">
        <v>9.5</v>
      </c>
      <c r="CH31" s="72" t="s">
        <v>11</v>
      </c>
      <c r="CI31" s="98">
        <v>135</v>
      </c>
      <c r="CJ31" s="71" t="s">
        <v>11</v>
      </c>
      <c r="CK31" s="71">
        <v>4.3</v>
      </c>
      <c r="CL31" s="122">
        <v>834.1500000000001</v>
      </c>
      <c r="CM31" s="122">
        <v>24.193999999999996</v>
      </c>
      <c r="CN31" s="122">
        <v>7.9719999999999995</v>
      </c>
      <c r="CO31" s="122">
        <v>6.575</v>
      </c>
      <c r="CP31" s="122">
        <v>30.29</v>
      </c>
      <c r="CQ31" s="122" t="s">
        <v>11</v>
      </c>
      <c r="CR31" s="122" t="s">
        <v>11</v>
      </c>
      <c r="CS31" s="122" t="s">
        <v>11</v>
      </c>
      <c r="CT31" s="122" t="s">
        <v>11</v>
      </c>
      <c r="CU31" s="122">
        <v>5.3</v>
      </c>
      <c r="CV31" s="122">
        <v>5.3</v>
      </c>
      <c r="CW31" s="122">
        <v>5.3</v>
      </c>
      <c r="CX31" s="122">
        <v>5.3</v>
      </c>
      <c r="CY31" s="122">
        <v>5.3</v>
      </c>
      <c r="CZ31" s="122">
        <v>5.3</v>
      </c>
      <c r="DA31" s="122">
        <v>5.3</v>
      </c>
      <c r="DB31" s="122">
        <v>9.5</v>
      </c>
      <c r="DC31" s="122" t="s">
        <v>11</v>
      </c>
      <c r="DD31" s="122" t="s">
        <v>11</v>
      </c>
      <c r="DE31" s="122" t="s">
        <v>11</v>
      </c>
      <c r="DF31" s="122" t="s">
        <v>11</v>
      </c>
      <c r="DG31" s="122" t="s">
        <v>11</v>
      </c>
      <c r="DH31" s="122" t="s">
        <v>11</v>
      </c>
      <c r="DI31" s="122" t="s">
        <v>11</v>
      </c>
      <c r="DJ31" s="122" t="s">
        <v>11</v>
      </c>
      <c r="DK31" s="122" t="s">
        <v>11</v>
      </c>
      <c r="DL31" s="122" t="s">
        <v>11</v>
      </c>
      <c r="DM31" s="122" t="s">
        <v>11</v>
      </c>
      <c r="DN31" s="122" t="s">
        <v>11</v>
      </c>
      <c r="DO31" s="122" t="s">
        <v>11</v>
      </c>
      <c r="DP31" s="122" t="s">
        <v>11</v>
      </c>
      <c r="DQ31" s="122" t="s">
        <v>11</v>
      </c>
      <c r="DR31" s="122">
        <v>67</v>
      </c>
      <c r="DS31" s="122">
        <v>135</v>
      </c>
      <c r="DT31" s="122">
        <v>135</v>
      </c>
      <c r="DU31" s="122">
        <v>135</v>
      </c>
      <c r="DV31" s="122">
        <v>135</v>
      </c>
      <c r="DW31" s="122">
        <v>135</v>
      </c>
      <c r="DX31" s="122">
        <v>135</v>
      </c>
      <c r="DY31" s="122">
        <v>135</v>
      </c>
      <c r="DZ31" s="122"/>
      <c r="EA31" s="122">
        <f>DY31+DZ31</f>
        <v>135</v>
      </c>
      <c r="EB31" s="122" t="s">
        <v>11</v>
      </c>
      <c r="EC31" s="122"/>
      <c r="ED31" s="122">
        <v>0</v>
      </c>
      <c r="EE31" s="122" t="s">
        <v>11</v>
      </c>
      <c r="EF31" s="122" t="s">
        <v>11</v>
      </c>
      <c r="EG31" s="122">
        <v>0</v>
      </c>
      <c r="EH31" s="122">
        <v>0</v>
      </c>
      <c r="EI31" s="122">
        <v>0</v>
      </c>
      <c r="EJ31" s="122">
        <v>0</v>
      </c>
      <c r="EK31" s="122">
        <v>0</v>
      </c>
      <c r="EL31" s="122"/>
      <c r="EM31" s="122"/>
      <c r="EN31" s="122" t="s">
        <v>11</v>
      </c>
      <c r="EO31" s="122">
        <v>0</v>
      </c>
      <c r="EP31" s="122"/>
      <c r="EQ31" s="122">
        <v>0</v>
      </c>
      <c r="ER31" s="122">
        <v>0</v>
      </c>
      <c r="ES31" s="122"/>
      <c r="ET31" s="122"/>
      <c r="EU31" s="122">
        <v>4.3</v>
      </c>
      <c r="EV31" s="122">
        <v>0</v>
      </c>
      <c r="EW31" s="122">
        <v>0</v>
      </c>
      <c r="EX31" s="122">
        <v>0</v>
      </c>
      <c r="EY31" s="122"/>
      <c r="EZ31" s="122"/>
      <c r="FA31" s="122">
        <f t="shared" si="31"/>
        <v>4.3</v>
      </c>
      <c r="FB31" s="122">
        <v>237.81</v>
      </c>
      <c r="FC31" s="122">
        <v>17.396</v>
      </c>
      <c r="FD31" s="122">
        <v>0</v>
      </c>
      <c r="FE31" s="122">
        <v>17</v>
      </c>
      <c r="FF31" s="122"/>
      <c r="FG31" s="122">
        <v>0.2</v>
      </c>
      <c r="FH31" s="122"/>
      <c r="FI31" s="122">
        <v>84.278</v>
      </c>
      <c r="FJ31" s="122"/>
      <c r="FK31" s="122">
        <v>437.239</v>
      </c>
      <c r="FL31" s="122">
        <v>31.378</v>
      </c>
      <c r="FM31" s="122">
        <v>8.849</v>
      </c>
      <c r="FN31" s="122">
        <f t="shared" si="32"/>
        <v>834.1500000000001</v>
      </c>
      <c r="FO31" s="122"/>
      <c r="FP31" s="122">
        <v>0</v>
      </c>
      <c r="FQ31" s="122">
        <v>9.649</v>
      </c>
      <c r="FR31" s="122">
        <v>0</v>
      </c>
      <c r="FS31" s="122">
        <v>13.645</v>
      </c>
      <c r="FT31" s="122">
        <v>0.9</v>
      </c>
      <c r="FU31" s="122">
        <v>0</v>
      </c>
      <c r="FV31" s="122">
        <v>0</v>
      </c>
      <c r="FW31" s="122">
        <v>0</v>
      </c>
      <c r="FX31" s="122">
        <v>0</v>
      </c>
      <c r="FY31" s="122">
        <v>0</v>
      </c>
      <c r="FZ31" s="122">
        <v>0</v>
      </c>
      <c r="GA31" s="122">
        <f t="shared" si="33"/>
        <v>24.193999999999996</v>
      </c>
      <c r="GB31" s="122">
        <v>7.922</v>
      </c>
      <c r="GC31" s="122">
        <v>0</v>
      </c>
      <c r="GD31" s="122">
        <v>0</v>
      </c>
      <c r="GE31" s="122">
        <v>0</v>
      </c>
      <c r="GF31" s="122">
        <v>0</v>
      </c>
      <c r="GG31" s="122">
        <v>0</v>
      </c>
      <c r="GH31" s="122">
        <v>0</v>
      </c>
      <c r="GI31" s="122"/>
      <c r="GJ31" s="122">
        <v>0.05</v>
      </c>
      <c r="GK31" s="122"/>
      <c r="GL31" s="122"/>
      <c r="GM31" s="122"/>
      <c r="GN31" s="122">
        <f t="shared" si="34"/>
        <v>7.9719999999999995</v>
      </c>
      <c r="GO31" s="122">
        <v>6.145</v>
      </c>
      <c r="GP31" s="122">
        <v>0</v>
      </c>
      <c r="GQ31" s="122"/>
      <c r="GR31" s="122">
        <v>0</v>
      </c>
      <c r="GS31" s="122">
        <v>0.43</v>
      </c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>
        <v>7</v>
      </c>
      <c r="HF31" s="122"/>
      <c r="HG31" s="122"/>
      <c r="HH31" s="122"/>
      <c r="HI31" s="122"/>
      <c r="HJ31" s="122"/>
      <c r="HK31" s="122"/>
      <c r="HL31" s="122">
        <v>23.29</v>
      </c>
      <c r="HM31" s="98">
        <v>8.3</v>
      </c>
      <c r="HN31" s="98">
        <v>18.369</v>
      </c>
      <c r="HO31" s="98"/>
      <c r="HP31" s="122">
        <v>0</v>
      </c>
      <c r="HQ31" s="98"/>
      <c r="HR31" s="122">
        <v>0</v>
      </c>
      <c r="HS31" s="122"/>
      <c r="HT31" s="122">
        <v>2.5</v>
      </c>
      <c r="HU31" s="122"/>
      <c r="HV31" s="122"/>
      <c r="HW31" s="122"/>
      <c r="HX31" s="122"/>
      <c r="HY31" s="122">
        <f t="shared" si="35"/>
        <v>7</v>
      </c>
      <c r="HZ31" s="122">
        <f t="shared" si="36"/>
        <v>29.169</v>
      </c>
    </row>
    <row r="32" spans="2:234" ht="15.75">
      <c r="B32" s="105" t="s">
        <v>67</v>
      </c>
      <c r="C32" s="71">
        <v>660</v>
      </c>
      <c r="D32" s="42">
        <v>772</v>
      </c>
      <c r="E32" s="72">
        <v>316</v>
      </c>
      <c r="F32" s="42">
        <v>720</v>
      </c>
      <c r="G32" s="42">
        <v>944.5</v>
      </c>
      <c r="H32" s="42">
        <v>3113</v>
      </c>
      <c r="I32" s="43">
        <v>7</v>
      </c>
      <c r="J32" s="43">
        <v>8</v>
      </c>
      <c r="K32" s="15">
        <v>92</v>
      </c>
      <c r="L32" s="15">
        <v>23</v>
      </c>
      <c r="M32" s="15">
        <v>38</v>
      </c>
      <c r="N32" s="15">
        <v>55</v>
      </c>
      <c r="O32" s="15">
        <v>52</v>
      </c>
      <c r="P32" s="15">
        <v>198</v>
      </c>
      <c r="Q32" s="15">
        <v>3</v>
      </c>
      <c r="R32" s="15">
        <v>222</v>
      </c>
      <c r="S32" s="15">
        <v>27</v>
      </c>
      <c r="T32" s="15">
        <v>47</v>
      </c>
      <c r="U32" s="42">
        <f>+I32+J32+K32+L32+M32+N32+O32+P32+Q32+R32+S32+T32</f>
        <v>772</v>
      </c>
      <c r="V32" s="56">
        <v>5</v>
      </c>
      <c r="W32" s="42">
        <v>135</v>
      </c>
      <c r="X32" s="42">
        <v>20</v>
      </c>
      <c r="Y32" s="42" t="s">
        <v>11</v>
      </c>
      <c r="Z32" s="42">
        <v>11</v>
      </c>
      <c r="AA32" s="42">
        <v>36</v>
      </c>
      <c r="AB32" s="42">
        <v>18</v>
      </c>
      <c r="AC32" s="42">
        <v>12</v>
      </c>
      <c r="AD32" s="42">
        <v>21</v>
      </c>
      <c r="AE32" s="42">
        <v>19</v>
      </c>
      <c r="AF32" s="42">
        <v>10</v>
      </c>
      <c r="AG32" s="42">
        <v>29</v>
      </c>
      <c r="AH32" s="71">
        <f>SUM(V32:AG32)</f>
        <v>316</v>
      </c>
      <c r="AI32" s="42">
        <v>8</v>
      </c>
      <c r="AJ32" s="42">
        <v>66</v>
      </c>
      <c r="AK32" s="42">
        <v>262</v>
      </c>
      <c r="AL32" s="42">
        <v>128</v>
      </c>
      <c r="AM32" s="42">
        <v>17</v>
      </c>
      <c r="AN32" s="42">
        <v>44</v>
      </c>
      <c r="AO32" s="42">
        <v>29</v>
      </c>
      <c r="AP32" s="42">
        <v>10</v>
      </c>
      <c r="AQ32" s="42">
        <v>21</v>
      </c>
      <c r="AR32" s="42">
        <v>61</v>
      </c>
      <c r="AS32" s="42">
        <v>32</v>
      </c>
      <c r="AT32" s="42">
        <v>42</v>
      </c>
      <c r="AU32" s="71">
        <f>AI32+AJ32+AK32+AL32+AM32+AN32+AO32+AP32+AQ32+AR32+AS32+AT32</f>
        <v>720</v>
      </c>
      <c r="AV32" s="42">
        <v>41</v>
      </c>
      <c r="AW32" s="42">
        <v>16</v>
      </c>
      <c r="AX32" s="36">
        <v>262</v>
      </c>
      <c r="AY32" s="42">
        <v>218</v>
      </c>
      <c r="AZ32" s="42">
        <v>14</v>
      </c>
      <c r="BA32" s="42">
        <v>9</v>
      </c>
      <c r="BB32" s="56">
        <v>51.3</v>
      </c>
      <c r="BC32" s="56">
        <v>10.6</v>
      </c>
      <c r="BD32" s="56">
        <v>116.5</v>
      </c>
      <c r="BE32" s="56">
        <v>52.5</v>
      </c>
      <c r="BF32" s="56">
        <v>84.6</v>
      </c>
      <c r="BG32" s="74">
        <v>69</v>
      </c>
      <c r="BH32" s="71">
        <f>SUM(AV32:BG32)</f>
        <v>944.5</v>
      </c>
      <c r="BI32" s="36">
        <v>16</v>
      </c>
      <c r="BJ32" s="15">
        <f>2399.1-BI32</f>
        <v>2383.1</v>
      </c>
      <c r="BK32" s="15">
        <f>2885.5-BI32-BJ32</f>
        <v>486.4000000000001</v>
      </c>
      <c r="BL32" s="15">
        <f>2886.2-BJ32-BK32-BI32</f>
        <v>0.6999999999998181</v>
      </c>
      <c r="BM32" s="15">
        <f>2934.7-BK32-BL32-BJ32-BI32</f>
        <v>48.5</v>
      </c>
      <c r="BN32" s="15">
        <f>2958.4-BL32-BM32-BK32-BJ32-BI32</f>
        <v>23.700000000000273</v>
      </c>
      <c r="BO32" s="15">
        <f t="shared" si="22"/>
        <v>15.699999999999818</v>
      </c>
      <c r="BP32" s="15">
        <f t="shared" si="23"/>
        <v>7.300000000000182</v>
      </c>
      <c r="BQ32" s="15">
        <f t="shared" si="24"/>
        <v>28.40000000000009</v>
      </c>
      <c r="BR32" s="15">
        <f t="shared" si="25"/>
        <v>18.399999999999636</v>
      </c>
      <c r="BS32" s="15">
        <f t="shared" si="26"/>
        <v>30.5</v>
      </c>
      <c r="BT32" s="15">
        <f t="shared" si="27"/>
        <v>54.20000000000027</v>
      </c>
      <c r="BU32" s="73">
        <f t="shared" si="28"/>
        <v>3112.9</v>
      </c>
      <c r="BV32" s="42">
        <v>2399.1</v>
      </c>
      <c r="BW32" s="42">
        <v>2886</v>
      </c>
      <c r="BX32" s="42">
        <v>2886.2</v>
      </c>
      <c r="BY32" s="71">
        <v>2934.7</v>
      </c>
      <c r="BZ32" s="71">
        <v>2958.4</v>
      </c>
      <c r="CA32" s="71">
        <v>2974.1</v>
      </c>
      <c r="CB32" s="71">
        <v>2981.4</v>
      </c>
      <c r="CC32" s="42">
        <v>3009.8</v>
      </c>
      <c r="CD32" s="42">
        <v>3028.2</v>
      </c>
      <c r="CE32" s="43">
        <v>3058.7</v>
      </c>
      <c r="CF32" s="43">
        <v>3112.9</v>
      </c>
      <c r="CG32" s="43">
        <v>1369.7</v>
      </c>
      <c r="CH32" s="119">
        <v>2004.6</v>
      </c>
      <c r="CI32" s="124">
        <v>2616.9</v>
      </c>
      <c r="CJ32" s="71">
        <v>1362.5389999999998</v>
      </c>
      <c r="CK32" s="71">
        <v>6842.920000000001</v>
      </c>
      <c r="CL32" s="122">
        <v>2237.2299999999996</v>
      </c>
      <c r="CM32" s="122">
        <v>8254.134</v>
      </c>
      <c r="CN32" s="122">
        <v>5236.773999999999</v>
      </c>
      <c r="CO32" s="122">
        <v>3805.853</v>
      </c>
      <c r="CP32" s="122">
        <v>37059.768</v>
      </c>
      <c r="CQ32" s="122">
        <v>47</v>
      </c>
      <c r="CR32" s="122">
        <v>53.5</v>
      </c>
      <c r="CS32" s="122">
        <v>85.5</v>
      </c>
      <c r="CT32" s="122">
        <v>116.5</v>
      </c>
      <c r="CU32" s="122">
        <v>383.3</v>
      </c>
      <c r="CV32" s="122">
        <v>431.7</v>
      </c>
      <c r="CW32" s="122">
        <v>464.2</v>
      </c>
      <c r="CX32" s="122">
        <v>589.2</v>
      </c>
      <c r="CY32" s="122">
        <v>731.9</v>
      </c>
      <c r="CZ32" s="122">
        <v>749.8</v>
      </c>
      <c r="DA32" s="122">
        <v>959.9</v>
      </c>
      <c r="DB32" s="122">
        <v>1369.7</v>
      </c>
      <c r="DC32" s="122">
        <v>357</v>
      </c>
      <c r="DD32" s="122">
        <v>688.2</v>
      </c>
      <c r="DE32" s="122">
        <v>817.9</v>
      </c>
      <c r="DF32" s="122">
        <v>1077.8</v>
      </c>
      <c r="DG32" s="122">
        <v>1235.9</v>
      </c>
      <c r="DH32" s="122">
        <v>1277.9</v>
      </c>
      <c r="DI32" s="122">
        <v>1583.4</v>
      </c>
      <c r="DJ32" s="122">
        <v>1596</v>
      </c>
      <c r="DK32" s="122">
        <v>1741.1</v>
      </c>
      <c r="DL32" s="122">
        <v>1819</v>
      </c>
      <c r="DM32" s="122">
        <v>1866.1</v>
      </c>
      <c r="DN32" s="122">
        <v>2004.6</v>
      </c>
      <c r="DO32" s="122">
        <v>56.1</v>
      </c>
      <c r="DP32" s="122">
        <v>95.5</v>
      </c>
      <c r="DQ32" s="122">
        <v>1884.8</v>
      </c>
      <c r="DR32" s="122">
        <v>2157.1</v>
      </c>
      <c r="DS32" s="122">
        <v>2188</v>
      </c>
      <c r="DT32" s="122">
        <v>2224.9</v>
      </c>
      <c r="DU32" s="122">
        <v>2275.6</v>
      </c>
      <c r="DV32" s="122">
        <v>2423.6</v>
      </c>
      <c r="DW32" s="122">
        <v>2503.8</v>
      </c>
      <c r="DX32" s="122">
        <v>2555.9</v>
      </c>
      <c r="DY32" s="122">
        <v>2573.9</v>
      </c>
      <c r="DZ32" s="122">
        <v>43</v>
      </c>
      <c r="EA32" s="122">
        <f>DY32+DZ32</f>
        <v>2616.9</v>
      </c>
      <c r="EB32" s="122">
        <v>126</v>
      </c>
      <c r="EC32" s="122">
        <v>40</v>
      </c>
      <c r="ED32" s="122">
        <v>55</v>
      </c>
      <c r="EE32" s="122">
        <v>65</v>
      </c>
      <c r="EF32" s="122">
        <f>'[1]Feuil2'!$D$32</f>
        <v>29.881</v>
      </c>
      <c r="EG32" s="122">
        <f>'[2]Feuil3'!$E$36</f>
        <v>25.256</v>
      </c>
      <c r="EH32" s="122">
        <v>22</v>
      </c>
      <c r="EI32" s="122">
        <v>70</v>
      </c>
      <c r="EJ32" s="122">
        <v>131.073</v>
      </c>
      <c r="EK32" s="122">
        <v>106.329</v>
      </c>
      <c r="EL32" s="122">
        <v>536</v>
      </c>
      <c r="EM32" s="122">
        <v>156</v>
      </c>
      <c r="EN32" s="122">
        <f>SUM(EB32:EM32)</f>
        <v>1362.5389999999998</v>
      </c>
      <c r="EO32" s="122">
        <v>21</v>
      </c>
      <c r="EP32" s="122">
        <v>103</v>
      </c>
      <c r="EQ32" s="122">
        <v>89</v>
      </c>
      <c r="ER32" s="122">
        <v>2150.721</v>
      </c>
      <c r="ES32" s="122">
        <v>1321.2</v>
      </c>
      <c r="ET32" s="122">
        <v>156.9</v>
      </c>
      <c r="EU32" s="122">
        <v>234.2</v>
      </c>
      <c r="EV32" s="122">
        <v>1214.32</v>
      </c>
      <c r="EW32" s="122">
        <v>1095.01</v>
      </c>
      <c r="EX32" s="122">
        <v>118.469</v>
      </c>
      <c r="EY32" s="122">
        <f>39.6+58</f>
        <v>97.6</v>
      </c>
      <c r="EZ32" s="122">
        <f>5.2+236.3</f>
        <v>241.5</v>
      </c>
      <c r="FA32" s="122">
        <f t="shared" si="31"/>
        <v>6842.920000000001</v>
      </c>
      <c r="FB32" s="122">
        <v>54.294</v>
      </c>
      <c r="FC32" s="122">
        <v>110.936</v>
      </c>
      <c r="FD32" s="122">
        <f>'[4]IV5-IV6'!$D$44</f>
        <v>88.502</v>
      </c>
      <c r="FE32" s="122">
        <v>258.93</v>
      </c>
      <c r="FF32" s="122">
        <v>153.158</v>
      </c>
      <c r="FG32" s="122">
        <v>80.6</v>
      </c>
      <c r="FH32" s="122">
        <v>453.644</v>
      </c>
      <c r="FI32" s="122">
        <v>99.097</v>
      </c>
      <c r="FJ32" s="122">
        <v>441.8</v>
      </c>
      <c r="FK32" s="122">
        <v>362.646</v>
      </c>
      <c r="FL32" s="122">
        <v>35.74</v>
      </c>
      <c r="FM32" s="122">
        <v>97.883</v>
      </c>
      <c r="FN32" s="122">
        <f t="shared" si="32"/>
        <v>2237.2299999999996</v>
      </c>
      <c r="FO32" s="122">
        <v>32.712</v>
      </c>
      <c r="FP32" s="122">
        <v>28.832</v>
      </c>
      <c r="FQ32" s="122">
        <v>255.035</v>
      </c>
      <c r="FR32" s="122">
        <f>'[5]IV5-IV6'!$C$56</f>
        <v>129.826</v>
      </c>
      <c r="FS32" s="122">
        <v>118.578</v>
      </c>
      <c r="FT32" s="122">
        <v>2744.7</v>
      </c>
      <c r="FU32" s="122">
        <v>193.26</v>
      </c>
      <c r="FV32" s="122">
        <v>49.994</v>
      </c>
      <c r="FW32" s="122">
        <v>80.425</v>
      </c>
      <c r="FX32" s="122">
        <v>3586.7</v>
      </c>
      <c r="FY32" s="122">
        <v>959.772</v>
      </c>
      <c r="FZ32" s="122">
        <v>74.3</v>
      </c>
      <c r="GA32" s="122">
        <f t="shared" si="33"/>
        <v>8254.134</v>
      </c>
      <c r="GB32" s="122">
        <v>37.345</v>
      </c>
      <c r="GC32" s="122">
        <v>85.638</v>
      </c>
      <c r="GD32" s="122">
        <v>393.956</v>
      </c>
      <c r="GE32" s="122">
        <v>421.636</v>
      </c>
      <c r="GF32" s="122">
        <v>336.795</v>
      </c>
      <c r="GG32" s="122">
        <v>94.371</v>
      </c>
      <c r="GH32" s="122">
        <v>134</v>
      </c>
      <c r="GI32" s="122">
        <v>2137.171</v>
      </c>
      <c r="GJ32" s="122">
        <v>232.727</v>
      </c>
      <c r="GK32" s="122">
        <v>179.138</v>
      </c>
      <c r="GL32" s="122">
        <v>114.423</v>
      </c>
      <c r="GM32" s="122">
        <v>1069.574</v>
      </c>
      <c r="GN32" s="122">
        <f t="shared" si="34"/>
        <v>5236.773999999999</v>
      </c>
      <c r="GO32" s="122">
        <v>64.776</v>
      </c>
      <c r="GP32" s="122">
        <v>95.943</v>
      </c>
      <c r="GQ32" s="122">
        <v>154.66</v>
      </c>
      <c r="GR32" s="122">
        <v>135.806</v>
      </c>
      <c r="GS32" s="122">
        <v>52.756</v>
      </c>
      <c r="GT32" s="122">
        <v>1276.642</v>
      </c>
      <c r="GU32" s="122">
        <v>31.882</v>
      </c>
      <c r="GV32" s="122">
        <v>16.067</v>
      </c>
      <c r="GW32" s="122">
        <v>17.923</v>
      </c>
      <c r="GX32" s="122">
        <v>69.37</v>
      </c>
      <c r="GY32" s="122">
        <v>105.901</v>
      </c>
      <c r="GZ32" s="122">
        <v>1805.083</v>
      </c>
      <c r="HA32" s="122">
        <v>2727.213</v>
      </c>
      <c r="HB32" s="122">
        <v>13455.628</v>
      </c>
      <c r="HC32" s="122">
        <v>48.82</v>
      </c>
      <c r="HD32" s="122">
        <v>684.204</v>
      </c>
      <c r="HE32" s="122">
        <v>1963.973</v>
      </c>
      <c r="HF32" s="122">
        <v>33.802</v>
      </c>
      <c r="HG32" s="122">
        <v>623.956</v>
      </c>
      <c r="HH32" s="122">
        <v>94.743</v>
      </c>
      <c r="HI32" s="122">
        <v>5808.483</v>
      </c>
      <c r="HJ32" s="122">
        <v>968.835</v>
      </c>
      <c r="HK32" s="122">
        <v>1391.383</v>
      </c>
      <c r="HL32" s="122">
        <v>9258.728</v>
      </c>
      <c r="HM32" s="98">
        <v>1869.041</v>
      </c>
      <c r="HN32" s="98">
        <v>160.385</v>
      </c>
      <c r="HO32" s="98">
        <v>170.581</v>
      </c>
      <c r="HP32" s="122">
        <v>170.363</v>
      </c>
      <c r="HQ32" s="98">
        <v>37.738</v>
      </c>
      <c r="HR32" s="122">
        <v>1058.306</v>
      </c>
      <c r="HS32" s="122">
        <v>72.602</v>
      </c>
      <c r="HT32" s="122">
        <v>102.333</v>
      </c>
      <c r="HU32" s="122"/>
      <c r="HV32" s="122"/>
      <c r="HW32" s="122"/>
      <c r="HX32" s="122"/>
      <c r="HY32" s="122">
        <f t="shared" si="35"/>
        <v>19632.339</v>
      </c>
      <c r="HZ32" s="122">
        <f t="shared" si="36"/>
        <v>3641.3489999999997</v>
      </c>
    </row>
    <row r="33" spans="2:234" ht="15.75">
      <c r="B33" s="105" t="s">
        <v>68</v>
      </c>
      <c r="C33" s="71">
        <v>38</v>
      </c>
      <c r="D33" s="42">
        <v>107</v>
      </c>
      <c r="E33" s="72">
        <v>68</v>
      </c>
      <c r="F33" s="42">
        <v>72</v>
      </c>
      <c r="G33" s="42">
        <v>783.1</v>
      </c>
      <c r="H33" s="42">
        <v>5008</v>
      </c>
      <c r="I33" s="43">
        <v>63</v>
      </c>
      <c r="J33" s="43">
        <v>5</v>
      </c>
      <c r="K33" s="15" t="s">
        <v>11</v>
      </c>
      <c r="L33" s="15">
        <v>12</v>
      </c>
      <c r="M33" s="15" t="s">
        <v>11</v>
      </c>
      <c r="N33" s="15">
        <v>18</v>
      </c>
      <c r="O33" s="15" t="s">
        <v>11</v>
      </c>
      <c r="P33" s="15" t="s">
        <v>11</v>
      </c>
      <c r="Q33" s="15">
        <v>9</v>
      </c>
      <c r="R33" s="15" t="s">
        <v>11</v>
      </c>
      <c r="S33" s="15" t="s">
        <v>11</v>
      </c>
      <c r="T33" s="15" t="s">
        <v>11</v>
      </c>
      <c r="U33" s="42">
        <f>+I33+J33+K33+L33+M33+N33+O33+P33+Q33+R33+S33+T33</f>
        <v>107</v>
      </c>
      <c r="V33" s="56">
        <v>24</v>
      </c>
      <c r="W33" s="43" t="s">
        <v>11</v>
      </c>
      <c r="X33" s="15">
        <v>2</v>
      </c>
      <c r="Y33" s="15">
        <v>4</v>
      </c>
      <c r="Z33" s="15" t="s">
        <v>11</v>
      </c>
      <c r="AA33" s="15">
        <v>17</v>
      </c>
      <c r="AB33" s="15" t="s">
        <v>11</v>
      </c>
      <c r="AC33" s="15">
        <v>7</v>
      </c>
      <c r="AD33" s="15" t="s">
        <v>11</v>
      </c>
      <c r="AE33" s="15">
        <v>10</v>
      </c>
      <c r="AF33" s="15">
        <v>3</v>
      </c>
      <c r="AG33" s="15">
        <v>1</v>
      </c>
      <c r="AH33" s="71">
        <f>SUM(V33:AG33)</f>
        <v>68</v>
      </c>
      <c r="AI33" s="43">
        <v>1</v>
      </c>
      <c r="AJ33" s="15">
        <v>5</v>
      </c>
      <c r="AK33" s="15" t="s">
        <v>11</v>
      </c>
      <c r="AL33" s="15">
        <v>23</v>
      </c>
      <c r="AM33" s="15" t="s">
        <v>11</v>
      </c>
      <c r="AN33" s="15" t="s">
        <v>11</v>
      </c>
      <c r="AO33" s="15">
        <v>43</v>
      </c>
      <c r="AP33" s="15" t="s">
        <v>11</v>
      </c>
      <c r="AQ33" s="15" t="s">
        <v>11</v>
      </c>
      <c r="AR33" s="15" t="s">
        <v>11</v>
      </c>
      <c r="AS33" s="15" t="s">
        <v>11</v>
      </c>
      <c r="AT33" s="15" t="s">
        <v>11</v>
      </c>
      <c r="AU33" s="71">
        <f>AI33+AJ33+AK33+AL33+AM33+AN33+AO33+AP33+AQ33+AR33+AS33+AT33</f>
        <v>72</v>
      </c>
      <c r="AV33" s="77" t="s">
        <v>11</v>
      </c>
      <c r="AW33" s="4">
        <f>34+1</f>
        <v>35</v>
      </c>
      <c r="AX33" s="31" t="s">
        <v>11</v>
      </c>
      <c r="AY33" s="4"/>
      <c r="AZ33" s="31"/>
      <c r="BA33" s="4">
        <v>4</v>
      </c>
      <c r="BB33" s="4">
        <v>24.7</v>
      </c>
      <c r="BC33" s="4">
        <v>10.6</v>
      </c>
      <c r="BD33" s="4">
        <v>46.4</v>
      </c>
      <c r="BE33" s="4">
        <v>192.3</v>
      </c>
      <c r="BF33" s="4">
        <v>470.1</v>
      </c>
      <c r="BG33" s="12">
        <v>0</v>
      </c>
      <c r="BH33" s="71">
        <f>SUM(AV33:BG33)</f>
        <v>783.1</v>
      </c>
      <c r="BI33" s="36">
        <v>64</v>
      </c>
      <c r="BJ33" s="15">
        <f>111.9-BI33</f>
        <v>47.900000000000006</v>
      </c>
      <c r="BK33" s="15">
        <f>165.4-BI33-BJ33</f>
        <v>53.5</v>
      </c>
      <c r="BL33" s="15">
        <f>246.6-BJ33-BK33-BI33</f>
        <v>81.19999999999999</v>
      </c>
      <c r="BM33" s="15">
        <f>423.1-BK33-BL33-BJ33-BI33</f>
        <v>176.50000000000003</v>
      </c>
      <c r="BN33" s="15">
        <f>476.9-BL33-BM33-BK33-BJ33-BI33</f>
        <v>53.799999999999955</v>
      </c>
      <c r="BO33" s="15">
        <v>323</v>
      </c>
      <c r="BP33" s="15">
        <v>3604</v>
      </c>
      <c r="BQ33" s="15">
        <v>52</v>
      </c>
      <c r="BR33" s="15">
        <v>46</v>
      </c>
      <c r="BS33" s="15">
        <v>393</v>
      </c>
      <c r="BT33" s="15">
        <f t="shared" si="27"/>
        <v>113.10000000000005</v>
      </c>
      <c r="BU33" s="73">
        <f t="shared" si="28"/>
        <v>5008</v>
      </c>
      <c r="BV33" s="72">
        <v>21</v>
      </c>
      <c r="BW33" s="42">
        <v>165</v>
      </c>
      <c r="BX33" s="72">
        <v>246.6</v>
      </c>
      <c r="BY33" s="71">
        <v>423.1</v>
      </c>
      <c r="BZ33" s="71">
        <v>476.9</v>
      </c>
      <c r="CA33" s="71">
        <v>797.8</v>
      </c>
      <c r="CB33" s="71">
        <v>4404</v>
      </c>
      <c r="CC33" s="42">
        <v>4456.3</v>
      </c>
      <c r="CD33" s="42">
        <v>4501.6</v>
      </c>
      <c r="CE33" s="43">
        <v>4895</v>
      </c>
      <c r="CF33" s="43">
        <v>5008</v>
      </c>
      <c r="CG33" s="43">
        <v>750</v>
      </c>
      <c r="CH33" s="119">
        <v>360.8</v>
      </c>
      <c r="CI33" s="124">
        <v>2833.9</v>
      </c>
      <c r="CJ33" s="71">
        <v>2083.042</v>
      </c>
      <c r="CK33" s="71">
        <v>2282.507</v>
      </c>
      <c r="CL33" s="122">
        <v>2978.658</v>
      </c>
      <c r="CM33" s="122">
        <v>1294.2930000000001</v>
      </c>
      <c r="CN33" s="122">
        <v>422.28999999999996</v>
      </c>
      <c r="CO33" s="122">
        <v>419.7860000000146</v>
      </c>
      <c r="CP33" s="122">
        <v>7653.145999999999</v>
      </c>
      <c r="CQ33" s="122">
        <v>311.8</v>
      </c>
      <c r="CR33" s="122">
        <v>326.7</v>
      </c>
      <c r="CS33" s="122">
        <v>352</v>
      </c>
      <c r="CT33" s="122">
        <v>353</v>
      </c>
      <c r="CU33" s="122">
        <v>357</v>
      </c>
      <c r="CV33" s="122">
        <v>402</v>
      </c>
      <c r="CW33" s="122">
        <f>465</f>
        <v>465</v>
      </c>
      <c r="CX33" s="122">
        <f>1041.8-481</f>
        <v>560.8</v>
      </c>
      <c r="CY33" s="122">
        <f>633</f>
        <v>633</v>
      </c>
      <c r="CZ33" s="122">
        <f>734</f>
        <v>734</v>
      </c>
      <c r="DA33" s="122">
        <v>746.6</v>
      </c>
      <c r="DB33" s="122">
        <v>750</v>
      </c>
      <c r="DC33" s="122">
        <v>15</v>
      </c>
      <c r="DD33" s="122">
        <v>87.3</v>
      </c>
      <c r="DE33" s="122">
        <v>90</v>
      </c>
      <c r="DF33" s="122">
        <v>105.1</v>
      </c>
      <c r="DG33" s="122">
        <v>110.9</v>
      </c>
      <c r="DH33" s="122">
        <v>183.7</v>
      </c>
      <c r="DI33" s="122">
        <v>193</v>
      </c>
      <c r="DJ33" s="122">
        <v>198.4</v>
      </c>
      <c r="DK33" s="122">
        <v>256</v>
      </c>
      <c r="DL33" s="122">
        <v>260.6</v>
      </c>
      <c r="DM33" s="122">
        <v>283</v>
      </c>
      <c r="DN33" s="122">
        <v>360.8</v>
      </c>
      <c r="DO33" s="122">
        <v>74.1</v>
      </c>
      <c r="DP33" s="122">
        <v>146</v>
      </c>
      <c r="DQ33" s="122">
        <v>264.4</v>
      </c>
      <c r="DR33" s="122">
        <v>427.7</v>
      </c>
      <c r="DS33" s="122">
        <v>473</v>
      </c>
      <c r="DT33" s="122">
        <v>652.9</v>
      </c>
      <c r="DU33" s="122">
        <v>1002.2</v>
      </c>
      <c r="DV33" s="122">
        <v>1030.8</v>
      </c>
      <c r="DW33" s="122">
        <v>1142.8</v>
      </c>
      <c r="DX33" s="122">
        <v>1207.9</v>
      </c>
      <c r="DY33" s="122">
        <v>1207.9</v>
      </c>
      <c r="DZ33" s="122">
        <v>1626</v>
      </c>
      <c r="EA33" s="122">
        <f>DY33+DZ33</f>
        <v>2833.9</v>
      </c>
      <c r="EB33" s="122">
        <v>182</v>
      </c>
      <c r="EC33" s="122">
        <v>55</v>
      </c>
      <c r="ED33" s="122">
        <f>4+26</f>
        <v>30</v>
      </c>
      <c r="EE33" s="122">
        <f>9</f>
        <v>9</v>
      </c>
      <c r="EF33" s="122">
        <f>'[1]Feuil2'!$D$39</f>
        <v>87.675</v>
      </c>
      <c r="EG33" s="122">
        <v>0</v>
      </c>
      <c r="EH33" s="122">
        <f>278+1</f>
        <v>279</v>
      </c>
      <c r="EI33" s="122">
        <f>10.6+23.9+244</f>
        <v>278.5</v>
      </c>
      <c r="EJ33" s="122">
        <v>210.542</v>
      </c>
      <c r="EK33" s="122">
        <v>886.3870000000001</v>
      </c>
      <c r="EL33" s="122">
        <f>0.238+33.7</f>
        <v>33.938</v>
      </c>
      <c r="EM33" s="122">
        <f>10+21</f>
        <v>31</v>
      </c>
      <c r="EN33" s="122">
        <f>SUM(EB33:EM33)</f>
        <v>2083.042</v>
      </c>
      <c r="EO33" s="122">
        <v>0.2</v>
      </c>
      <c r="EP33" s="122">
        <f>50</f>
        <v>50</v>
      </c>
      <c r="EQ33" s="122">
        <f>4+20+102+14</f>
        <v>140</v>
      </c>
      <c r="ER33" s="122">
        <v>70.556</v>
      </c>
      <c r="ES33" s="122">
        <f>45.4+10.5</f>
        <v>55.9</v>
      </c>
      <c r="ET33" s="122">
        <f>2.1+17.2</f>
        <v>19.3</v>
      </c>
      <c r="EU33" s="122">
        <f>41.1+422.6</f>
        <v>463.70000000000005</v>
      </c>
      <c r="EV33" s="122">
        <f>1.13+32.57</f>
        <v>33.7</v>
      </c>
      <c r="EW33" s="122">
        <v>646.1700000000001</v>
      </c>
      <c r="EX33" s="122">
        <v>3.481</v>
      </c>
      <c r="EY33" s="122">
        <f>724.9+22.8</f>
        <v>747.6999999999999</v>
      </c>
      <c r="EZ33" s="122">
        <f>2+49.8</f>
        <v>51.8</v>
      </c>
      <c r="FA33" s="122">
        <f t="shared" si="31"/>
        <v>2282.507</v>
      </c>
      <c r="FB33" s="122">
        <v>6.502</v>
      </c>
      <c r="FC33" s="122">
        <v>25.639</v>
      </c>
      <c r="FD33" s="122">
        <f>'[4]IV5-IV6'!$D$11+'[4]IV5-IV6'!$D$22+'[4]IV5-IV6'!$D$52</f>
        <v>458.504</v>
      </c>
      <c r="FE33" s="122">
        <f>0.7+0.72+17.01</f>
        <v>18.43</v>
      </c>
      <c r="FF33" s="122">
        <f>0.1+3.486+3.1+11.8+945.9</f>
        <v>964.386</v>
      </c>
      <c r="FG33" s="122">
        <v>35.2</v>
      </c>
      <c r="FH33" s="122">
        <v>562.561</v>
      </c>
      <c r="FI33" s="122">
        <v>63.577999999999996</v>
      </c>
      <c r="FJ33" s="122">
        <f>0.2+39</f>
        <v>39.2</v>
      </c>
      <c r="FK33" s="122">
        <v>12.324</v>
      </c>
      <c r="FL33" s="122">
        <v>728.636</v>
      </c>
      <c r="FM33" s="122">
        <v>63.698</v>
      </c>
      <c r="FN33" s="122">
        <f t="shared" si="32"/>
        <v>2978.658</v>
      </c>
      <c r="FO33" s="122">
        <v>27.248</v>
      </c>
      <c r="FP33" s="122">
        <v>550.059</v>
      </c>
      <c r="FQ33" s="122">
        <v>4.5</v>
      </c>
      <c r="FR33" s="122">
        <f>'[5]IV5-IV6'!$C$46+'[5]IV5-IV6'!$C$48+'[5]IV5-IV6'!$C$49+'[5]IV5-IV6'!$C$52+'[5]IV5-IV6'!$C$57+'[5]IV5-IV6'!$C$58</f>
        <v>119.422</v>
      </c>
      <c r="FS33" s="122">
        <v>335.249</v>
      </c>
      <c r="FT33" s="122">
        <v>13.9</v>
      </c>
      <c r="FU33" s="122">
        <v>52.21300000000001</v>
      </c>
      <c r="FV33" s="122">
        <v>36.861000000000004</v>
      </c>
      <c r="FW33" s="122">
        <v>32.599000000000004</v>
      </c>
      <c r="FX33" s="122">
        <v>10.7</v>
      </c>
      <c r="FY33" s="122">
        <f>105.342+5.2</f>
        <v>110.542</v>
      </c>
      <c r="FZ33" s="122">
        <v>1</v>
      </c>
      <c r="GA33" s="122">
        <f t="shared" si="33"/>
        <v>1294.2930000000001</v>
      </c>
      <c r="GB33" s="122">
        <v>24.81</v>
      </c>
      <c r="GC33" s="122">
        <v>44.502</v>
      </c>
      <c r="GD33" s="122">
        <v>50.161</v>
      </c>
      <c r="GE33" s="122">
        <v>44.422999999999995</v>
      </c>
      <c r="GF33" s="122">
        <v>13.55</v>
      </c>
      <c r="GG33" s="122">
        <v>20.694</v>
      </c>
      <c r="GH33" s="122">
        <v>26.224</v>
      </c>
      <c r="GI33" s="122">
        <v>58.38300000000001</v>
      </c>
      <c r="GJ33" s="122">
        <v>40.92499999999999</v>
      </c>
      <c r="GK33" s="122">
        <v>12.091</v>
      </c>
      <c r="GL33" s="122">
        <v>84.948</v>
      </c>
      <c r="GM33" s="122">
        <v>1.579</v>
      </c>
      <c r="GN33" s="122">
        <f t="shared" si="34"/>
        <v>422.28999999999996</v>
      </c>
      <c r="GO33" s="122">
        <v>6.0329999999999995</v>
      </c>
      <c r="GP33" s="122">
        <v>75.143</v>
      </c>
      <c r="GQ33" s="122">
        <v>6.846</v>
      </c>
      <c r="GR33" s="122">
        <v>43.599</v>
      </c>
      <c r="GS33" s="122">
        <v>30.662000000000003</v>
      </c>
      <c r="GT33" s="122">
        <v>72.382</v>
      </c>
      <c r="GU33" s="122">
        <v>53.254999999999995</v>
      </c>
      <c r="GV33" s="122">
        <v>4.3069999999999995</v>
      </c>
      <c r="GW33" s="122">
        <v>29.934</v>
      </c>
      <c r="GX33" s="122">
        <v>5.142</v>
      </c>
      <c r="GY33" s="122">
        <v>41.353</v>
      </c>
      <c r="GZ33" s="122">
        <v>70.01599999999999</v>
      </c>
      <c r="HA33" s="122">
        <v>26.14</v>
      </c>
      <c r="HB33" s="122">
        <v>42.347</v>
      </c>
      <c r="HC33" s="122">
        <v>45.866</v>
      </c>
      <c r="HD33" s="122">
        <v>12.187</v>
      </c>
      <c r="HE33" s="122">
        <v>49.124</v>
      </c>
      <c r="HF33" s="122">
        <v>5939.803</v>
      </c>
      <c r="HG33" s="122">
        <v>105.633</v>
      </c>
      <c r="HH33" s="122">
        <v>974.378</v>
      </c>
      <c r="HI33" s="122">
        <v>416.44</v>
      </c>
      <c r="HJ33" s="122">
        <v>39.283</v>
      </c>
      <c r="HK33" s="122">
        <v>1.0270000000000001</v>
      </c>
      <c r="HL33" s="122">
        <v>0.918</v>
      </c>
      <c r="HM33" s="98">
        <v>12.224</v>
      </c>
      <c r="HN33" s="98">
        <v>25.835</v>
      </c>
      <c r="HO33" s="98">
        <v>556.794</v>
      </c>
      <c r="HP33" s="122">
        <v>58.973</v>
      </c>
      <c r="HQ33" s="98">
        <v>21.769</v>
      </c>
      <c r="HR33" s="122">
        <v>200.10899999999998</v>
      </c>
      <c r="HS33" s="122">
        <v>19.561999999999998</v>
      </c>
      <c r="HT33" s="122">
        <v>13.274</v>
      </c>
      <c r="HU33" s="122"/>
      <c r="HV33" s="122"/>
      <c r="HW33" s="122"/>
      <c r="HX33" s="122"/>
      <c r="HY33" s="122">
        <f t="shared" si="35"/>
        <v>7195.477999999999</v>
      </c>
      <c r="HZ33" s="122">
        <f t="shared" si="36"/>
        <v>908.54</v>
      </c>
    </row>
    <row r="34" spans="2:234" ht="14.25" customHeight="1">
      <c r="B34" s="106"/>
      <c r="C34" s="71"/>
      <c r="D34" s="42"/>
      <c r="E34" s="72"/>
      <c r="F34" s="42"/>
      <c r="G34" s="42"/>
      <c r="H34" s="42"/>
      <c r="I34" s="43"/>
      <c r="J34" s="4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42"/>
      <c r="V34" s="56"/>
      <c r="W34" s="43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71"/>
      <c r="AI34" s="43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36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3"/>
      <c r="BU34" s="73"/>
      <c r="BV34" s="71"/>
      <c r="BW34" s="71"/>
      <c r="BX34" s="71"/>
      <c r="BY34" s="71"/>
      <c r="BZ34" s="71"/>
      <c r="CA34" s="71"/>
      <c r="CB34" s="71"/>
      <c r="CC34" s="71"/>
      <c r="CD34" s="71"/>
      <c r="CE34" s="43"/>
      <c r="CF34" s="43"/>
      <c r="CG34" s="43"/>
      <c r="CH34" s="72"/>
      <c r="CI34" s="42"/>
      <c r="CJ34" s="124"/>
      <c r="CK34" s="124"/>
      <c r="CL34" s="124"/>
      <c r="CM34" s="125"/>
      <c r="CN34" s="125"/>
      <c r="CO34" s="125"/>
      <c r="CP34" s="125"/>
      <c r="CQ34" s="125"/>
      <c r="CR34" s="124"/>
      <c r="CS34" s="124"/>
      <c r="CT34" s="124"/>
      <c r="CU34" s="124"/>
      <c r="CV34" s="125"/>
      <c r="CW34" s="124"/>
      <c r="CX34" s="124"/>
      <c r="CY34" s="124"/>
      <c r="CZ34" s="124"/>
      <c r="DA34" s="124"/>
      <c r="DB34" s="124"/>
      <c r="DC34" s="124"/>
      <c r="DD34" s="124"/>
      <c r="DE34" s="124"/>
      <c r="DF34" s="125"/>
      <c r="DG34" s="124"/>
      <c r="DH34" s="125"/>
      <c r="DI34" s="124"/>
      <c r="DJ34" s="125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5"/>
      <c r="ED34" s="125"/>
      <c r="EE34" s="125"/>
      <c r="EF34" s="125"/>
      <c r="EG34" s="125"/>
      <c r="EH34" s="125"/>
      <c r="EI34" s="125"/>
      <c r="EJ34" s="124"/>
      <c r="EK34" s="124"/>
      <c r="EL34" s="125"/>
      <c r="EM34" s="125"/>
      <c r="EN34" s="136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3"/>
      <c r="FC34" s="123"/>
      <c r="FD34" s="123"/>
      <c r="FE34" s="123"/>
      <c r="FF34" s="128"/>
      <c r="FG34" s="123"/>
      <c r="FH34" s="123"/>
      <c r="FI34" s="123"/>
      <c r="FJ34" s="123"/>
      <c r="FK34" s="123"/>
      <c r="FL34" s="123"/>
      <c r="FM34" s="123"/>
      <c r="FN34" s="123"/>
      <c r="FO34" s="129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98"/>
      <c r="HR34" s="123"/>
      <c r="HS34" s="123"/>
      <c r="HT34" s="123"/>
      <c r="HU34" s="123"/>
      <c r="HV34" s="123"/>
      <c r="HW34" s="123"/>
      <c r="HX34" s="123"/>
      <c r="HY34" s="124"/>
      <c r="HZ34" s="124"/>
    </row>
    <row r="35" spans="2:234" ht="15.75">
      <c r="B35" s="111" t="s">
        <v>108</v>
      </c>
      <c r="C35" s="58">
        <f aca="true" t="shared" si="37" ref="C35:BA35">SUM(C37:C41)</f>
        <v>6853</v>
      </c>
      <c r="D35" s="58">
        <v>2812</v>
      </c>
      <c r="E35" s="60">
        <f>SUM(E37:E41)</f>
        <v>3396</v>
      </c>
      <c r="F35" s="58">
        <v>1457</v>
      </c>
      <c r="G35" s="58">
        <v>2865.2</v>
      </c>
      <c r="H35" s="58">
        <v>3590.6</v>
      </c>
      <c r="I35" s="59">
        <f t="shared" si="37"/>
        <v>461</v>
      </c>
      <c r="J35" s="58">
        <f t="shared" si="37"/>
        <v>49</v>
      </c>
      <c r="K35" s="58">
        <f t="shared" si="37"/>
        <v>74</v>
      </c>
      <c r="L35" s="58">
        <f t="shared" si="37"/>
        <v>150</v>
      </c>
      <c r="M35" s="58">
        <f t="shared" si="37"/>
        <v>6</v>
      </c>
      <c r="N35" s="58">
        <f t="shared" si="37"/>
        <v>428</v>
      </c>
      <c r="O35" s="58">
        <f t="shared" si="37"/>
        <v>175</v>
      </c>
      <c r="P35" s="58">
        <f t="shared" si="37"/>
        <v>215</v>
      </c>
      <c r="Q35" s="58">
        <f t="shared" si="37"/>
        <v>33</v>
      </c>
      <c r="R35" s="58">
        <f t="shared" si="37"/>
        <v>714</v>
      </c>
      <c r="S35" s="58">
        <f t="shared" si="37"/>
        <v>243</v>
      </c>
      <c r="T35" s="58">
        <f t="shared" si="37"/>
        <v>228</v>
      </c>
      <c r="U35" s="58">
        <f t="shared" si="37"/>
        <v>2812</v>
      </c>
      <c r="V35" s="58">
        <f t="shared" si="37"/>
        <v>298</v>
      </c>
      <c r="W35" s="58">
        <f t="shared" si="37"/>
        <v>11</v>
      </c>
      <c r="X35" s="58">
        <f t="shared" si="37"/>
        <v>262</v>
      </c>
      <c r="Y35" s="58">
        <f t="shared" si="37"/>
        <v>1279</v>
      </c>
      <c r="Z35" s="58">
        <f t="shared" si="37"/>
        <v>262</v>
      </c>
      <c r="AA35" s="58">
        <f t="shared" si="37"/>
        <v>237</v>
      </c>
      <c r="AB35" s="58">
        <f t="shared" si="37"/>
        <v>67</v>
      </c>
      <c r="AC35" s="58">
        <f t="shared" si="37"/>
        <v>2</v>
      </c>
      <c r="AD35" s="58">
        <f t="shared" si="37"/>
        <v>658</v>
      </c>
      <c r="AE35" s="58">
        <f t="shared" si="37"/>
        <v>88</v>
      </c>
      <c r="AF35" s="58">
        <f t="shared" si="37"/>
        <v>128</v>
      </c>
      <c r="AG35" s="58">
        <f t="shared" si="37"/>
        <v>104</v>
      </c>
      <c r="AH35" s="58">
        <f t="shared" si="37"/>
        <v>3396</v>
      </c>
      <c r="AI35" s="58">
        <f t="shared" si="37"/>
        <v>275</v>
      </c>
      <c r="AJ35" s="58">
        <f t="shared" si="37"/>
        <v>190</v>
      </c>
      <c r="AK35" s="58">
        <f t="shared" si="37"/>
        <v>52</v>
      </c>
      <c r="AL35" s="58">
        <f t="shared" si="37"/>
        <v>93</v>
      </c>
      <c r="AM35" s="58">
        <f t="shared" si="37"/>
        <v>114</v>
      </c>
      <c r="AN35" s="58">
        <f t="shared" si="37"/>
        <v>72</v>
      </c>
      <c r="AO35" s="58">
        <f t="shared" si="37"/>
        <v>251</v>
      </c>
      <c r="AP35" s="58">
        <f t="shared" si="37"/>
        <v>108</v>
      </c>
      <c r="AQ35" s="58">
        <f t="shared" si="37"/>
        <v>127</v>
      </c>
      <c r="AR35" s="58">
        <f t="shared" si="37"/>
        <v>161</v>
      </c>
      <c r="AS35" s="58">
        <f t="shared" si="37"/>
        <v>8</v>
      </c>
      <c r="AT35" s="58">
        <f t="shared" si="37"/>
        <v>6</v>
      </c>
      <c r="AU35" s="58">
        <f t="shared" si="37"/>
        <v>1457</v>
      </c>
      <c r="AV35" s="58">
        <f t="shared" si="37"/>
        <v>79</v>
      </c>
      <c r="AW35" s="58">
        <f t="shared" si="37"/>
        <v>71</v>
      </c>
      <c r="AX35" s="58">
        <f t="shared" si="37"/>
        <v>52</v>
      </c>
      <c r="AY35" s="58">
        <f t="shared" si="37"/>
        <v>250</v>
      </c>
      <c r="AZ35" s="58">
        <f t="shared" si="37"/>
        <v>131</v>
      </c>
      <c r="BA35" s="58">
        <f t="shared" si="37"/>
        <v>396</v>
      </c>
      <c r="BB35" s="58">
        <f aca="true" t="shared" si="38" ref="BB35:CF35">SUM(BB37:BB41)</f>
        <v>165.2</v>
      </c>
      <c r="BC35" s="58">
        <f t="shared" si="38"/>
        <v>758.3</v>
      </c>
      <c r="BD35" s="58">
        <f t="shared" si="38"/>
        <v>335.7</v>
      </c>
      <c r="BE35" s="58">
        <f t="shared" si="38"/>
        <v>119.6</v>
      </c>
      <c r="BF35" s="58">
        <f t="shared" si="38"/>
        <v>270.4</v>
      </c>
      <c r="BG35" s="58">
        <f t="shared" si="38"/>
        <v>237</v>
      </c>
      <c r="BH35" s="58">
        <f t="shared" si="38"/>
        <v>2865.2</v>
      </c>
      <c r="BI35" s="58">
        <f>SUM(BI37:BI41)</f>
        <v>151</v>
      </c>
      <c r="BJ35" s="58">
        <f>SUM(BJ37:BJ41)</f>
        <v>239.2</v>
      </c>
      <c r="BK35" s="58">
        <f>SUM(BK37:BK41)</f>
        <v>247.9</v>
      </c>
      <c r="BL35" s="58">
        <f>SUM(BL37:BL41)</f>
        <v>37.09999999999999</v>
      </c>
      <c r="BM35" s="58">
        <f>SUM(BM37:BM41)-2</f>
        <v>602</v>
      </c>
      <c r="BN35" s="58">
        <f>SUM(BN37:BN41)-1</f>
        <v>182</v>
      </c>
      <c r="BO35" s="58">
        <f aca="true" t="shared" si="39" ref="BO35:BT35">SUM(BO37:BO41)</f>
        <v>1465.7</v>
      </c>
      <c r="BP35" s="58">
        <f t="shared" si="39"/>
        <v>71</v>
      </c>
      <c r="BQ35" s="58">
        <f t="shared" si="39"/>
        <v>63</v>
      </c>
      <c r="BR35" s="58">
        <f t="shared" si="39"/>
        <v>81</v>
      </c>
      <c r="BS35" s="58">
        <f t="shared" si="39"/>
        <v>238</v>
      </c>
      <c r="BT35" s="60">
        <f t="shared" si="39"/>
        <v>213</v>
      </c>
      <c r="BU35" s="60">
        <f>SUM(BI35:BT35)</f>
        <v>3590.9</v>
      </c>
      <c r="BV35" s="58">
        <f>SUM(BV37:BV41)</f>
        <v>480.8</v>
      </c>
      <c r="BW35" s="58">
        <f t="shared" si="38"/>
        <v>638.3</v>
      </c>
      <c r="BX35" s="58">
        <f t="shared" si="38"/>
        <v>675.3000000000001</v>
      </c>
      <c r="BY35" s="58">
        <f t="shared" si="38"/>
        <v>1273.3</v>
      </c>
      <c r="BZ35" s="58">
        <f t="shared" si="38"/>
        <v>1459.7999999999997</v>
      </c>
      <c r="CA35" s="58">
        <f t="shared" si="38"/>
        <v>2925.8</v>
      </c>
      <c r="CB35" s="58">
        <f t="shared" si="38"/>
        <v>2995.7</v>
      </c>
      <c r="CC35" s="58">
        <f t="shared" si="38"/>
        <v>3059.1000000000004</v>
      </c>
      <c r="CD35" s="58">
        <f t="shared" si="38"/>
        <v>2911.5</v>
      </c>
      <c r="CE35" s="58">
        <f t="shared" si="38"/>
        <v>3377.7</v>
      </c>
      <c r="CF35" s="58">
        <f t="shared" si="38"/>
        <v>3591.1000000000004</v>
      </c>
      <c r="CG35" s="58">
        <v>2391.6</v>
      </c>
      <c r="CH35" s="60">
        <f>SUM(CH37:CH41)</f>
        <v>870.1000000000001</v>
      </c>
      <c r="CI35" s="58">
        <f aca="true" t="shared" si="40" ref="CI35:EW35">SUM(CI37:CI41)</f>
        <v>2123.2</v>
      </c>
      <c r="CJ35" s="141">
        <f t="shared" si="40"/>
        <v>4858.392</v>
      </c>
      <c r="CK35" s="141">
        <f t="shared" si="40"/>
        <v>10470.394</v>
      </c>
      <c r="CL35" s="145">
        <f t="shared" si="40"/>
        <v>22486.663</v>
      </c>
      <c r="CM35" s="145">
        <f t="shared" si="40"/>
        <v>31199.520999999997</v>
      </c>
      <c r="CN35" s="145">
        <f t="shared" si="40"/>
        <v>59759.92</v>
      </c>
      <c r="CO35" s="145">
        <f t="shared" si="40"/>
        <v>28331.462000000003</v>
      </c>
      <c r="CP35" s="145">
        <f t="shared" si="40"/>
        <v>24189.069</v>
      </c>
      <c r="CQ35" s="145">
        <f t="shared" si="40"/>
        <v>172.5</v>
      </c>
      <c r="CR35" s="145">
        <f t="shared" si="40"/>
        <v>764</v>
      </c>
      <c r="CS35" s="145">
        <f t="shared" si="40"/>
        <v>2030.6</v>
      </c>
      <c r="CT35" s="145">
        <f t="shared" si="40"/>
        <v>2080</v>
      </c>
      <c r="CU35" s="145">
        <f t="shared" si="40"/>
        <v>2123</v>
      </c>
      <c r="CV35" s="145">
        <f t="shared" si="40"/>
        <v>2200.7</v>
      </c>
      <c r="CW35" s="145">
        <f t="shared" si="40"/>
        <v>2329.2</v>
      </c>
      <c r="CX35" s="145">
        <f t="shared" si="40"/>
        <v>2460.8</v>
      </c>
      <c r="CY35" s="145">
        <f t="shared" si="40"/>
        <v>2594.3</v>
      </c>
      <c r="CZ35" s="145">
        <f t="shared" si="40"/>
        <v>2352</v>
      </c>
      <c r="DA35" s="145">
        <f t="shared" si="40"/>
        <v>2376.1000000000004</v>
      </c>
      <c r="DB35" s="145">
        <f t="shared" si="40"/>
        <v>2391.6000000000004</v>
      </c>
      <c r="DC35" s="145">
        <f t="shared" si="40"/>
        <v>429.6</v>
      </c>
      <c r="DD35" s="145">
        <f t="shared" si="40"/>
        <v>464.3</v>
      </c>
      <c r="DE35" s="145">
        <f t="shared" si="40"/>
        <v>474.70000000000005</v>
      </c>
      <c r="DF35" s="145">
        <f t="shared" si="40"/>
        <v>549</v>
      </c>
      <c r="DG35" s="145">
        <f t="shared" si="40"/>
        <v>618.9000000000001</v>
      </c>
      <c r="DH35" s="145">
        <f t="shared" si="40"/>
        <v>732.8000000000001</v>
      </c>
      <c r="DI35" s="145">
        <f t="shared" si="40"/>
        <v>741</v>
      </c>
      <c r="DJ35" s="145">
        <f t="shared" si="40"/>
        <v>779.3</v>
      </c>
      <c r="DK35" s="145">
        <f t="shared" si="40"/>
        <v>820.2</v>
      </c>
      <c r="DL35" s="145">
        <f t="shared" si="40"/>
        <v>824.1000000000001</v>
      </c>
      <c r="DM35" s="145">
        <f t="shared" si="40"/>
        <v>859.1000000000001</v>
      </c>
      <c r="DN35" s="145">
        <f t="shared" si="40"/>
        <v>870.1000000000001</v>
      </c>
      <c r="DO35" s="145">
        <f t="shared" si="40"/>
        <v>24.4</v>
      </c>
      <c r="DP35" s="145">
        <f t="shared" si="40"/>
        <v>459.4</v>
      </c>
      <c r="DQ35" s="145">
        <f t="shared" si="40"/>
        <v>617.5</v>
      </c>
      <c r="DR35" s="145">
        <f t="shared" si="40"/>
        <v>826.7</v>
      </c>
      <c r="DS35" s="145">
        <f t="shared" si="40"/>
        <v>932.8</v>
      </c>
      <c r="DT35" s="145">
        <f t="shared" si="40"/>
        <v>959.2</v>
      </c>
      <c r="DU35" s="145">
        <f t="shared" si="40"/>
        <v>1212.2000000000003</v>
      </c>
      <c r="DV35" s="145">
        <f t="shared" si="40"/>
        <v>1239.9</v>
      </c>
      <c r="DW35" s="145">
        <f t="shared" si="40"/>
        <v>1302</v>
      </c>
      <c r="DX35" s="145">
        <f t="shared" si="40"/>
        <v>1318.2</v>
      </c>
      <c r="DY35" s="145">
        <f t="shared" si="40"/>
        <v>1552.2</v>
      </c>
      <c r="DZ35" s="145">
        <f t="shared" si="40"/>
        <v>571</v>
      </c>
      <c r="EA35" s="145">
        <f t="shared" si="40"/>
        <v>2123.2</v>
      </c>
      <c r="EB35" s="145">
        <f t="shared" si="40"/>
        <v>316</v>
      </c>
      <c r="EC35" s="145">
        <f t="shared" si="40"/>
        <v>68</v>
      </c>
      <c r="ED35" s="145">
        <f t="shared" si="40"/>
        <v>150</v>
      </c>
      <c r="EE35" s="145">
        <f t="shared" si="40"/>
        <v>1141</v>
      </c>
      <c r="EF35" s="145">
        <f t="shared" si="40"/>
        <v>31.664</v>
      </c>
      <c r="EG35" s="145">
        <f t="shared" si="40"/>
        <v>253.18300000000002</v>
      </c>
      <c r="EH35" s="145">
        <f t="shared" si="40"/>
        <v>59</v>
      </c>
      <c r="EI35" s="145">
        <f t="shared" si="40"/>
        <v>67.4</v>
      </c>
      <c r="EJ35" s="145">
        <f t="shared" si="40"/>
        <v>149.69299999999998</v>
      </c>
      <c r="EK35" s="145">
        <f t="shared" si="40"/>
        <v>56.192</v>
      </c>
      <c r="EL35" s="145">
        <f t="shared" si="40"/>
        <v>1570</v>
      </c>
      <c r="EM35" s="145">
        <f t="shared" si="40"/>
        <v>996.26</v>
      </c>
      <c r="EN35" s="145">
        <f t="shared" si="40"/>
        <v>4858.392</v>
      </c>
      <c r="EO35" s="145">
        <f t="shared" si="40"/>
        <v>269</v>
      </c>
      <c r="EP35" s="145">
        <f t="shared" si="40"/>
        <v>852</v>
      </c>
      <c r="EQ35" s="145">
        <f t="shared" si="40"/>
        <v>1043</v>
      </c>
      <c r="ER35" s="145">
        <f t="shared" si="40"/>
        <v>401.461</v>
      </c>
      <c r="ES35" s="145">
        <f t="shared" si="40"/>
        <v>793</v>
      </c>
      <c r="ET35" s="145">
        <f t="shared" si="40"/>
        <v>1389</v>
      </c>
      <c r="EU35" s="145">
        <f t="shared" si="40"/>
        <v>527.4</v>
      </c>
      <c r="EV35" s="145">
        <f t="shared" si="40"/>
        <v>2004.29</v>
      </c>
      <c r="EW35" s="145">
        <f t="shared" si="40"/>
        <v>750.313</v>
      </c>
      <c r="EX35" s="145">
        <f aca="true" t="shared" si="41" ref="EX35:HY35">SUM(EX37:EX41)</f>
        <v>293.43</v>
      </c>
      <c r="EY35" s="145">
        <f t="shared" si="41"/>
        <v>672.8</v>
      </c>
      <c r="EZ35" s="145">
        <f t="shared" si="41"/>
        <v>1474.7</v>
      </c>
      <c r="FA35" s="145">
        <f t="shared" si="41"/>
        <v>10470.394</v>
      </c>
      <c r="FB35" s="145">
        <f t="shared" si="41"/>
        <v>2534.672</v>
      </c>
      <c r="FC35" s="145">
        <f t="shared" si="41"/>
        <v>860.81</v>
      </c>
      <c r="FD35" s="145">
        <f t="shared" si="41"/>
        <v>709.692</v>
      </c>
      <c r="FE35" s="145">
        <f t="shared" si="41"/>
        <v>1627.8200000000002</v>
      </c>
      <c r="FF35" s="145">
        <f t="shared" si="41"/>
        <v>4083.848</v>
      </c>
      <c r="FG35" s="145">
        <f t="shared" si="41"/>
        <v>2244.4</v>
      </c>
      <c r="FH35" s="145">
        <f t="shared" si="41"/>
        <v>884.37</v>
      </c>
      <c r="FI35" s="145">
        <f t="shared" si="41"/>
        <v>745.874</v>
      </c>
      <c r="FJ35" s="145">
        <f t="shared" si="41"/>
        <v>2654.7</v>
      </c>
      <c r="FK35" s="145">
        <f t="shared" si="41"/>
        <v>1796.9699999999998</v>
      </c>
      <c r="FL35" s="145">
        <f t="shared" si="41"/>
        <v>1278.874</v>
      </c>
      <c r="FM35" s="145">
        <f t="shared" si="41"/>
        <v>3064.6330000000003</v>
      </c>
      <c r="FN35" s="145">
        <f t="shared" si="41"/>
        <v>22486.663</v>
      </c>
      <c r="FO35" s="145">
        <f t="shared" si="41"/>
        <v>4498.497</v>
      </c>
      <c r="FP35" s="145">
        <f t="shared" si="41"/>
        <v>5357.409</v>
      </c>
      <c r="FQ35" s="145">
        <f t="shared" si="41"/>
        <v>2085.099</v>
      </c>
      <c r="FR35" s="145">
        <f t="shared" si="41"/>
        <v>456.858</v>
      </c>
      <c r="FS35" s="145">
        <f t="shared" si="41"/>
        <v>31.445000000000004</v>
      </c>
      <c r="FT35" s="145">
        <f t="shared" si="41"/>
        <v>230.60000000000002</v>
      </c>
      <c r="FU35" s="145">
        <f t="shared" si="41"/>
        <v>889.9670000000001</v>
      </c>
      <c r="FV35" s="145">
        <f t="shared" si="41"/>
        <v>455.397</v>
      </c>
      <c r="FW35" s="145">
        <f t="shared" si="41"/>
        <v>2708.712</v>
      </c>
      <c r="FX35" s="145">
        <f t="shared" si="41"/>
        <v>865.2</v>
      </c>
      <c r="FY35" s="145">
        <f t="shared" si="41"/>
        <v>9746.337</v>
      </c>
      <c r="FZ35" s="145">
        <f t="shared" si="41"/>
        <v>3874</v>
      </c>
      <c r="GA35" s="145">
        <f t="shared" si="41"/>
        <v>31199.520999999997</v>
      </c>
      <c r="GB35" s="145">
        <f t="shared" si="41"/>
        <v>7607.442</v>
      </c>
      <c r="GC35" s="145">
        <f t="shared" si="41"/>
        <v>4299.525</v>
      </c>
      <c r="GD35" s="145">
        <f t="shared" si="41"/>
        <v>2315.455</v>
      </c>
      <c r="GE35" s="145">
        <f t="shared" si="41"/>
        <v>2150.293</v>
      </c>
      <c r="GF35" s="145">
        <f t="shared" si="41"/>
        <v>2151.311</v>
      </c>
      <c r="GG35" s="145">
        <f t="shared" si="41"/>
        <v>16269.575</v>
      </c>
      <c r="GH35" s="145">
        <f t="shared" si="41"/>
        <v>528.78</v>
      </c>
      <c r="GI35" s="145">
        <f t="shared" si="41"/>
        <v>3254.312</v>
      </c>
      <c r="GJ35" s="145">
        <f t="shared" si="41"/>
        <v>8131.0560000000005</v>
      </c>
      <c r="GK35" s="145">
        <f t="shared" si="41"/>
        <v>3236.66</v>
      </c>
      <c r="GL35" s="145">
        <f t="shared" si="41"/>
        <v>6439.293</v>
      </c>
      <c r="GM35" s="145">
        <f t="shared" si="41"/>
        <v>3376.344</v>
      </c>
      <c r="GN35" s="145">
        <f t="shared" si="41"/>
        <v>59760.046</v>
      </c>
      <c r="GO35" s="145">
        <f t="shared" si="41"/>
        <v>3665.639</v>
      </c>
      <c r="GP35" s="145">
        <f t="shared" si="41"/>
        <v>5586.9580000000005</v>
      </c>
      <c r="GQ35" s="145">
        <f t="shared" si="41"/>
        <v>2243.62</v>
      </c>
      <c r="GR35" s="145">
        <f t="shared" si="41"/>
        <v>5039.441</v>
      </c>
      <c r="GS35" s="145">
        <f t="shared" si="41"/>
        <v>346.74</v>
      </c>
      <c r="GT35" s="145">
        <f t="shared" si="41"/>
        <v>3278.581</v>
      </c>
      <c r="GU35" s="145">
        <f t="shared" si="41"/>
        <v>5011.790999999999</v>
      </c>
      <c r="GV35" s="145">
        <f t="shared" si="41"/>
        <v>873.2139999999999</v>
      </c>
      <c r="GW35" s="145">
        <f t="shared" si="41"/>
        <v>231.293</v>
      </c>
      <c r="GX35" s="145">
        <f t="shared" si="41"/>
        <v>4545.597</v>
      </c>
      <c r="GY35" s="145">
        <f t="shared" si="41"/>
        <v>5773.151</v>
      </c>
      <c r="GZ35" s="145">
        <f t="shared" si="41"/>
        <v>7018.713</v>
      </c>
      <c r="HA35" s="145">
        <f t="shared" si="41"/>
        <v>186.005</v>
      </c>
      <c r="HB35" s="145">
        <f t="shared" si="41"/>
        <v>823.793</v>
      </c>
      <c r="HC35" s="145">
        <f t="shared" si="41"/>
        <v>362.022</v>
      </c>
      <c r="HD35" s="145">
        <f t="shared" si="41"/>
        <v>3257.779</v>
      </c>
      <c r="HE35" s="145">
        <f t="shared" si="41"/>
        <v>1178.637</v>
      </c>
      <c r="HF35" s="145">
        <f t="shared" si="41"/>
        <v>3431.436</v>
      </c>
      <c r="HG35" s="145">
        <f t="shared" si="41"/>
        <v>2552.3379999999997</v>
      </c>
      <c r="HH35" s="145">
        <f t="shared" si="41"/>
        <v>1344.053</v>
      </c>
      <c r="HI35" s="145">
        <f t="shared" si="41"/>
        <v>2947.117</v>
      </c>
      <c r="HJ35" s="145">
        <f t="shared" si="41"/>
        <v>3632.301</v>
      </c>
      <c r="HK35" s="145">
        <f t="shared" si="41"/>
        <v>798.854</v>
      </c>
      <c r="HL35" s="145">
        <f t="shared" si="41"/>
        <v>3674.734</v>
      </c>
      <c r="HM35" s="145">
        <f t="shared" si="41"/>
        <v>1450.2559999999999</v>
      </c>
      <c r="HN35" s="145">
        <f t="shared" si="41"/>
        <v>1358.144</v>
      </c>
      <c r="HO35" s="145">
        <f t="shared" si="41"/>
        <v>3135.694</v>
      </c>
      <c r="HP35" s="145">
        <f t="shared" si="41"/>
        <v>355.26899999999995</v>
      </c>
      <c r="HQ35" s="143">
        <f t="shared" si="41"/>
        <v>4708.709</v>
      </c>
      <c r="HR35" s="145">
        <f t="shared" si="41"/>
        <v>3292.1</v>
      </c>
      <c r="HS35" s="145">
        <f t="shared" si="41"/>
        <v>3956.4500000000003</v>
      </c>
      <c r="HT35" s="145">
        <f t="shared" si="41"/>
        <v>4624.429</v>
      </c>
      <c r="HU35" s="145">
        <f t="shared" si="41"/>
        <v>0</v>
      </c>
      <c r="HV35" s="145">
        <f t="shared" si="41"/>
        <v>0</v>
      </c>
      <c r="HW35" s="145">
        <f t="shared" si="41"/>
        <v>0</v>
      </c>
      <c r="HX35" s="145">
        <f t="shared" si="41"/>
        <v>0</v>
      </c>
      <c r="HY35" s="145">
        <f t="shared" si="41"/>
        <v>13136.062999999998</v>
      </c>
      <c r="HZ35" s="145">
        <f>SUM(HZ37:IV41)</f>
        <v>22881.051</v>
      </c>
    </row>
    <row r="36" spans="2:234" ht="12" customHeight="1">
      <c r="B36" s="107"/>
      <c r="C36" s="71"/>
      <c r="D36" s="42"/>
      <c r="E36" s="72"/>
      <c r="F36" s="42"/>
      <c r="G36" s="42"/>
      <c r="H36" s="42"/>
      <c r="I36" s="43"/>
      <c r="J36" s="4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42"/>
      <c r="V36" s="56"/>
      <c r="W36" s="43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71"/>
      <c r="AI36" s="43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71"/>
      <c r="AV36" s="56"/>
      <c r="AW36" s="4"/>
      <c r="AX36" s="31"/>
      <c r="AY36" s="4"/>
      <c r="AZ36" s="31"/>
      <c r="BA36" s="4"/>
      <c r="BB36" s="4"/>
      <c r="BC36" s="4"/>
      <c r="BD36" s="4"/>
      <c r="BE36" s="4"/>
      <c r="BF36" s="12"/>
      <c r="BG36" s="12"/>
      <c r="BH36" s="71"/>
      <c r="BI36" s="36"/>
      <c r="BJ36" s="4"/>
      <c r="BK36" s="31"/>
      <c r="BL36" s="4"/>
      <c r="BM36" s="31"/>
      <c r="BN36" s="4"/>
      <c r="BO36" s="4"/>
      <c r="BP36" s="4"/>
      <c r="BQ36" s="4"/>
      <c r="BR36" s="4"/>
      <c r="BS36" s="12"/>
      <c r="BT36" s="12"/>
      <c r="BU36" s="73"/>
      <c r="BV36" s="72"/>
      <c r="BW36" s="42"/>
      <c r="BX36" s="72"/>
      <c r="BY36" s="71"/>
      <c r="BZ36" s="71"/>
      <c r="CA36" s="71"/>
      <c r="CB36" s="71"/>
      <c r="CC36" s="71"/>
      <c r="CD36" s="71"/>
      <c r="CE36" s="43"/>
      <c r="CF36" s="43"/>
      <c r="CG36" s="43"/>
      <c r="CH36" s="72"/>
      <c r="CI36" s="42"/>
      <c r="CJ36" s="124"/>
      <c r="CK36" s="124"/>
      <c r="CL36" s="124"/>
      <c r="CM36" s="125"/>
      <c r="CN36" s="125"/>
      <c r="CO36" s="125"/>
      <c r="CP36" s="125"/>
      <c r="CQ36" s="125"/>
      <c r="CR36" s="124"/>
      <c r="CS36" s="124"/>
      <c r="CT36" s="124"/>
      <c r="CU36" s="124"/>
      <c r="CV36" s="125"/>
      <c r="CW36" s="124"/>
      <c r="CX36" s="124"/>
      <c r="CY36" s="124"/>
      <c r="CZ36" s="124"/>
      <c r="DA36" s="124"/>
      <c r="DB36" s="124"/>
      <c r="DC36" s="124"/>
      <c r="DD36" s="124"/>
      <c r="DE36" s="124"/>
      <c r="DF36" s="125"/>
      <c r="DG36" s="124"/>
      <c r="DH36" s="125"/>
      <c r="DI36" s="124"/>
      <c r="DJ36" s="125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5"/>
      <c r="ED36" s="125"/>
      <c r="EE36" s="125"/>
      <c r="EF36" s="125"/>
      <c r="EG36" s="125"/>
      <c r="EH36" s="125"/>
      <c r="EI36" s="125"/>
      <c r="EJ36" s="124"/>
      <c r="EK36" s="124"/>
      <c r="EL36" s="125"/>
      <c r="EM36" s="125"/>
      <c r="EN36" s="136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3"/>
      <c r="FC36" s="123"/>
      <c r="FD36" s="123"/>
      <c r="FE36" s="123"/>
      <c r="FF36" s="128"/>
      <c r="FG36" s="123"/>
      <c r="FH36" s="123"/>
      <c r="FI36" s="123"/>
      <c r="FJ36" s="123"/>
      <c r="FK36" s="123"/>
      <c r="FL36" s="123"/>
      <c r="FM36" s="123"/>
      <c r="FN36" s="123"/>
      <c r="FO36" s="129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98"/>
      <c r="HR36" s="123"/>
      <c r="HS36" s="123"/>
      <c r="HT36" s="123"/>
      <c r="HU36" s="123"/>
      <c r="HV36" s="123"/>
      <c r="HW36" s="123"/>
      <c r="HX36" s="123"/>
      <c r="HY36" s="124"/>
      <c r="HZ36" s="124"/>
    </row>
    <row r="37" spans="2:234" ht="15.75">
      <c r="B37" s="105" t="s">
        <v>69</v>
      </c>
      <c r="C37" s="71">
        <v>180</v>
      </c>
      <c r="D37" s="42">
        <v>134</v>
      </c>
      <c r="E37" s="72">
        <v>123</v>
      </c>
      <c r="F37" s="42">
        <v>252</v>
      </c>
      <c r="G37" s="42">
        <v>153</v>
      </c>
      <c r="H37" s="42">
        <v>29</v>
      </c>
      <c r="I37" s="76">
        <v>4</v>
      </c>
      <c r="J37" s="43">
        <v>2</v>
      </c>
      <c r="K37" s="15">
        <v>57</v>
      </c>
      <c r="L37" s="15">
        <v>8</v>
      </c>
      <c r="M37" s="15" t="s">
        <v>16</v>
      </c>
      <c r="N37" s="15">
        <v>11</v>
      </c>
      <c r="O37" s="15">
        <v>4</v>
      </c>
      <c r="P37" s="15" t="s">
        <v>11</v>
      </c>
      <c r="Q37" s="15">
        <v>14</v>
      </c>
      <c r="R37" s="15" t="s">
        <v>16</v>
      </c>
      <c r="S37" s="15">
        <v>22</v>
      </c>
      <c r="T37" s="15">
        <v>12</v>
      </c>
      <c r="U37" s="42">
        <f>+I37+J37+K37+L37+M37+N37+O37+P37+Q37+R37+S37+T37</f>
        <v>134</v>
      </c>
      <c r="V37" s="56">
        <v>37</v>
      </c>
      <c r="W37" s="43">
        <v>6</v>
      </c>
      <c r="X37" s="15">
        <v>9</v>
      </c>
      <c r="Y37" s="15">
        <v>10</v>
      </c>
      <c r="Z37" s="15">
        <v>4</v>
      </c>
      <c r="AA37" s="15" t="s">
        <v>11</v>
      </c>
      <c r="AB37" s="15">
        <v>4</v>
      </c>
      <c r="AC37" s="15">
        <v>2</v>
      </c>
      <c r="AD37" s="15">
        <v>22</v>
      </c>
      <c r="AE37" s="15">
        <v>5</v>
      </c>
      <c r="AF37" s="15">
        <v>15</v>
      </c>
      <c r="AG37" s="15">
        <v>9</v>
      </c>
      <c r="AH37" s="71">
        <f>SUM(V37:AG37)</f>
        <v>123</v>
      </c>
      <c r="AI37" s="43">
        <v>6</v>
      </c>
      <c r="AJ37" s="15">
        <v>26</v>
      </c>
      <c r="AK37" s="15">
        <v>2</v>
      </c>
      <c r="AL37" s="15">
        <v>2</v>
      </c>
      <c r="AM37" s="15">
        <v>1</v>
      </c>
      <c r="AN37" s="15">
        <v>3</v>
      </c>
      <c r="AO37" s="15">
        <v>153</v>
      </c>
      <c r="AP37" s="15">
        <v>4</v>
      </c>
      <c r="AQ37" s="15">
        <v>16</v>
      </c>
      <c r="AR37" s="15">
        <v>29</v>
      </c>
      <c r="AS37" s="15">
        <v>4</v>
      </c>
      <c r="AT37" s="15">
        <v>6</v>
      </c>
      <c r="AU37" s="71">
        <f>AI37+AJ37+AK37+AL37+AM37+AN37+AO37+AP37+AQ37+AR37+AS37+AT37</f>
        <v>252</v>
      </c>
      <c r="AV37" s="42">
        <v>69</v>
      </c>
      <c r="AW37" s="15">
        <v>6</v>
      </c>
      <c r="AX37" s="31">
        <v>2</v>
      </c>
      <c r="AY37" s="15">
        <v>10</v>
      </c>
      <c r="AZ37" s="15">
        <v>46</v>
      </c>
      <c r="BA37" s="15">
        <v>6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12">
        <v>14</v>
      </c>
      <c r="BH37" s="71">
        <f>SUM(AV37:BG37)</f>
        <v>153</v>
      </c>
      <c r="BI37" s="36">
        <v>3</v>
      </c>
      <c r="BJ37" s="15">
        <v>2</v>
      </c>
      <c r="BK37" s="15">
        <v>3</v>
      </c>
      <c r="BL37" s="15">
        <v>6</v>
      </c>
      <c r="BM37" s="15">
        <v>2</v>
      </c>
      <c r="BN37" s="15">
        <v>1</v>
      </c>
      <c r="BO37" s="15">
        <v>6</v>
      </c>
      <c r="BP37" s="15">
        <v>2</v>
      </c>
      <c r="BQ37" s="15">
        <v>3</v>
      </c>
      <c r="BR37" s="15">
        <v>1</v>
      </c>
      <c r="BS37" s="15">
        <v>2</v>
      </c>
      <c r="BT37" s="12">
        <v>1</v>
      </c>
      <c r="BU37" s="73">
        <v>29</v>
      </c>
      <c r="BV37" s="72">
        <v>91</v>
      </c>
      <c r="BW37" s="42">
        <f>18+91</f>
        <v>109</v>
      </c>
      <c r="BX37" s="72">
        <f>13+109</f>
        <v>122</v>
      </c>
      <c r="BY37" s="71">
        <f>122+2+122</f>
        <v>246</v>
      </c>
      <c r="BZ37" s="71">
        <f>15+246</f>
        <v>261</v>
      </c>
      <c r="CA37" s="71">
        <f>261+2</f>
        <v>263</v>
      </c>
      <c r="CB37" s="71">
        <f>36+263</f>
        <v>299</v>
      </c>
      <c r="CC37" s="71">
        <f>299+8</f>
        <v>307</v>
      </c>
      <c r="CD37" s="71">
        <f>307+43</f>
        <v>350</v>
      </c>
      <c r="CE37" s="43">
        <f>350+21</f>
        <v>371</v>
      </c>
      <c r="CF37" s="43">
        <v>29</v>
      </c>
      <c r="CG37" s="43">
        <v>424</v>
      </c>
      <c r="CH37" s="108">
        <v>219.8</v>
      </c>
      <c r="CI37" s="127">
        <v>767.1</v>
      </c>
      <c r="CJ37" s="71">
        <v>596.717</v>
      </c>
      <c r="CK37" s="71">
        <v>4619.893</v>
      </c>
      <c r="CL37" s="122">
        <v>6927.051</v>
      </c>
      <c r="CM37" s="122">
        <v>4039.4869999999996</v>
      </c>
      <c r="CN37" s="122">
        <v>3759.492</v>
      </c>
      <c r="CO37" s="122">
        <v>455.495</v>
      </c>
      <c r="CP37" s="122">
        <v>1475.47</v>
      </c>
      <c r="CQ37" s="122">
        <v>2.95</v>
      </c>
      <c r="CR37" s="122">
        <v>14</v>
      </c>
      <c r="CS37" s="122">
        <v>136</v>
      </c>
      <c r="CT37" s="122">
        <v>181</v>
      </c>
      <c r="CU37" s="122">
        <v>221</v>
      </c>
      <c r="CV37" s="122">
        <v>263</v>
      </c>
      <c r="CW37" s="122">
        <v>288</v>
      </c>
      <c r="CX37" s="122">
        <v>353</v>
      </c>
      <c r="CY37" s="122">
        <v>355</v>
      </c>
      <c r="CZ37" s="122">
        <v>396</v>
      </c>
      <c r="DA37" s="122">
        <v>420</v>
      </c>
      <c r="DB37" s="122">
        <v>424</v>
      </c>
      <c r="DC37" s="122">
        <v>15</v>
      </c>
      <c r="DD37" s="122">
        <v>59</v>
      </c>
      <c r="DE37" s="122">
        <v>63</v>
      </c>
      <c r="DF37" s="122">
        <f>DE37+4.1</f>
        <v>67.1</v>
      </c>
      <c r="DG37" s="122">
        <f>DF37+55.7</f>
        <v>122.8</v>
      </c>
      <c r="DH37" s="122">
        <f>DG37+6</f>
        <v>128.8</v>
      </c>
      <c r="DI37" s="122">
        <v>129</v>
      </c>
      <c r="DJ37" s="122">
        <v>146.2</v>
      </c>
      <c r="DK37" s="122">
        <v>178</v>
      </c>
      <c r="DL37" s="122">
        <v>178.6</v>
      </c>
      <c r="DM37" s="122">
        <v>213.6</v>
      </c>
      <c r="DN37" s="122">
        <v>219.8</v>
      </c>
      <c r="DO37" s="122">
        <v>0.9</v>
      </c>
      <c r="DP37" s="122">
        <v>43.9</v>
      </c>
      <c r="DQ37" s="122">
        <v>196.4</v>
      </c>
      <c r="DR37" s="122">
        <v>242.4</v>
      </c>
      <c r="DS37" s="122">
        <v>344.8</v>
      </c>
      <c r="DT37" s="122">
        <v>365.8</v>
      </c>
      <c r="DU37" s="122">
        <v>602.7</v>
      </c>
      <c r="DV37" s="122">
        <v>628.6</v>
      </c>
      <c r="DW37" s="122">
        <v>683.1</v>
      </c>
      <c r="DX37" s="122">
        <v>695.1</v>
      </c>
      <c r="DY37" s="122">
        <v>737.1</v>
      </c>
      <c r="DZ37" s="122">
        <v>30</v>
      </c>
      <c r="EA37" s="122">
        <f>DY37+DZ37</f>
        <v>767.1</v>
      </c>
      <c r="EB37" s="122">
        <v>25</v>
      </c>
      <c r="EC37" s="122">
        <v>65</v>
      </c>
      <c r="ED37" s="122">
        <v>63</v>
      </c>
      <c r="EE37" s="122">
        <v>10</v>
      </c>
      <c r="EF37" s="122">
        <f>'[1]Feuil2'!$D$35</f>
        <v>31.664</v>
      </c>
      <c r="EG37" s="122">
        <f>'[2]Feuil3'!$E$40</f>
        <v>1.196</v>
      </c>
      <c r="EH37" s="122">
        <v>58</v>
      </c>
      <c r="EI37" s="122">
        <v>63</v>
      </c>
      <c r="EJ37" s="122">
        <v>138.843</v>
      </c>
      <c r="EK37" s="122">
        <v>47.014</v>
      </c>
      <c r="EL37" s="122">
        <v>7</v>
      </c>
      <c r="EM37" s="122">
        <v>87</v>
      </c>
      <c r="EN37" s="122">
        <f>SUM(EB37:EM37)</f>
        <v>596.717</v>
      </c>
      <c r="EO37" s="122">
        <v>92</v>
      </c>
      <c r="EP37" s="122">
        <v>112</v>
      </c>
      <c r="EQ37" s="122">
        <v>108</v>
      </c>
      <c r="ER37" s="122">
        <v>27.3</v>
      </c>
      <c r="ES37" s="122">
        <v>97.2</v>
      </c>
      <c r="ET37" s="122">
        <v>925.2</v>
      </c>
      <c r="EU37" s="122">
        <v>497.6</v>
      </c>
      <c r="EV37" s="122">
        <v>1200.62</v>
      </c>
      <c r="EW37" s="122">
        <v>419.713</v>
      </c>
      <c r="EX37" s="122">
        <v>250.66</v>
      </c>
      <c r="EY37" s="122">
        <v>427</v>
      </c>
      <c r="EZ37" s="122">
        <v>462.6</v>
      </c>
      <c r="FA37" s="122">
        <f>SUM(EO37:EZ37)</f>
        <v>4619.893</v>
      </c>
      <c r="FB37" s="122">
        <v>773.7</v>
      </c>
      <c r="FC37" s="122">
        <v>43.328</v>
      </c>
      <c r="FD37" s="122">
        <f>'[4]IV5-IV6'!$D$48</f>
        <v>108.142</v>
      </c>
      <c r="FE37" s="122">
        <v>1191.88</v>
      </c>
      <c r="FF37" s="122">
        <v>1259.858</v>
      </c>
      <c r="FG37" s="122">
        <v>1318.7</v>
      </c>
      <c r="FH37" s="122">
        <v>530.089</v>
      </c>
      <c r="FI37" s="122">
        <v>433.174</v>
      </c>
      <c r="FJ37" s="122">
        <v>535.8</v>
      </c>
      <c r="FK37" s="122">
        <v>149.998</v>
      </c>
      <c r="FL37" s="122">
        <v>572.806</v>
      </c>
      <c r="FM37" s="122">
        <v>9.576</v>
      </c>
      <c r="FN37" s="122">
        <f>SUM(FB37:FM37)</f>
        <v>6927.051</v>
      </c>
      <c r="FO37" s="122">
        <v>0.754</v>
      </c>
      <c r="FP37" s="122">
        <v>431.424</v>
      </c>
      <c r="FQ37" s="122">
        <v>646.782</v>
      </c>
      <c r="FR37" s="122">
        <f>'[5]IV5-IV6'!$C$64</f>
        <v>212.735</v>
      </c>
      <c r="FS37" s="122">
        <v>18.42</v>
      </c>
      <c r="FT37" s="122">
        <v>206.4</v>
      </c>
      <c r="FU37" s="122">
        <v>880.451</v>
      </c>
      <c r="FV37" s="122">
        <v>43.038</v>
      </c>
      <c r="FW37" s="122">
        <v>850.559</v>
      </c>
      <c r="FX37" s="122">
        <v>269.6</v>
      </c>
      <c r="FY37" s="122">
        <v>128.624</v>
      </c>
      <c r="FZ37" s="122">
        <v>350.7</v>
      </c>
      <c r="GA37" s="122">
        <f>FO37+FP37+FQ37+FR37+FS37+FT37+FU37+FV37+FW37+FX37+FY37+FZ37</f>
        <v>4039.4869999999996</v>
      </c>
      <c r="GB37" s="122">
        <v>419.319</v>
      </c>
      <c r="GC37" s="122">
        <v>829.462</v>
      </c>
      <c r="GD37" s="122">
        <v>732.683</v>
      </c>
      <c r="GE37" s="122">
        <v>299.032</v>
      </c>
      <c r="GF37" s="122">
        <v>173.138</v>
      </c>
      <c r="GG37" s="122">
        <v>1.601</v>
      </c>
      <c r="GH37" s="122">
        <v>20.193</v>
      </c>
      <c r="GI37" s="122">
        <v>66.092</v>
      </c>
      <c r="GJ37" s="122">
        <v>37.874</v>
      </c>
      <c r="GK37" s="122">
        <v>205.049</v>
      </c>
      <c r="GL37" s="122">
        <v>789.325</v>
      </c>
      <c r="GM37" s="122">
        <v>185.544</v>
      </c>
      <c r="GN37" s="122">
        <f>SUM(GB37:GM37)</f>
        <v>3759.312</v>
      </c>
      <c r="GO37" s="122">
        <v>262.523</v>
      </c>
      <c r="GP37" s="122">
        <v>3.867</v>
      </c>
      <c r="GQ37" s="122">
        <v>6.815</v>
      </c>
      <c r="GR37" s="122">
        <v>54.339</v>
      </c>
      <c r="GS37" s="122">
        <v>5.257</v>
      </c>
      <c r="GT37" s="122">
        <v>27.153</v>
      </c>
      <c r="GU37" s="122">
        <v>8.998</v>
      </c>
      <c r="GV37" s="122">
        <v>154.499</v>
      </c>
      <c r="GW37" s="122">
        <v>9.472</v>
      </c>
      <c r="GX37" s="122">
        <v>20.093</v>
      </c>
      <c r="GY37" s="122">
        <v>28.655</v>
      </c>
      <c r="GZ37" s="122">
        <v>8.206</v>
      </c>
      <c r="HA37" s="122">
        <v>41.069</v>
      </c>
      <c r="HB37" s="122">
        <v>1.677</v>
      </c>
      <c r="HC37" s="122">
        <v>17.838</v>
      </c>
      <c r="HD37" s="122">
        <v>3.874</v>
      </c>
      <c r="HE37" s="122">
        <v>28.346</v>
      </c>
      <c r="HF37" s="122">
        <v>7.163</v>
      </c>
      <c r="HG37" s="122">
        <v>278.079</v>
      </c>
      <c r="HH37" s="122">
        <v>546.558</v>
      </c>
      <c r="HI37" s="122">
        <v>484.281</v>
      </c>
      <c r="HJ37" s="122">
        <v>64.534</v>
      </c>
      <c r="HK37" s="122">
        <v>1.549</v>
      </c>
      <c r="HL37" s="122">
        <v>0.502</v>
      </c>
      <c r="HM37" s="98">
        <v>263.465</v>
      </c>
      <c r="HN37" s="98">
        <v>170.016</v>
      </c>
      <c r="HO37" s="98">
        <v>1000.439</v>
      </c>
      <c r="HP37" s="122">
        <v>1.181</v>
      </c>
      <c r="HQ37" s="98">
        <v>1.595</v>
      </c>
      <c r="HR37" s="122">
        <v>5.305</v>
      </c>
      <c r="HS37" s="122">
        <v>8.194</v>
      </c>
      <c r="HT37" s="122">
        <v>10.221</v>
      </c>
      <c r="HU37" s="122"/>
      <c r="HV37" s="122"/>
      <c r="HW37" s="122"/>
      <c r="HX37" s="122"/>
      <c r="HY37" s="122">
        <f>HA37+HB37+HC37+HD37+HE37+HF37+HG37+HH37</f>
        <v>924.604</v>
      </c>
      <c r="HZ37" s="122">
        <f>HM37+HN37+HO37+HP37+HQ37+HR37+HS37+HT37</f>
        <v>1460.4160000000002</v>
      </c>
    </row>
    <row r="38" spans="2:234" ht="15.75">
      <c r="B38" s="105" t="s">
        <v>70</v>
      </c>
      <c r="C38" s="71" t="s">
        <v>11</v>
      </c>
      <c r="D38" s="42">
        <v>173</v>
      </c>
      <c r="E38" s="72">
        <v>13</v>
      </c>
      <c r="F38" s="42">
        <v>23</v>
      </c>
      <c r="G38" s="42">
        <v>4</v>
      </c>
      <c r="H38" s="42" t="s">
        <v>11</v>
      </c>
      <c r="I38" s="43">
        <v>1</v>
      </c>
      <c r="J38" s="43" t="s">
        <v>11</v>
      </c>
      <c r="K38" s="15" t="s">
        <v>11</v>
      </c>
      <c r="L38" s="15" t="s">
        <v>11</v>
      </c>
      <c r="M38" s="15" t="s">
        <v>11</v>
      </c>
      <c r="N38" s="15">
        <v>3</v>
      </c>
      <c r="O38" s="15">
        <v>1</v>
      </c>
      <c r="P38" s="15" t="s">
        <v>11</v>
      </c>
      <c r="Q38" s="15" t="s">
        <v>11</v>
      </c>
      <c r="R38" s="15" t="s">
        <v>11</v>
      </c>
      <c r="S38" s="15" t="s">
        <v>11</v>
      </c>
      <c r="T38" s="15">
        <v>168</v>
      </c>
      <c r="U38" s="42">
        <f>+I38+J38+K38+L38+M38+N38+O38+P38+Q38+R38+S38+T38+E38</f>
        <v>186</v>
      </c>
      <c r="V38" s="36" t="s">
        <v>11</v>
      </c>
      <c r="W38" s="43" t="s">
        <v>11</v>
      </c>
      <c r="X38" s="15" t="s">
        <v>11</v>
      </c>
      <c r="Y38" s="15" t="s">
        <v>11</v>
      </c>
      <c r="Z38" s="15">
        <v>9</v>
      </c>
      <c r="AA38" s="15" t="s">
        <v>11</v>
      </c>
      <c r="AB38" s="15">
        <v>3</v>
      </c>
      <c r="AC38" s="15" t="s">
        <v>11</v>
      </c>
      <c r="AD38" s="15" t="s">
        <v>11</v>
      </c>
      <c r="AE38" s="15">
        <v>1</v>
      </c>
      <c r="AF38" s="15" t="s">
        <v>11</v>
      </c>
      <c r="AG38" s="15" t="s">
        <v>11</v>
      </c>
      <c r="AH38" s="71">
        <f>SUM(V38:AG38)</f>
        <v>13</v>
      </c>
      <c r="AI38" s="43" t="s">
        <v>11</v>
      </c>
      <c r="AJ38" s="15" t="s">
        <v>11</v>
      </c>
      <c r="AK38" s="15" t="s">
        <v>11</v>
      </c>
      <c r="AL38" s="15" t="s">
        <v>11</v>
      </c>
      <c r="AM38" s="15" t="s">
        <v>11</v>
      </c>
      <c r="AN38" s="15" t="s">
        <v>11</v>
      </c>
      <c r="AO38" s="15">
        <v>22</v>
      </c>
      <c r="AP38" s="15">
        <v>1</v>
      </c>
      <c r="AQ38" s="75" t="s">
        <v>11</v>
      </c>
      <c r="AR38" s="75" t="s">
        <v>11</v>
      </c>
      <c r="AS38" s="75" t="s">
        <v>11</v>
      </c>
      <c r="AT38" s="75" t="s">
        <v>11</v>
      </c>
      <c r="AU38" s="71">
        <f>AI38+AJ38+AK38+AL38+AM38+AN38+AO38+AP38+AQ38+AR38+AS38+AT38</f>
        <v>23</v>
      </c>
      <c r="AV38" s="71" t="s">
        <v>11</v>
      </c>
      <c r="AW38" s="71" t="s">
        <v>11</v>
      </c>
      <c r="AX38" s="71" t="s">
        <v>11</v>
      </c>
      <c r="AY38" s="71" t="s">
        <v>11</v>
      </c>
      <c r="AZ38" s="71">
        <v>2</v>
      </c>
      <c r="BA38" s="71">
        <v>2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71" t="s">
        <v>11</v>
      </c>
      <c r="BH38" s="71">
        <f>SUM(AV38:BG38)</f>
        <v>4</v>
      </c>
      <c r="BI38" s="36" t="s">
        <v>11</v>
      </c>
      <c r="BJ38" s="15">
        <f>BV38-BI38</f>
        <v>0</v>
      </c>
      <c r="BK38" s="15">
        <f>BW38-BJ38-BI38</f>
        <v>0</v>
      </c>
      <c r="BL38" s="15">
        <f>BX38-BK38-BJ38-BI38</f>
        <v>0</v>
      </c>
      <c r="BM38" s="71"/>
      <c r="BN38" s="71"/>
      <c r="BO38" s="71">
        <v>0</v>
      </c>
      <c r="BP38" s="71"/>
      <c r="BQ38" s="15"/>
      <c r="BR38" s="71"/>
      <c r="BS38" s="71"/>
      <c r="BT38" s="73"/>
      <c r="BU38" s="73">
        <f>SUM(BI38:BT38)</f>
        <v>0</v>
      </c>
      <c r="BV38" s="71" t="s">
        <v>11</v>
      </c>
      <c r="BW38" s="71" t="s">
        <v>11</v>
      </c>
      <c r="BX38" s="71" t="s">
        <v>11</v>
      </c>
      <c r="BY38" s="71">
        <f>SUM(BI38:BT38)</f>
        <v>0</v>
      </c>
      <c r="BZ38" s="71" t="s">
        <v>11</v>
      </c>
      <c r="CA38" s="71" t="s">
        <v>11</v>
      </c>
      <c r="CB38" s="71" t="s">
        <v>11</v>
      </c>
      <c r="CC38" s="42" t="s">
        <v>11</v>
      </c>
      <c r="CD38" s="42" t="s">
        <v>11</v>
      </c>
      <c r="CE38" s="43" t="s">
        <v>11</v>
      </c>
      <c r="CF38" s="43">
        <v>0</v>
      </c>
      <c r="CG38" s="43">
        <v>14</v>
      </c>
      <c r="CH38" s="72" t="s">
        <v>11</v>
      </c>
      <c r="CI38" s="42" t="s">
        <v>11</v>
      </c>
      <c r="CJ38" s="71">
        <v>6.378</v>
      </c>
      <c r="CK38" s="71" t="s">
        <v>11</v>
      </c>
      <c r="CL38" s="122">
        <v>276.459</v>
      </c>
      <c r="CM38" s="122">
        <v>3.988</v>
      </c>
      <c r="CN38" s="122" t="s">
        <v>16</v>
      </c>
      <c r="CO38" s="122">
        <v>6080.939</v>
      </c>
      <c r="CP38" s="122">
        <v>5043.965</v>
      </c>
      <c r="CQ38" s="122" t="s">
        <v>11</v>
      </c>
      <c r="CR38" s="122" t="s">
        <v>11</v>
      </c>
      <c r="CS38" s="122">
        <v>2</v>
      </c>
      <c r="CT38" s="122">
        <v>2</v>
      </c>
      <c r="CU38" s="122">
        <v>2</v>
      </c>
      <c r="CV38" s="122">
        <v>2</v>
      </c>
      <c r="CW38" s="122">
        <v>2</v>
      </c>
      <c r="CX38" s="122">
        <v>2</v>
      </c>
      <c r="CY38" s="122">
        <v>2</v>
      </c>
      <c r="CZ38" s="122">
        <v>14</v>
      </c>
      <c r="DA38" s="122">
        <v>14</v>
      </c>
      <c r="DB38" s="122">
        <v>14</v>
      </c>
      <c r="DC38" s="122" t="s">
        <v>11</v>
      </c>
      <c r="DD38" s="122" t="s">
        <v>11</v>
      </c>
      <c r="DE38" s="122" t="s">
        <v>11</v>
      </c>
      <c r="DF38" s="122" t="s">
        <v>11</v>
      </c>
      <c r="DG38" s="122" t="s">
        <v>11</v>
      </c>
      <c r="DH38" s="122" t="s">
        <v>11</v>
      </c>
      <c r="DI38" s="122" t="s">
        <v>11</v>
      </c>
      <c r="DJ38" s="122" t="s">
        <v>11</v>
      </c>
      <c r="DK38" s="122" t="s">
        <v>11</v>
      </c>
      <c r="DL38" s="122" t="s">
        <v>11</v>
      </c>
      <c r="DM38" s="122" t="s">
        <v>11</v>
      </c>
      <c r="DN38" s="122" t="s">
        <v>11</v>
      </c>
      <c r="DO38" s="122" t="s">
        <v>11</v>
      </c>
      <c r="DP38" s="122" t="s">
        <v>11</v>
      </c>
      <c r="DQ38" s="122" t="s">
        <v>11</v>
      </c>
      <c r="DR38" s="122" t="s">
        <v>11</v>
      </c>
      <c r="DS38" s="122" t="s">
        <v>11</v>
      </c>
      <c r="DT38" s="122" t="s">
        <v>11</v>
      </c>
      <c r="DU38" s="122" t="s">
        <v>11</v>
      </c>
      <c r="DV38" s="122" t="s">
        <v>11</v>
      </c>
      <c r="DW38" s="122" t="s">
        <v>11</v>
      </c>
      <c r="DX38" s="122" t="s">
        <v>11</v>
      </c>
      <c r="DY38" s="122" t="s">
        <v>11</v>
      </c>
      <c r="DZ38" s="122"/>
      <c r="EA38" s="122" t="s">
        <v>11</v>
      </c>
      <c r="EB38" s="122" t="s">
        <v>11</v>
      </c>
      <c r="EC38" s="122">
        <v>0</v>
      </c>
      <c r="ED38" s="122">
        <v>0</v>
      </c>
      <c r="EE38" s="122" t="s">
        <v>11</v>
      </c>
      <c r="EF38" s="122" t="s">
        <v>11</v>
      </c>
      <c r="EG38" s="122">
        <v>0</v>
      </c>
      <c r="EH38" s="122">
        <v>0</v>
      </c>
      <c r="EI38" s="122">
        <v>4</v>
      </c>
      <c r="EJ38" s="122">
        <v>0</v>
      </c>
      <c r="EK38" s="122">
        <v>2.378</v>
      </c>
      <c r="EL38" s="122"/>
      <c r="EM38" s="122"/>
      <c r="EN38" s="122">
        <f>SUM(EB38:EM38)</f>
        <v>6.378</v>
      </c>
      <c r="EO38" s="122">
        <v>0</v>
      </c>
      <c r="EP38" s="122" t="s">
        <v>11</v>
      </c>
      <c r="EQ38" s="122">
        <v>0</v>
      </c>
      <c r="ER38" s="122">
        <v>0</v>
      </c>
      <c r="ES38" s="122"/>
      <c r="ET38" s="122"/>
      <c r="EU38" s="122"/>
      <c r="EV38" s="122">
        <v>0</v>
      </c>
      <c r="EW38" s="122">
        <v>0</v>
      </c>
      <c r="EX38" s="122">
        <v>0</v>
      </c>
      <c r="EY38" s="122"/>
      <c r="EZ38" s="122"/>
      <c r="FA38" s="122" t="s">
        <v>11</v>
      </c>
      <c r="FB38" s="122" t="s">
        <v>11</v>
      </c>
      <c r="FC38" s="122" t="s">
        <v>11</v>
      </c>
      <c r="FD38" s="122">
        <v>0</v>
      </c>
      <c r="FE38" s="122"/>
      <c r="FF38" s="122"/>
      <c r="FG38" s="122"/>
      <c r="FH38" s="122"/>
      <c r="FI38" s="122">
        <v>63.4</v>
      </c>
      <c r="FJ38" s="122"/>
      <c r="FK38" s="122">
        <v>207.637</v>
      </c>
      <c r="FL38" s="122">
        <v>1.776</v>
      </c>
      <c r="FM38" s="122">
        <v>3.646</v>
      </c>
      <c r="FN38" s="122">
        <f>SUM(FB38:FM38)</f>
        <v>276.459</v>
      </c>
      <c r="FO38" s="122"/>
      <c r="FP38" s="122">
        <v>3.211</v>
      </c>
      <c r="FQ38" s="122">
        <v>0</v>
      </c>
      <c r="FR38" s="122">
        <v>0</v>
      </c>
      <c r="FS38" s="122">
        <v>0.012</v>
      </c>
      <c r="FT38" s="122">
        <v>0</v>
      </c>
      <c r="FU38" s="122">
        <v>0</v>
      </c>
      <c r="FV38" s="122">
        <v>0</v>
      </c>
      <c r="FW38" s="122">
        <v>0</v>
      </c>
      <c r="FX38" s="122">
        <v>0</v>
      </c>
      <c r="FY38" s="122">
        <v>0.765</v>
      </c>
      <c r="FZ38" s="122">
        <v>0</v>
      </c>
      <c r="GA38" s="122">
        <f>FO38+FP38+FQ38+FR38+FS38+FT38+FU38+FV38+FW38+FX38+FY38+FZ38</f>
        <v>3.988</v>
      </c>
      <c r="GB38" s="122"/>
      <c r="GC38" s="122">
        <v>0.037</v>
      </c>
      <c r="GD38" s="122">
        <v>0</v>
      </c>
      <c r="GE38" s="122">
        <v>0</v>
      </c>
      <c r="GF38" s="122">
        <v>0.213</v>
      </c>
      <c r="GG38" s="122">
        <v>0</v>
      </c>
      <c r="GH38" s="122">
        <v>0.013</v>
      </c>
      <c r="GI38" s="122">
        <v>0.037</v>
      </c>
      <c r="GJ38" s="122">
        <v>0.006</v>
      </c>
      <c r="GK38" s="122"/>
      <c r="GL38" s="122"/>
      <c r="GM38" s="122"/>
      <c r="GN38" s="122">
        <f>SUM(GB38:GM38)</f>
        <v>0.306</v>
      </c>
      <c r="GO38" s="122"/>
      <c r="GP38" s="122">
        <v>0</v>
      </c>
      <c r="GQ38" s="122"/>
      <c r="GR38" s="122">
        <v>0</v>
      </c>
      <c r="GS38" s="122"/>
      <c r="GT38" s="122"/>
      <c r="GU38" s="122"/>
      <c r="GV38" s="122">
        <v>0.023</v>
      </c>
      <c r="GW38" s="122"/>
      <c r="GX38" s="122"/>
      <c r="GY38" s="122"/>
      <c r="GZ38" s="122"/>
      <c r="HA38" s="122">
        <v>144.936</v>
      </c>
      <c r="HB38" s="122">
        <v>216.178</v>
      </c>
      <c r="HC38" s="122">
        <v>341.933</v>
      </c>
      <c r="HD38" s="122">
        <v>251.825</v>
      </c>
      <c r="HE38" s="122">
        <v>949.284</v>
      </c>
      <c r="HF38" s="122">
        <v>266.647</v>
      </c>
      <c r="HG38" s="122">
        <v>352.259</v>
      </c>
      <c r="HH38" s="122">
        <v>500.616</v>
      </c>
      <c r="HI38" s="122">
        <v>435.59</v>
      </c>
      <c r="HJ38" s="122">
        <v>396.825</v>
      </c>
      <c r="HK38" s="122">
        <v>794.849</v>
      </c>
      <c r="HL38" s="122">
        <v>393.023</v>
      </c>
      <c r="HM38" s="98">
        <v>1141.906</v>
      </c>
      <c r="HN38" s="98">
        <v>1002.128</v>
      </c>
      <c r="HO38" s="98">
        <v>1126.556</v>
      </c>
      <c r="HP38" s="122">
        <v>354.01</v>
      </c>
      <c r="HQ38" s="98">
        <v>659.635</v>
      </c>
      <c r="HR38" s="122">
        <v>224.782</v>
      </c>
      <c r="HS38" s="122">
        <v>921.626</v>
      </c>
      <c r="HT38" s="122">
        <v>1613.708</v>
      </c>
      <c r="HU38" s="122"/>
      <c r="HV38" s="122"/>
      <c r="HW38" s="122"/>
      <c r="HX38" s="122"/>
      <c r="HY38" s="122">
        <f>HA38+HB38+HC38+HD38+HE38+HF38+HG38+HH38</f>
        <v>3023.678</v>
      </c>
      <c r="HZ38" s="122">
        <f>HM38+HN38+HO38+HP38+HQ38+HR38+HS38+HT38</f>
        <v>7044.351000000001</v>
      </c>
    </row>
    <row r="39" spans="2:234" ht="15.75">
      <c r="B39" s="105" t="s">
        <v>71</v>
      </c>
      <c r="C39" s="71">
        <v>5415</v>
      </c>
      <c r="D39" s="42">
        <v>2023</v>
      </c>
      <c r="E39" s="72">
        <v>1791</v>
      </c>
      <c r="F39" s="42">
        <v>41</v>
      </c>
      <c r="G39" s="42">
        <v>978.7</v>
      </c>
      <c r="H39" s="42">
        <v>2287</v>
      </c>
      <c r="I39" s="43">
        <v>427</v>
      </c>
      <c r="J39" s="43" t="s">
        <v>16</v>
      </c>
      <c r="K39" s="15">
        <v>9</v>
      </c>
      <c r="L39" s="15">
        <v>119</v>
      </c>
      <c r="M39" s="15">
        <v>4</v>
      </c>
      <c r="N39" s="15">
        <v>118</v>
      </c>
      <c r="O39" s="15">
        <v>149</v>
      </c>
      <c r="P39" s="15">
        <v>214</v>
      </c>
      <c r="Q39" s="15">
        <v>1</v>
      </c>
      <c r="R39" s="15">
        <v>714</v>
      </c>
      <c r="S39" s="15">
        <v>220</v>
      </c>
      <c r="T39" s="15">
        <v>48</v>
      </c>
      <c r="U39" s="42">
        <f>+I39+J39+K39+L39+M39+N39+O39+P39+Q39+R39+S39+T39</f>
        <v>2023</v>
      </c>
      <c r="V39" s="56">
        <v>261</v>
      </c>
      <c r="W39" s="43" t="s">
        <v>11</v>
      </c>
      <c r="X39" s="15" t="s">
        <v>11</v>
      </c>
      <c r="Y39" s="15">
        <v>1007</v>
      </c>
      <c r="Z39" s="15" t="s">
        <v>11</v>
      </c>
      <c r="AA39" s="15" t="s">
        <v>16</v>
      </c>
      <c r="AB39" s="15" t="s">
        <v>11</v>
      </c>
      <c r="AC39" s="15" t="s">
        <v>11</v>
      </c>
      <c r="AD39" s="15">
        <v>500</v>
      </c>
      <c r="AE39" s="42" t="s">
        <v>16</v>
      </c>
      <c r="AF39" s="15" t="s">
        <v>11</v>
      </c>
      <c r="AG39" s="15">
        <v>23</v>
      </c>
      <c r="AH39" s="71">
        <f>SUM(V39:AG39)</f>
        <v>1791</v>
      </c>
      <c r="AI39" s="43" t="s">
        <v>11</v>
      </c>
      <c r="AJ39" s="15" t="s">
        <v>11</v>
      </c>
      <c r="AK39" s="15" t="s">
        <v>11</v>
      </c>
      <c r="AL39" s="15" t="s">
        <v>11</v>
      </c>
      <c r="AM39" s="15">
        <v>26</v>
      </c>
      <c r="AN39" s="15" t="s">
        <v>11</v>
      </c>
      <c r="AO39" s="15" t="s">
        <v>11</v>
      </c>
      <c r="AP39" s="15">
        <v>15</v>
      </c>
      <c r="AQ39" s="15" t="s">
        <v>32</v>
      </c>
      <c r="AR39" s="15" t="s">
        <v>11</v>
      </c>
      <c r="AS39" s="15" t="s">
        <v>11</v>
      </c>
      <c r="AT39" s="15" t="s">
        <v>11</v>
      </c>
      <c r="AU39" s="71">
        <f>AI39+AJ39+AK39+AL39+AM39+AN39+AO39+AP39+AQ39+AR39+AS39+AT39</f>
        <v>41</v>
      </c>
      <c r="AV39" s="71" t="s">
        <v>11</v>
      </c>
      <c r="AW39" s="71" t="s">
        <v>11</v>
      </c>
      <c r="AX39" s="71" t="s">
        <v>11</v>
      </c>
      <c r="AY39" s="71" t="s">
        <v>11</v>
      </c>
      <c r="AZ39" s="71" t="s">
        <v>11</v>
      </c>
      <c r="BA39" s="71">
        <v>47</v>
      </c>
      <c r="BB39" s="4">
        <v>120</v>
      </c>
      <c r="BC39" s="4">
        <v>565.5</v>
      </c>
      <c r="BD39" s="4">
        <v>47.2</v>
      </c>
      <c r="BE39" s="4">
        <v>0</v>
      </c>
      <c r="BF39" s="4">
        <v>0</v>
      </c>
      <c r="BG39" s="71">
        <v>199</v>
      </c>
      <c r="BH39" s="71">
        <f>SUM(AV39:BG39)</f>
        <v>978.7</v>
      </c>
      <c r="BI39" s="36">
        <v>25</v>
      </c>
      <c r="BJ39" s="15">
        <f>BV39-BI39</f>
        <v>0.10000000000000142</v>
      </c>
      <c r="BK39" s="15">
        <f>BW39-BJ39-BI39</f>
        <v>119.9</v>
      </c>
      <c r="BL39" s="15">
        <f>BX39-BK39-BJ39-BI39</f>
        <v>0.09999999999998721</v>
      </c>
      <c r="BM39" s="15">
        <v>553</v>
      </c>
      <c r="BN39" s="15">
        <v>160</v>
      </c>
      <c r="BO39" s="15">
        <v>1368.7</v>
      </c>
      <c r="BP39" s="15">
        <v>60</v>
      </c>
      <c r="BQ39" s="15"/>
      <c r="BR39" s="15"/>
      <c r="BS39" s="71"/>
      <c r="BT39" s="73"/>
      <c r="BU39" s="73">
        <f>SUM(BI39:BT39)</f>
        <v>2286.8</v>
      </c>
      <c r="BV39" s="71">
        <v>25.1</v>
      </c>
      <c r="BW39" s="71">
        <v>145</v>
      </c>
      <c r="BX39" s="71">
        <v>145.1</v>
      </c>
      <c r="BY39" s="71">
        <f>SUM(BI39:BM39)</f>
        <v>698.1</v>
      </c>
      <c r="BZ39" s="71">
        <f>SUM(BI39:BN39)</f>
        <v>858.1</v>
      </c>
      <c r="CA39" s="71">
        <f>SUM(BI39:BO39)</f>
        <v>2226.8</v>
      </c>
      <c r="CB39" s="71">
        <f>SUM(BI39:BP39)</f>
        <v>2286.8</v>
      </c>
      <c r="CC39" s="71">
        <f>SUM(BI39:BQ39)</f>
        <v>2286.8</v>
      </c>
      <c r="CD39" s="71">
        <v>2286</v>
      </c>
      <c r="CE39" s="43">
        <v>2286.7</v>
      </c>
      <c r="CF39" s="43">
        <v>2286.8</v>
      </c>
      <c r="CG39" s="43">
        <v>1165.9</v>
      </c>
      <c r="CH39" s="119">
        <v>312.1</v>
      </c>
      <c r="CI39" s="127">
        <v>733</v>
      </c>
      <c r="CJ39" s="71">
        <v>2082</v>
      </c>
      <c r="CK39" s="71">
        <v>450.2</v>
      </c>
      <c r="CL39" s="122">
        <v>1159.502</v>
      </c>
      <c r="CM39" s="122">
        <v>6983.111000000001</v>
      </c>
      <c r="CN39" s="122">
        <v>42641.061</v>
      </c>
      <c r="CO39" s="122">
        <v>15600.337</v>
      </c>
      <c r="CP39" s="122">
        <v>17037.857</v>
      </c>
      <c r="CQ39" s="122" t="s">
        <v>11</v>
      </c>
      <c r="CR39" s="122" t="s">
        <v>11</v>
      </c>
      <c r="CS39" s="122">
        <v>1075.7</v>
      </c>
      <c r="CT39" s="122">
        <f>1075.7+0.5</f>
        <v>1076.2</v>
      </c>
      <c r="CU39" s="122">
        <v>1075.7</v>
      </c>
      <c r="CV39" s="122">
        <v>1075.7</v>
      </c>
      <c r="CW39" s="122">
        <f>1076+67</f>
        <v>1143</v>
      </c>
      <c r="CX39" s="122">
        <v>1142.6</v>
      </c>
      <c r="CY39" s="122">
        <f>1143+23</f>
        <v>1166</v>
      </c>
      <c r="CZ39" s="122">
        <v>1165.9</v>
      </c>
      <c r="DA39" s="122">
        <v>1165.9</v>
      </c>
      <c r="DB39" s="122">
        <v>1165.9</v>
      </c>
      <c r="DC39" s="122">
        <v>310.3</v>
      </c>
      <c r="DD39" s="122">
        <v>311.3</v>
      </c>
      <c r="DE39" s="122">
        <v>311.3</v>
      </c>
      <c r="DF39" s="122">
        <v>311.3</v>
      </c>
      <c r="DG39" s="122">
        <v>311.3</v>
      </c>
      <c r="DH39" s="122">
        <v>311.3</v>
      </c>
      <c r="DI39" s="122">
        <v>311.3</v>
      </c>
      <c r="DJ39" s="122">
        <v>311.4</v>
      </c>
      <c r="DK39" s="122">
        <v>311.5</v>
      </c>
      <c r="DL39" s="122">
        <v>311.5</v>
      </c>
      <c r="DM39" s="122">
        <v>311.5</v>
      </c>
      <c r="DN39" s="122">
        <v>312.1</v>
      </c>
      <c r="DO39" s="122">
        <v>2</v>
      </c>
      <c r="DP39" s="122">
        <v>2</v>
      </c>
      <c r="DQ39" s="122">
        <v>2.2</v>
      </c>
      <c r="DR39" s="122">
        <v>2.2</v>
      </c>
      <c r="DS39" s="122">
        <v>2</v>
      </c>
      <c r="DT39" s="122">
        <v>2.2</v>
      </c>
      <c r="DU39" s="122">
        <v>2.2</v>
      </c>
      <c r="DV39" s="122">
        <v>2.2</v>
      </c>
      <c r="DW39" s="122">
        <v>2.8</v>
      </c>
      <c r="DX39" s="122">
        <v>3</v>
      </c>
      <c r="DY39" s="122">
        <v>193</v>
      </c>
      <c r="DZ39" s="122">
        <v>540</v>
      </c>
      <c r="EA39" s="122">
        <f>DY39+DZ39</f>
        <v>733</v>
      </c>
      <c r="EB39" s="122">
        <v>155</v>
      </c>
      <c r="EC39" s="122">
        <v>0</v>
      </c>
      <c r="ED39" s="122">
        <v>0</v>
      </c>
      <c r="EE39" s="122" t="s">
        <v>11</v>
      </c>
      <c r="EF39" s="122" t="s">
        <v>11</v>
      </c>
      <c r="EG39" s="122">
        <v>0</v>
      </c>
      <c r="EH39" s="122">
        <v>0</v>
      </c>
      <c r="EI39" s="122">
        <v>0</v>
      </c>
      <c r="EJ39" s="122">
        <v>0</v>
      </c>
      <c r="EK39" s="122">
        <v>0</v>
      </c>
      <c r="EL39" s="122">
        <v>1022</v>
      </c>
      <c r="EM39" s="122">
        <v>905</v>
      </c>
      <c r="EN39" s="122">
        <f>SUM(EB39:EM39)</f>
        <v>2082</v>
      </c>
      <c r="EO39" s="122">
        <v>0</v>
      </c>
      <c r="EP39" s="122" t="s">
        <v>11</v>
      </c>
      <c r="EQ39" s="122">
        <v>0</v>
      </c>
      <c r="ER39" s="122">
        <v>0</v>
      </c>
      <c r="ES39" s="122"/>
      <c r="ET39" s="122">
        <v>18.2</v>
      </c>
      <c r="EU39" s="122"/>
      <c r="EV39" s="122">
        <v>0</v>
      </c>
      <c r="EW39" s="122">
        <v>0</v>
      </c>
      <c r="EX39" s="122">
        <v>0</v>
      </c>
      <c r="EY39" s="122">
        <v>242</v>
      </c>
      <c r="EZ39" s="122">
        <v>190</v>
      </c>
      <c r="FA39" s="122">
        <f>SUM(EO39:EZ39)</f>
        <v>450.2</v>
      </c>
      <c r="FB39" s="122">
        <v>1091</v>
      </c>
      <c r="FC39" s="122" t="s">
        <v>11</v>
      </c>
      <c r="FD39" s="122">
        <v>0</v>
      </c>
      <c r="FE39" s="122"/>
      <c r="FF39" s="122"/>
      <c r="FG39" s="122"/>
      <c r="FH39" s="122"/>
      <c r="FI39" s="122">
        <v>0</v>
      </c>
      <c r="FJ39" s="122">
        <v>64.3</v>
      </c>
      <c r="FK39" s="122">
        <v>0</v>
      </c>
      <c r="FL39" s="122">
        <v>4.202</v>
      </c>
      <c r="FM39" s="122">
        <v>0</v>
      </c>
      <c r="FN39" s="122">
        <f>SUM(FB39:FM39)</f>
        <v>1159.502</v>
      </c>
      <c r="FO39" s="122">
        <v>2.514</v>
      </c>
      <c r="FP39" s="122">
        <v>547</v>
      </c>
      <c r="FQ39" s="122">
        <v>0</v>
      </c>
      <c r="FR39" s="122">
        <f>'[5]IV5-IV6'!$C$63</f>
        <v>0.92</v>
      </c>
      <c r="FS39" s="122">
        <v>0</v>
      </c>
      <c r="FT39" s="122">
        <v>0</v>
      </c>
      <c r="FU39" s="122">
        <v>0.177</v>
      </c>
      <c r="FV39" s="122">
        <v>0.184</v>
      </c>
      <c r="FW39" s="122">
        <v>0</v>
      </c>
      <c r="FX39" s="122">
        <v>504</v>
      </c>
      <c r="FY39" s="122">
        <v>3044.916</v>
      </c>
      <c r="FZ39" s="122">
        <v>2883.4</v>
      </c>
      <c r="GA39" s="122">
        <f>FO39+FP39+FQ39+FR39+FS39+FT39+FU39+FV39+FW39+FX39+FY39+FZ39</f>
        <v>6983.111000000001</v>
      </c>
      <c r="GB39" s="122">
        <v>6243.24</v>
      </c>
      <c r="GC39" s="122">
        <v>2818.39</v>
      </c>
      <c r="GD39" s="122">
        <v>623.465</v>
      </c>
      <c r="GE39" s="122">
        <v>1202.5</v>
      </c>
      <c r="GF39" s="122">
        <v>1607</v>
      </c>
      <c r="GG39" s="122">
        <v>15917</v>
      </c>
      <c r="GH39" s="122">
        <v>270</v>
      </c>
      <c r="GI39" s="122">
        <v>1185.466</v>
      </c>
      <c r="GJ39" s="122">
        <v>4390</v>
      </c>
      <c r="GK39" s="122">
        <v>1495</v>
      </c>
      <c r="GL39" s="122">
        <v>4421</v>
      </c>
      <c r="GM39" s="122">
        <v>2468</v>
      </c>
      <c r="GN39" s="122">
        <f>SUM(GB39:GM39)</f>
        <v>42641.061</v>
      </c>
      <c r="GO39" s="122">
        <v>2284.7</v>
      </c>
      <c r="GP39" s="122">
        <v>4259.377</v>
      </c>
      <c r="GQ39" s="122">
        <v>1451.53</v>
      </c>
      <c r="GR39" s="122">
        <v>4269.73</v>
      </c>
      <c r="GS39" s="122"/>
      <c r="GT39" s="122">
        <v>2000</v>
      </c>
      <c r="GU39" s="122"/>
      <c r="GV39" s="122">
        <v>475</v>
      </c>
      <c r="GW39" s="122"/>
      <c r="GX39" s="122">
        <v>4020</v>
      </c>
      <c r="GY39" s="122">
        <v>4820</v>
      </c>
      <c r="GZ39" s="122">
        <v>6020</v>
      </c>
      <c r="HA39" s="122"/>
      <c r="HB39" s="122"/>
      <c r="HC39" s="122"/>
      <c r="HD39" s="122">
        <v>3000</v>
      </c>
      <c r="HE39" s="122">
        <v>201.007</v>
      </c>
      <c r="HF39" s="122">
        <v>3157.525</v>
      </c>
      <c r="HG39" s="122">
        <v>1922</v>
      </c>
      <c r="HH39" s="122">
        <v>295.7</v>
      </c>
      <c r="HI39" s="122">
        <v>2010</v>
      </c>
      <c r="HJ39" s="122">
        <v>3170.625</v>
      </c>
      <c r="HK39" s="122"/>
      <c r="HL39" s="122">
        <v>3281</v>
      </c>
      <c r="HM39" s="98">
        <v>44.35</v>
      </c>
      <c r="HN39" s="98">
        <v>186</v>
      </c>
      <c r="HO39" s="98">
        <v>1008.006</v>
      </c>
      <c r="HP39" s="122">
        <v>0.078</v>
      </c>
      <c r="HQ39" s="98">
        <v>4022.006</v>
      </c>
      <c r="HR39" s="122">
        <v>3000.013</v>
      </c>
      <c r="HS39" s="122">
        <v>3026.6</v>
      </c>
      <c r="HT39" s="122">
        <v>3000</v>
      </c>
      <c r="HU39" s="122"/>
      <c r="HV39" s="122"/>
      <c r="HW39" s="122"/>
      <c r="HX39" s="122"/>
      <c r="HY39" s="122">
        <f>HA39+HB39+HC39+HD39+HE39+HF39+HG39+HH39</f>
        <v>8576.232</v>
      </c>
      <c r="HZ39" s="122">
        <f>HM39+HN39+HO39+HP39+HQ39+HR39+HS39+HT39</f>
        <v>14287.053</v>
      </c>
    </row>
    <row r="40" spans="2:234" ht="15.75">
      <c r="B40" s="105" t="s">
        <v>72</v>
      </c>
      <c r="C40" s="71">
        <v>679</v>
      </c>
      <c r="D40" s="71">
        <v>17</v>
      </c>
      <c r="E40" s="72">
        <v>23</v>
      </c>
      <c r="F40" s="42">
        <v>23</v>
      </c>
      <c r="G40" s="42">
        <v>233</v>
      </c>
      <c r="H40" s="42">
        <v>50</v>
      </c>
      <c r="I40" s="43" t="s">
        <v>11</v>
      </c>
      <c r="J40" s="43" t="s">
        <v>11</v>
      </c>
      <c r="K40" s="15" t="s">
        <v>11</v>
      </c>
      <c r="L40" s="15" t="s">
        <v>11</v>
      </c>
      <c r="M40" s="15"/>
      <c r="N40" s="15" t="s">
        <v>11</v>
      </c>
      <c r="O40" s="15" t="s">
        <v>11</v>
      </c>
      <c r="P40" s="15" t="s">
        <v>11</v>
      </c>
      <c r="Q40" s="15">
        <v>17</v>
      </c>
      <c r="R40" s="15" t="s">
        <v>11</v>
      </c>
      <c r="S40" s="15" t="s">
        <v>11</v>
      </c>
      <c r="T40" s="15" t="s">
        <v>11</v>
      </c>
      <c r="U40" s="42">
        <f>+I40+J40+K40+L40+M40+N40+O40+P40+Q40+R40+S40+T40+E40</f>
        <v>40</v>
      </c>
      <c r="V40" s="36" t="s">
        <v>11</v>
      </c>
      <c r="W40" s="43" t="s">
        <v>11</v>
      </c>
      <c r="X40" s="15" t="s">
        <v>11</v>
      </c>
      <c r="Y40" s="15" t="s">
        <v>11</v>
      </c>
      <c r="Z40" s="15" t="s">
        <v>11</v>
      </c>
      <c r="AA40" s="15" t="s">
        <v>11</v>
      </c>
      <c r="AB40" s="15" t="s">
        <v>11</v>
      </c>
      <c r="AC40" s="15" t="s">
        <v>11</v>
      </c>
      <c r="AD40" s="15" t="s">
        <v>11</v>
      </c>
      <c r="AE40" s="15" t="s">
        <v>11</v>
      </c>
      <c r="AF40" s="15">
        <v>23</v>
      </c>
      <c r="AG40" s="15" t="s">
        <v>11</v>
      </c>
      <c r="AH40" s="71">
        <f>SUM(V40:AG40)</f>
        <v>23</v>
      </c>
      <c r="AI40" s="43" t="s">
        <v>11</v>
      </c>
      <c r="AJ40" s="15">
        <v>23</v>
      </c>
      <c r="AK40" s="15" t="s">
        <v>11</v>
      </c>
      <c r="AL40" s="15" t="s">
        <v>11</v>
      </c>
      <c r="AM40" s="15" t="s">
        <v>11</v>
      </c>
      <c r="AN40" s="15" t="s">
        <v>11</v>
      </c>
      <c r="AO40" s="15" t="s">
        <v>11</v>
      </c>
      <c r="AP40" s="15" t="s">
        <v>11</v>
      </c>
      <c r="AQ40" s="15" t="s">
        <v>11</v>
      </c>
      <c r="AR40" s="15" t="s">
        <v>11</v>
      </c>
      <c r="AS40" s="15" t="s">
        <v>11</v>
      </c>
      <c r="AT40" s="15" t="s">
        <v>11</v>
      </c>
      <c r="AU40" s="71">
        <f>AI40+AJ40+AK40+AL40+AM40+AN40+AO40+AP40+AQ40+AR40+AS40+AT40</f>
        <v>23</v>
      </c>
      <c r="AV40" s="77" t="s">
        <v>11</v>
      </c>
      <c r="AW40" s="75" t="s">
        <v>11</v>
      </c>
      <c r="AX40" s="31" t="s">
        <v>11</v>
      </c>
      <c r="AY40" s="4"/>
      <c r="AZ40" s="31">
        <v>23</v>
      </c>
      <c r="BA40" s="4">
        <v>0</v>
      </c>
      <c r="BB40" s="4">
        <v>0</v>
      </c>
      <c r="BC40" s="4">
        <v>155</v>
      </c>
      <c r="BD40" s="4">
        <v>55</v>
      </c>
      <c r="BE40" s="4">
        <v>0</v>
      </c>
      <c r="BF40" s="4">
        <v>0</v>
      </c>
      <c r="BG40" s="12">
        <v>0</v>
      </c>
      <c r="BH40" s="71">
        <f>SUM(AV40:BG40)</f>
        <v>233</v>
      </c>
      <c r="BI40" s="36" t="s">
        <v>11</v>
      </c>
      <c r="BJ40" s="15">
        <f>BV40-BI40</f>
        <v>25.1</v>
      </c>
      <c r="BK40" s="15">
        <f>BW40-BJ40-BI40</f>
        <v>0</v>
      </c>
      <c r="BL40" s="15">
        <f>BX40-BK40-BJ40-BI40</f>
        <v>0</v>
      </c>
      <c r="BM40" s="15"/>
      <c r="BN40" s="15"/>
      <c r="BO40" s="15"/>
      <c r="BP40" s="15"/>
      <c r="BQ40" s="15"/>
      <c r="BR40" s="4"/>
      <c r="BS40" s="12"/>
      <c r="BT40" s="12"/>
      <c r="BU40" s="73">
        <v>50</v>
      </c>
      <c r="BV40" s="72">
        <v>25.1</v>
      </c>
      <c r="BW40" s="42">
        <v>25.1</v>
      </c>
      <c r="BX40" s="72">
        <v>25.1</v>
      </c>
      <c r="BY40" s="71">
        <v>25</v>
      </c>
      <c r="BZ40" s="71">
        <v>25.1</v>
      </c>
      <c r="CA40" s="71">
        <v>25.1</v>
      </c>
      <c r="CB40" s="71">
        <v>25.1</v>
      </c>
      <c r="CC40" s="42">
        <v>25.1</v>
      </c>
      <c r="CD40" s="42">
        <v>50.3</v>
      </c>
      <c r="CE40" s="43">
        <v>50.3</v>
      </c>
      <c r="CF40" s="43">
        <v>50.3</v>
      </c>
      <c r="CG40" s="43">
        <v>25.2</v>
      </c>
      <c r="CH40" s="119">
        <v>42.7</v>
      </c>
      <c r="CI40" s="127">
        <v>18.2</v>
      </c>
      <c r="CJ40" s="71">
        <v>28.11</v>
      </c>
      <c r="CK40" s="71">
        <v>29.41</v>
      </c>
      <c r="CL40" s="122">
        <v>38.245000000000005</v>
      </c>
      <c r="CM40" s="122">
        <v>32.64</v>
      </c>
      <c r="CN40" s="122">
        <v>22.507</v>
      </c>
      <c r="CO40" s="122">
        <v>14.026</v>
      </c>
      <c r="CP40" s="122">
        <v>2.155</v>
      </c>
      <c r="CQ40" s="122" t="s">
        <v>11</v>
      </c>
      <c r="CR40" s="122" t="s">
        <v>11</v>
      </c>
      <c r="CS40" s="122"/>
      <c r="CT40" s="122"/>
      <c r="CU40" s="122"/>
      <c r="CV40" s="122"/>
      <c r="CW40" s="122">
        <v>25</v>
      </c>
      <c r="CX40" s="122">
        <v>25.2</v>
      </c>
      <c r="CY40" s="122">
        <v>25.2</v>
      </c>
      <c r="CZ40" s="122">
        <v>25.2</v>
      </c>
      <c r="DA40" s="122">
        <v>25.2</v>
      </c>
      <c r="DB40" s="122">
        <v>25.2</v>
      </c>
      <c r="DC40" s="122">
        <v>28</v>
      </c>
      <c r="DD40" s="122">
        <v>28</v>
      </c>
      <c r="DE40" s="122">
        <v>28</v>
      </c>
      <c r="DF40" s="122">
        <v>28</v>
      </c>
      <c r="DG40" s="122">
        <v>36.6</v>
      </c>
      <c r="DH40" s="122">
        <v>36.6</v>
      </c>
      <c r="DI40" s="122">
        <v>42.7</v>
      </c>
      <c r="DJ40" s="122">
        <v>42.7</v>
      </c>
      <c r="DK40" s="122">
        <v>42.7</v>
      </c>
      <c r="DL40" s="122">
        <v>42.7</v>
      </c>
      <c r="DM40" s="122">
        <v>42.7</v>
      </c>
      <c r="DN40" s="122">
        <v>42.7</v>
      </c>
      <c r="DO40" s="122" t="s">
        <v>11</v>
      </c>
      <c r="DP40" s="122" t="s">
        <v>11</v>
      </c>
      <c r="DQ40" s="122" t="s">
        <v>11</v>
      </c>
      <c r="DR40" s="122" t="s">
        <v>11</v>
      </c>
      <c r="DS40" s="122">
        <v>3</v>
      </c>
      <c r="DT40" s="122">
        <v>6.6</v>
      </c>
      <c r="DU40" s="122">
        <v>11.6</v>
      </c>
      <c r="DV40" s="122">
        <v>12.2</v>
      </c>
      <c r="DW40" s="122">
        <v>12.2</v>
      </c>
      <c r="DX40" s="122">
        <v>16.2</v>
      </c>
      <c r="DY40" s="122">
        <v>18.2</v>
      </c>
      <c r="DZ40" s="122"/>
      <c r="EA40" s="122">
        <f>DY40+DZ40</f>
        <v>18.2</v>
      </c>
      <c r="EB40" s="122">
        <v>15</v>
      </c>
      <c r="EC40" s="122">
        <v>2</v>
      </c>
      <c r="ED40" s="122">
        <v>0</v>
      </c>
      <c r="EE40" s="122" t="s">
        <v>11</v>
      </c>
      <c r="EF40" s="122" t="s">
        <v>11</v>
      </c>
      <c r="EG40" s="122">
        <f>'[2]Feuil3'!$E$35</f>
        <v>2.61</v>
      </c>
      <c r="EH40" s="122">
        <v>1</v>
      </c>
      <c r="EI40" s="122">
        <v>0</v>
      </c>
      <c r="EJ40" s="122">
        <v>7.5</v>
      </c>
      <c r="EK40" s="122">
        <v>0</v>
      </c>
      <c r="EL40" s="122"/>
      <c r="EM40" s="122"/>
      <c r="EN40" s="122">
        <f>SUM(EB40:EM40)</f>
        <v>28.11</v>
      </c>
      <c r="EO40" s="122">
        <v>0</v>
      </c>
      <c r="EP40" s="122" t="s">
        <v>11</v>
      </c>
      <c r="EQ40" s="122">
        <v>0</v>
      </c>
      <c r="ER40" s="122">
        <v>0</v>
      </c>
      <c r="ES40" s="122"/>
      <c r="ET40" s="122">
        <v>3.9</v>
      </c>
      <c r="EU40" s="122">
        <v>3.5</v>
      </c>
      <c r="EV40" s="122">
        <v>0</v>
      </c>
      <c r="EW40" s="122">
        <v>1</v>
      </c>
      <c r="EX40" s="122">
        <v>17.21</v>
      </c>
      <c r="EY40" s="122">
        <v>3.8</v>
      </c>
      <c r="EZ40" s="122"/>
      <c r="FA40" s="122">
        <f>SUM(EO40:EZ40)</f>
        <v>29.41</v>
      </c>
      <c r="FB40" s="122" t="s">
        <v>11</v>
      </c>
      <c r="FC40" s="122" t="s">
        <v>11</v>
      </c>
      <c r="FD40" s="122">
        <v>0</v>
      </c>
      <c r="FE40" s="122"/>
      <c r="FF40" s="122"/>
      <c r="FG40" s="122"/>
      <c r="FH40" s="122">
        <v>1.3</v>
      </c>
      <c r="FI40" s="122">
        <v>0</v>
      </c>
      <c r="FJ40" s="122"/>
      <c r="FK40" s="122">
        <v>1.205</v>
      </c>
      <c r="FL40" s="122">
        <v>35.74</v>
      </c>
      <c r="FM40" s="122">
        <v>0</v>
      </c>
      <c r="FN40" s="122">
        <f>SUM(FB40:FM40)</f>
        <v>38.245000000000005</v>
      </c>
      <c r="FO40" s="122"/>
      <c r="FP40" s="122">
        <v>2.575</v>
      </c>
      <c r="FQ40" s="122">
        <v>0</v>
      </c>
      <c r="FR40" s="122">
        <f>'[5]IV5-IV6'!$C$62</f>
        <v>20</v>
      </c>
      <c r="FS40" s="122">
        <v>7.765</v>
      </c>
      <c r="FT40" s="122">
        <v>2.3</v>
      </c>
      <c r="FU40" s="122">
        <v>0</v>
      </c>
      <c r="FV40" s="122">
        <v>0</v>
      </c>
      <c r="FW40" s="122">
        <v>0</v>
      </c>
      <c r="FX40" s="122">
        <v>0</v>
      </c>
      <c r="FY40" s="122">
        <v>0</v>
      </c>
      <c r="FZ40" s="122">
        <v>0</v>
      </c>
      <c r="GA40" s="122">
        <f>FO40+FP40+FQ40+FR40+FS40+FT40+FU40+FV40+FW40+FX40+FY40+FZ40</f>
        <v>32.64</v>
      </c>
      <c r="GB40" s="122"/>
      <c r="GC40" s="122">
        <v>0</v>
      </c>
      <c r="GD40" s="122">
        <v>7.212</v>
      </c>
      <c r="GE40" s="122">
        <v>0</v>
      </c>
      <c r="GF40" s="122">
        <v>7.172</v>
      </c>
      <c r="GG40" s="122">
        <v>0</v>
      </c>
      <c r="GH40" s="122">
        <v>0</v>
      </c>
      <c r="GI40" s="122"/>
      <c r="GJ40" s="122"/>
      <c r="GK40" s="122">
        <v>1.171</v>
      </c>
      <c r="GL40" s="122">
        <v>6.942</v>
      </c>
      <c r="GM40" s="122">
        <v>0.01</v>
      </c>
      <c r="GN40" s="122">
        <f>SUM(GB40:GM40)</f>
        <v>22.507</v>
      </c>
      <c r="GO40" s="122">
        <v>7.021</v>
      </c>
      <c r="GP40" s="122">
        <v>0</v>
      </c>
      <c r="GQ40" s="122">
        <v>5.4</v>
      </c>
      <c r="GR40" s="122">
        <v>0</v>
      </c>
      <c r="GS40" s="122"/>
      <c r="GT40" s="122"/>
      <c r="GU40" s="122"/>
      <c r="GV40" s="122"/>
      <c r="GW40" s="122"/>
      <c r="GX40" s="122">
        <v>6.96</v>
      </c>
      <c r="GY40" s="122">
        <v>0.045</v>
      </c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>
        <v>0.295</v>
      </c>
      <c r="HK40" s="122">
        <v>1.686</v>
      </c>
      <c r="HL40" s="122">
        <v>0.174</v>
      </c>
      <c r="HM40" s="98"/>
      <c r="HN40" s="98"/>
      <c r="HO40" s="98"/>
      <c r="HP40" s="122">
        <v>0</v>
      </c>
      <c r="HQ40" s="98">
        <v>0.124</v>
      </c>
      <c r="HR40" s="122">
        <v>0</v>
      </c>
      <c r="HS40" s="122"/>
      <c r="HT40" s="122"/>
      <c r="HU40" s="122"/>
      <c r="HV40" s="122"/>
      <c r="HW40" s="122"/>
      <c r="HX40" s="122"/>
      <c r="HY40" s="122">
        <f>HA40+HB40+HC40+HD40+HE40+HF40+HG40+HH40</f>
        <v>0</v>
      </c>
      <c r="HZ40" s="147">
        <f>HM40+HN40+HO40+HP40+HQ40+HR40+HS40+HT40</f>
        <v>0.124</v>
      </c>
    </row>
    <row r="41" spans="2:234" ht="15.75">
      <c r="B41" s="105" t="s">
        <v>73</v>
      </c>
      <c r="C41" s="71">
        <f>577+2</f>
        <v>579</v>
      </c>
      <c r="D41" s="42">
        <v>429</v>
      </c>
      <c r="E41" s="72">
        <f>1441+5</f>
        <v>1446</v>
      </c>
      <c r="F41" s="42">
        <v>1118</v>
      </c>
      <c r="G41" s="42">
        <v>1496.5</v>
      </c>
      <c r="H41" s="42">
        <v>1225</v>
      </c>
      <c r="I41" s="43">
        <v>29</v>
      </c>
      <c r="J41" s="43">
        <v>47</v>
      </c>
      <c r="K41" s="15">
        <v>8</v>
      </c>
      <c r="L41" s="15">
        <v>23</v>
      </c>
      <c r="M41" s="15">
        <v>2</v>
      </c>
      <c r="N41" s="15">
        <f>2+294</f>
        <v>296</v>
      </c>
      <c r="O41" s="15">
        <v>21</v>
      </c>
      <c r="P41" s="15">
        <v>1</v>
      </c>
      <c r="Q41" s="15">
        <v>1</v>
      </c>
      <c r="R41" s="15" t="s">
        <v>11</v>
      </c>
      <c r="S41" s="15">
        <v>1</v>
      </c>
      <c r="T41" s="15" t="s">
        <v>11</v>
      </c>
      <c r="U41" s="42">
        <f>+I41+J41+K41+L41+M41+N41+O41+P41+Q41+R41+S41+T41</f>
        <v>429</v>
      </c>
      <c r="V41" s="36" t="s">
        <v>11</v>
      </c>
      <c r="W41" s="43">
        <v>5</v>
      </c>
      <c r="X41" s="15">
        <v>253</v>
      </c>
      <c r="Y41" s="15">
        <f>258+4</f>
        <v>262</v>
      </c>
      <c r="Z41" s="15">
        <v>249</v>
      </c>
      <c r="AA41" s="15">
        <v>237</v>
      </c>
      <c r="AB41" s="15">
        <v>60</v>
      </c>
      <c r="AC41" s="15" t="s">
        <v>11</v>
      </c>
      <c r="AD41" s="15">
        <v>136</v>
      </c>
      <c r="AE41" s="15">
        <v>82</v>
      </c>
      <c r="AF41" s="15">
        <v>90</v>
      </c>
      <c r="AG41" s="15">
        <f>71+1</f>
        <v>72</v>
      </c>
      <c r="AH41" s="71">
        <f>SUM(V41:AG41)</f>
        <v>1446</v>
      </c>
      <c r="AI41" s="43">
        <v>269</v>
      </c>
      <c r="AJ41" s="15">
        <v>141</v>
      </c>
      <c r="AK41" s="15">
        <v>50</v>
      </c>
      <c r="AL41" s="15">
        <v>91</v>
      </c>
      <c r="AM41" s="15">
        <v>87</v>
      </c>
      <c r="AN41" s="15">
        <v>69</v>
      </c>
      <c r="AO41" s="15">
        <v>76</v>
      </c>
      <c r="AP41" s="15">
        <v>88</v>
      </c>
      <c r="AQ41" s="15">
        <f>17+94</f>
        <v>111</v>
      </c>
      <c r="AR41" s="15">
        <f>126+6</f>
        <v>132</v>
      </c>
      <c r="AS41" s="15">
        <v>4</v>
      </c>
      <c r="AT41" s="75" t="s">
        <v>11</v>
      </c>
      <c r="AU41" s="71">
        <f>AI41+AJ41+AK41+AL41+AM41+AN41+AO41+AP41+AQ41+AR41+AS41+AT41</f>
        <v>1118</v>
      </c>
      <c r="AV41" s="77">
        <v>10</v>
      </c>
      <c r="AW41" s="4">
        <f>3+60+1+1</f>
        <v>65</v>
      </c>
      <c r="AX41" s="31">
        <f>50</f>
        <v>50</v>
      </c>
      <c r="AY41" s="4">
        <f>151+88+1</f>
        <v>240</v>
      </c>
      <c r="AZ41" s="31">
        <f>16+44</f>
        <v>60</v>
      </c>
      <c r="BA41" s="4">
        <f>253+88</f>
        <v>341</v>
      </c>
      <c r="BB41" s="4">
        <v>45.2</v>
      </c>
      <c r="BC41" s="4">
        <v>37.8</v>
      </c>
      <c r="BD41" s="4">
        <v>233.5</v>
      </c>
      <c r="BE41" s="4">
        <v>119.6</v>
      </c>
      <c r="BF41" s="4">
        <v>270.4</v>
      </c>
      <c r="BG41" s="12">
        <v>24</v>
      </c>
      <c r="BH41" s="71">
        <f>SUM(AV41:BG41)</f>
        <v>1496.5</v>
      </c>
      <c r="BI41" s="36">
        <f>123</f>
        <v>123</v>
      </c>
      <c r="BJ41" s="15">
        <v>212</v>
      </c>
      <c r="BK41" s="15">
        <v>125</v>
      </c>
      <c r="BL41" s="15">
        <v>31</v>
      </c>
      <c r="BM41" s="15">
        <v>49</v>
      </c>
      <c r="BN41" s="15">
        <v>22</v>
      </c>
      <c r="BO41" s="15">
        <v>91</v>
      </c>
      <c r="BP41" s="15">
        <v>9</v>
      </c>
      <c r="BQ41" s="15">
        <v>60</v>
      </c>
      <c r="BR41" s="15">
        <v>80</v>
      </c>
      <c r="BS41" s="15">
        <v>236</v>
      </c>
      <c r="BT41" s="15">
        <v>212</v>
      </c>
      <c r="BU41" s="73">
        <v>1225</v>
      </c>
      <c r="BV41" s="72">
        <v>339.6</v>
      </c>
      <c r="BW41" s="42">
        <f>468.2-18-91</f>
        <v>359.2</v>
      </c>
      <c r="BX41" s="72">
        <f>505.1-13-109</f>
        <v>383.1</v>
      </c>
      <c r="BY41" s="71">
        <v>304.2</v>
      </c>
      <c r="BZ41" s="71">
        <f>576.6-246-15</f>
        <v>315.6</v>
      </c>
      <c r="CA41" s="71">
        <f>673.9-261-2</f>
        <v>410.9</v>
      </c>
      <c r="CB41" s="71">
        <f>683.8-263-36</f>
        <v>384.79999999999995</v>
      </c>
      <c r="CC41" s="42">
        <f>747.2-299-8</f>
        <v>440.20000000000005</v>
      </c>
      <c r="CD41" s="42">
        <f>575.2-307-43</f>
        <v>225.20000000000005</v>
      </c>
      <c r="CE41" s="43">
        <f>1040.7-350-21</f>
        <v>669.7</v>
      </c>
      <c r="CF41" s="43">
        <v>1225</v>
      </c>
      <c r="CG41" s="43">
        <v>762.5</v>
      </c>
      <c r="CH41" s="119">
        <v>295.5</v>
      </c>
      <c r="CI41" s="127">
        <v>604.9</v>
      </c>
      <c r="CJ41" s="71">
        <v>2145.187</v>
      </c>
      <c r="CK41" s="71">
        <v>5370.891000000001</v>
      </c>
      <c r="CL41" s="122">
        <v>14085.405999999999</v>
      </c>
      <c r="CM41" s="122">
        <v>20140.295</v>
      </c>
      <c r="CN41" s="122">
        <v>13336.86</v>
      </c>
      <c r="CO41" s="122">
        <v>6180.665000000001</v>
      </c>
      <c r="CP41" s="122">
        <v>629.622</v>
      </c>
      <c r="CQ41" s="122">
        <v>169.55</v>
      </c>
      <c r="CR41" s="122">
        <v>750</v>
      </c>
      <c r="CS41" s="122">
        <f>307.4+509.5</f>
        <v>816.9</v>
      </c>
      <c r="CT41" s="122">
        <f>313+507.8</f>
        <v>820.8</v>
      </c>
      <c r="CU41" s="122">
        <f>824.3</f>
        <v>824.3</v>
      </c>
      <c r="CV41" s="122">
        <f>860</f>
        <v>860</v>
      </c>
      <c r="CW41" s="122">
        <f>871.2</f>
        <v>871.2</v>
      </c>
      <c r="CX41" s="122">
        <v>938</v>
      </c>
      <c r="CY41" s="122">
        <v>1046.1</v>
      </c>
      <c r="CZ41" s="122">
        <f>1051-300.1</f>
        <v>750.9</v>
      </c>
      <c r="DA41" s="122">
        <v>751</v>
      </c>
      <c r="DB41" s="122">
        <v>762.5</v>
      </c>
      <c r="DC41" s="122">
        <v>76.3</v>
      </c>
      <c r="DD41" s="122">
        <v>66</v>
      </c>
      <c r="DE41" s="122">
        <v>72.4</v>
      </c>
      <c r="DF41" s="122">
        <v>142.6</v>
      </c>
      <c r="DG41" s="122">
        <v>148.2</v>
      </c>
      <c r="DH41" s="122">
        <v>256.1</v>
      </c>
      <c r="DI41" s="122">
        <v>258</v>
      </c>
      <c r="DJ41" s="122">
        <v>279</v>
      </c>
      <c r="DK41" s="122">
        <v>288</v>
      </c>
      <c r="DL41" s="122">
        <v>291.3</v>
      </c>
      <c r="DM41" s="122">
        <v>291.3</v>
      </c>
      <c r="DN41" s="122">
        <v>295.5</v>
      </c>
      <c r="DO41" s="122">
        <v>21.5</v>
      </c>
      <c r="DP41" s="122">
        <v>413.5</v>
      </c>
      <c r="DQ41" s="122">
        <v>418.9</v>
      </c>
      <c r="DR41" s="122">
        <v>582.1</v>
      </c>
      <c r="DS41" s="122">
        <v>583</v>
      </c>
      <c r="DT41" s="122">
        <v>584.6</v>
      </c>
      <c r="DU41" s="122">
        <v>595.7</v>
      </c>
      <c r="DV41" s="122">
        <v>596.9</v>
      </c>
      <c r="DW41" s="122">
        <v>603.9</v>
      </c>
      <c r="DX41" s="122">
        <v>603.9</v>
      </c>
      <c r="DY41" s="122">
        <v>603.9</v>
      </c>
      <c r="DZ41" s="122">
        <v>1</v>
      </c>
      <c r="EA41" s="122">
        <f>DY41+DZ41</f>
        <v>604.9</v>
      </c>
      <c r="EB41" s="122">
        <v>121</v>
      </c>
      <c r="EC41" s="122">
        <v>1</v>
      </c>
      <c r="ED41" s="122">
        <v>87</v>
      </c>
      <c r="EE41" s="122">
        <f>1131</f>
        <v>1131</v>
      </c>
      <c r="EF41" s="122">
        <v>0</v>
      </c>
      <c r="EG41" s="122">
        <f>'[2]Feuil3'!$E$39+'[2]Feuil3'!$E$44+'[2]Feuil3'!$E$45</f>
        <v>249.377</v>
      </c>
      <c r="EH41" s="122">
        <f>0</f>
        <v>0</v>
      </c>
      <c r="EI41" s="122">
        <f>0.4</f>
        <v>0.4</v>
      </c>
      <c r="EJ41" s="122">
        <v>3.35</v>
      </c>
      <c r="EK41" s="122">
        <v>6.8</v>
      </c>
      <c r="EL41" s="122">
        <f>40+500+1</f>
        <v>541</v>
      </c>
      <c r="EM41" s="122">
        <f>2+1+1+0.26</f>
        <v>4.26</v>
      </c>
      <c r="EN41" s="122">
        <f>SUM(EB41:EM41)</f>
        <v>2145.187</v>
      </c>
      <c r="EO41" s="122">
        <f>15+162</f>
        <v>177</v>
      </c>
      <c r="EP41" s="122">
        <f>740</f>
        <v>740</v>
      </c>
      <c r="EQ41" s="122">
        <f>500+435</f>
        <v>935</v>
      </c>
      <c r="ER41" s="122">
        <v>374.161</v>
      </c>
      <c r="ES41" s="122">
        <f>3.8+692</f>
        <v>695.8</v>
      </c>
      <c r="ET41" s="122">
        <v>441.7</v>
      </c>
      <c r="EU41" s="122">
        <f>1+25.3</f>
        <v>26.3</v>
      </c>
      <c r="EV41" s="122">
        <f>803.66+0.01</f>
        <v>803.67</v>
      </c>
      <c r="EW41" s="122">
        <v>329.59999999999997</v>
      </c>
      <c r="EX41" s="122">
        <v>25.56</v>
      </c>
      <c r="EY41" s="122"/>
      <c r="EZ41" s="122">
        <f>0.4+1.7+820</f>
        <v>822.1</v>
      </c>
      <c r="FA41" s="122">
        <f>SUM(EO41:EZ41)</f>
        <v>5370.891000000001</v>
      </c>
      <c r="FB41" s="122">
        <v>669.972</v>
      </c>
      <c r="FC41" s="122">
        <v>817.482</v>
      </c>
      <c r="FD41" s="122">
        <f>'[4]IV5-IV6'!$D$46+'[4]IV5-IV6'!$D$38</f>
        <v>601.55</v>
      </c>
      <c r="FE41" s="122">
        <f>6.91+0.15+0.1+428.78</f>
        <v>435.94</v>
      </c>
      <c r="FF41" s="122">
        <f>828.99+1995</f>
        <v>2823.99</v>
      </c>
      <c r="FG41" s="122">
        <f>0.5+37+0.1+888.1</f>
        <v>925.7</v>
      </c>
      <c r="FH41" s="122">
        <v>352.981</v>
      </c>
      <c r="FI41" s="122">
        <v>249.3</v>
      </c>
      <c r="FJ41" s="122">
        <v>2054.6</v>
      </c>
      <c r="FK41" s="122">
        <v>1438.1299999999999</v>
      </c>
      <c r="FL41" s="122">
        <v>664.35</v>
      </c>
      <c r="FM41" s="122">
        <v>3051.411</v>
      </c>
      <c r="FN41" s="122">
        <f>SUM(FB41:FM41)</f>
        <v>14085.405999999999</v>
      </c>
      <c r="FO41" s="122">
        <v>4495.229</v>
      </c>
      <c r="FP41" s="122">
        <v>4373.199</v>
      </c>
      <c r="FQ41" s="122">
        <v>1438.317</v>
      </c>
      <c r="FR41" s="122">
        <f>'[5]IV5-IV6'!$C$60+'[5]IV5-IV6'!$C$61+'[5]IV5-IV6'!$C$65+'[5]IV5-IV6'!$C$66</f>
        <v>223.203</v>
      </c>
      <c r="FS41" s="122">
        <v>5.248</v>
      </c>
      <c r="FT41" s="122">
        <v>21.9</v>
      </c>
      <c r="FU41" s="122">
        <v>9.339</v>
      </c>
      <c r="FV41" s="122">
        <v>412.175</v>
      </c>
      <c r="FW41" s="122">
        <v>1858.153</v>
      </c>
      <c r="FX41" s="122">
        <v>91.6</v>
      </c>
      <c r="FY41" s="122">
        <v>6572.032</v>
      </c>
      <c r="FZ41" s="122">
        <v>639.9000000000001</v>
      </c>
      <c r="GA41" s="122">
        <f>FO41+FP41+FQ41+FR41+FS41+FT41+FU41+FV41+FW41+FX41+FY41+FZ41</f>
        <v>20140.295</v>
      </c>
      <c r="GB41" s="122">
        <v>944.883</v>
      </c>
      <c r="GC41" s="122">
        <v>651.636</v>
      </c>
      <c r="GD41" s="122">
        <v>952.095</v>
      </c>
      <c r="GE41" s="122">
        <v>648.7610000000001</v>
      </c>
      <c r="GF41" s="122">
        <v>363.788</v>
      </c>
      <c r="GG41" s="122">
        <v>350.97400000000005</v>
      </c>
      <c r="GH41" s="122">
        <v>238.574</v>
      </c>
      <c r="GI41" s="122">
        <v>2002.717</v>
      </c>
      <c r="GJ41" s="122">
        <v>3703.1760000000004</v>
      </c>
      <c r="GK41" s="122">
        <v>1535.44</v>
      </c>
      <c r="GL41" s="122">
        <v>1222.0259999999998</v>
      </c>
      <c r="GM41" s="122">
        <v>722.79</v>
      </c>
      <c r="GN41" s="122">
        <f>SUM(GB41:GM41)</f>
        <v>13336.86</v>
      </c>
      <c r="GO41" s="122">
        <v>1111.395</v>
      </c>
      <c r="GP41" s="122">
        <v>1323.7140000000002</v>
      </c>
      <c r="GQ41" s="122">
        <v>779.875</v>
      </c>
      <c r="GR41" s="122">
        <v>715.372</v>
      </c>
      <c r="GS41" s="122">
        <v>341.483</v>
      </c>
      <c r="GT41" s="122">
        <v>1251.4279999999999</v>
      </c>
      <c r="GU41" s="122">
        <v>5002.793</v>
      </c>
      <c r="GV41" s="122">
        <v>243.692</v>
      </c>
      <c r="GW41" s="122">
        <v>221.821</v>
      </c>
      <c r="GX41" s="122">
        <v>498.54400000000004</v>
      </c>
      <c r="GY41" s="122">
        <v>924.4509999999999</v>
      </c>
      <c r="GZ41" s="122">
        <v>990.507</v>
      </c>
      <c r="HA41" s="122"/>
      <c r="HB41" s="122">
        <v>605.938</v>
      </c>
      <c r="HC41" s="122">
        <v>2.251</v>
      </c>
      <c r="HD41" s="122">
        <v>2.08</v>
      </c>
      <c r="HE41" s="122"/>
      <c r="HF41" s="122">
        <v>0.101</v>
      </c>
      <c r="HG41" s="122"/>
      <c r="HH41" s="122">
        <v>1.1789999999999998</v>
      </c>
      <c r="HI41" s="122">
        <v>17.246000000000002</v>
      </c>
      <c r="HJ41" s="122">
        <v>0.022</v>
      </c>
      <c r="HK41" s="122">
        <v>0.77</v>
      </c>
      <c r="HL41" s="122">
        <v>0.035</v>
      </c>
      <c r="HM41" s="98">
        <v>0.535</v>
      </c>
      <c r="HN41" s="98"/>
      <c r="HO41" s="98">
        <v>0.693</v>
      </c>
      <c r="HP41" s="122">
        <v>0</v>
      </c>
      <c r="HQ41" s="98">
        <v>25.349</v>
      </c>
      <c r="HR41" s="122">
        <v>62</v>
      </c>
      <c r="HS41" s="122">
        <v>0.03</v>
      </c>
      <c r="HT41" s="122">
        <v>0.5</v>
      </c>
      <c r="HU41" s="122"/>
      <c r="HV41" s="122"/>
      <c r="HW41" s="122"/>
      <c r="HX41" s="122"/>
      <c r="HY41" s="122">
        <f>HA41+HB41+HC41+HD41+HE41+HF41+HG41+HH41</f>
        <v>611.549</v>
      </c>
      <c r="HZ41" s="122">
        <f>HM41+HN41+HO41+HP41+HQ41+HR41+HS41+HT41</f>
        <v>89.107</v>
      </c>
    </row>
    <row r="42" spans="2:234" ht="13.5" customHeight="1">
      <c r="B42" s="39"/>
      <c r="C42" s="58"/>
      <c r="D42" s="62"/>
      <c r="E42" s="63"/>
      <c r="F42" s="62"/>
      <c r="G42" s="62"/>
      <c r="H42" s="62"/>
      <c r="I42" s="64"/>
      <c r="J42" s="64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2"/>
      <c r="V42" s="65"/>
      <c r="W42" s="64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58"/>
      <c r="AI42" s="64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70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60"/>
      <c r="BU42" s="60"/>
      <c r="BV42" s="58"/>
      <c r="BW42" s="58"/>
      <c r="BX42" s="58"/>
      <c r="BY42" s="58"/>
      <c r="BZ42" s="58"/>
      <c r="CA42" s="58"/>
      <c r="CB42" s="58"/>
      <c r="CC42" s="58"/>
      <c r="CD42" s="58"/>
      <c r="CE42" s="64"/>
      <c r="CF42" s="64"/>
      <c r="CG42" s="64"/>
      <c r="CH42" s="72"/>
      <c r="CI42" s="42"/>
      <c r="CJ42" s="124"/>
      <c r="CK42" s="124"/>
      <c r="CL42" s="124"/>
      <c r="CM42" s="125"/>
      <c r="CN42" s="125"/>
      <c r="CO42" s="125"/>
      <c r="CP42" s="125"/>
      <c r="CQ42" s="137"/>
      <c r="CR42" s="131"/>
      <c r="CS42" s="131"/>
      <c r="CT42" s="131"/>
      <c r="CU42" s="131"/>
      <c r="CV42" s="137"/>
      <c r="CW42" s="131"/>
      <c r="CX42" s="131"/>
      <c r="CY42" s="131"/>
      <c r="CZ42" s="131"/>
      <c r="DA42" s="131"/>
      <c r="DB42" s="131"/>
      <c r="DC42" s="124"/>
      <c r="DD42" s="124"/>
      <c r="DE42" s="124"/>
      <c r="DF42" s="125"/>
      <c r="DG42" s="124"/>
      <c r="DH42" s="125"/>
      <c r="DI42" s="124"/>
      <c r="DJ42" s="125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5"/>
      <c r="ED42" s="125"/>
      <c r="EE42" s="125"/>
      <c r="EF42" s="125"/>
      <c r="EG42" s="125"/>
      <c r="EH42" s="125"/>
      <c r="EI42" s="125"/>
      <c r="EJ42" s="124"/>
      <c r="EK42" s="124"/>
      <c r="EL42" s="125"/>
      <c r="EM42" s="125"/>
      <c r="EN42" s="136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3"/>
      <c r="FC42" s="123"/>
      <c r="FD42" s="123"/>
      <c r="FE42" s="123"/>
      <c r="FF42" s="128"/>
      <c r="FG42" s="123"/>
      <c r="FH42" s="123"/>
      <c r="FI42" s="123"/>
      <c r="FJ42" s="123"/>
      <c r="FK42" s="123"/>
      <c r="FL42" s="123"/>
      <c r="FM42" s="123"/>
      <c r="FN42" s="123"/>
      <c r="FO42" s="129"/>
      <c r="FP42" s="126"/>
      <c r="FQ42" s="126"/>
      <c r="FR42" s="126"/>
      <c r="FS42" s="126"/>
      <c r="FT42" s="126"/>
      <c r="FU42" s="126"/>
      <c r="FV42" s="126"/>
      <c r="FW42" s="126"/>
      <c r="FX42" s="126"/>
      <c r="FY42" s="126"/>
      <c r="FZ42" s="126"/>
      <c r="GA42" s="123"/>
      <c r="GB42" s="123"/>
      <c r="GC42" s="123"/>
      <c r="GD42" s="123"/>
      <c r="GE42" s="123"/>
      <c r="GF42" s="123"/>
      <c r="GG42" s="123"/>
      <c r="GH42" s="123"/>
      <c r="GI42" s="123"/>
      <c r="GJ42" s="123"/>
      <c r="GK42" s="123"/>
      <c r="GL42" s="123"/>
      <c r="GM42" s="123"/>
      <c r="GN42" s="123"/>
      <c r="GO42" s="123"/>
      <c r="GP42" s="123"/>
      <c r="GQ42" s="123"/>
      <c r="GR42" s="123"/>
      <c r="GS42" s="123"/>
      <c r="GT42" s="123"/>
      <c r="GU42" s="123"/>
      <c r="GV42" s="123"/>
      <c r="GW42" s="123"/>
      <c r="GX42" s="123"/>
      <c r="GY42" s="123"/>
      <c r="GZ42" s="123"/>
      <c r="HA42" s="123"/>
      <c r="HB42" s="123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42"/>
      <c r="HR42" s="123"/>
      <c r="HS42" s="123"/>
      <c r="HT42" s="123"/>
      <c r="HU42" s="123"/>
      <c r="HV42" s="123"/>
      <c r="HW42" s="123"/>
      <c r="HX42" s="123"/>
      <c r="HY42" s="124"/>
      <c r="HZ42" s="124"/>
    </row>
    <row r="43" spans="2:234" ht="15.75">
      <c r="B43" s="107" t="s">
        <v>74</v>
      </c>
      <c r="C43" s="58">
        <f aca="true" t="shared" si="42" ref="C43:AH43">SUM(C45:C57)</f>
        <v>51075</v>
      </c>
      <c r="D43" s="58">
        <f t="shared" si="42"/>
        <v>26988</v>
      </c>
      <c r="E43" s="60">
        <f t="shared" si="42"/>
        <v>22822</v>
      </c>
      <c r="F43" s="60">
        <f t="shared" si="42"/>
        <v>23566</v>
      </c>
      <c r="G43" s="60">
        <f t="shared" si="42"/>
        <v>39422</v>
      </c>
      <c r="H43" s="60">
        <f t="shared" si="42"/>
        <v>111824</v>
      </c>
      <c r="I43" s="59">
        <f t="shared" si="42"/>
        <v>2999</v>
      </c>
      <c r="J43" s="58">
        <f t="shared" si="42"/>
        <v>3275</v>
      </c>
      <c r="K43" s="58">
        <f t="shared" si="42"/>
        <v>1860</v>
      </c>
      <c r="L43" s="58">
        <f t="shared" si="42"/>
        <v>1559</v>
      </c>
      <c r="M43" s="58">
        <f t="shared" si="42"/>
        <v>2219</v>
      </c>
      <c r="N43" s="58">
        <f t="shared" si="42"/>
        <v>1388</v>
      </c>
      <c r="O43" s="58">
        <f t="shared" si="42"/>
        <v>2415</v>
      </c>
      <c r="P43" s="58">
        <f t="shared" si="42"/>
        <v>2671</v>
      </c>
      <c r="Q43" s="58">
        <f t="shared" si="42"/>
        <v>2246</v>
      </c>
      <c r="R43" s="58">
        <f t="shared" si="42"/>
        <v>1720</v>
      </c>
      <c r="S43" s="58">
        <f t="shared" si="42"/>
        <v>2693</v>
      </c>
      <c r="T43" s="58">
        <f t="shared" si="42"/>
        <v>1943</v>
      </c>
      <c r="U43" s="58">
        <f t="shared" si="42"/>
        <v>26988</v>
      </c>
      <c r="V43" s="58">
        <f t="shared" si="42"/>
        <v>2508</v>
      </c>
      <c r="W43" s="58">
        <f t="shared" si="42"/>
        <v>1508</v>
      </c>
      <c r="X43" s="58">
        <f t="shared" si="42"/>
        <v>2934</v>
      </c>
      <c r="Y43" s="58">
        <f t="shared" si="42"/>
        <v>1865</v>
      </c>
      <c r="Z43" s="58">
        <f t="shared" si="42"/>
        <v>1215</v>
      </c>
      <c r="AA43" s="58">
        <f t="shared" si="42"/>
        <v>1746</v>
      </c>
      <c r="AB43" s="58">
        <f t="shared" si="42"/>
        <v>2647</v>
      </c>
      <c r="AC43" s="58">
        <f t="shared" si="42"/>
        <v>1748</v>
      </c>
      <c r="AD43" s="58">
        <f t="shared" si="42"/>
        <v>1850</v>
      </c>
      <c r="AE43" s="58">
        <f t="shared" si="42"/>
        <v>2013</v>
      </c>
      <c r="AF43" s="58">
        <f t="shared" si="42"/>
        <v>1570</v>
      </c>
      <c r="AG43" s="58">
        <f t="shared" si="42"/>
        <v>1218</v>
      </c>
      <c r="AH43" s="58">
        <f t="shared" si="42"/>
        <v>22822</v>
      </c>
      <c r="AI43" s="58">
        <f aca="true" t="shared" si="43" ref="AI43:BA43">SUM(AI45:AI57)</f>
        <v>1523</v>
      </c>
      <c r="AJ43" s="58">
        <f t="shared" si="43"/>
        <v>1455</v>
      </c>
      <c r="AK43" s="58">
        <f t="shared" si="43"/>
        <v>3024</v>
      </c>
      <c r="AL43" s="58">
        <f t="shared" si="43"/>
        <v>2305</v>
      </c>
      <c r="AM43" s="58">
        <f t="shared" si="43"/>
        <v>1851</v>
      </c>
      <c r="AN43" s="58">
        <f t="shared" si="43"/>
        <v>1552</v>
      </c>
      <c r="AO43" s="58">
        <f t="shared" si="43"/>
        <v>1673</v>
      </c>
      <c r="AP43" s="58">
        <f t="shared" si="43"/>
        <v>2290</v>
      </c>
      <c r="AQ43" s="58">
        <f t="shared" si="43"/>
        <v>2802</v>
      </c>
      <c r="AR43" s="58">
        <f t="shared" si="43"/>
        <v>1563</v>
      </c>
      <c r="AS43" s="58">
        <f t="shared" si="43"/>
        <v>1640</v>
      </c>
      <c r="AT43" s="58">
        <f t="shared" si="43"/>
        <v>1888</v>
      </c>
      <c r="AU43" s="58">
        <f t="shared" si="43"/>
        <v>23566</v>
      </c>
      <c r="AV43" s="58">
        <f t="shared" si="43"/>
        <v>1526</v>
      </c>
      <c r="AW43" s="58">
        <f t="shared" si="43"/>
        <v>1466</v>
      </c>
      <c r="AX43" s="58">
        <f t="shared" si="43"/>
        <v>3024</v>
      </c>
      <c r="AY43" s="58">
        <f t="shared" si="43"/>
        <v>2018</v>
      </c>
      <c r="AZ43" s="58">
        <f t="shared" si="43"/>
        <v>2115</v>
      </c>
      <c r="BA43" s="58">
        <f t="shared" si="43"/>
        <v>2369</v>
      </c>
      <c r="BB43" s="58">
        <f aca="true" t="shared" si="44" ref="BB43:CF43">SUM(BB45:BB57)</f>
        <v>3274.1000000000004</v>
      </c>
      <c r="BC43" s="58">
        <f t="shared" si="44"/>
        <v>2536.4</v>
      </c>
      <c r="BD43" s="58">
        <f t="shared" si="44"/>
        <v>3895.7999999999997</v>
      </c>
      <c r="BE43" s="58">
        <f t="shared" si="44"/>
        <v>3675.9000000000005</v>
      </c>
      <c r="BF43" s="58">
        <f t="shared" si="44"/>
        <v>5137.799999999999</v>
      </c>
      <c r="BG43" s="58">
        <f t="shared" si="44"/>
        <v>8384</v>
      </c>
      <c r="BH43" s="58">
        <f t="shared" si="44"/>
        <v>39422</v>
      </c>
      <c r="BI43" s="58">
        <f t="shared" si="44"/>
        <v>6943</v>
      </c>
      <c r="BJ43" s="58">
        <f t="shared" si="44"/>
        <v>8268.2</v>
      </c>
      <c r="BK43" s="58">
        <f t="shared" si="44"/>
        <v>7864.700000000002</v>
      </c>
      <c r="BL43" s="58">
        <f t="shared" si="44"/>
        <v>9833.1</v>
      </c>
      <c r="BM43" s="58">
        <f t="shared" si="44"/>
        <v>7073.000000000001</v>
      </c>
      <c r="BN43" s="58">
        <f t="shared" si="44"/>
        <v>10556.500000000002</v>
      </c>
      <c r="BO43" s="58">
        <f t="shared" si="44"/>
        <v>9721.3</v>
      </c>
      <c r="BP43" s="58">
        <f t="shared" si="44"/>
        <v>15524.899999999996</v>
      </c>
      <c r="BQ43" s="58">
        <f t="shared" si="44"/>
        <v>10445.599999999999</v>
      </c>
      <c r="BR43" s="58">
        <f t="shared" si="44"/>
        <v>8467.600000000013</v>
      </c>
      <c r="BS43" s="58">
        <f t="shared" si="44"/>
        <v>10178.100000000004</v>
      </c>
      <c r="BT43" s="60">
        <f t="shared" si="44"/>
        <v>6947.999999999989</v>
      </c>
      <c r="BU43" s="60">
        <f>SUM(BI43:BT43)</f>
        <v>111823.99999999999</v>
      </c>
      <c r="BV43" s="58">
        <f t="shared" si="44"/>
        <v>15211.3</v>
      </c>
      <c r="BW43" s="58">
        <f t="shared" si="44"/>
        <v>23075.9</v>
      </c>
      <c r="BX43" s="58">
        <f t="shared" si="44"/>
        <v>32909</v>
      </c>
      <c r="BY43" s="58">
        <f t="shared" si="44"/>
        <v>39982</v>
      </c>
      <c r="BZ43" s="58">
        <f t="shared" si="44"/>
        <v>50538.49999999999</v>
      </c>
      <c r="CA43" s="58">
        <f t="shared" si="44"/>
        <v>60259.80000000002</v>
      </c>
      <c r="CB43" s="58">
        <f t="shared" si="44"/>
        <v>75784.7</v>
      </c>
      <c r="CC43" s="58">
        <f t="shared" si="44"/>
        <v>86230.3</v>
      </c>
      <c r="CD43" s="58">
        <f t="shared" si="44"/>
        <v>94697.9</v>
      </c>
      <c r="CE43" s="58">
        <f t="shared" si="44"/>
        <v>104876</v>
      </c>
      <c r="CF43" s="58">
        <f t="shared" si="44"/>
        <v>111824</v>
      </c>
      <c r="CG43" s="58">
        <v>92227.8</v>
      </c>
      <c r="CH43" s="60">
        <f>SUM(CH45:CH57)</f>
        <v>109525.1</v>
      </c>
      <c r="CI43" s="58">
        <f aca="true" t="shared" si="45" ref="CI43:EW43">SUM(CI45:CI57)</f>
        <v>96491.5</v>
      </c>
      <c r="CJ43" s="141">
        <f t="shared" si="45"/>
        <v>153857.23607506705</v>
      </c>
      <c r="CK43" s="141">
        <f t="shared" si="45"/>
        <v>189623.4629999999</v>
      </c>
      <c r="CL43" s="145">
        <f t="shared" si="45"/>
        <v>178088.97</v>
      </c>
      <c r="CM43" s="145">
        <f t="shared" si="45"/>
        <v>254167.637042</v>
      </c>
      <c r="CN43" s="145">
        <f t="shared" si="45"/>
        <v>249361.728</v>
      </c>
      <c r="CO43" s="145">
        <f t="shared" si="45"/>
        <v>231054.70500000005</v>
      </c>
      <c r="CP43" s="145">
        <f t="shared" si="45"/>
        <v>250149.775</v>
      </c>
      <c r="CQ43" s="145">
        <f t="shared" si="45"/>
        <v>6993.400000000001</v>
      </c>
      <c r="CR43" s="145">
        <f t="shared" si="45"/>
        <v>12503.2</v>
      </c>
      <c r="CS43" s="145">
        <f t="shared" si="45"/>
        <v>19252.1</v>
      </c>
      <c r="CT43" s="145">
        <f t="shared" si="45"/>
        <v>26527.1</v>
      </c>
      <c r="CU43" s="145">
        <f t="shared" si="45"/>
        <v>34734.8</v>
      </c>
      <c r="CV43" s="145">
        <f t="shared" si="45"/>
        <v>40528.399999999994</v>
      </c>
      <c r="CW43" s="145">
        <f t="shared" si="45"/>
        <v>48566</v>
      </c>
      <c r="CX43" s="145">
        <f t="shared" si="45"/>
        <v>61637.80000000001</v>
      </c>
      <c r="CY43" s="145">
        <f t="shared" si="45"/>
        <v>70571.50000000001</v>
      </c>
      <c r="CZ43" s="145">
        <f t="shared" si="45"/>
        <v>78429.60000000002</v>
      </c>
      <c r="DA43" s="145">
        <f t="shared" si="45"/>
        <v>88271.30000000002</v>
      </c>
      <c r="DB43" s="145">
        <f t="shared" si="45"/>
        <v>92227.8</v>
      </c>
      <c r="DC43" s="145">
        <f t="shared" si="45"/>
        <v>6684.9000000000015</v>
      </c>
      <c r="DD43" s="145">
        <f t="shared" si="45"/>
        <v>13819.399999999998</v>
      </c>
      <c r="DE43" s="145">
        <f t="shared" si="45"/>
        <v>23212.7</v>
      </c>
      <c r="DF43" s="145">
        <f t="shared" si="45"/>
        <v>31865.600000000006</v>
      </c>
      <c r="DG43" s="145">
        <f t="shared" si="45"/>
        <v>41331.09999999999</v>
      </c>
      <c r="DH43" s="145">
        <f t="shared" si="45"/>
        <v>48914.100000000006</v>
      </c>
      <c r="DI43" s="145">
        <f t="shared" si="45"/>
        <v>64469.40000000001</v>
      </c>
      <c r="DJ43" s="145">
        <f t="shared" si="45"/>
        <v>72355.7</v>
      </c>
      <c r="DK43" s="145">
        <f t="shared" si="45"/>
        <v>81076.09999999999</v>
      </c>
      <c r="DL43" s="145">
        <f t="shared" si="45"/>
        <v>95323.1</v>
      </c>
      <c r="DM43" s="145">
        <f t="shared" si="45"/>
        <v>102079.4</v>
      </c>
      <c r="DN43" s="145">
        <f t="shared" si="45"/>
        <v>109525.1</v>
      </c>
      <c r="DO43" s="145">
        <f t="shared" si="45"/>
        <v>7873.6</v>
      </c>
      <c r="DP43" s="145">
        <f t="shared" si="45"/>
        <v>19881.5</v>
      </c>
      <c r="DQ43" s="145">
        <f t="shared" si="45"/>
        <v>28151.3</v>
      </c>
      <c r="DR43" s="145">
        <f t="shared" si="45"/>
        <v>37783.299999999996</v>
      </c>
      <c r="DS43" s="145">
        <f t="shared" si="45"/>
        <v>45336.8</v>
      </c>
      <c r="DT43" s="145">
        <f t="shared" si="45"/>
        <v>52820.99999999999</v>
      </c>
      <c r="DU43" s="145">
        <f t="shared" si="45"/>
        <v>60008.9</v>
      </c>
      <c r="DV43" s="145">
        <f t="shared" si="45"/>
        <v>68337.8</v>
      </c>
      <c r="DW43" s="145">
        <f t="shared" si="45"/>
        <v>76053.6</v>
      </c>
      <c r="DX43" s="145">
        <f t="shared" si="45"/>
        <v>82794</v>
      </c>
      <c r="DY43" s="145">
        <f t="shared" si="45"/>
        <v>91205.5</v>
      </c>
      <c r="DZ43" s="145">
        <f t="shared" si="45"/>
        <v>5286</v>
      </c>
      <c r="EA43" s="145">
        <f t="shared" si="45"/>
        <v>96491.5</v>
      </c>
      <c r="EB43" s="145">
        <f t="shared" si="45"/>
        <v>13217.042000000003</v>
      </c>
      <c r="EC43" s="145">
        <f t="shared" si="45"/>
        <v>9421.6</v>
      </c>
      <c r="ED43" s="145">
        <f t="shared" si="45"/>
        <v>12095.7</v>
      </c>
      <c r="EE43" s="145">
        <f t="shared" si="45"/>
        <v>9730</v>
      </c>
      <c r="EF43" s="145">
        <f t="shared" si="45"/>
        <v>9159.286</v>
      </c>
      <c r="EG43" s="145">
        <f t="shared" si="45"/>
        <v>14524.073000000002</v>
      </c>
      <c r="EH43" s="145">
        <f t="shared" si="45"/>
        <v>12649.970999999998</v>
      </c>
      <c r="EI43" s="145">
        <f t="shared" si="45"/>
        <v>11572.857000000005</v>
      </c>
      <c r="EJ43" s="145">
        <f t="shared" si="45"/>
        <v>14029.505000000001</v>
      </c>
      <c r="EK43" s="145">
        <f t="shared" si="45"/>
        <v>15345.791999999996</v>
      </c>
      <c r="EL43" s="145">
        <f t="shared" si="45"/>
        <v>10846.783000000009</v>
      </c>
      <c r="EM43" s="145">
        <f t="shared" si="45"/>
        <v>21264.627075067023</v>
      </c>
      <c r="EN43" s="145">
        <f t="shared" si="45"/>
        <v>153857.23607506705</v>
      </c>
      <c r="EO43" s="145">
        <f t="shared" si="45"/>
        <v>16050.57499999996</v>
      </c>
      <c r="EP43" s="145">
        <f t="shared" si="45"/>
        <v>13681.713999999985</v>
      </c>
      <c r="EQ43" s="145">
        <f t="shared" si="45"/>
        <v>15047.606</v>
      </c>
      <c r="ER43" s="145">
        <f t="shared" si="45"/>
        <v>12671.182999999979</v>
      </c>
      <c r="ES43" s="145">
        <f t="shared" si="45"/>
        <v>12753.073</v>
      </c>
      <c r="ET43" s="145">
        <f t="shared" si="45"/>
        <v>15846.320000000009</v>
      </c>
      <c r="EU43" s="145">
        <f t="shared" si="45"/>
        <v>15026.568999999974</v>
      </c>
      <c r="EV43" s="145">
        <f t="shared" si="45"/>
        <v>19255.911000000015</v>
      </c>
      <c r="EW43" s="145">
        <f t="shared" si="45"/>
        <v>14351.687000000004</v>
      </c>
      <c r="EX43" s="145">
        <f aca="true" t="shared" si="46" ref="EX43:GC43">SUM(EX45:EX57)</f>
        <v>16280.359</v>
      </c>
      <c r="EY43" s="145">
        <f t="shared" si="46"/>
        <v>14501.065999999993</v>
      </c>
      <c r="EZ43" s="145">
        <f t="shared" si="46"/>
        <v>24157.300000000003</v>
      </c>
      <c r="FA43" s="145">
        <f t="shared" si="46"/>
        <v>189623.3629999999</v>
      </c>
      <c r="FB43" s="145">
        <f t="shared" si="46"/>
        <v>17073.193</v>
      </c>
      <c r="FC43" s="145">
        <f t="shared" si="46"/>
        <v>12273.934999999998</v>
      </c>
      <c r="FD43" s="145">
        <f t="shared" si="46"/>
        <v>15070.052</v>
      </c>
      <c r="FE43" s="145">
        <f t="shared" si="46"/>
        <v>12298.813999999997</v>
      </c>
      <c r="FF43" s="145">
        <f t="shared" si="46"/>
        <v>10110.455000000002</v>
      </c>
      <c r="FG43" s="145">
        <f t="shared" si="46"/>
        <v>12841.192999999997</v>
      </c>
      <c r="FH43" s="145">
        <f t="shared" si="46"/>
        <v>14556.252999999993</v>
      </c>
      <c r="FI43" s="145">
        <f t="shared" si="46"/>
        <v>13543.25400000001</v>
      </c>
      <c r="FJ43" s="145">
        <f t="shared" si="46"/>
        <v>15757.179</v>
      </c>
      <c r="FK43" s="145">
        <f t="shared" si="46"/>
        <v>18003.476</v>
      </c>
      <c r="FL43" s="145">
        <f t="shared" si="46"/>
        <v>20760.317000000003</v>
      </c>
      <c r="FM43" s="145">
        <f t="shared" si="46"/>
        <v>15801.04899999999</v>
      </c>
      <c r="FN43" s="145">
        <f t="shared" si="46"/>
        <v>178089.16999999998</v>
      </c>
      <c r="FO43" s="145">
        <f t="shared" si="46"/>
        <v>29424.797042</v>
      </c>
      <c r="FP43" s="145">
        <f t="shared" si="46"/>
        <v>19731.725999999988</v>
      </c>
      <c r="FQ43" s="145">
        <f t="shared" si="46"/>
        <v>14457.614000000001</v>
      </c>
      <c r="FR43" s="145">
        <f t="shared" si="46"/>
        <v>19922.763</v>
      </c>
      <c r="FS43" s="145">
        <f t="shared" si="46"/>
        <v>17460.588</v>
      </c>
      <c r="FT43" s="145">
        <f t="shared" si="46"/>
        <v>20973.78</v>
      </c>
      <c r="FU43" s="145">
        <f t="shared" si="46"/>
        <v>21062.011</v>
      </c>
      <c r="FV43" s="145">
        <f t="shared" si="46"/>
        <v>23471.814</v>
      </c>
      <c r="FW43" s="145">
        <f t="shared" si="46"/>
        <v>22023.981999999996</v>
      </c>
      <c r="FX43" s="145">
        <f t="shared" si="46"/>
        <v>21796.734000000033</v>
      </c>
      <c r="FY43" s="145">
        <f t="shared" si="46"/>
        <v>22740.128</v>
      </c>
      <c r="FZ43" s="145">
        <f t="shared" si="46"/>
        <v>21101.699999999997</v>
      </c>
      <c r="GA43" s="145">
        <f t="shared" si="46"/>
        <v>254167.637042</v>
      </c>
      <c r="GB43" s="145">
        <f t="shared" si="46"/>
        <v>21924.089</v>
      </c>
      <c r="GC43" s="145">
        <f t="shared" si="46"/>
        <v>20682.45</v>
      </c>
      <c r="GD43" s="145">
        <f aca="true" t="shared" si="47" ref="GD43:HI43">SUM(GD45:GD57)</f>
        <v>17370.635000000002</v>
      </c>
      <c r="GE43" s="145">
        <f t="shared" si="47"/>
        <v>17166.155</v>
      </c>
      <c r="GF43" s="145">
        <f t="shared" si="47"/>
        <v>20078.714</v>
      </c>
      <c r="GG43" s="145">
        <f t="shared" si="47"/>
        <v>18945.792</v>
      </c>
      <c r="GH43" s="145">
        <f t="shared" si="47"/>
        <v>22458.482000000004</v>
      </c>
      <c r="GI43" s="145">
        <f t="shared" si="47"/>
        <v>22576.449999999997</v>
      </c>
      <c r="GJ43" s="145">
        <f t="shared" si="47"/>
        <v>24571.527</v>
      </c>
      <c r="GK43" s="145">
        <f t="shared" si="47"/>
        <v>21383.128</v>
      </c>
      <c r="GL43" s="145">
        <f t="shared" si="47"/>
        <v>19618.364</v>
      </c>
      <c r="GM43" s="145">
        <f t="shared" si="47"/>
        <v>22585.922</v>
      </c>
      <c r="GN43" s="145">
        <f t="shared" si="47"/>
        <v>249361.708</v>
      </c>
      <c r="GO43" s="145">
        <f t="shared" si="47"/>
        <v>29202.101000000002</v>
      </c>
      <c r="GP43" s="145">
        <f t="shared" si="47"/>
        <v>31866.761000000002</v>
      </c>
      <c r="GQ43" s="145">
        <f t="shared" si="47"/>
        <v>31889.867999999995</v>
      </c>
      <c r="GR43" s="145">
        <f t="shared" si="47"/>
        <v>21527.000999999997</v>
      </c>
      <c r="GS43" s="145">
        <f t="shared" si="47"/>
        <v>20568.234</v>
      </c>
      <c r="GT43" s="145">
        <f t="shared" si="47"/>
        <v>27652.089</v>
      </c>
      <c r="GU43" s="145">
        <f t="shared" si="47"/>
        <v>24394.002000000004</v>
      </c>
      <c r="GV43" s="145">
        <f t="shared" si="47"/>
        <v>23091.469</v>
      </c>
      <c r="GW43" s="145">
        <f t="shared" si="47"/>
        <v>30362.197</v>
      </c>
      <c r="GX43" s="145">
        <f t="shared" si="47"/>
        <v>35031.369</v>
      </c>
      <c r="GY43" s="145">
        <f t="shared" si="47"/>
        <v>23879.812795605492</v>
      </c>
      <c r="GZ43" s="145">
        <f t="shared" si="47"/>
        <v>24162.542999999998</v>
      </c>
      <c r="HA43" s="145">
        <f t="shared" si="47"/>
        <v>14700.354</v>
      </c>
      <c r="HB43" s="145">
        <f t="shared" si="47"/>
        <v>17986.366</v>
      </c>
      <c r="HC43" s="145">
        <f t="shared" si="47"/>
        <v>22419.207000000002</v>
      </c>
      <c r="HD43" s="145">
        <f t="shared" si="47"/>
        <v>21573.252000000004</v>
      </c>
      <c r="HE43" s="145">
        <f t="shared" si="47"/>
        <v>18758.136</v>
      </c>
      <c r="HF43" s="145">
        <f t="shared" si="47"/>
        <v>18034.256</v>
      </c>
      <c r="HG43" s="145">
        <f t="shared" si="47"/>
        <v>21772.003</v>
      </c>
      <c r="HH43" s="145">
        <f t="shared" si="47"/>
        <v>32460.122</v>
      </c>
      <c r="HI43" s="145">
        <f t="shared" si="47"/>
        <v>24664.990999999998</v>
      </c>
      <c r="HJ43" s="145">
        <f aca="true" t="shared" si="48" ref="HJ43:HY43">SUM(HJ45:HJ57)</f>
        <v>19623.514000000003</v>
      </c>
      <c r="HK43" s="145">
        <f t="shared" si="48"/>
        <v>17796.241</v>
      </c>
      <c r="HL43" s="145">
        <f t="shared" si="48"/>
        <v>20361.333000000002</v>
      </c>
      <c r="HM43" s="145">
        <f t="shared" si="48"/>
        <v>23246.024</v>
      </c>
      <c r="HN43" s="145">
        <f t="shared" si="48"/>
        <v>18579.594</v>
      </c>
      <c r="HO43" s="145">
        <f t="shared" si="48"/>
        <v>20848.574</v>
      </c>
      <c r="HP43" s="145">
        <f t="shared" si="48"/>
        <v>17449.503</v>
      </c>
      <c r="HQ43" s="143">
        <f t="shared" si="48"/>
        <v>17262.678</v>
      </c>
      <c r="HR43" s="145">
        <f t="shared" si="48"/>
        <v>25086.827</v>
      </c>
      <c r="HS43" s="145">
        <f t="shared" si="48"/>
        <v>28686.983</v>
      </c>
      <c r="HT43" s="145">
        <f t="shared" si="48"/>
        <v>34878.8045</v>
      </c>
      <c r="HU43" s="145">
        <f t="shared" si="48"/>
        <v>0</v>
      </c>
      <c r="HV43" s="145">
        <f t="shared" si="48"/>
        <v>0</v>
      </c>
      <c r="HW43" s="145">
        <f t="shared" si="48"/>
        <v>0</v>
      </c>
      <c r="HX43" s="145">
        <f t="shared" si="48"/>
        <v>0</v>
      </c>
      <c r="HY43" s="145">
        <f t="shared" si="48"/>
        <v>167703.696</v>
      </c>
      <c r="HZ43" s="145">
        <f>SUM(HZ45:IV57)</f>
        <v>186038.98749999996</v>
      </c>
    </row>
    <row r="44" spans="2:234" ht="15.75">
      <c r="B44" s="107"/>
      <c r="C44" s="71"/>
      <c r="D44" s="42"/>
      <c r="E44" s="72"/>
      <c r="F44" s="42"/>
      <c r="G44" s="42"/>
      <c r="H44" s="42"/>
      <c r="I44" s="43"/>
      <c r="J44" s="43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42"/>
      <c r="V44" s="56"/>
      <c r="W44" s="43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71"/>
      <c r="AI44" s="43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71"/>
      <c r="AV44" s="56"/>
      <c r="AW44" s="4"/>
      <c r="AX44" s="31"/>
      <c r="AY44" s="4"/>
      <c r="AZ44" s="31"/>
      <c r="BA44" s="4"/>
      <c r="BB44" s="4"/>
      <c r="BC44" s="4"/>
      <c r="BD44" s="4"/>
      <c r="BE44" s="4"/>
      <c r="BF44" s="12"/>
      <c r="BG44" s="12"/>
      <c r="BH44" s="71"/>
      <c r="BI44" s="36"/>
      <c r="BJ44" s="4"/>
      <c r="BK44" s="31"/>
      <c r="BL44" s="4"/>
      <c r="BM44" s="31"/>
      <c r="BN44" s="4"/>
      <c r="BO44" s="4"/>
      <c r="BP44" s="4"/>
      <c r="BQ44" s="4"/>
      <c r="BR44" s="4"/>
      <c r="BS44" s="12"/>
      <c r="BT44" s="12"/>
      <c r="BU44" s="73"/>
      <c r="BV44" s="72"/>
      <c r="BW44" s="42"/>
      <c r="BX44" s="72"/>
      <c r="BY44" s="71"/>
      <c r="BZ44" s="71"/>
      <c r="CA44" s="71"/>
      <c r="CB44" s="71"/>
      <c r="CC44" s="71"/>
      <c r="CD44" s="71"/>
      <c r="CE44" s="43"/>
      <c r="CF44" s="43"/>
      <c r="CG44" s="43"/>
      <c r="CH44" s="72"/>
      <c r="CI44" s="42"/>
      <c r="CJ44" s="124"/>
      <c r="CK44" s="124"/>
      <c r="CL44" s="124"/>
      <c r="CM44" s="125"/>
      <c r="CN44" s="125"/>
      <c r="CO44" s="125"/>
      <c r="CP44" s="125"/>
      <c r="CQ44" s="125"/>
      <c r="CR44" s="124"/>
      <c r="CS44" s="124"/>
      <c r="CT44" s="124"/>
      <c r="CU44" s="124"/>
      <c r="CV44" s="125"/>
      <c r="CW44" s="124"/>
      <c r="CX44" s="124"/>
      <c r="CY44" s="124"/>
      <c r="CZ44" s="124"/>
      <c r="DA44" s="124"/>
      <c r="DB44" s="124"/>
      <c r="DC44" s="124"/>
      <c r="DD44" s="124"/>
      <c r="DE44" s="124"/>
      <c r="DF44" s="125"/>
      <c r="DG44" s="124"/>
      <c r="DH44" s="125"/>
      <c r="DI44" s="124"/>
      <c r="DJ44" s="125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5"/>
      <c r="ED44" s="125"/>
      <c r="EE44" s="125"/>
      <c r="EF44" s="125"/>
      <c r="EG44" s="125"/>
      <c r="EH44" s="125"/>
      <c r="EI44" s="125"/>
      <c r="EJ44" s="124"/>
      <c r="EK44" s="124"/>
      <c r="EL44" s="125"/>
      <c r="EM44" s="125"/>
      <c r="EN44" s="136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3"/>
      <c r="FC44" s="123"/>
      <c r="FD44" s="123"/>
      <c r="FE44" s="123"/>
      <c r="FF44" s="128"/>
      <c r="FG44" s="123"/>
      <c r="FH44" s="123"/>
      <c r="FI44" s="123"/>
      <c r="FJ44" s="123"/>
      <c r="FK44" s="123"/>
      <c r="FL44" s="123"/>
      <c r="FM44" s="123"/>
      <c r="FN44" s="123"/>
      <c r="FO44" s="129"/>
      <c r="FP44" s="126"/>
      <c r="FQ44" s="126"/>
      <c r="FR44" s="126"/>
      <c r="FS44" s="126"/>
      <c r="FT44" s="126"/>
      <c r="FU44" s="126"/>
      <c r="FV44" s="124"/>
      <c r="FW44" s="124"/>
      <c r="FX44" s="124"/>
      <c r="FY44" s="124"/>
      <c r="FZ44" s="124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B44" s="123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98"/>
      <c r="HR44" s="123"/>
      <c r="HS44" s="123"/>
      <c r="HT44" s="123"/>
      <c r="HU44" s="123"/>
      <c r="HV44" s="123"/>
      <c r="HW44" s="123"/>
      <c r="HX44" s="123"/>
      <c r="HY44" s="124"/>
      <c r="HZ44" s="124"/>
    </row>
    <row r="45" spans="2:234" ht="15.75">
      <c r="B45" s="105" t="s">
        <v>75</v>
      </c>
      <c r="C45" s="71">
        <v>28665</v>
      </c>
      <c r="D45" s="42">
        <v>7879</v>
      </c>
      <c r="E45" s="72">
        <v>2953</v>
      </c>
      <c r="F45" s="42">
        <v>877</v>
      </c>
      <c r="G45" s="42">
        <v>12326.5</v>
      </c>
      <c r="H45" s="42">
        <v>58147</v>
      </c>
      <c r="I45" s="43">
        <v>1085</v>
      </c>
      <c r="J45" s="43">
        <v>1658</v>
      </c>
      <c r="K45" s="15">
        <v>819</v>
      </c>
      <c r="L45" s="15">
        <v>207</v>
      </c>
      <c r="M45" s="15">
        <v>534</v>
      </c>
      <c r="N45" s="15">
        <v>284</v>
      </c>
      <c r="O45" s="15">
        <v>684</v>
      </c>
      <c r="P45" s="15">
        <v>449</v>
      </c>
      <c r="Q45" s="15">
        <v>359</v>
      </c>
      <c r="R45" s="15">
        <v>357</v>
      </c>
      <c r="S45" s="15">
        <v>489</v>
      </c>
      <c r="T45" s="15">
        <v>954</v>
      </c>
      <c r="U45" s="42">
        <v>7879</v>
      </c>
      <c r="V45" s="56">
        <v>646</v>
      </c>
      <c r="W45" s="43">
        <v>157</v>
      </c>
      <c r="X45" s="15">
        <v>875</v>
      </c>
      <c r="Y45" s="15">
        <v>289</v>
      </c>
      <c r="Z45" s="15" t="s">
        <v>11</v>
      </c>
      <c r="AA45" s="15">
        <v>351</v>
      </c>
      <c r="AB45" s="15">
        <v>246</v>
      </c>
      <c r="AC45" s="15">
        <v>255</v>
      </c>
      <c r="AD45" s="15">
        <v>51</v>
      </c>
      <c r="AE45" s="15" t="s">
        <v>11</v>
      </c>
      <c r="AF45" s="15">
        <v>3</v>
      </c>
      <c r="AG45" s="15">
        <v>80</v>
      </c>
      <c r="AH45" s="71">
        <v>2953</v>
      </c>
      <c r="AI45" s="43">
        <v>50</v>
      </c>
      <c r="AJ45" s="15">
        <v>145</v>
      </c>
      <c r="AK45" s="15">
        <v>216</v>
      </c>
      <c r="AL45" s="15">
        <v>115</v>
      </c>
      <c r="AM45" s="15">
        <v>145</v>
      </c>
      <c r="AN45" s="15">
        <v>152</v>
      </c>
      <c r="AO45" s="15">
        <v>50</v>
      </c>
      <c r="AP45" s="15">
        <v>2</v>
      </c>
      <c r="AQ45" s="75" t="s">
        <v>11</v>
      </c>
      <c r="AR45" s="15" t="s">
        <v>32</v>
      </c>
      <c r="AS45" s="15" t="s">
        <v>32</v>
      </c>
      <c r="AT45" s="15">
        <v>2</v>
      </c>
      <c r="AU45" s="71">
        <v>877</v>
      </c>
      <c r="AV45" s="80">
        <v>315</v>
      </c>
      <c r="AW45" s="4">
        <v>1</v>
      </c>
      <c r="AX45" s="31">
        <v>216</v>
      </c>
      <c r="AY45" s="4">
        <v>125</v>
      </c>
      <c r="AZ45" s="31">
        <v>38</v>
      </c>
      <c r="BA45" s="4">
        <v>149</v>
      </c>
      <c r="BB45" s="4">
        <v>813.5</v>
      </c>
      <c r="BC45" s="4">
        <v>221.1</v>
      </c>
      <c r="BD45" s="4">
        <v>1540.9</v>
      </c>
      <c r="BE45" s="4">
        <v>1415.4</v>
      </c>
      <c r="BF45" s="4">
        <v>1814.6</v>
      </c>
      <c r="BG45" s="12">
        <v>5677</v>
      </c>
      <c r="BH45" s="71">
        <v>12326.5</v>
      </c>
      <c r="BI45" s="36">
        <v>4061</v>
      </c>
      <c r="BJ45" s="15">
        <v>5078.6</v>
      </c>
      <c r="BK45" s="15">
        <v>4082.2</v>
      </c>
      <c r="BL45" s="15">
        <v>6363.7</v>
      </c>
      <c r="BM45" s="15">
        <v>2966.5</v>
      </c>
      <c r="BN45" s="15">
        <v>5244.2</v>
      </c>
      <c r="BO45" s="15">
        <v>4767.2</v>
      </c>
      <c r="BP45" s="15">
        <v>5585.199999999993</v>
      </c>
      <c r="BQ45" s="15">
        <v>4723.2</v>
      </c>
      <c r="BR45" s="15">
        <v>5257.000000000011</v>
      </c>
      <c r="BS45" s="15">
        <v>6583.8</v>
      </c>
      <c r="BT45" s="15">
        <v>3434.399999999987</v>
      </c>
      <c r="BU45" s="73">
        <v>58147</v>
      </c>
      <c r="BV45" s="72">
        <v>9139.6</v>
      </c>
      <c r="BW45" s="42">
        <v>13221.8</v>
      </c>
      <c r="BX45" s="72">
        <v>19585.5</v>
      </c>
      <c r="BY45" s="71">
        <v>22552</v>
      </c>
      <c r="BZ45" s="71">
        <v>27796.2</v>
      </c>
      <c r="CA45" s="71">
        <v>32563.4</v>
      </c>
      <c r="CB45" s="71">
        <v>38148.6</v>
      </c>
      <c r="CC45" s="42">
        <v>42871.8</v>
      </c>
      <c r="CD45" s="42">
        <v>48128.8</v>
      </c>
      <c r="CE45" s="43">
        <v>54712.6</v>
      </c>
      <c r="CF45" s="43">
        <v>58147</v>
      </c>
      <c r="CG45" s="43">
        <v>60370.3</v>
      </c>
      <c r="CH45" s="119">
        <v>68369.1</v>
      </c>
      <c r="CI45" s="124">
        <v>46174.8</v>
      </c>
      <c r="CJ45" s="71">
        <v>88701.28399999999</v>
      </c>
      <c r="CK45" s="71">
        <v>80313.665</v>
      </c>
      <c r="CL45" s="122">
        <v>65151.109000000004</v>
      </c>
      <c r="CM45" s="122">
        <v>65119.876</v>
      </c>
      <c r="CN45" s="122">
        <v>61231.063</v>
      </c>
      <c r="CO45" s="122">
        <v>42395.686</v>
      </c>
      <c r="CP45" s="122">
        <v>26205.361000000004</v>
      </c>
      <c r="CQ45" s="122">
        <v>4375.7</v>
      </c>
      <c r="CR45" s="122">
        <v>7821.2</v>
      </c>
      <c r="CS45" s="122">
        <v>11741</v>
      </c>
      <c r="CT45" s="122">
        <v>16601</v>
      </c>
      <c r="CU45" s="122">
        <v>21169.8</v>
      </c>
      <c r="CV45" s="122">
        <v>23769</v>
      </c>
      <c r="CW45" s="122">
        <v>28998</v>
      </c>
      <c r="CX45" s="122">
        <v>39319</v>
      </c>
      <c r="CY45" s="122">
        <v>45908.8</v>
      </c>
      <c r="CZ45" s="122">
        <v>50938.1</v>
      </c>
      <c r="DA45" s="122">
        <v>58193.9</v>
      </c>
      <c r="DB45" s="122">
        <v>60370.3</v>
      </c>
      <c r="DC45" s="122">
        <v>4012.9</v>
      </c>
      <c r="DD45" s="122">
        <v>8435.8</v>
      </c>
      <c r="DE45" s="122">
        <v>14545.1</v>
      </c>
      <c r="DF45" s="122">
        <v>19540.4</v>
      </c>
      <c r="DG45" s="122">
        <v>25677.6</v>
      </c>
      <c r="DH45" s="122">
        <v>30025.4</v>
      </c>
      <c r="DI45" s="122">
        <v>41299.9</v>
      </c>
      <c r="DJ45" s="122">
        <v>45079.6</v>
      </c>
      <c r="DK45" s="122">
        <v>49567.2</v>
      </c>
      <c r="DL45" s="122">
        <v>60514</v>
      </c>
      <c r="DM45" s="122">
        <v>64159.5</v>
      </c>
      <c r="DN45" s="122">
        <v>68369.1</v>
      </c>
      <c r="DO45" s="122">
        <v>3088.8</v>
      </c>
      <c r="DP45" s="122">
        <v>8269.8</v>
      </c>
      <c r="DQ45" s="122">
        <v>14421.8</v>
      </c>
      <c r="DR45" s="122">
        <v>20006.8</v>
      </c>
      <c r="DS45" s="122">
        <v>23804.8</v>
      </c>
      <c r="DT45" s="122">
        <v>25892.8</v>
      </c>
      <c r="DU45" s="122">
        <v>28088.8</v>
      </c>
      <c r="DV45" s="122">
        <v>31525.8</v>
      </c>
      <c r="DW45" s="122">
        <v>34746.8</v>
      </c>
      <c r="DX45" s="122">
        <v>38987.1</v>
      </c>
      <c r="DY45" s="122">
        <f>43447.8+14</f>
        <v>43461.8</v>
      </c>
      <c r="DZ45" s="122">
        <v>2713</v>
      </c>
      <c r="EA45" s="122">
        <f aca="true" t="shared" si="49" ref="EA45:EA57">DY45+DZ45</f>
        <v>46174.8</v>
      </c>
      <c r="EB45" s="122">
        <v>8522</v>
      </c>
      <c r="EC45" s="122">
        <v>4868</v>
      </c>
      <c r="ED45" s="122">
        <v>7438</v>
      </c>
      <c r="EE45" s="122">
        <v>4871</v>
      </c>
      <c r="EF45" s="122">
        <f>'[1]Feuil2'!$D$8</f>
        <v>5748.114</v>
      </c>
      <c r="EG45" s="122">
        <f>'[2]Feuil3'!$E$6</f>
        <v>9364.799</v>
      </c>
      <c r="EH45" s="122">
        <v>8521</v>
      </c>
      <c r="EI45" s="122">
        <v>7206</v>
      </c>
      <c r="EJ45" s="122">
        <v>9178.219</v>
      </c>
      <c r="EK45" s="122">
        <v>6143.919</v>
      </c>
      <c r="EL45" s="122">
        <v>5127.233</v>
      </c>
      <c r="EM45" s="122">
        <v>11713</v>
      </c>
      <c r="EN45" s="122">
        <f aca="true" t="shared" si="50" ref="EN45:EN57">SUM(EB45:EM45)</f>
        <v>88701.28399999999</v>
      </c>
      <c r="EO45" s="122">
        <v>10221</v>
      </c>
      <c r="EP45" s="122">
        <v>6263</v>
      </c>
      <c r="EQ45" s="122">
        <v>8500</v>
      </c>
      <c r="ER45" s="122">
        <v>5109.845</v>
      </c>
      <c r="ES45" s="122">
        <v>5943.1</v>
      </c>
      <c r="ET45" s="122">
        <v>5248.4</v>
      </c>
      <c r="EU45" s="122">
        <v>6233.9</v>
      </c>
      <c r="EV45" s="122">
        <v>5158.49</v>
      </c>
      <c r="EW45" s="122">
        <v>5135.109</v>
      </c>
      <c r="EX45" s="122">
        <v>4848.521</v>
      </c>
      <c r="EY45" s="122">
        <v>4866.5</v>
      </c>
      <c r="EZ45" s="122">
        <v>12785.8</v>
      </c>
      <c r="FA45" s="122">
        <f aca="true" t="shared" si="51" ref="FA45:FA57">SUM(EO45:EZ45)</f>
        <v>80313.665</v>
      </c>
      <c r="FB45" s="122">
        <v>9167.386</v>
      </c>
      <c r="FC45" s="122">
        <v>4377.151</v>
      </c>
      <c r="FD45" s="122">
        <f>'[4]IV5-IV6'!$D$8</f>
        <v>8500.475</v>
      </c>
      <c r="FE45" s="122">
        <v>6112.14</v>
      </c>
      <c r="FF45" s="122">
        <v>3968.075</v>
      </c>
      <c r="FG45" s="122">
        <v>4824.4</v>
      </c>
      <c r="FH45" s="122">
        <v>6152.425</v>
      </c>
      <c r="FI45" s="122">
        <v>4089.124</v>
      </c>
      <c r="FJ45" s="122">
        <v>3568.7</v>
      </c>
      <c r="FK45" s="122">
        <v>4535.631000000001</v>
      </c>
      <c r="FL45" s="122">
        <v>5039.506</v>
      </c>
      <c r="FM45" s="122">
        <v>4816.096</v>
      </c>
      <c r="FN45" s="122">
        <f aca="true" t="shared" si="52" ref="FN45:FN57">SUM(FB45:FM45)</f>
        <v>65151.109000000004</v>
      </c>
      <c r="FO45" s="122">
        <v>7596.366</v>
      </c>
      <c r="FP45" s="122">
        <v>5215.467</v>
      </c>
      <c r="FQ45" s="122">
        <v>3665.209</v>
      </c>
      <c r="FR45" s="122">
        <f>'[5]IV5-IV6'!$C$27</f>
        <v>1497.849</v>
      </c>
      <c r="FS45" s="122">
        <f>'[6]IV5_IV6_Mai'!$D$39</f>
        <v>4538.237</v>
      </c>
      <c r="FT45" s="122">
        <v>5903.9</v>
      </c>
      <c r="FU45" s="122">
        <v>5231.364</v>
      </c>
      <c r="FV45" s="122">
        <v>6748.132</v>
      </c>
      <c r="FW45" s="122">
        <v>5472.378</v>
      </c>
      <c r="FX45" s="122">
        <v>6052.4</v>
      </c>
      <c r="FY45" s="122">
        <v>6379.274</v>
      </c>
      <c r="FZ45" s="122">
        <v>6819.3</v>
      </c>
      <c r="GA45" s="122">
        <f aca="true" t="shared" si="53" ref="GA45:GA57">FO45+FP45+FQ45+FR45+FS45+FT45+FU45+FV45+FW45+FX45+FY45+FZ45</f>
        <v>65119.876</v>
      </c>
      <c r="GB45" s="122">
        <v>4396.211</v>
      </c>
      <c r="GC45" s="122">
        <v>5597.94</v>
      </c>
      <c r="GD45" s="122">
        <v>4958.529</v>
      </c>
      <c r="GE45" s="122">
        <v>4720.762</v>
      </c>
      <c r="GF45" s="122">
        <v>4251.653</v>
      </c>
      <c r="GG45" s="122">
        <v>4573.441</v>
      </c>
      <c r="GH45" s="122">
        <v>5102.024</v>
      </c>
      <c r="GI45" s="122">
        <v>7796.804</v>
      </c>
      <c r="GJ45" s="122">
        <v>4617.971</v>
      </c>
      <c r="GK45" s="122">
        <v>5938.642</v>
      </c>
      <c r="GL45" s="122">
        <v>3795.73</v>
      </c>
      <c r="GM45" s="122">
        <v>5481.356</v>
      </c>
      <c r="GN45" s="122">
        <f aca="true" t="shared" si="54" ref="GN45:GN57">SUM(GB45:GM45)</f>
        <v>61231.063</v>
      </c>
      <c r="GO45" s="122">
        <v>8451.572</v>
      </c>
      <c r="GP45" s="122">
        <v>8344.051</v>
      </c>
      <c r="GQ45" s="122">
        <v>9003.973</v>
      </c>
      <c r="GR45" s="122">
        <v>7076.601</v>
      </c>
      <c r="GS45" s="122">
        <v>7081.785</v>
      </c>
      <c r="GT45" s="122">
        <v>11075.39</v>
      </c>
      <c r="GU45" s="122">
        <v>7761.876</v>
      </c>
      <c r="GV45" s="122">
        <v>4559.153</v>
      </c>
      <c r="GW45" s="122">
        <v>6202.298</v>
      </c>
      <c r="GX45" s="122">
        <v>5351.068</v>
      </c>
      <c r="GY45" s="122">
        <v>3025.882</v>
      </c>
      <c r="GZ45" s="122">
        <v>2170.262</v>
      </c>
      <c r="HA45" s="122">
        <v>813.595</v>
      </c>
      <c r="HB45" s="122">
        <v>641.579</v>
      </c>
      <c r="HC45" s="122">
        <v>2418.591</v>
      </c>
      <c r="HD45" s="122">
        <v>1049.918</v>
      </c>
      <c r="HE45" s="122">
        <v>1161.152</v>
      </c>
      <c r="HF45" s="122">
        <v>2482.14</v>
      </c>
      <c r="HG45" s="122">
        <v>1457.644</v>
      </c>
      <c r="HH45" s="122">
        <v>2833.745</v>
      </c>
      <c r="HI45" s="122">
        <v>3959.968</v>
      </c>
      <c r="HJ45" s="122">
        <v>2950.31</v>
      </c>
      <c r="HK45" s="122">
        <v>2751.968</v>
      </c>
      <c r="HL45" s="122">
        <v>3684.751</v>
      </c>
      <c r="HM45" s="98">
        <v>4949.526</v>
      </c>
      <c r="HN45" s="98">
        <v>3272.551</v>
      </c>
      <c r="HO45" s="98">
        <v>4797.72</v>
      </c>
      <c r="HP45" s="122">
        <v>3547.548</v>
      </c>
      <c r="HQ45" s="98">
        <v>4960.688</v>
      </c>
      <c r="HR45" s="122">
        <v>5623.25</v>
      </c>
      <c r="HS45" s="122">
        <v>7071.24</v>
      </c>
      <c r="HT45" s="122">
        <v>9779.024</v>
      </c>
      <c r="HU45" s="122"/>
      <c r="HV45" s="122"/>
      <c r="HW45" s="122"/>
      <c r="HX45" s="122"/>
      <c r="HY45" s="122">
        <f>HA45+HB45+HC45+HD45+HE45+HF45+HG45+HH45</f>
        <v>12858.364000000001</v>
      </c>
      <c r="HZ45" s="122">
        <f>HM45+HN45+HO45+HP45+HQ45+HR45+HS45+HT45</f>
        <v>44001.54699999999</v>
      </c>
    </row>
    <row r="46" spans="2:234" ht="15.75">
      <c r="B46" s="105" t="s">
        <v>76</v>
      </c>
      <c r="C46" s="71">
        <v>81</v>
      </c>
      <c r="D46" s="71" t="s">
        <v>11</v>
      </c>
      <c r="E46" s="73">
        <v>335</v>
      </c>
      <c r="F46" s="71">
        <v>679</v>
      </c>
      <c r="G46" s="71">
        <v>367.2</v>
      </c>
      <c r="H46" s="71">
        <v>40</v>
      </c>
      <c r="I46" s="43" t="s">
        <v>11</v>
      </c>
      <c r="J46" s="43" t="s">
        <v>11</v>
      </c>
      <c r="K46" s="15" t="s">
        <v>11</v>
      </c>
      <c r="L46" s="15" t="s">
        <v>11</v>
      </c>
      <c r="M46" s="15" t="s">
        <v>11</v>
      </c>
      <c r="N46" s="15" t="s">
        <v>11</v>
      </c>
      <c r="O46" s="15" t="s">
        <v>11</v>
      </c>
      <c r="P46" s="15" t="s">
        <v>11</v>
      </c>
      <c r="Q46" s="15" t="s">
        <v>11</v>
      </c>
      <c r="R46" s="15" t="s">
        <v>11</v>
      </c>
      <c r="S46" s="15" t="s">
        <v>11</v>
      </c>
      <c r="T46" s="15" t="s">
        <v>11</v>
      </c>
      <c r="U46" s="71" t="s">
        <v>11</v>
      </c>
      <c r="V46" s="36" t="s">
        <v>11</v>
      </c>
      <c r="W46" s="43" t="s">
        <v>11</v>
      </c>
      <c r="X46" s="15" t="s">
        <v>11</v>
      </c>
      <c r="Y46" s="15">
        <v>315</v>
      </c>
      <c r="Z46" s="15" t="s">
        <v>11</v>
      </c>
      <c r="AA46" s="15" t="s">
        <v>11</v>
      </c>
      <c r="AB46" s="15" t="s">
        <v>11</v>
      </c>
      <c r="AC46" s="15" t="s">
        <v>11</v>
      </c>
      <c r="AD46" s="15" t="s">
        <v>11</v>
      </c>
      <c r="AE46" s="15">
        <v>20</v>
      </c>
      <c r="AF46" s="15" t="s">
        <v>11</v>
      </c>
      <c r="AG46" s="15" t="s">
        <v>11</v>
      </c>
      <c r="AH46" s="71">
        <f>SUM(V46:AG46)</f>
        <v>335</v>
      </c>
      <c r="AI46" s="43">
        <v>141</v>
      </c>
      <c r="AJ46" s="15" t="s">
        <v>11</v>
      </c>
      <c r="AK46" s="15" t="s">
        <v>11</v>
      </c>
      <c r="AL46" s="15" t="s">
        <v>11</v>
      </c>
      <c r="AM46" s="15" t="s">
        <v>11</v>
      </c>
      <c r="AN46" s="15">
        <v>20</v>
      </c>
      <c r="AO46" s="15" t="s">
        <v>11</v>
      </c>
      <c r="AP46" s="15">
        <v>1</v>
      </c>
      <c r="AQ46" s="15">
        <v>162</v>
      </c>
      <c r="AR46" s="15">
        <v>355</v>
      </c>
      <c r="AS46" s="15" t="s">
        <v>11</v>
      </c>
      <c r="AT46" s="15" t="s">
        <v>11</v>
      </c>
      <c r="AU46" s="71">
        <f>AI46+AJ46+AK46+AL46+AM46+AN46+AO46+AP46+AQ46+AR46+AS46+AT46</f>
        <v>679</v>
      </c>
      <c r="AV46" s="80" t="s">
        <v>11</v>
      </c>
      <c r="AW46" s="75" t="s">
        <v>11</v>
      </c>
      <c r="AX46" s="31" t="s">
        <v>11</v>
      </c>
      <c r="AY46" s="4"/>
      <c r="AZ46" s="31"/>
      <c r="BA46" s="4"/>
      <c r="BB46" s="4">
        <v>291</v>
      </c>
      <c r="BC46" s="4">
        <v>40.6</v>
      </c>
      <c r="BD46" s="4">
        <v>0</v>
      </c>
      <c r="BE46" s="4">
        <v>17.3</v>
      </c>
      <c r="BF46" s="4">
        <v>18.3</v>
      </c>
      <c r="BG46" s="12">
        <v>0</v>
      </c>
      <c r="BH46" s="71">
        <f>SUM(AV46:BG46)</f>
        <v>367.20000000000005</v>
      </c>
      <c r="BI46" s="36" t="s">
        <v>11</v>
      </c>
      <c r="BJ46" s="15" t="s">
        <v>11</v>
      </c>
      <c r="BK46" s="15">
        <f>BW46-BJ46-BI46</f>
        <v>0</v>
      </c>
      <c r="BL46" s="15">
        <f>BX46-BK46-BJ46-BI46</f>
        <v>0</v>
      </c>
      <c r="BM46" s="15">
        <f>BY46-BL46-BK46-BJ46-BI46</f>
        <v>0</v>
      </c>
      <c r="BN46" s="15">
        <f>BZ46-BM46-BL46-BK46-BJ46-BI46</f>
        <v>0</v>
      </c>
      <c r="BO46" s="15">
        <f>CA46-BN46-BM46-BL46-BK46-BJ46-BI46</f>
        <v>39.9</v>
      </c>
      <c r="BP46" s="15">
        <f>CB46-BO46-BN46-BM46-BL46-BK46-BJ46-BI46</f>
        <v>0</v>
      </c>
      <c r="BQ46" s="15">
        <f>CC46-BP46-BO46-BN46-BM46-BL46-BK46-BJ46-BI46</f>
        <v>0</v>
      </c>
      <c r="BR46" s="15">
        <f>CD46-BQ46-BP46-BO46-BN46-BM46-BL46-BK46-BJ46-BI46</f>
        <v>0</v>
      </c>
      <c r="BS46" s="15">
        <f>CE46-BR46-BQ46-BP46-BO46-BN46-BM46-BL46-BK46-BJ46-BI46</f>
        <v>0</v>
      </c>
      <c r="BT46" s="15">
        <f>CF46-BS46-BR46-BQ46-BP46-BO46-BN46-BM46-BL46-BK46-BJ46-BI46</f>
        <v>0.10000000000000142</v>
      </c>
      <c r="BU46" s="73">
        <f>SUM(BI46:BT46)</f>
        <v>40</v>
      </c>
      <c r="BV46" s="72" t="s">
        <v>11</v>
      </c>
      <c r="BW46" s="42" t="s">
        <v>11</v>
      </c>
      <c r="BX46" s="72" t="s">
        <v>11</v>
      </c>
      <c r="BY46" s="71" t="s">
        <v>11</v>
      </c>
      <c r="BZ46" s="71" t="s">
        <v>11</v>
      </c>
      <c r="CA46" s="71">
        <v>39.9</v>
      </c>
      <c r="CB46" s="71">
        <v>39.9</v>
      </c>
      <c r="CC46" s="42">
        <v>39.9</v>
      </c>
      <c r="CD46" s="42">
        <v>39.9</v>
      </c>
      <c r="CE46" s="43">
        <v>39.9</v>
      </c>
      <c r="CF46" s="43">
        <v>40</v>
      </c>
      <c r="CG46" s="43">
        <v>18.4</v>
      </c>
      <c r="CH46" s="119">
        <v>74.6</v>
      </c>
      <c r="CI46" s="124">
        <v>37.1</v>
      </c>
      <c r="CJ46" s="71">
        <v>75.02000000000001</v>
      </c>
      <c r="CK46" s="71">
        <v>17.728</v>
      </c>
      <c r="CL46" s="122">
        <v>10.7</v>
      </c>
      <c r="CM46" s="122">
        <v>20.507</v>
      </c>
      <c r="CN46" s="122">
        <v>65.621</v>
      </c>
      <c r="CO46" s="122">
        <v>66.165</v>
      </c>
      <c r="CP46" s="122">
        <v>74.83</v>
      </c>
      <c r="CQ46" s="122" t="s">
        <v>11</v>
      </c>
      <c r="CR46" s="122" t="s">
        <v>11</v>
      </c>
      <c r="CS46" s="122">
        <v>18.4</v>
      </c>
      <c r="CT46" s="122">
        <v>18.4</v>
      </c>
      <c r="CU46" s="122">
        <v>18.4</v>
      </c>
      <c r="CV46" s="122">
        <v>18.4</v>
      </c>
      <c r="CW46" s="122">
        <v>18.4</v>
      </c>
      <c r="CX46" s="122">
        <v>18.4</v>
      </c>
      <c r="CY46" s="122">
        <v>18.4</v>
      </c>
      <c r="CZ46" s="122">
        <v>18.4</v>
      </c>
      <c r="DA46" s="122">
        <v>18.4</v>
      </c>
      <c r="DB46" s="122">
        <v>18.4</v>
      </c>
      <c r="DC46" s="122">
        <v>18.9</v>
      </c>
      <c r="DD46" s="122">
        <v>18.9</v>
      </c>
      <c r="DE46" s="122">
        <v>37.7</v>
      </c>
      <c r="DF46" s="122">
        <v>37.7</v>
      </c>
      <c r="DG46" s="122">
        <v>37.7</v>
      </c>
      <c r="DH46" s="122">
        <v>37.7</v>
      </c>
      <c r="DI46" s="122">
        <v>37.7</v>
      </c>
      <c r="DJ46" s="122">
        <v>74.6</v>
      </c>
      <c r="DK46" s="122">
        <v>74.6</v>
      </c>
      <c r="DL46" s="122">
        <v>74.6</v>
      </c>
      <c r="DM46" s="122">
        <v>74.6</v>
      </c>
      <c r="DN46" s="122">
        <v>74.6</v>
      </c>
      <c r="DO46" s="122" t="s">
        <v>11</v>
      </c>
      <c r="DP46" s="122" t="s">
        <v>11</v>
      </c>
      <c r="DQ46" s="122">
        <v>18.5</v>
      </c>
      <c r="DR46" s="122">
        <v>18.5</v>
      </c>
      <c r="DS46" s="122">
        <v>18</v>
      </c>
      <c r="DT46" s="122">
        <v>37.1</v>
      </c>
      <c r="DU46" s="122">
        <v>37.1</v>
      </c>
      <c r="DV46" s="122">
        <v>37.1</v>
      </c>
      <c r="DW46" s="122">
        <v>37.1</v>
      </c>
      <c r="DX46" s="122">
        <v>37.1</v>
      </c>
      <c r="DY46" s="122">
        <v>37.1</v>
      </c>
      <c r="DZ46" s="122"/>
      <c r="EA46" s="122">
        <f t="shared" si="49"/>
        <v>37.1</v>
      </c>
      <c r="EB46" s="122">
        <v>19</v>
      </c>
      <c r="EC46" s="122"/>
      <c r="ED46" s="122">
        <v>0</v>
      </c>
      <c r="EE46" s="122" t="s">
        <v>11</v>
      </c>
      <c r="EF46" s="122" t="s">
        <v>11</v>
      </c>
      <c r="EG46" s="122">
        <v>0</v>
      </c>
      <c r="EH46" s="122">
        <v>0</v>
      </c>
      <c r="EI46" s="122">
        <v>0</v>
      </c>
      <c r="EJ46" s="122">
        <v>56.02</v>
      </c>
      <c r="EK46" s="122">
        <v>0</v>
      </c>
      <c r="EL46" s="122"/>
      <c r="EM46" s="122"/>
      <c r="EN46" s="122">
        <f t="shared" si="50"/>
        <v>75.02000000000001</v>
      </c>
      <c r="EO46" s="122">
        <v>0</v>
      </c>
      <c r="EP46" s="122" t="s">
        <v>11</v>
      </c>
      <c r="EQ46" s="122">
        <v>0</v>
      </c>
      <c r="ER46" s="122">
        <v>17.728</v>
      </c>
      <c r="ES46" s="122"/>
      <c r="ET46" s="122"/>
      <c r="EU46" s="122"/>
      <c r="EV46" s="122">
        <v>0</v>
      </c>
      <c r="EW46" s="122">
        <v>0</v>
      </c>
      <c r="EX46" s="122">
        <v>0</v>
      </c>
      <c r="EY46" s="122"/>
      <c r="EZ46" s="122"/>
      <c r="FA46" s="122">
        <f t="shared" si="51"/>
        <v>17.728</v>
      </c>
      <c r="FB46" s="122" t="s">
        <v>11</v>
      </c>
      <c r="FC46" s="122" t="s">
        <v>11</v>
      </c>
      <c r="FD46" s="122">
        <v>0</v>
      </c>
      <c r="FE46" s="122"/>
      <c r="FF46" s="122"/>
      <c r="FG46" s="122"/>
      <c r="FH46" s="122"/>
      <c r="FI46" s="122">
        <v>0.2</v>
      </c>
      <c r="FJ46" s="122">
        <v>10.5</v>
      </c>
      <c r="FK46" s="122">
        <v>0</v>
      </c>
      <c r="FL46" s="122">
        <v>0</v>
      </c>
      <c r="FM46" s="122">
        <v>0</v>
      </c>
      <c r="FN46" s="122">
        <f t="shared" si="52"/>
        <v>10.7</v>
      </c>
      <c r="FO46" s="122" t="s">
        <v>16</v>
      </c>
      <c r="FP46" s="122">
        <v>0</v>
      </c>
      <c r="FQ46" s="122">
        <v>0</v>
      </c>
      <c r="FR46" s="122">
        <v>0</v>
      </c>
      <c r="FS46" s="122">
        <v>0</v>
      </c>
      <c r="FT46" s="122">
        <v>0</v>
      </c>
      <c r="FU46" s="122">
        <v>0</v>
      </c>
      <c r="FV46" s="122">
        <v>20.507</v>
      </c>
      <c r="FW46" s="122">
        <v>0</v>
      </c>
      <c r="FX46" s="122">
        <v>0</v>
      </c>
      <c r="FY46" s="122">
        <v>0</v>
      </c>
      <c r="FZ46" s="122">
        <v>0</v>
      </c>
      <c r="GA46" s="122">
        <f t="shared" si="53"/>
        <v>20.507</v>
      </c>
      <c r="GB46" s="122">
        <v>20.905</v>
      </c>
      <c r="GC46" s="122">
        <v>0</v>
      </c>
      <c r="GD46" s="122">
        <v>0</v>
      </c>
      <c r="GE46" s="122">
        <v>19.818</v>
      </c>
      <c r="GF46" s="122">
        <v>0</v>
      </c>
      <c r="GG46" s="122">
        <v>22.678</v>
      </c>
      <c r="GH46" s="122"/>
      <c r="GI46" s="122">
        <v>0.72</v>
      </c>
      <c r="GJ46" s="122"/>
      <c r="GK46" s="122">
        <v>1.5</v>
      </c>
      <c r="GL46" s="122"/>
      <c r="GM46" s="122"/>
      <c r="GN46" s="122">
        <f t="shared" si="54"/>
        <v>65.621</v>
      </c>
      <c r="GO46" s="122">
        <v>21.511</v>
      </c>
      <c r="GP46" s="122">
        <v>0</v>
      </c>
      <c r="GQ46" s="122">
        <v>21.516</v>
      </c>
      <c r="GR46" s="122">
        <v>1.2</v>
      </c>
      <c r="GS46" s="122">
        <v>21.938</v>
      </c>
      <c r="GT46" s="122"/>
      <c r="GU46" s="122">
        <v>17.482</v>
      </c>
      <c r="GV46" s="122">
        <v>3.503</v>
      </c>
      <c r="GW46" s="122"/>
      <c r="GX46" s="122">
        <v>3.469</v>
      </c>
      <c r="GY46" s="122"/>
      <c r="GZ46" s="122"/>
      <c r="HA46" s="122"/>
      <c r="HB46" s="122"/>
      <c r="HC46" s="122">
        <v>0.104</v>
      </c>
      <c r="HD46" s="122"/>
      <c r="HE46" s="122"/>
      <c r="HF46" s="122">
        <v>21.857</v>
      </c>
      <c r="HG46" s="122">
        <v>21.857</v>
      </c>
      <c r="HH46" s="122"/>
      <c r="HI46" s="122">
        <v>30.86</v>
      </c>
      <c r="HJ46" s="122">
        <v>0.152</v>
      </c>
      <c r="HK46" s="122"/>
      <c r="HL46" s="122"/>
      <c r="HM46" s="98">
        <v>24.598</v>
      </c>
      <c r="HN46" s="98">
        <v>0.22</v>
      </c>
      <c r="HO46" s="98"/>
      <c r="HP46" s="122">
        <v>23.971</v>
      </c>
      <c r="HQ46" s="98">
        <v>68.031</v>
      </c>
      <c r="HR46" s="122">
        <v>23.982</v>
      </c>
      <c r="HS46" s="122">
        <v>0.478</v>
      </c>
      <c r="HT46" s="122"/>
      <c r="HU46" s="122"/>
      <c r="HV46" s="122"/>
      <c r="HW46" s="122"/>
      <c r="HX46" s="122"/>
      <c r="HY46" s="122">
        <f aca="true" t="shared" si="55" ref="HY46:HY57">HA46+HB46+HC46+HD46+HE46+HF46+HG46+HH46</f>
        <v>43.818</v>
      </c>
      <c r="HZ46" s="122">
        <f aca="true" t="shared" si="56" ref="HZ46:HZ57">HM46+HN46+HO46+HP46+HQ46+HR46+HS46+HT46</f>
        <v>141.28000000000003</v>
      </c>
    </row>
    <row r="47" spans="2:234" ht="15.75">
      <c r="B47" s="105" t="s">
        <v>77</v>
      </c>
      <c r="C47" s="71">
        <v>183</v>
      </c>
      <c r="D47" s="71" t="s">
        <v>11</v>
      </c>
      <c r="E47" s="72">
        <v>384</v>
      </c>
      <c r="F47" s="42">
        <v>97</v>
      </c>
      <c r="G47" s="42">
        <v>38.9</v>
      </c>
      <c r="H47" s="42">
        <v>52</v>
      </c>
      <c r="I47" s="43" t="s">
        <v>11</v>
      </c>
      <c r="J47" s="43" t="s">
        <v>11</v>
      </c>
      <c r="K47" s="15" t="s">
        <v>11</v>
      </c>
      <c r="L47" s="15" t="s">
        <v>11</v>
      </c>
      <c r="M47" s="15" t="s">
        <v>11</v>
      </c>
      <c r="N47" s="15" t="s">
        <v>11</v>
      </c>
      <c r="O47" s="15" t="s">
        <v>11</v>
      </c>
      <c r="P47" s="15" t="s">
        <v>11</v>
      </c>
      <c r="Q47" s="15" t="s">
        <v>11</v>
      </c>
      <c r="R47" s="15" t="s">
        <v>11</v>
      </c>
      <c r="S47" s="15" t="s">
        <v>11</v>
      </c>
      <c r="T47" s="15" t="s">
        <v>11</v>
      </c>
      <c r="U47" s="71" t="s">
        <v>11</v>
      </c>
      <c r="V47" s="36" t="s">
        <v>11</v>
      </c>
      <c r="W47" s="43" t="s">
        <v>11</v>
      </c>
      <c r="X47" s="15">
        <v>13</v>
      </c>
      <c r="Y47" s="15">
        <v>61</v>
      </c>
      <c r="Z47" s="15">
        <v>43</v>
      </c>
      <c r="AA47" s="15">
        <v>35</v>
      </c>
      <c r="AB47" s="15">
        <v>78</v>
      </c>
      <c r="AC47" s="15">
        <v>27</v>
      </c>
      <c r="AD47" s="15" t="s">
        <v>11</v>
      </c>
      <c r="AE47" s="15">
        <v>32</v>
      </c>
      <c r="AF47" s="15">
        <v>53</v>
      </c>
      <c r="AG47" s="15">
        <v>42</v>
      </c>
      <c r="AH47" s="71">
        <f>SUM(V47:AG47)</f>
        <v>384</v>
      </c>
      <c r="AI47" s="43">
        <v>8</v>
      </c>
      <c r="AJ47" s="15">
        <v>28</v>
      </c>
      <c r="AK47" s="15" t="s">
        <v>11</v>
      </c>
      <c r="AL47" s="15" t="s">
        <v>11</v>
      </c>
      <c r="AM47" s="15">
        <v>37</v>
      </c>
      <c r="AN47" s="15">
        <v>4</v>
      </c>
      <c r="AO47" s="15">
        <v>3</v>
      </c>
      <c r="AP47" s="15" t="s">
        <v>11</v>
      </c>
      <c r="AQ47" s="15" t="s">
        <v>11</v>
      </c>
      <c r="AR47" s="15" t="s">
        <v>11</v>
      </c>
      <c r="AS47" s="15">
        <v>8</v>
      </c>
      <c r="AT47" s="15">
        <v>9</v>
      </c>
      <c r="AU47" s="71">
        <f>AI47+AJ47+AK47+AL47+AM47+AN47+AO47+AP47+AQ47+AR47+AS47+AT47</f>
        <v>97</v>
      </c>
      <c r="AV47" s="80" t="s">
        <v>11</v>
      </c>
      <c r="AW47" s="15">
        <v>1</v>
      </c>
      <c r="AX47" s="15" t="s">
        <v>11</v>
      </c>
      <c r="AY47" s="4"/>
      <c r="AZ47" s="31">
        <v>5</v>
      </c>
      <c r="BA47" s="4">
        <v>18</v>
      </c>
      <c r="BB47" s="4">
        <v>0</v>
      </c>
      <c r="BC47" s="4">
        <v>14.8</v>
      </c>
      <c r="BD47" s="4">
        <v>0.09999999999999964</v>
      </c>
      <c r="BE47" s="4">
        <v>0</v>
      </c>
      <c r="BF47" s="4">
        <v>0</v>
      </c>
      <c r="BG47" s="12">
        <v>0</v>
      </c>
      <c r="BH47" s="71">
        <f>SUM(AV47:BG47)</f>
        <v>38.9</v>
      </c>
      <c r="BI47" s="36" t="s">
        <v>11</v>
      </c>
      <c r="BJ47" s="15" t="s">
        <v>11</v>
      </c>
      <c r="BK47" s="15">
        <f>BW47-BJ47-BI47</f>
        <v>0</v>
      </c>
      <c r="BL47" s="15">
        <f>BX47-BK47-BJ47-BI47</f>
        <v>4.6</v>
      </c>
      <c r="BM47" s="15">
        <f>BY47-BL47-BK47-BJ47-BI47</f>
        <v>1.4000000000000004</v>
      </c>
      <c r="BN47" s="15">
        <f>BZ47-BM47-BL47-BK47-BJ47-BI47</f>
        <v>0.09999999999999964</v>
      </c>
      <c r="BO47" s="15">
        <f>CA47-BN47-BM47-BL47-BK47-BJ47-BI47</f>
        <v>0</v>
      </c>
      <c r="BP47" s="15">
        <f>CB47-BO47-BN47-BM47-BL47-BK47-BJ47-BI47</f>
        <v>0</v>
      </c>
      <c r="BQ47" s="15">
        <f>CC47-BP47-BO47-BN47-BM47-BL47-BK47-BJ47-BI47</f>
        <v>45.9</v>
      </c>
      <c r="BR47" s="15">
        <f>CD47-BQ47-BP47-BO47-BN47-BM47-BL47-BK47-BJ47-BI47</f>
        <v>1.7763568394002505E-15</v>
      </c>
      <c r="BS47" s="15">
        <f>CE47-BR47-BQ47-BP47-BO47-BN47-BM47-BL47-BK47-BJ47-BI47</f>
        <v>1.7763568394002505E-15</v>
      </c>
      <c r="BT47" s="15">
        <f>CF47-BS47-BR47-BQ47-BP47-BO47-BN47-BM47-BL47-BK47-BJ47-BI47</f>
        <v>1.7763568394002505E-15</v>
      </c>
      <c r="BU47" s="73">
        <f>SUM(BI47:BT47)</f>
        <v>52</v>
      </c>
      <c r="BV47" s="72" t="s">
        <v>11</v>
      </c>
      <c r="BW47" s="42" t="s">
        <v>11</v>
      </c>
      <c r="BX47" s="72">
        <v>4.6</v>
      </c>
      <c r="BY47" s="71">
        <v>6</v>
      </c>
      <c r="BZ47" s="71">
        <v>6.1</v>
      </c>
      <c r="CA47" s="71">
        <v>6.1</v>
      </c>
      <c r="CB47" s="71">
        <v>6.1</v>
      </c>
      <c r="CC47" s="42">
        <v>52</v>
      </c>
      <c r="CD47" s="42">
        <v>52</v>
      </c>
      <c r="CE47" s="43">
        <v>52</v>
      </c>
      <c r="CF47" s="43">
        <v>52</v>
      </c>
      <c r="CG47" s="43">
        <v>17.6</v>
      </c>
      <c r="CH47" s="119">
        <v>37.3</v>
      </c>
      <c r="CI47" s="124">
        <v>118.3</v>
      </c>
      <c r="CJ47" s="71">
        <v>172.52499999999998</v>
      </c>
      <c r="CK47" s="71">
        <v>32.26</v>
      </c>
      <c r="CL47" s="122">
        <v>42.513999999999996</v>
      </c>
      <c r="CM47" s="122">
        <v>32.741</v>
      </c>
      <c r="CN47" s="122">
        <v>98.875</v>
      </c>
      <c r="CO47" s="122">
        <v>4.534</v>
      </c>
      <c r="CP47" s="122">
        <v>40.649</v>
      </c>
      <c r="CQ47" s="122">
        <v>17.6</v>
      </c>
      <c r="CR47" s="122">
        <v>17.6</v>
      </c>
      <c r="CS47" s="122">
        <v>17.6</v>
      </c>
      <c r="CT47" s="122">
        <v>17.6</v>
      </c>
      <c r="CU47" s="122">
        <v>17.6</v>
      </c>
      <c r="CV47" s="122">
        <v>17.6</v>
      </c>
      <c r="CW47" s="122">
        <v>17.6</v>
      </c>
      <c r="CX47" s="122">
        <v>17.6</v>
      </c>
      <c r="CY47" s="122">
        <v>17.6</v>
      </c>
      <c r="CZ47" s="122">
        <v>17.6</v>
      </c>
      <c r="DA47" s="122">
        <v>17.6</v>
      </c>
      <c r="DB47" s="122">
        <v>17.6</v>
      </c>
      <c r="DC47" s="122">
        <v>0.8</v>
      </c>
      <c r="DD47" s="122">
        <v>0.8</v>
      </c>
      <c r="DE47" s="122">
        <v>0.8</v>
      </c>
      <c r="DF47" s="122">
        <v>0.8</v>
      </c>
      <c r="DG47" s="122">
        <v>37.3</v>
      </c>
      <c r="DH47" s="122">
        <v>37.3</v>
      </c>
      <c r="DI47" s="122">
        <v>37.3</v>
      </c>
      <c r="DJ47" s="122">
        <v>37.3</v>
      </c>
      <c r="DK47" s="122">
        <v>37.3</v>
      </c>
      <c r="DL47" s="122">
        <v>37.3</v>
      </c>
      <c r="DM47" s="122">
        <v>37.3</v>
      </c>
      <c r="DN47" s="122">
        <v>37.3</v>
      </c>
      <c r="DO47" s="122" t="s">
        <v>11</v>
      </c>
      <c r="DP47" s="122">
        <v>1.5</v>
      </c>
      <c r="DQ47" s="122">
        <v>1.5</v>
      </c>
      <c r="DR47" s="122">
        <v>1.5</v>
      </c>
      <c r="DS47" s="122">
        <v>1</v>
      </c>
      <c r="DT47" s="122">
        <v>24.6</v>
      </c>
      <c r="DU47" s="122">
        <v>24.6</v>
      </c>
      <c r="DV47" s="122">
        <v>42.7</v>
      </c>
      <c r="DW47" s="122">
        <v>114.3</v>
      </c>
      <c r="DX47" s="122">
        <v>114.3</v>
      </c>
      <c r="DY47" s="122">
        <v>118.3</v>
      </c>
      <c r="DZ47" s="122"/>
      <c r="EA47" s="122">
        <f t="shared" si="49"/>
        <v>118.3</v>
      </c>
      <c r="EB47" s="122">
        <v>3</v>
      </c>
      <c r="EC47" s="122"/>
      <c r="ED47" s="122">
        <v>0</v>
      </c>
      <c r="EE47" s="122">
        <v>84</v>
      </c>
      <c r="EF47" s="122" t="s">
        <v>11</v>
      </c>
      <c r="EG47" s="122">
        <f>'[2]Feuil3'!$E$11</f>
        <v>20.575</v>
      </c>
      <c r="EH47" s="122">
        <v>7</v>
      </c>
      <c r="EI47" s="122">
        <v>29</v>
      </c>
      <c r="EJ47" s="122">
        <v>23</v>
      </c>
      <c r="EK47" s="122">
        <v>5.95</v>
      </c>
      <c r="EL47" s="122"/>
      <c r="EM47" s="122"/>
      <c r="EN47" s="122">
        <f t="shared" si="50"/>
        <v>172.52499999999998</v>
      </c>
      <c r="EO47" s="122">
        <v>0</v>
      </c>
      <c r="EP47" s="122" t="s">
        <v>11</v>
      </c>
      <c r="EQ47" s="122">
        <v>0</v>
      </c>
      <c r="ER47" s="122">
        <v>0</v>
      </c>
      <c r="ES47" s="122"/>
      <c r="ET47" s="122"/>
      <c r="EU47" s="122"/>
      <c r="EV47" s="122">
        <v>0</v>
      </c>
      <c r="EW47" s="122">
        <v>0</v>
      </c>
      <c r="EX47" s="122">
        <v>5.36</v>
      </c>
      <c r="EY47" s="122">
        <v>17.8</v>
      </c>
      <c r="EZ47" s="122">
        <v>9.1</v>
      </c>
      <c r="FA47" s="122">
        <f t="shared" si="51"/>
        <v>32.26</v>
      </c>
      <c r="FB47" s="122" t="s">
        <v>11</v>
      </c>
      <c r="FC47" s="122">
        <v>8.9</v>
      </c>
      <c r="FD47" s="122">
        <v>0</v>
      </c>
      <c r="FE47" s="122"/>
      <c r="FF47" s="122">
        <v>11.4</v>
      </c>
      <c r="FG47" s="122">
        <v>5.7</v>
      </c>
      <c r="FH47" s="122">
        <v>5.7</v>
      </c>
      <c r="FI47" s="122">
        <v>10.675</v>
      </c>
      <c r="FJ47" s="122"/>
      <c r="FK47" s="122">
        <v>0</v>
      </c>
      <c r="FL47" s="122">
        <v>0</v>
      </c>
      <c r="FM47" s="122">
        <v>0</v>
      </c>
      <c r="FN47" s="122">
        <f t="shared" si="52"/>
        <v>42.375</v>
      </c>
      <c r="FO47" s="122">
        <v>1.82</v>
      </c>
      <c r="FP47" s="122">
        <v>0.071</v>
      </c>
      <c r="FQ47" s="122">
        <v>0</v>
      </c>
      <c r="FR47" s="122">
        <f>'[5]IV5-IV6'!$C$31</f>
        <v>3.25</v>
      </c>
      <c r="FS47" s="122">
        <f>'[6]IV5_IV6_Mai'!$D$34</f>
        <v>6.3</v>
      </c>
      <c r="FT47" s="122">
        <v>0.2</v>
      </c>
      <c r="FU47" s="122">
        <v>8.4</v>
      </c>
      <c r="FV47" s="122">
        <v>6.3</v>
      </c>
      <c r="FW47" s="122">
        <v>6.3</v>
      </c>
      <c r="FX47" s="122">
        <v>0.1</v>
      </c>
      <c r="FY47" s="122">
        <v>0</v>
      </c>
      <c r="FZ47" s="122">
        <v>0</v>
      </c>
      <c r="GA47" s="122">
        <f t="shared" si="53"/>
        <v>32.741</v>
      </c>
      <c r="GB47" s="122"/>
      <c r="GC47" s="122">
        <v>0</v>
      </c>
      <c r="GD47" s="122">
        <v>0.306</v>
      </c>
      <c r="GE47" s="122">
        <v>2.636</v>
      </c>
      <c r="GF47" s="122">
        <v>0.046</v>
      </c>
      <c r="GG47" s="122">
        <v>83.1</v>
      </c>
      <c r="GH47" s="122">
        <v>12.787</v>
      </c>
      <c r="GI47" s="122"/>
      <c r="GJ47" s="122"/>
      <c r="GK47" s="122"/>
      <c r="GL47" s="122"/>
      <c r="GM47" s="122"/>
      <c r="GN47" s="122">
        <f t="shared" si="54"/>
        <v>98.875</v>
      </c>
      <c r="GO47" s="122"/>
      <c r="GP47" s="122">
        <v>3.034</v>
      </c>
      <c r="GQ47" s="122"/>
      <c r="GR47" s="122">
        <v>0</v>
      </c>
      <c r="GS47" s="122"/>
      <c r="GT47" s="122"/>
      <c r="GU47" s="122">
        <v>1.5</v>
      </c>
      <c r="GV47" s="122"/>
      <c r="GW47" s="122"/>
      <c r="GX47" s="122"/>
      <c r="GY47" s="122"/>
      <c r="GZ47" s="122"/>
      <c r="HA47" s="122">
        <v>38.304</v>
      </c>
      <c r="HB47" s="122"/>
      <c r="HC47" s="122"/>
      <c r="HD47" s="122"/>
      <c r="HE47" s="122"/>
      <c r="HF47" s="122">
        <v>2.345</v>
      </c>
      <c r="HG47" s="122"/>
      <c r="HH47" s="122"/>
      <c r="HI47" s="122"/>
      <c r="HJ47" s="122"/>
      <c r="HK47" s="122"/>
      <c r="HL47" s="122"/>
      <c r="HM47" s="98">
        <v>1.5</v>
      </c>
      <c r="HN47" s="98"/>
      <c r="HO47" s="98">
        <v>0.016</v>
      </c>
      <c r="HP47" s="122">
        <v>38.675</v>
      </c>
      <c r="HQ47" s="98"/>
      <c r="HR47" s="122">
        <v>34.334</v>
      </c>
      <c r="HS47" s="122">
        <v>13.036</v>
      </c>
      <c r="HT47" s="122">
        <v>0.006</v>
      </c>
      <c r="HU47" s="122"/>
      <c r="HV47" s="122"/>
      <c r="HW47" s="122"/>
      <c r="HX47" s="122"/>
      <c r="HY47" s="122">
        <f t="shared" si="55"/>
        <v>40.649</v>
      </c>
      <c r="HZ47" s="122">
        <f t="shared" si="56"/>
        <v>87.56700000000001</v>
      </c>
    </row>
    <row r="48" spans="2:234" ht="15.75">
      <c r="B48" s="105" t="s">
        <v>78</v>
      </c>
      <c r="C48" s="71">
        <v>368</v>
      </c>
      <c r="D48" s="42">
        <v>428</v>
      </c>
      <c r="E48" s="72">
        <v>296</v>
      </c>
      <c r="F48" s="42">
        <v>250</v>
      </c>
      <c r="G48" s="42">
        <v>181.3</v>
      </c>
      <c r="H48" s="42">
        <v>189</v>
      </c>
      <c r="I48" s="43">
        <v>14</v>
      </c>
      <c r="J48" s="43">
        <v>72</v>
      </c>
      <c r="K48" s="15">
        <v>5</v>
      </c>
      <c r="L48" s="15">
        <v>2</v>
      </c>
      <c r="M48" s="15">
        <v>91</v>
      </c>
      <c r="N48" s="15">
        <v>79</v>
      </c>
      <c r="O48" s="15">
        <v>65</v>
      </c>
      <c r="P48" s="15">
        <v>11</v>
      </c>
      <c r="Q48" s="15">
        <v>24</v>
      </c>
      <c r="R48" s="15">
        <v>19</v>
      </c>
      <c r="S48" s="15">
        <v>12</v>
      </c>
      <c r="T48" s="15">
        <v>34</v>
      </c>
      <c r="U48" s="42">
        <f>+I48+J48+K48+L48+M48+N48+O48+P48+Q48+R48+S48+T48</f>
        <v>428</v>
      </c>
      <c r="V48" s="56">
        <v>10</v>
      </c>
      <c r="W48" s="43">
        <v>9</v>
      </c>
      <c r="X48" s="15">
        <v>14</v>
      </c>
      <c r="Y48" s="15">
        <v>42</v>
      </c>
      <c r="Z48" s="15">
        <v>29</v>
      </c>
      <c r="AA48" s="15">
        <v>94</v>
      </c>
      <c r="AB48" s="15">
        <v>6</v>
      </c>
      <c r="AC48" s="15">
        <v>7</v>
      </c>
      <c r="AD48" s="15">
        <v>5</v>
      </c>
      <c r="AE48" s="15">
        <v>72</v>
      </c>
      <c r="AF48" s="15">
        <v>2</v>
      </c>
      <c r="AG48" s="15">
        <v>6</v>
      </c>
      <c r="AH48" s="71">
        <f>SUM(V48:AG48)</f>
        <v>296</v>
      </c>
      <c r="AI48" s="43">
        <v>32</v>
      </c>
      <c r="AJ48" s="15">
        <v>38</v>
      </c>
      <c r="AK48" s="15">
        <v>20</v>
      </c>
      <c r="AL48" s="15">
        <v>13</v>
      </c>
      <c r="AM48" s="15">
        <v>6</v>
      </c>
      <c r="AN48" s="15">
        <v>4</v>
      </c>
      <c r="AO48" s="15">
        <v>34</v>
      </c>
      <c r="AP48" s="15">
        <v>38</v>
      </c>
      <c r="AQ48" s="15">
        <v>16</v>
      </c>
      <c r="AR48" s="15">
        <v>5</v>
      </c>
      <c r="AS48" s="15">
        <v>14</v>
      </c>
      <c r="AT48" s="15">
        <v>30</v>
      </c>
      <c r="AU48" s="71">
        <f>AI48+AJ48+AK48+AL48+AM48+AN48+AO48+AP48+AQ48+AR48+AS48+AT48</f>
        <v>250</v>
      </c>
      <c r="AV48" s="42">
        <v>13</v>
      </c>
      <c r="AW48" s="15">
        <v>34</v>
      </c>
      <c r="AX48" s="31">
        <v>20</v>
      </c>
      <c r="AY48" s="15">
        <v>1</v>
      </c>
      <c r="AZ48" s="31"/>
      <c r="BA48" s="4"/>
      <c r="BB48" s="4">
        <v>0</v>
      </c>
      <c r="BC48" s="4">
        <v>12.1</v>
      </c>
      <c r="BD48" s="4">
        <v>0.09999999999999964</v>
      </c>
      <c r="BE48" s="4">
        <v>0</v>
      </c>
      <c r="BF48" s="4">
        <v>86.1</v>
      </c>
      <c r="BG48" s="12">
        <v>15</v>
      </c>
      <c r="BH48" s="71">
        <f>SUM(AV48:BG48)</f>
        <v>181.29999999999998</v>
      </c>
      <c r="BI48" s="36">
        <v>18</v>
      </c>
      <c r="BJ48" s="15">
        <f>BV48-BI48</f>
        <v>1.3000000000000007</v>
      </c>
      <c r="BK48" s="15">
        <f>BW48-BJ48-BI48</f>
        <v>54.7</v>
      </c>
      <c r="BL48" s="15">
        <f>BX48-BK48-BJ48-BI48</f>
        <v>13.7</v>
      </c>
      <c r="BM48" s="15">
        <f>BY48-BL48-BK48-BJ48-BI48</f>
        <v>27.299999999999997</v>
      </c>
      <c r="BN48" s="15">
        <f>BZ48-BM48-BL48-BK48-BJ48-BI48</f>
        <v>-0.40000000000000924</v>
      </c>
      <c r="BO48" s="15">
        <f>CA48-BN48-BM48-BL48-BK48-BJ48-BI48</f>
        <v>3.900000000000002</v>
      </c>
      <c r="BP48" s="15">
        <f>CB48-BO48-BN48-BM48-BL48-BK48-BJ48-BI48</f>
        <v>38</v>
      </c>
      <c r="BQ48" s="15">
        <f>CC48-BP48-BO48-BN48-BM48-BL48-BK48-BJ48-BI48</f>
        <v>19.80000000000001</v>
      </c>
      <c r="BR48" s="15">
        <f>CD48-BQ48-BP48-BO48-BN48-BM48-BL48-BK48-BJ48-BI48</f>
        <v>2.9999999999999964</v>
      </c>
      <c r="BS48" s="15">
        <f>CE48-BR48-BQ48-BP48-BO48-BN48-BM48-BL48-BK48-BJ48-BI48</f>
        <v>4.4999999999999964</v>
      </c>
      <c r="BT48" s="15">
        <f>CF48-BS48-BR48-BQ48-BP48-BO48-BN48-BM48-BL48-BK48-BJ48-BI48</f>
        <v>5.199999999999985</v>
      </c>
      <c r="BU48" s="73">
        <f>SUM(BI48:BT48)</f>
        <v>189</v>
      </c>
      <c r="BV48" s="72">
        <v>19.3</v>
      </c>
      <c r="BW48" s="42">
        <v>74</v>
      </c>
      <c r="BX48" s="72">
        <v>87.7</v>
      </c>
      <c r="BY48" s="71">
        <v>115</v>
      </c>
      <c r="BZ48" s="71">
        <v>114.6</v>
      </c>
      <c r="CA48" s="71">
        <v>118.5</v>
      </c>
      <c r="CB48" s="71">
        <v>156.5</v>
      </c>
      <c r="CC48" s="42">
        <v>176.3</v>
      </c>
      <c r="CD48" s="42">
        <v>179.3</v>
      </c>
      <c r="CE48" s="43">
        <v>183.8</v>
      </c>
      <c r="CF48" s="43">
        <v>189</v>
      </c>
      <c r="CG48" s="43">
        <v>316.2</v>
      </c>
      <c r="CH48" s="119">
        <v>152.7</v>
      </c>
      <c r="CI48" s="124">
        <v>356</v>
      </c>
      <c r="CJ48" s="71">
        <v>266.57</v>
      </c>
      <c r="CK48" s="71">
        <v>257.663</v>
      </c>
      <c r="CL48" s="122">
        <v>251.367</v>
      </c>
      <c r="CM48" s="122">
        <v>485.92099999999994</v>
      </c>
      <c r="CN48" s="122">
        <v>331.02500000000003</v>
      </c>
      <c r="CO48" s="122">
        <v>493.732</v>
      </c>
      <c r="CP48" s="122">
        <v>434.769</v>
      </c>
      <c r="CQ48" s="122">
        <v>37</v>
      </c>
      <c r="CR48" s="122">
        <v>40.5</v>
      </c>
      <c r="CS48" s="122">
        <v>40.5</v>
      </c>
      <c r="CT48" s="122">
        <v>40.5</v>
      </c>
      <c r="CU48" s="122">
        <v>75.9</v>
      </c>
      <c r="CV48" s="122">
        <v>105.6</v>
      </c>
      <c r="CW48" s="122">
        <v>215.4</v>
      </c>
      <c r="CX48" s="122">
        <v>216.4</v>
      </c>
      <c r="CY48" s="122">
        <v>231.8</v>
      </c>
      <c r="CZ48" s="122">
        <v>298</v>
      </c>
      <c r="DA48" s="122">
        <v>298</v>
      </c>
      <c r="DB48" s="122">
        <v>316.2</v>
      </c>
      <c r="DC48" s="122">
        <v>21.2</v>
      </c>
      <c r="DD48" s="122">
        <v>21.2</v>
      </c>
      <c r="DE48" s="122">
        <v>57.2</v>
      </c>
      <c r="DF48" s="122">
        <v>57.2</v>
      </c>
      <c r="DG48" s="122">
        <v>71.6</v>
      </c>
      <c r="DH48" s="122">
        <v>71.6</v>
      </c>
      <c r="DI48" s="122">
        <v>74.6</v>
      </c>
      <c r="DJ48" s="122">
        <v>88.8</v>
      </c>
      <c r="DK48" s="122">
        <v>112.2</v>
      </c>
      <c r="DL48" s="122">
        <v>140.8</v>
      </c>
      <c r="DM48" s="122">
        <v>148.7</v>
      </c>
      <c r="DN48" s="122">
        <v>152.7</v>
      </c>
      <c r="DO48" s="122">
        <v>27.5</v>
      </c>
      <c r="DP48" s="122">
        <v>27.5</v>
      </c>
      <c r="DQ48" s="122">
        <v>91.5</v>
      </c>
      <c r="DR48" s="122">
        <v>173.5</v>
      </c>
      <c r="DS48" s="122">
        <v>176</v>
      </c>
      <c r="DT48" s="122">
        <v>176</v>
      </c>
      <c r="DU48" s="122">
        <v>192</v>
      </c>
      <c r="DV48" s="122">
        <v>198</v>
      </c>
      <c r="DW48" s="122">
        <v>219</v>
      </c>
      <c r="DX48" s="122">
        <v>325</v>
      </c>
      <c r="DY48" s="122">
        <v>333</v>
      </c>
      <c r="DZ48" s="122">
        <v>23</v>
      </c>
      <c r="EA48" s="122">
        <f t="shared" si="49"/>
        <v>356</v>
      </c>
      <c r="EB48" s="122">
        <v>27</v>
      </c>
      <c r="EC48" s="122">
        <v>64</v>
      </c>
      <c r="ED48" s="122">
        <v>66</v>
      </c>
      <c r="EE48" s="122">
        <v>10</v>
      </c>
      <c r="EF48" s="122" t="s">
        <v>11</v>
      </c>
      <c r="EG48" s="122">
        <f>'[2]Feuil3'!$E$12</f>
        <v>52.97</v>
      </c>
      <c r="EH48" s="122">
        <v>0</v>
      </c>
      <c r="EI48" s="122">
        <v>0</v>
      </c>
      <c r="EJ48" s="122">
        <v>0</v>
      </c>
      <c r="EK48" s="122">
        <v>9.6</v>
      </c>
      <c r="EL48" s="122">
        <v>20</v>
      </c>
      <c r="EM48" s="122">
        <v>17</v>
      </c>
      <c r="EN48" s="122">
        <f t="shared" si="50"/>
        <v>266.57</v>
      </c>
      <c r="EO48" s="122">
        <v>35</v>
      </c>
      <c r="EP48" s="122" t="s">
        <v>11</v>
      </c>
      <c r="EQ48" s="122">
        <v>58</v>
      </c>
      <c r="ER48" s="122">
        <v>0</v>
      </c>
      <c r="ES48" s="122">
        <v>21.5</v>
      </c>
      <c r="ET48" s="122">
        <v>41</v>
      </c>
      <c r="EU48" s="122">
        <v>6.1</v>
      </c>
      <c r="EV48" s="122">
        <v>33.39</v>
      </c>
      <c r="EW48" s="122">
        <v>23.773</v>
      </c>
      <c r="EX48" s="122">
        <v>2</v>
      </c>
      <c r="EY48" s="122">
        <v>36.9</v>
      </c>
      <c r="EZ48" s="122"/>
      <c r="FA48" s="122">
        <f t="shared" si="51"/>
        <v>257.663</v>
      </c>
      <c r="FB48" s="122" t="s">
        <v>11</v>
      </c>
      <c r="FC48" s="122">
        <v>26.905</v>
      </c>
      <c r="FD48" s="122">
        <f>'[4]IV5-IV6'!$D$14</f>
        <v>58.145</v>
      </c>
      <c r="FE48" s="122">
        <v>28.85</v>
      </c>
      <c r="FF48" s="122">
        <v>9.08</v>
      </c>
      <c r="FG48" s="122">
        <v>3.7</v>
      </c>
      <c r="FH48" s="122">
        <v>41.303</v>
      </c>
      <c r="FI48" s="122">
        <v>34.065</v>
      </c>
      <c r="FJ48" s="122">
        <v>0.2</v>
      </c>
      <c r="FK48" s="122">
        <v>28.853</v>
      </c>
      <c r="FL48" s="122">
        <v>0</v>
      </c>
      <c r="FM48" s="122">
        <v>20.166</v>
      </c>
      <c r="FN48" s="122">
        <f t="shared" si="52"/>
        <v>251.267</v>
      </c>
      <c r="FO48" s="122">
        <v>62.582</v>
      </c>
      <c r="FP48" s="122">
        <v>2.132</v>
      </c>
      <c r="FQ48" s="122">
        <v>3.588</v>
      </c>
      <c r="FR48" s="122">
        <f>'[5]IV5-IV6'!$C$32</f>
        <v>49.05</v>
      </c>
      <c r="FS48" s="122">
        <f>'[6]IV5_IV6_Mai'!$D$35</f>
        <v>61.714</v>
      </c>
      <c r="FT48" s="122">
        <v>9.4</v>
      </c>
      <c r="FU48" s="122">
        <v>35.844</v>
      </c>
      <c r="FV48" s="122">
        <v>103.606</v>
      </c>
      <c r="FW48" s="122">
        <v>108.005</v>
      </c>
      <c r="FX48" s="122">
        <v>38.9</v>
      </c>
      <c r="FY48" s="122">
        <v>0</v>
      </c>
      <c r="FZ48" s="122">
        <v>11.1</v>
      </c>
      <c r="GA48" s="122">
        <f>FO48+FP48+FQ48+FR48+FS48+FT48+FU48+FV48+FW48+FX48+FY48+FZ48</f>
        <v>485.92099999999994</v>
      </c>
      <c r="GB48" s="122">
        <v>78.186</v>
      </c>
      <c r="GC48" s="122">
        <v>1.61</v>
      </c>
      <c r="GD48" s="122">
        <v>1.65</v>
      </c>
      <c r="GE48" s="122">
        <v>23.53</v>
      </c>
      <c r="GF48" s="122">
        <v>54.131</v>
      </c>
      <c r="GG48" s="122">
        <v>0</v>
      </c>
      <c r="GH48" s="122">
        <v>20.768</v>
      </c>
      <c r="GI48" s="122">
        <v>8.4</v>
      </c>
      <c r="GJ48" s="122">
        <v>59.816</v>
      </c>
      <c r="GK48" s="122">
        <v>45.547</v>
      </c>
      <c r="GL48" s="122">
        <v>17.287</v>
      </c>
      <c r="GM48" s="122">
        <v>20.1</v>
      </c>
      <c r="GN48" s="122">
        <f t="shared" si="54"/>
        <v>331.02500000000003</v>
      </c>
      <c r="GO48" s="122">
        <v>18.086</v>
      </c>
      <c r="GP48" s="122">
        <v>23.405</v>
      </c>
      <c r="GQ48" s="122">
        <v>154.941</v>
      </c>
      <c r="GR48" s="122">
        <v>119.731</v>
      </c>
      <c r="GS48" s="122">
        <v>103.322</v>
      </c>
      <c r="GT48" s="122">
        <v>19.33</v>
      </c>
      <c r="GU48" s="122">
        <v>5.425</v>
      </c>
      <c r="GV48" s="122">
        <v>51.728</v>
      </c>
      <c r="GW48" s="122"/>
      <c r="GX48" s="122">
        <v>1.925</v>
      </c>
      <c r="GY48" s="122">
        <v>22.379</v>
      </c>
      <c r="GZ48" s="122">
        <v>1.616</v>
      </c>
      <c r="HA48" s="122">
        <v>54.492</v>
      </c>
      <c r="HB48" s="122">
        <v>24.245</v>
      </c>
      <c r="HC48" s="122"/>
      <c r="HD48" s="122">
        <v>18.01</v>
      </c>
      <c r="HE48" s="122">
        <v>7.5</v>
      </c>
      <c r="HF48" s="122">
        <v>1.23</v>
      </c>
      <c r="HG48" s="122">
        <v>22.594</v>
      </c>
      <c r="HH48" s="122">
        <v>58.893</v>
      </c>
      <c r="HI48" s="122">
        <v>52.418</v>
      </c>
      <c r="HJ48" s="122">
        <v>39.77</v>
      </c>
      <c r="HK48" s="122">
        <v>154.467</v>
      </c>
      <c r="HL48" s="122">
        <v>1.15</v>
      </c>
      <c r="HM48" s="98">
        <v>45.315</v>
      </c>
      <c r="HN48" s="98">
        <v>80.193</v>
      </c>
      <c r="HO48" s="98">
        <v>48.92</v>
      </c>
      <c r="HP48" s="122">
        <v>30.505</v>
      </c>
      <c r="HQ48" s="98">
        <v>33.876</v>
      </c>
      <c r="HR48" s="122">
        <v>0</v>
      </c>
      <c r="HS48" s="122">
        <v>22.265</v>
      </c>
      <c r="HT48" s="122">
        <v>23.617</v>
      </c>
      <c r="HU48" s="122"/>
      <c r="HV48" s="122"/>
      <c r="HW48" s="122"/>
      <c r="HX48" s="122"/>
      <c r="HY48" s="122">
        <f t="shared" si="55"/>
        <v>186.964</v>
      </c>
      <c r="HZ48" s="122">
        <f t="shared" si="56"/>
        <v>284.69100000000003</v>
      </c>
    </row>
    <row r="49" spans="2:234" ht="15.75">
      <c r="B49" s="105" t="s">
        <v>135</v>
      </c>
      <c r="C49" s="71"/>
      <c r="D49" s="42"/>
      <c r="E49" s="72"/>
      <c r="F49" s="42"/>
      <c r="G49" s="42"/>
      <c r="H49" s="42"/>
      <c r="I49" s="43"/>
      <c r="J49" s="43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42"/>
      <c r="V49" s="56"/>
      <c r="W49" s="43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71"/>
      <c r="AI49" s="43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71"/>
      <c r="AV49" s="42"/>
      <c r="AW49" s="15"/>
      <c r="AX49" s="31"/>
      <c r="AY49" s="15"/>
      <c r="AZ49" s="31"/>
      <c r="BA49" s="4"/>
      <c r="BB49" s="4"/>
      <c r="BC49" s="4"/>
      <c r="BD49" s="4"/>
      <c r="BE49" s="4"/>
      <c r="BF49" s="4"/>
      <c r="BG49" s="12"/>
      <c r="BH49" s="71"/>
      <c r="BI49" s="36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73"/>
      <c r="BV49" s="72"/>
      <c r="BW49" s="42"/>
      <c r="BX49" s="72"/>
      <c r="BY49" s="71"/>
      <c r="BZ49" s="71"/>
      <c r="CA49" s="71"/>
      <c r="CB49" s="71"/>
      <c r="CC49" s="42"/>
      <c r="CD49" s="42"/>
      <c r="CE49" s="43"/>
      <c r="CF49" s="43"/>
      <c r="CG49" s="43"/>
      <c r="CH49" s="119"/>
      <c r="CI49" s="124"/>
      <c r="CJ49" s="71"/>
      <c r="CK49" s="71"/>
      <c r="CL49" s="122"/>
      <c r="CM49" s="122"/>
      <c r="CN49" s="122"/>
      <c r="CO49" s="122">
        <v>63643.536</v>
      </c>
      <c r="CP49" s="122">
        <v>53020.15300000001</v>
      </c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2"/>
      <c r="FU49" s="122"/>
      <c r="FV49" s="122"/>
      <c r="FW49" s="122"/>
      <c r="FX49" s="122"/>
      <c r="FY49" s="122"/>
      <c r="FZ49" s="122"/>
      <c r="GA49" s="122"/>
      <c r="GB49" s="122"/>
      <c r="GC49" s="122"/>
      <c r="GD49" s="122"/>
      <c r="GE49" s="122"/>
      <c r="GF49" s="122"/>
      <c r="GG49" s="122"/>
      <c r="GH49" s="122"/>
      <c r="GI49" s="122"/>
      <c r="GJ49" s="122"/>
      <c r="GK49" s="122"/>
      <c r="GL49" s="122"/>
      <c r="GM49" s="122"/>
      <c r="GN49" s="122"/>
      <c r="GO49" s="122"/>
      <c r="GP49" s="122"/>
      <c r="GQ49" s="122"/>
      <c r="GR49" s="122"/>
      <c r="GS49" s="122"/>
      <c r="GT49" s="122"/>
      <c r="GU49" s="122"/>
      <c r="GV49" s="122"/>
      <c r="GW49" s="122"/>
      <c r="GX49" s="122"/>
      <c r="GY49" s="122"/>
      <c r="GZ49" s="122"/>
      <c r="HA49" s="122">
        <v>4026.593</v>
      </c>
      <c r="HB49" s="122">
        <v>7625.694</v>
      </c>
      <c r="HC49" s="122">
        <v>8753.78</v>
      </c>
      <c r="HD49" s="122">
        <v>6164.993</v>
      </c>
      <c r="HE49" s="122">
        <v>3052.058</v>
      </c>
      <c r="HF49" s="122">
        <v>3404.031</v>
      </c>
      <c r="HG49" s="122">
        <v>3190.904</v>
      </c>
      <c r="HH49" s="122">
        <v>2799.569</v>
      </c>
      <c r="HI49" s="122">
        <v>3805.334</v>
      </c>
      <c r="HJ49" s="122">
        <v>3206.052</v>
      </c>
      <c r="HK49" s="122">
        <v>3327.522</v>
      </c>
      <c r="HL49" s="122">
        <v>3663.623</v>
      </c>
      <c r="HM49" s="98">
        <v>0.623</v>
      </c>
      <c r="HN49" s="98">
        <v>3985.205</v>
      </c>
      <c r="HO49" s="98">
        <v>1965.922</v>
      </c>
      <c r="HP49" s="122">
        <v>1760.73</v>
      </c>
      <c r="HQ49" s="98">
        <v>1418.869</v>
      </c>
      <c r="HR49" s="122">
        <v>4411.377</v>
      </c>
      <c r="HS49" s="122">
        <v>4227.546</v>
      </c>
      <c r="HT49" s="122">
        <v>6758.7285</v>
      </c>
      <c r="HU49" s="122"/>
      <c r="HV49" s="122"/>
      <c r="HW49" s="122"/>
      <c r="HX49" s="122"/>
      <c r="HY49" s="122">
        <f t="shared" si="55"/>
        <v>39017.62200000001</v>
      </c>
      <c r="HZ49" s="122">
        <f t="shared" si="56"/>
        <v>24529.000500000002</v>
      </c>
    </row>
    <row r="50" spans="2:234" ht="15.75">
      <c r="B50" s="105" t="s">
        <v>79</v>
      </c>
      <c r="C50" s="71">
        <v>1048</v>
      </c>
      <c r="D50" s="42">
        <v>712</v>
      </c>
      <c r="E50" s="72">
        <v>1</v>
      </c>
      <c r="F50" s="42" t="s">
        <v>11</v>
      </c>
      <c r="G50" s="42">
        <v>448.9</v>
      </c>
      <c r="H50" s="42">
        <v>322</v>
      </c>
      <c r="I50" s="43">
        <v>59</v>
      </c>
      <c r="J50" s="43">
        <v>71</v>
      </c>
      <c r="K50" s="15">
        <v>56</v>
      </c>
      <c r="L50" s="15">
        <v>60</v>
      </c>
      <c r="M50" s="15">
        <v>81</v>
      </c>
      <c r="N50" s="15">
        <v>40</v>
      </c>
      <c r="O50" s="15">
        <v>59</v>
      </c>
      <c r="P50" s="15">
        <v>54</v>
      </c>
      <c r="Q50" s="15">
        <v>81</v>
      </c>
      <c r="R50" s="15">
        <v>45</v>
      </c>
      <c r="S50" s="15">
        <v>28</v>
      </c>
      <c r="T50" s="15">
        <v>78</v>
      </c>
      <c r="U50" s="42">
        <f>+I50+J50+K50+L50+M50+N50+O50+P50+Q50+R50+S50+T50</f>
        <v>712</v>
      </c>
      <c r="V50" s="36" t="s">
        <v>11</v>
      </c>
      <c r="W50" s="43" t="s">
        <v>11</v>
      </c>
      <c r="X50" s="15" t="s">
        <v>11</v>
      </c>
      <c r="Y50" s="15" t="s">
        <v>11</v>
      </c>
      <c r="Z50" s="15" t="s">
        <v>11</v>
      </c>
      <c r="AA50" s="15" t="s">
        <v>11</v>
      </c>
      <c r="AB50" s="15" t="s">
        <v>11</v>
      </c>
      <c r="AC50" s="15" t="s">
        <v>11</v>
      </c>
      <c r="AD50" s="15" t="s">
        <v>11</v>
      </c>
      <c r="AE50" s="15" t="s">
        <v>11</v>
      </c>
      <c r="AF50" s="15" t="s">
        <v>11</v>
      </c>
      <c r="AG50" s="15">
        <v>1</v>
      </c>
      <c r="AH50" s="71">
        <f>SUM(V50:AG50)</f>
        <v>1</v>
      </c>
      <c r="AI50" s="43" t="s">
        <v>11</v>
      </c>
      <c r="AJ50" s="15" t="s">
        <v>11</v>
      </c>
      <c r="AK50" s="15" t="s">
        <v>11</v>
      </c>
      <c r="AL50" s="15" t="s">
        <v>11</v>
      </c>
      <c r="AM50" s="15" t="s">
        <v>11</v>
      </c>
      <c r="AN50" s="15" t="s">
        <v>11</v>
      </c>
      <c r="AO50" s="15" t="s">
        <v>11</v>
      </c>
      <c r="AP50" s="15" t="s">
        <v>11</v>
      </c>
      <c r="AQ50" s="15" t="s">
        <v>11</v>
      </c>
      <c r="AR50" s="15" t="s">
        <v>11</v>
      </c>
      <c r="AS50" s="15" t="s">
        <v>11</v>
      </c>
      <c r="AT50" s="15" t="s">
        <v>11</v>
      </c>
      <c r="AU50" s="71">
        <f>AI50+AJ50+AK50+AL50+AM50+AN50+AO50+AP50+AQ50+AR50+AS50+AT50</f>
        <v>0</v>
      </c>
      <c r="AV50" s="42">
        <v>18</v>
      </c>
      <c r="AW50" s="4">
        <v>34</v>
      </c>
      <c r="AX50" s="31" t="s">
        <v>11</v>
      </c>
      <c r="AY50" s="4">
        <v>42</v>
      </c>
      <c r="AZ50" s="31">
        <v>67</v>
      </c>
      <c r="BA50" s="4">
        <v>1</v>
      </c>
      <c r="BB50" s="4">
        <v>38.6</v>
      </c>
      <c r="BC50" s="4">
        <v>0.19999999999999574</v>
      </c>
      <c r="BD50" s="4">
        <v>55.3</v>
      </c>
      <c r="BE50" s="4">
        <v>27</v>
      </c>
      <c r="BF50" s="4">
        <v>22.8</v>
      </c>
      <c r="BG50" s="12">
        <v>143</v>
      </c>
      <c r="BH50" s="71">
        <f>SUM(AV50:BG50)</f>
        <v>448.9</v>
      </c>
      <c r="BI50" s="36">
        <v>47</v>
      </c>
      <c r="BJ50" s="15" t="s">
        <v>11</v>
      </c>
      <c r="BK50" s="15">
        <f>BW50-BJ50-BI50</f>
        <v>28.099999999999994</v>
      </c>
      <c r="BL50" s="15">
        <f>BX50-BK50-BJ50-BI50</f>
        <v>0.6000000000000085</v>
      </c>
      <c r="BM50" s="15">
        <f>BY50-BL50-BK50-BJ50-BI50</f>
        <v>35.3</v>
      </c>
      <c r="BN50" s="15">
        <f>BZ50-BM50-BL50-BK50-BJ50-BI50</f>
        <v>13</v>
      </c>
      <c r="BO50" s="15">
        <f>CA50-BN50-BM50-BL50-BK50-BJ50-BI50</f>
        <v>97.79999999999998</v>
      </c>
      <c r="BP50" s="15">
        <f>CB50-BO50-BN50-BM50-BL50-BK50-BJ50-BI50</f>
        <v>22.900000000000006</v>
      </c>
      <c r="BQ50" s="15">
        <f>CC50-BP50-BO50-BN50-BM50-BL50-BK50-BJ50-BI50</f>
        <v>0</v>
      </c>
      <c r="BR50" s="15">
        <f>CD50-BQ50-BP50-BO50-BN50-BM50-BL50-BK50-BJ50-BI50</f>
        <v>13.199999999999989</v>
      </c>
      <c r="BS50" s="15">
        <f>CE50-BR50-BQ50-BP50-BO50-BN50-BM50-BL50-BK50-BJ50-BI50</f>
        <v>40.599999999999994</v>
      </c>
      <c r="BT50" s="15">
        <f>CF50-BS50-BR50-BQ50-BP50-BO50-BN50-BM50-BL50-BK50-BJ50-BI50</f>
        <v>23.5</v>
      </c>
      <c r="BU50" s="73">
        <f>SUM(BI50:BT50)</f>
        <v>322</v>
      </c>
      <c r="BV50" s="72">
        <v>47</v>
      </c>
      <c r="BW50" s="42">
        <v>75.1</v>
      </c>
      <c r="BX50" s="72">
        <v>75.7</v>
      </c>
      <c r="BY50" s="71">
        <v>111</v>
      </c>
      <c r="BZ50" s="71">
        <v>124</v>
      </c>
      <c r="CA50" s="71">
        <v>221.8</v>
      </c>
      <c r="CB50" s="71">
        <v>244.7</v>
      </c>
      <c r="CC50" s="42">
        <v>244.7</v>
      </c>
      <c r="CD50" s="42">
        <v>257.9</v>
      </c>
      <c r="CE50" s="43">
        <v>298.5</v>
      </c>
      <c r="CF50" s="43">
        <v>322</v>
      </c>
      <c r="CG50" s="43">
        <v>164.8</v>
      </c>
      <c r="CH50" s="119">
        <v>137.4</v>
      </c>
      <c r="CI50" s="124">
        <v>65.2</v>
      </c>
      <c r="CJ50" s="71">
        <v>64.181</v>
      </c>
      <c r="CK50" s="71">
        <v>136.512</v>
      </c>
      <c r="CL50" s="122">
        <v>121.571</v>
      </c>
      <c r="CM50" s="122">
        <v>103.28999999999999</v>
      </c>
      <c r="CN50" s="122">
        <v>123.65400000000001</v>
      </c>
      <c r="CO50" s="122">
        <v>169.807</v>
      </c>
      <c r="CP50" s="122">
        <v>273.197</v>
      </c>
      <c r="CQ50" s="122" t="s">
        <v>16</v>
      </c>
      <c r="CR50" s="122">
        <v>0.8</v>
      </c>
      <c r="CS50" s="122">
        <v>21.5</v>
      </c>
      <c r="CT50" s="122">
        <v>42.9</v>
      </c>
      <c r="CU50" s="122">
        <v>43.8</v>
      </c>
      <c r="CV50" s="122">
        <v>43.8</v>
      </c>
      <c r="CW50" s="122">
        <v>110.8</v>
      </c>
      <c r="CX50" s="122">
        <v>110.8</v>
      </c>
      <c r="CY50" s="122">
        <v>110.8</v>
      </c>
      <c r="CZ50" s="122">
        <v>110.8</v>
      </c>
      <c r="DA50" s="122">
        <v>113.4</v>
      </c>
      <c r="DB50" s="122">
        <v>164.8</v>
      </c>
      <c r="DC50" s="122">
        <v>2.1</v>
      </c>
      <c r="DD50" s="122">
        <v>2.4</v>
      </c>
      <c r="DE50" s="122">
        <v>2.4</v>
      </c>
      <c r="DF50" s="122">
        <v>23.4</v>
      </c>
      <c r="DG50" s="122">
        <v>116.2</v>
      </c>
      <c r="DH50" s="122">
        <v>116.9</v>
      </c>
      <c r="DI50" s="122">
        <v>116.9</v>
      </c>
      <c r="DJ50" s="122">
        <v>116.9</v>
      </c>
      <c r="DK50" s="122">
        <v>134.7</v>
      </c>
      <c r="DL50" s="122">
        <v>134.7</v>
      </c>
      <c r="DM50" s="122">
        <v>134.7</v>
      </c>
      <c r="DN50" s="122">
        <v>137.4</v>
      </c>
      <c r="DO50" s="122">
        <v>9.6</v>
      </c>
      <c r="DP50" s="122">
        <v>37.6</v>
      </c>
      <c r="DQ50" s="122">
        <v>59.6</v>
      </c>
      <c r="DR50" s="122">
        <v>61.3</v>
      </c>
      <c r="DS50" s="122">
        <v>61</v>
      </c>
      <c r="DT50" s="122">
        <v>62.8</v>
      </c>
      <c r="DU50" s="122">
        <v>62.9</v>
      </c>
      <c r="DV50" s="122">
        <v>62.9</v>
      </c>
      <c r="DW50" s="122">
        <v>63</v>
      </c>
      <c r="DX50" s="122">
        <v>63.2</v>
      </c>
      <c r="DY50" s="122">
        <v>65.2</v>
      </c>
      <c r="DZ50" s="122">
        <v>0</v>
      </c>
      <c r="EA50" s="122">
        <f t="shared" si="49"/>
        <v>65.2</v>
      </c>
      <c r="EB50" s="122" t="s">
        <v>11</v>
      </c>
      <c r="EC50" s="122"/>
      <c r="ED50" s="122" t="s">
        <v>16</v>
      </c>
      <c r="EE50" s="122">
        <v>1</v>
      </c>
      <c r="EF50" s="122" t="s">
        <v>11</v>
      </c>
      <c r="EG50" s="122">
        <f>'[2]Feuil3'!$E$18</f>
        <v>8.491</v>
      </c>
      <c r="EH50" s="122">
        <v>1</v>
      </c>
      <c r="EI50" s="122">
        <v>0.2</v>
      </c>
      <c r="EJ50" s="122">
        <v>4.79</v>
      </c>
      <c r="EK50" s="122">
        <v>0</v>
      </c>
      <c r="EL50" s="122">
        <v>48</v>
      </c>
      <c r="EM50" s="122">
        <v>0.7</v>
      </c>
      <c r="EN50" s="122">
        <f t="shared" si="50"/>
        <v>64.181</v>
      </c>
      <c r="EO50" s="122">
        <v>26</v>
      </c>
      <c r="EP50" s="122" t="s">
        <v>11</v>
      </c>
      <c r="EQ50" s="122">
        <v>15</v>
      </c>
      <c r="ER50" s="122">
        <v>0.626</v>
      </c>
      <c r="ES50" s="122">
        <v>23.9</v>
      </c>
      <c r="ET50" s="122">
        <v>0.7</v>
      </c>
      <c r="EU50" s="122">
        <v>0.3</v>
      </c>
      <c r="EV50" s="122">
        <v>51.89</v>
      </c>
      <c r="EW50" s="122">
        <v>7.25</v>
      </c>
      <c r="EX50" s="122">
        <v>0.846</v>
      </c>
      <c r="EY50" s="122">
        <v>1.1</v>
      </c>
      <c r="EZ50" s="122">
        <v>8.9</v>
      </c>
      <c r="FA50" s="122">
        <f t="shared" si="51"/>
        <v>136.512</v>
      </c>
      <c r="FB50" s="122">
        <v>1.242</v>
      </c>
      <c r="FC50" s="122">
        <v>0.948</v>
      </c>
      <c r="FD50" s="122">
        <f>'[4]IV5-IV6'!$D$25</f>
        <v>15.145</v>
      </c>
      <c r="FE50" s="122">
        <v>50.6</v>
      </c>
      <c r="FF50" s="122">
        <v>0.166</v>
      </c>
      <c r="FG50" s="122">
        <v>0.3</v>
      </c>
      <c r="FH50" s="122">
        <v>4.107</v>
      </c>
      <c r="FI50" s="122">
        <v>20.145</v>
      </c>
      <c r="FJ50" s="122">
        <v>0.4</v>
      </c>
      <c r="FK50" s="122">
        <v>0.07</v>
      </c>
      <c r="FL50" s="122">
        <v>0.882</v>
      </c>
      <c r="FM50" s="122">
        <v>27.566</v>
      </c>
      <c r="FN50" s="122">
        <f t="shared" si="52"/>
        <v>121.571</v>
      </c>
      <c r="FO50" s="122">
        <v>15.813</v>
      </c>
      <c r="FP50" s="122">
        <v>0.371</v>
      </c>
      <c r="FQ50" s="122">
        <v>0.396</v>
      </c>
      <c r="FR50" s="122">
        <f>'[5]IV5-IV6'!$C$35</f>
        <v>21.509</v>
      </c>
      <c r="FS50" s="122">
        <f>'[6]IV5_IV6_Mai'!$D$30</f>
        <v>4.311</v>
      </c>
      <c r="FT50" s="122">
        <v>0.2</v>
      </c>
      <c r="FU50" s="122">
        <v>4.543</v>
      </c>
      <c r="FV50" s="122">
        <v>4.461</v>
      </c>
      <c r="FW50" s="122">
        <v>3.626</v>
      </c>
      <c r="FX50" s="122">
        <v>16.4</v>
      </c>
      <c r="FY50" s="122">
        <v>28.66</v>
      </c>
      <c r="FZ50" s="122">
        <v>3</v>
      </c>
      <c r="GA50" s="122">
        <f t="shared" si="53"/>
        <v>103.28999999999999</v>
      </c>
      <c r="GB50" s="122">
        <v>0.919</v>
      </c>
      <c r="GC50" s="122">
        <v>0.156</v>
      </c>
      <c r="GD50" s="122">
        <v>73.204</v>
      </c>
      <c r="GE50" s="122">
        <v>0.125</v>
      </c>
      <c r="GF50" s="122">
        <v>0.812</v>
      </c>
      <c r="GG50" s="122">
        <v>10.954</v>
      </c>
      <c r="GH50" s="122">
        <v>0.179</v>
      </c>
      <c r="GI50" s="122">
        <v>0.854</v>
      </c>
      <c r="GJ50" s="122">
        <v>16.37</v>
      </c>
      <c r="GK50" s="122">
        <v>0.177</v>
      </c>
      <c r="GL50" s="122">
        <v>3.18</v>
      </c>
      <c r="GM50" s="122">
        <v>16.724</v>
      </c>
      <c r="GN50" s="122">
        <f t="shared" si="54"/>
        <v>123.65400000000001</v>
      </c>
      <c r="GO50" s="122">
        <v>0.985</v>
      </c>
      <c r="GP50" s="122">
        <v>26.794</v>
      </c>
      <c r="GQ50" s="122">
        <v>95.006</v>
      </c>
      <c r="GR50" s="122">
        <v>10.336</v>
      </c>
      <c r="GS50" s="122">
        <v>0.287</v>
      </c>
      <c r="GT50" s="122">
        <v>10.42</v>
      </c>
      <c r="GU50" s="122">
        <v>22.854</v>
      </c>
      <c r="GV50" s="122">
        <v>0.2</v>
      </c>
      <c r="GW50" s="122">
        <v>0.359</v>
      </c>
      <c r="GX50" s="122">
        <v>0.356</v>
      </c>
      <c r="GY50" s="122">
        <v>0.582</v>
      </c>
      <c r="GZ50" s="122">
        <v>1.706</v>
      </c>
      <c r="HA50" s="122"/>
      <c r="HB50" s="122">
        <v>23.13</v>
      </c>
      <c r="HC50" s="122">
        <v>2.571</v>
      </c>
      <c r="HD50" s="122">
        <v>1.056</v>
      </c>
      <c r="HE50" s="122">
        <v>3.299</v>
      </c>
      <c r="HF50" s="122">
        <v>1.384</v>
      </c>
      <c r="HG50" s="122">
        <v>27.755</v>
      </c>
      <c r="HH50" s="122">
        <v>3.819</v>
      </c>
      <c r="HI50" s="122">
        <v>19.543</v>
      </c>
      <c r="HJ50" s="122">
        <v>11.103</v>
      </c>
      <c r="HK50" s="122">
        <v>90.874</v>
      </c>
      <c r="HL50" s="122">
        <v>88.663</v>
      </c>
      <c r="HM50" s="98">
        <v>2690.834</v>
      </c>
      <c r="HN50" s="98">
        <v>0.514</v>
      </c>
      <c r="HO50" s="98">
        <v>3.001</v>
      </c>
      <c r="HP50" s="122">
        <v>1.17</v>
      </c>
      <c r="HQ50" s="98">
        <v>0.436</v>
      </c>
      <c r="HR50" s="122">
        <v>0.054</v>
      </c>
      <c r="HS50" s="122">
        <v>1.011</v>
      </c>
      <c r="HT50" s="122">
        <v>1.605</v>
      </c>
      <c r="HU50" s="122"/>
      <c r="HV50" s="122"/>
      <c r="HW50" s="122"/>
      <c r="HX50" s="122"/>
      <c r="HY50" s="122">
        <f t="shared" si="55"/>
        <v>63.014</v>
      </c>
      <c r="HZ50" s="122">
        <f t="shared" si="56"/>
        <v>2698.6250000000005</v>
      </c>
    </row>
    <row r="51" spans="2:234" ht="15.75">
      <c r="B51" s="105" t="s">
        <v>80</v>
      </c>
      <c r="C51" s="71">
        <v>1457</v>
      </c>
      <c r="D51" s="42">
        <v>77</v>
      </c>
      <c r="E51" s="72" t="s">
        <v>11</v>
      </c>
      <c r="F51" s="42">
        <v>1353</v>
      </c>
      <c r="G51" s="42">
        <v>39</v>
      </c>
      <c r="H51" s="42">
        <v>119</v>
      </c>
      <c r="I51" s="76" t="s">
        <v>13</v>
      </c>
      <c r="J51" s="43" t="s">
        <v>11</v>
      </c>
      <c r="K51" s="15">
        <v>10</v>
      </c>
      <c r="L51" s="15">
        <v>42</v>
      </c>
      <c r="M51" s="15">
        <v>22</v>
      </c>
      <c r="N51" s="15" t="s">
        <v>11</v>
      </c>
      <c r="O51" s="15" t="s">
        <v>11</v>
      </c>
      <c r="P51" s="15">
        <v>3</v>
      </c>
      <c r="Q51" s="15" t="s">
        <v>11</v>
      </c>
      <c r="R51" s="15" t="s">
        <v>11</v>
      </c>
      <c r="S51" s="15" t="s">
        <v>11</v>
      </c>
      <c r="T51" s="15" t="s">
        <v>11</v>
      </c>
      <c r="U51" s="42">
        <v>77</v>
      </c>
      <c r="V51" s="36" t="s">
        <v>11</v>
      </c>
      <c r="W51" s="43" t="s">
        <v>11</v>
      </c>
      <c r="X51" s="15" t="s">
        <v>11</v>
      </c>
      <c r="Y51" s="15" t="s">
        <v>11</v>
      </c>
      <c r="Z51" s="15" t="s">
        <v>11</v>
      </c>
      <c r="AA51" s="15" t="s">
        <v>11</v>
      </c>
      <c r="AB51" s="15" t="s">
        <v>11</v>
      </c>
      <c r="AC51" s="15" t="s">
        <v>11</v>
      </c>
      <c r="AD51" s="15" t="s">
        <v>11</v>
      </c>
      <c r="AE51" s="15" t="s">
        <v>11</v>
      </c>
      <c r="AF51" s="15" t="s">
        <v>11</v>
      </c>
      <c r="AG51" s="15" t="s">
        <v>11</v>
      </c>
      <c r="AH51" s="71" t="s">
        <v>11</v>
      </c>
      <c r="AI51" s="43">
        <v>44</v>
      </c>
      <c r="AJ51" s="15" t="s">
        <v>11</v>
      </c>
      <c r="AK51" s="15" t="s">
        <v>11</v>
      </c>
      <c r="AL51" s="15">
        <v>250</v>
      </c>
      <c r="AM51" s="15">
        <v>579</v>
      </c>
      <c r="AN51" s="15">
        <v>38</v>
      </c>
      <c r="AO51" s="15">
        <v>20</v>
      </c>
      <c r="AP51" s="15">
        <v>77</v>
      </c>
      <c r="AQ51" s="15">
        <v>308</v>
      </c>
      <c r="AR51" s="75" t="s">
        <v>11</v>
      </c>
      <c r="AS51" s="15">
        <v>37</v>
      </c>
      <c r="AT51" s="75" t="s">
        <v>11</v>
      </c>
      <c r="AU51" s="71">
        <v>1353</v>
      </c>
      <c r="AV51" s="80" t="s">
        <v>11</v>
      </c>
      <c r="AW51" s="81" t="s">
        <v>11</v>
      </c>
      <c r="AX51" s="31" t="s">
        <v>11</v>
      </c>
      <c r="AY51" s="4"/>
      <c r="AZ51" s="31"/>
      <c r="BA51" s="4"/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12">
        <v>39</v>
      </c>
      <c r="BH51" s="71">
        <v>39</v>
      </c>
      <c r="BI51" s="36" t="s">
        <v>11</v>
      </c>
      <c r="BJ51" s="15" t="s">
        <v>11</v>
      </c>
      <c r="BK51" s="15">
        <v>0</v>
      </c>
      <c r="BL51" s="15">
        <v>43.4</v>
      </c>
      <c r="BM51" s="15">
        <v>-0.3999999999999986</v>
      </c>
      <c r="BN51" s="15">
        <v>0.3999999999999986</v>
      </c>
      <c r="BO51" s="15">
        <v>1.1</v>
      </c>
      <c r="BP51" s="15">
        <v>20</v>
      </c>
      <c r="BQ51" s="15">
        <v>0</v>
      </c>
      <c r="BR51" s="15">
        <v>54</v>
      </c>
      <c r="BS51" s="15">
        <v>0</v>
      </c>
      <c r="BT51" s="15">
        <v>0.5</v>
      </c>
      <c r="BU51" s="73">
        <v>119</v>
      </c>
      <c r="BV51" s="72" t="s">
        <v>11</v>
      </c>
      <c r="BW51" s="42" t="s">
        <v>11</v>
      </c>
      <c r="BX51" s="72">
        <v>43.4</v>
      </c>
      <c r="BY51" s="71">
        <v>43</v>
      </c>
      <c r="BZ51" s="71">
        <v>43.4</v>
      </c>
      <c r="CA51" s="71">
        <v>44.5</v>
      </c>
      <c r="CB51" s="71">
        <v>64.5</v>
      </c>
      <c r="CC51" s="42">
        <v>64.5</v>
      </c>
      <c r="CD51" s="42">
        <v>118.5</v>
      </c>
      <c r="CE51" s="43">
        <v>118.5</v>
      </c>
      <c r="CF51" s="43">
        <v>119</v>
      </c>
      <c r="CG51" s="43" t="s">
        <v>11</v>
      </c>
      <c r="CH51" s="119">
        <v>991.3</v>
      </c>
      <c r="CI51" s="124">
        <v>1346</v>
      </c>
      <c r="CJ51" s="71">
        <v>52.32</v>
      </c>
      <c r="CK51" s="71">
        <v>2467.316</v>
      </c>
      <c r="CL51" s="122">
        <v>770.691</v>
      </c>
      <c r="CM51" s="122">
        <v>505.4</v>
      </c>
      <c r="CN51" s="122">
        <v>167.62800000000001</v>
      </c>
      <c r="CO51" s="122"/>
      <c r="CP51" s="147">
        <v>0.1</v>
      </c>
      <c r="CQ51" s="122" t="s">
        <v>11</v>
      </c>
      <c r="CR51" s="122" t="s">
        <v>11</v>
      </c>
      <c r="CS51" s="122" t="s">
        <v>11</v>
      </c>
      <c r="CT51" s="122" t="s">
        <v>11</v>
      </c>
      <c r="CU51" s="122" t="s">
        <v>11</v>
      </c>
      <c r="CV51" s="122" t="s">
        <v>11</v>
      </c>
      <c r="CW51" s="122" t="s">
        <v>11</v>
      </c>
      <c r="CX51" s="122" t="s">
        <v>11</v>
      </c>
      <c r="CY51" s="122" t="s">
        <v>11</v>
      </c>
      <c r="CZ51" s="122" t="s">
        <v>11</v>
      </c>
      <c r="DA51" s="122" t="s">
        <v>11</v>
      </c>
      <c r="DB51" s="122" t="s">
        <v>11</v>
      </c>
      <c r="DC51" s="122">
        <v>27.3</v>
      </c>
      <c r="DD51" s="122">
        <v>27.3</v>
      </c>
      <c r="DE51" s="122">
        <v>27.3</v>
      </c>
      <c r="DF51" s="122">
        <v>27.3</v>
      </c>
      <c r="DG51" s="122">
        <v>27.3</v>
      </c>
      <c r="DH51" s="122">
        <v>60.9</v>
      </c>
      <c r="DI51" s="122">
        <v>60.9</v>
      </c>
      <c r="DJ51" s="122">
        <v>83.3</v>
      </c>
      <c r="DK51" s="122">
        <v>83.3</v>
      </c>
      <c r="DL51" s="122">
        <v>118</v>
      </c>
      <c r="DM51" s="122">
        <v>509.7</v>
      </c>
      <c r="DN51" s="122">
        <v>991.3</v>
      </c>
      <c r="DO51" s="122">
        <v>131</v>
      </c>
      <c r="DP51" s="122">
        <v>452</v>
      </c>
      <c r="DQ51" s="122">
        <v>473</v>
      </c>
      <c r="DR51" s="122">
        <v>473</v>
      </c>
      <c r="DS51" s="122">
        <v>473</v>
      </c>
      <c r="DT51" s="122">
        <v>494</v>
      </c>
      <c r="DU51" s="122">
        <v>497</v>
      </c>
      <c r="DV51" s="122">
        <v>744</v>
      </c>
      <c r="DW51" s="122">
        <v>1170</v>
      </c>
      <c r="DX51" s="122">
        <v>1170</v>
      </c>
      <c r="DY51" s="122">
        <v>1190</v>
      </c>
      <c r="DZ51" s="122">
        <v>156</v>
      </c>
      <c r="EA51" s="122">
        <f t="shared" si="49"/>
        <v>1346</v>
      </c>
      <c r="EB51" s="122"/>
      <c r="EC51" s="122"/>
      <c r="ED51" s="122">
        <v>10</v>
      </c>
      <c r="EE51" s="122" t="s">
        <v>16</v>
      </c>
      <c r="EF51" s="122">
        <f>'[1]Feuil2'!$D$21</f>
        <v>42.02</v>
      </c>
      <c r="EG51" s="122">
        <v>0</v>
      </c>
      <c r="EH51" s="122">
        <v>0</v>
      </c>
      <c r="EI51" s="122">
        <v>0.3</v>
      </c>
      <c r="EJ51" s="122">
        <v>0</v>
      </c>
      <c r="EK51" s="122">
        <v>0</v>
      </c>
      <c r="EL51" s="122"/>
      <c r="EM51" s="122"/>
      <c r="EN51" s="122">
        <f t="shared" si="50"/>
        <v>52.32</v>
      </c>
      <c r="EO51" s="122">
        <v>21</v>
      </c>
      <c r="EP51" s="122" t="s">
        <v>11</v>
      </c>
      <c r="EQ51" s="122">
        <v>212</v>
      </c>
      <c r="ER51" s="122">
        <v>1015.183</v>
      </c>
      <c r="ES51" s="122">
        <v>414.8</v>
      </c>
      <c r="ET51" s="122">
        <v>262</v>
      </c>
      <c r="EU51" s="122">
        <v>29</v>
      </c>
      <c r="EV51" s="122">
        <v>29.91</v>
      </c>
      <c r="EW51" s="122">
        <v>294.423</v>
      </c>
      <c r="EX51" s="122">
        <v>0</v>
      </c>
      <c r="EY51" s="122">
        <v>24</v>
      </c>
      <c r="EZ51" s="122">
        <v>165</v>
      </c>
      <c r="FA51" s="122">
        <f t="shared" si="51"/>
        <v>2467.316</v>
      </c>
      <c r="FB51" s="122" t="s">
        <v>11</v>
      </c>
      <c r="FC51" s="122">
        <v>23.28</v>
      </c>
      <c r="FD51" s="122">
        <f>'[4]IV5-IV6'!$D$28</f>
        <v>212.411</v>
      </c>
      <c r="FE51" s="122"/>
      <c r="FF51" s="122"/>
      <c r="FG51" s="122">
        <v>28.2</v>
      </c>
      <c r="FH51" s="122">
        <v>506.8</v>
      </c>
      <c r="FI51" s="122">
        <v>0</v>
      </c>
      <c r="FJ51" s="122"/>
      <c r="FK51" s="122">
        <v>0</v>
      </c>
      <c r="FL51" s="122">
        <v>0</v>
      </c>
      <c r="FM51" s="122">
        <v>0</v>
      </c>
      <c r="FN51" s="122">
        <f t="shared" si="52"/>
        <v>770.691</v>
      </c>
      <c r="FO51" s="122">
        <v>376.4</v>
      </c>
      <c r="FP51" s="122">
        <v>30</v>
      </c>
      <c r="FQ51" s="122">
        <v>0</v>
      </c>
      <c r="FR51" s="122">
        <v>0</v>
      </c>
      <c r="FS51" s="122">
        <v>0</v>
      </c>
      <c r="FT51" s="122">
        <v>0</v>
      </c>
      <c r="FU51" s="122">
        <v>0</v>
      </c>
      <c r="FV51" s="122">
        <v>0</v>
      </c>
      <c r="FW51" s="122">
        <v>-1</v>
      </c>
      <c r="FX51" s="122">
        <v>100</v>
      </c>
      <c r="FY51" s="122">
        <v>0</v>
      </c>
      <c r="FZ51" s="122">
        <v>0</v>
      </c>
      <c r="GA51" s="122">
        <f t="shared" si="53"/>
        <v>505.4</v>
      </c>
      <c r="GB51" s="122"/>
      <c r="GC51" s="122">
        <v>0</v>
      </c>
      <c r="GD51" s="122">
        <v>0</v>
      </c>
      <c r="GE51" s="122">
        <v>0</v>
      </c>
      <c r="GF51" s="122">
        <v>0</v>
      </c>
      <c r="GG51" s="122">
        <v>0</v>
      </c>
      <c r="GH51" s="122">
        <v>0</v>
      </c>
      <c r="GI51" s="122">
        <v>9</v>
      </c>
      <c r="GJ51" s="122">
        <v>1.268</v>
      </c>
      <c r="GK51" s="122">
        <v>135.37</v>
      </c>
      <c r="GL51" s="122">
        <v>21.99</v>
      </c>
      <c r="GM51" s="122"/>
      <c r="GN51" s="122">
        <f t="shared" si="54"/>
        <v>167.62800000000001</v>
      </c>
      <c r="GO51" s="122"/>
      <c r="GP51" s="122">
        <v>0</v>
      </c>
      <c r="GQ51" s="122"/>
      <c r="GR51" s="122">
        <v>0</v>
      </c>
      <c r="GS51" s="122"/>
      <c r="GT51" s="122"/>
      <c r="GU51" s="122"/>
      <c r="GV51" s="122"/>
      <c r="GW51" s="122"/>
      <c r="GX51" s="122"/>
      <c r="GY51" s="122"/>
      <c r="GZ51" s="122"/>
      <c r="HA51" s="122"/>
      <c r="HB51" s="122"/>
      <c r="HC51" s="122"/>
      <c r="HD51" s="122"/>
      <c r="HE51" s="122"/>
      <c r="HF51" s="122"/>
      <c r="HG51" s="122"/>
      <c r="HH51" s="122"/>
      <c r="HI51" s="122"/>
      <c r="HJ51" s="122">
        <v>0.1</v>
      </c>
      <c r="HK51" s="122"/>
      <c r="HL51" s="122"/>
      <c r="HM51" s="98"/>
      <c r="HN51" s="98"/>
      <c r="HO51" s="98"/>
      <c r="HP51" s="122">
        <v>0</v>
      </c>
      <c r="HQ51" s="98">
        <v>0.03</v>
      </c>
      <c r="HR51" s="122">
        <v>0</v>
      </c>
      <c r="HS51" s="122"/>
      <c r="HT51" s="122">
        <v>189.818</v>
      </c>
      <c r="HU51" s="122"/>
      <c r="HV51" s="122"/>
      <c r="HW51" s="122"/>
      <c r="HX51" s="122"/>
      <c r="HY51" s="122">
        <f t="shared" si="55"/>
        <v>0</v>
      </c>
      <c r="HZ51" s="122">
        <f t="shared" si="56"/>
        <v>189.848</v>
      </c>
    </row>
    <row r="52" spans="2:234" ht="15.75">
      <c r="B52" s="105" t="s">
        <v>81</v>
      </c>
      <c r="C52" s="71">
        <v>2126</v>
      </c>
      <c r="D52" s="42">
        <v>2260</v>
      </c>
      <c r="E52" s="72">
        <v>2549</v>
      </c>
      <c r="F52" s="42">
        <v>3369</v>
      </c>
      <c r="G52" s="42">
        <v>4022.5</v>
      </c>
      <c r="H52" s="42">
        <v>6723</v>
      </c>
      <c r="I52" s="43">
        <v>104</v>
      </c>
      <c r="J52" s="43">
        <v>105</v>
      </c>
      <c r="K52" s="15">
        <v>204</v>
      </c>
      <c r="L52" s="15">
        <v>224</v>
      </c>
      <c r="M52" s="15">
        <v>155</v>
      </c>
      <c r="N52" s="15">
        <v>138</v>
      </c>
      <c r="O52" s="15">
        <v>156</v>
      </c>
      <c r="P52" s="15">
        <v>167</v>
      </c>
      <c r="Q52" s="15">
        <v>319</v>
      </c>
      <c r="R52" s="15">
        <v>213</v>
      </c>
      <c r="S52" s="15">
        <v>283</v>
      </c>
      <c r="T52" s="15">
        <v>192</v>
      </c>
      <c r="U52" s="42">
        <v>2260</v>
      </c>
      <c r="V52" s="56">
        <v>236</v>
      </c>
      <c r="W52" s="43">
        <v>125</v>
      </c>
      <c r="X52" s="15">
        <v>321</v>
      </c>
      <c r="Y52" s="15">
        <v>217</v>
      </c>
      <c r="Z52" s="15">
        <v>144</v>
      </c>
      <c r="AA52" s="15">
        <v>183</v>
      </c>
      <c r="AB52" s="15">
        <v>245</v>
      </c>
      <c r="AC52" s="15">
        <v>237</v>
      </c>
      <c r="AD52" s="15">
        <v>215</v>
      </c>
      <c r="AE52" s="15">
        <v>252</v>
      </c>
      <c r="AF52" s="15">
        <v>188</v>
      </c>
      <c r="AG52" s="15">
        <v>186</v>
      </c>
      <c r="AH52" s="71">
        <v>2549</v>
      </c>
      <c r="AI52" s="43">
        <v>292</v>
      </c>
      <c r="AJ52" s="15">
        <v>221</v>
      </c>
      <c r="AK52" s="15">
        <v>301</v>
      </c>
      <c r="AL52" s="15">
        <v>312</v>
      </c>
      <c r="AM52" s="15">
        <v>174</v>
      </c>
      <c r="AN52" s="15">
        <v>417</v>
      </c>
      <c r="AO52" s="15">
        <v>327</v>
      </c>
      <c r="AP52" s="15">
        <v>296</v>
      </c>
      <c r="AQ52" s="15">
        <v>326</v>
      </c>
      <c r="AR52" s="15">
        <v>240</v>
      </c>
      <c r="AS52" s="15">
        <v>291</v>
      </c>
      <c r="AT52" s="15">
        <v>172</v>
      </c>
      <c r="AU52" s="71">
        <v>3369</v>
      </c>
      <c r="AV52" s="42">
        <v>142</v>
      </c>
      <c r="AW52" s="15">
        <v>296</v>
      </c>
      <c r="AX52" s="31">
        <v>301</v>
      </c>
      <c r="AY52" s="15">
        <v>331</v>
      </c>
      <c r="AZ52" s="15">
        <v>324</v>
      </c>
      <c r="BA52" s="15">
        <v>280</v>
      </c>
      <c r="BB52" s="4">
        <v>288.6</v>
      </c>
      <c r="BC52" s="4">
        <v>520.3</v>
      </c>
      <c r="BD52" s="4">
        <v>369.6</v>
      </c>
      <c r="BE52" s="4">
        <v>305.2</v>
      </c>
      <c r="BF52" s="4">
        <v>511.8</v>
      </c>
      <c r="BG52" s="12">
        <v>353</v>
      </c>
      <c r="BH52" s="71">
        <v>4022.5</v>
      </c>
      <c r="BI52" s="36">
        <v>442</v>
      </c>
      <c r="BJ52" s="15">
        <v>750.4</v>
      </c>
      <c r="BK52" s="15">
        <v>418.8</v>
      </c>
      <c r="BL52" s="15">
        <v>819.2</v>
      </c>
      <c r="BM52" s="15">
        <v>996.6</v>
      </c>
      <c r="BN52" s="15">
        <v>521.6</v>
      </c>
      <c r="BO52" s="15">
        <v>297.4</v>
      </c>
      <c r="BP52" s="15">
        <v>429</v>
      </c>
      <c r="BQ52" s="15">
        <v>405</v>
      </c>
      <c r="BR52" s="15">
        <v>238.3</v>
      </c>
      <c r="BS52" s="15">
        <v>994.3</v>
      </c>
      <c r="BT52" s="15">
        <v>410.40000000000055</v>
      </c>
      <c r="BU52" s="73">
        <v>6723</v>
      </c>
      <c r="BV52" s="72">
        <v>1192.4</v>
      </c>
      <c r="BW52" s="42">
        <v>1611.2</v>
      </c>
      <c r="BX52" s="72">
        <v>2430.4</v>
      </c>
      <c r="BY52" s="71">
        <v>3427</v>
      </c>
      <c r="BZ52" s="71">
        <v>3948.6</v>
      </c>
      <c r="CA52" s="71">
        <v>4246</v>
      </c>
      <c r="CB52" s="71">
        <v>4675</v>
      </c>
      <c r="CC52" s="42">
        <v>5080</v>
      </c>
      <c r="CD52" s="42">
        <v>5318.3</v>
      </c>
      <c r="CE52" s="43">
        <v>6312.6</v>
      </c>
      <c r="CF52" s="43">
        <v>6723</v>
      </c>
      <c r="CG52" s="43">
        <v>3799.5</v>
      </c>
      <c r="CH52" s="119">
        <v>4418.9</v>
      </c>
      <c r="CI52" s="124">
        <v>2418</v>
      </c>
      <c r="CJ52" s="71">
        <v>12616.092</v>
      </c>
      <c r="CK52" s="71">
        <v>8467.407000000001</v>
      </c>
      <c r="CL52" s="122">
        <v>4473.156</v>
      </c>
      <c r="CM52" s="122">
        <v>7191.4299999999985</v>
      </c>
      <c r="CN52" s="122">
        <v>4662.9529999999995</v>
      </c>
      <c r="CO52" s="122">
        <v>4822.644</v>
      </c>
      <c r="CP52" s="122">
        <v>4626.080000000001</v>
      </c>
      <c r="CQ52" s="122">
        <v>241.1</v>
      </c>
      <c r="CR52" s="122">
        <v>717.1</v>
      </c>
      <c r="CS52" s="122">
        <v>1081.8</v>
      </c>
      <c r="CT52" s="122">
        <v>1438.2</v>
      </c>
      <c r="CU52" s="122">
        <v>1768.6</v>
      </c>
      <c r="CV52" s="122">
        <v>2108.6</v>
      </c>
      <c r="CW52" s="122">
        <v>2376.4</v>
      </c>
      <c r="CX52" s="122">
        <v>2652.1</v>
      </c>
      <c r="CY52" s="122">
        <v>2978.7</v>
      </c>
      <c r="CZ52" s="122">
        <v>3298.9</v>
      </c>
      <c r="DA52" s="122">
        <v>3540.7</v>
      </c>
      <c r="DB52" s="122">
        <v>3799.5</v>
      </c>
      <c r="DC52" s="122">
        <v>301.5</v>
      </c>
      <c r="DD52" s="122">
        <v>601.9</v>
      </c>
      <c r="DE52" s="122">
        <v>967.3</v>
      </c>
      <c r="DF52" s="122">
        <v>1420</v>
      </c>
      <c r="DG52" s="122">
        <v>1693.7</v>
      </c>
      <c r="DH52" s="122">
        <v>2054.3</v>
      </c>
      <c r="DI52" s="122">
        <v>2411.9</v>
      </c>
      <c r="DJ52" s="122">
        <v>2644</v>
      </c>
      <c r="DK52" s="122">
        <v>2993.3</v>
      </c>
      <c r="DL52" s="122">
        <v>3423</v>
      </c>
      <c r="DM52" s="122">
        <v>3886.3</v>
      </c>
      <c r="DN52" s="122">
        <v>4418.9</v>
      </c>
      <c r="DO52" s="122">
        <v>219</v>
      </c>
      <c r="DP52" s="122">
        <v>367</v>
      </c>
      <c r="DQ52" s="122">
        <v>570</v>
      </c>
      <c r="DR52" s="122">
        <v>773</v>
      </c>
      <c r="DS52" s="122">
        <v>1028</v>
      </c>
      <c r="DT52" s="122">
        <v>1246</v>
      </c>
      <c r="DU52" s="122">
        <v>1447</v>
      </c>
      <c r="DV52" s="122">
        <v>1624</v>
      </c>
      <c r="DW52" s="122">
        <v>1759</v>
      </c>
      <c r="DX52" s="122">
        <v>1938</v>
      </c>
      <c r="DY52" s="122">
        <v>2162</v>
      </c>
      <c r="DZ52" s="122">
        <v>256</v>
      </c>
      <c r="EA52" s="122">
        <f t="shared" si="49"/>
        <v>2418</v>
      </c>
      <c r="EB52" s="122">
        <v>502</v>
      </c>
      <c r="EC52" s="122">
        <v>436</v>
      </c>
      <c r="ED52" s="122">
        <v>716</v>
      </c>
      <c r="EE52" s="122">
        <v>443</v>
      </c>
      <c r="EF52" s="122">
        <f>'[1]Feuil2'!$D$24</f>
        <v>455.765</v>
      </c>
      <c r="EG52" s="122">
        <f>'[2]Feuil3'!$E$24</f>
        <v>595.619</v>
      </c>
      <c r="EH52" s="122">
        <v>511</v>
      </c>
      <c r="EI52" s="122">
        <v>689</v>
      </c>
      <c r="EJ52" s="122">
        <v>454.781</v>
      </c>
      <c r="EK52" s="122">
        <v>3254.927</v>
      </c>
      <c r="EL52" s="122">
        <v>1225</v>
      </c>
      <c r="EM52" s="122">
        <v>3333</v>
      </c>
      <c r="EN52" s="122">
        <f t="shared" si="50"/>
        <v>12616.092</v>
      </c>
      <c r="EO52" s="122">
        <v>1313</v>
      </c>
      <c r="EP52" s="122">
        <v>1864</v>
      </c>
      <c r="EQ52" s="122">
        <f>604</f>
        <v>604</v>
      </c>
      <c r="ER52" s="122">
        <v>412.04</v>
      </c>
      <c r="ES52" s="122">
        <v>539.1</v>
      </c>
      <c r="ET52" s="122">
        <v>570.9</v>
      </c>
      <c r="EU52" s="122">
        <v>545.1</v>
      </c>
      <c r="EV52" s="122">
        <v>706.06</v>
      </c>
      <c r="EW52" s="122">
        <v>445.751</v>
      </c>
      <c r="EX52" s="122">
        <v>510.456</v>
      </c>
      <c r="EY52" s="122">
        <v>562</v>
      </c>
      <c r="EZ52" s="122">
        <v>395</v>
      </c>
      <c r="FA52" s="122">
        <f t="shared" si="51"/>
        <v>8467.407000000001</v>
      </c>
      <c r="FB52" s="122">
        <v>300.275</v>
      </c>
      <c r="FC52" s="122">
        <v>563.244</v>
      </c>
      <c r="FD52" s="122">
        <f>'[4]IV5-IV6'!$D$30</f>
        <v>603.931</v>
      </c>
      <c r="FE52" s="122">
        <v>417.28</v>
      </c>
      <c r="FF52" s="122">
        <v>305.963</v>
      </c>
      <c r="FG52" s="122">
        <v>477.7</v>
      </c>
      <c r="FH52" s="122">
        <v>262.857</v>
      </c>
      <c r="FI52" s="122">
        <v>379.59</v>
      </c>
      <c r="FJ52" s="122">
        <v>409.6</v>
      </c>
      <c r="FK52" s="122">
        <v>222.335</v>
      </c>
      <c r="FL52" s="122">
        <v>230.106</v>
      </c>
      <c r="FM52" s="122">
        <v>300.275</v>
      </c>
      <c r="FN52" s="122">
        <f t="shared" si="52"/>
        <v>4473.156</v>
      </c>
      <c r="FO52" s="122">
        <v>318.402</v>
      </c>
      <c r="FP52" s="122">
        <v>176.674</v>
      </c>
      <c r="FQ52" s="122">
        <v>296.752</v>
      </c>
      <c r="FR52" s="122">
        <f>'[5]IV5-IV6'!$C$39</f>
        <v>3263.062</v>
      </c>
      <c r="FS52" s="122">
        <f>'[6]IV5_IV6_Mai'!$D$33</f>
        <v>337.206</v>
      </c>
      <c r="FT52" s="122">
        <v>330.5</v>
      </c>
      <c r="FU52" s="122">
        <v>347.128</v>
      </c>
      <c r="FV52" s="122">
        <v>283.758</v>
      </c>
      <c r="FW52" s="122">
        <v>348.304</v>
      </c>
      <c r="FX52" s="122">
        <v>364.4</v>
      </c>
      <c r="FY52" s="122">
        <v>442.544</v>
      </c>
      <c r="FZ52" s="122">
        <v>682.7</v>
      </c>
      <c r="GA52" s="122">
        <f t="shared" si="53"/>
        <v>7191.4299999999985</v>
      </c>
      <c r="GB52" s="122">
        <v>326.83700000000005</v>
      </c>
      <c r="GC52" s="122">
        <v>268.521</v>
      </c>
      <c r="GD52" s="122">
        <v>475.271</v>
      </c>
      <c r="GE52" s="122">
        <v>421.592</v>
      </c>
      <c r="GF52" s="122">
        <v>382.253</v>
      </c>
      <c r="GG52" s="122">
        <v>346.838</v>
      </c>
      <c r="GH52" s="122">
        <v>467.055</v>
      </c>
      <c r="GI52" s="122">
        <v>440.481</v>
      </c>
      <c r="GJ52" s="122">
        <v>357.339</v>
      </c>
      <c r="GK52" s="122">
        <v>386.981</v>
      </c>
      <c r="GL52" s="122">
        <v>353.97</v>
      </c>
      <c r="GM52" s="122">
        <v>435.795</v>
      </c>
      <c r="GN52" s="122">
        <f t="shared" si="54"/>
        <v>4662.933</v>
      </c>
      <c r="GO52" s="122">
        <v>394.285</v>
      </c>
      <c r="GP52" s="122">
        <v>336.253</v>
      </c>
      <c r="GQ52" s="122">
        <v>578.705</v>
      </c>
      <c r="GR52" s="122">
        <v>544.726</v>
      </c>
      <c r="GS52" s="122">
        <v>308.306</v>
      </c>
      <c r="GT52" s="122">
        <v>356.201</v>
      </c>
      <c r="GU52" s="122">
        <v>256.269</v>
      </c>
      <c r="GV52" s="122">
        <v>324.448</v>
      </c>
      <c r="GW52" s="122">
        <v>377.68</v>
      </c>
      <c r="GX52" s="122">
        <v>575.441</v>
      </c>
      <c r="GY52" s="122">
        <v>443.433</v>
      </c>
      <c r="GZ52" s="122">
        <v>595.368</v>
      </c>
      <c r="HA52" s="122">
        <v>463.401</v>
      </c>
      <c r="HB52" s="122">
        <v>384.023</v>
      </c>
      <c r="HC52" s="122">
        <v>490.997</v>
      </c>
      <c r="HD52" s="122">
        <v>349.512</v>
      </c>
      <c r="HE52" s="122">
        <v>417.933</v>
      </c>
      <c r="HF52" s="122">
        <v>338.755</v>
      </c>
      <c r="HG52" s="122">
        <v>411.884</v>
      </c>
      <c r="HH52" s="122">
        <v>320.112</v>
      </c>
      <c r="HI52" s="122">
        <v>298.825</v>
      </c>
      <c r="HJ52" s="122">
        <v>282.025</v>
      </c>
      <c r="HK52" s="122">
        <v>423.397</v>
      </c>
      <c r="HL52" s="122">
        <v>445.216</v>
      </c>
      <c r="HM52" s="98">
        <v>309.447</v>
      </c>
      <c r="HN52" s="98">
        <v>473.974</v>
      </c>
      <c r="HO52" s="98">
        <v>387.391</v>
      </c>
      <c r="HP52" s="122">
        <v>356.216</v>
      </c>
      <c r="HQ52" s="98">
        <v>428.153</v>
      </c>
      <c r="HR52" s="122">
        <v>420</v>
      </c>
      <c r="HS52" s="122">
        <v>442.526</v>
      </c>
      <c r="HT52" s="122">
        <v>623.231</v>
      </c>
      <c r="HU52" s="122"/>
      <c r="HV52" s="122"/>
      <c r="HW52" s="122"/>
      <c r="HX52" s="122"/>
      <c r="HY52" s="122">
        <f t="shared" si="55"/>
        <v>3176.617</v>
      </c>
      <c r="HZ52" s="122">
        <f t="shared" si="56"/>
        <v>3440.938</v>
      </c>
    </row>
    <row r="53" spans="2:234" ht="15.75">
      <c r="B53" s="105" t="s">
        <v>82</v>
      </c>
      <c r="C53" s="71">
        <v>149</v>
      </c>
      <c r="D53" s="71">
        <v>1</v>
      </c>
      <c r="E53" s="73">
        <v>19</v>
      </c>
      <c r="F53" s="71">
        <v>22</v>
      </c>
      <c r="G53" s="71">
        <v>0.6</v>
      </c>
      <c r="H53" s="71">
        <v>7457</v>
      </c>
      <c r="I53" s="43"/>
      <c r="J53" s="43" t="s">
        <v>11</v>
      </c>
      <c r="K53" s="15" t="s">
        <v>11</v>
      </c>
      <c r="L53" s="15" t="s">
        <v>11</v>
      </c>
      <c r="M53" s="15" t="s">
        <v>11</v>
      </c>
      <c r="N53" s="15" t="s">
        <v>11</v>
      </c>
      <c r="O53" s="15" t="s">
        <v>11</v>
      </c>
      <c r="P53" s="42" t="s">
        <v>11</v>
      </c>
      <c r="Q53" s="15" t="s">
        <v>11</v>
      </c>
      <c r="R53" s="15" t="s">
        <v>11</v>
      </c>
      <c r="S53" s="15">
        <v>1</v>
      </c>
      <c r="T53" s="15" t="s">
        <v>11</v>
      </c>
      <c r="U53" s="42">
        <f>+I53+J53+K53+L53+M53+N53+O53+P53+Q53+R53+S53+T53</f>
        <v>1</v>
      </c>
      <c r="V53" s="36" t="s">
        <v>11</v>
      </c>
      <c r="W53" s="43" t="s">
        <v>11</v>
      </c>
      <c r="X53" s="15" t="s">
        <v>11</v>
      </c>
      <c r="Y53" s="15" t="s">
        <v>11</v>
      </c>
      <c r="Z53" s="15" t="s">
        <v>11</v>
      </c>
      <c r="AA53" s="15">
        <v>3</v>
      </c>
      <c r="AB53" s="15">
        <v>1</v>
      </c>
      <c r="AC53" s="42" t="s">
        <v>11</v>
      </c>
      <c r="AD53" s="15" t="s">
        <v>11</v>
      </c>
      <c r="AE53" s="15" t="s">
        <v>11</v>
      </c>
      <c r="AF53" s="15">
        <v>15</v>
      </c>
      <c r="AG53" s="15" t="s">
        <v>11</v>
      </c>
      <c r="AH53" s="71">
        <f>SUM(V53:AG53)</f>
        <v>19</v>
      </c>
      <c r="AI53" s="43" t="s">
        <v>11</v>
      </c>
      <c r="AJ53" s="15" t="s">
        <v>11</v>
      </c>
      <c r="AK53" s="15" t="s">
        <v>11</v>
      </c>
      <c r="AL53" s="15" t="s">
        <v>11</v>
      </c>
      <c r="AM53" s="15" t="s">
        <v>11</v>
      </c>
      <c r="AN53" s="15" t="s">
        <v>11</v>
      </c>
      <c r="AO53" s="15" t="s">
        <v>11</v>
      </c>
      <c r="AP53" s="15" t="s">
        <v>11</v>
      </c>
      <c r="AQ53" s="15">
        <v>22</v>
      </c>
      <c r="AR53" s="15" t="s">
        <v>11</v>
      </c>
      <c r="AS53" s="15" t="s">
        <v>11</v>
      </c>
      <c r="AT53" s="15" t="s">
        <v>11</v>
      </c>
      <c r="AU53" s="71">
        <f>AI53+AJ53+AK53+AL53+AM53+AN53+AO53+AP53+AQ53+AR53+AS53+AT53</f>
        <v>22</v>
      </c>
      <c r="AV53" s="71" t="s">
        <v>11</v>
      </c>
      <c r="AW53" s="71" t="s">
        <v>11</v>
      </c>
      <c r="AX53" s="71" t="s">
        <v>11</v>
      </c>
      <c r="AY53" s="71" t="s">
        <v>11</v>
      </c>
      <c r="AZ53" s="71" t="s">
        <v>11</v>
      </c>
      <c r="BA53" s="71" t="s">
        <v>11</v>
      </c>
      <c r="BB53" s="4">
        <v>0.4</v>
      </c>
      <c r="BC53" s="4">
        <v>0</v>
      </c>
      <c r="BD53" s="4">
        <v>0</v>
      </c>
      <c r="BE53" s="4">
        <v>0</v>
      </c>
      <c r="BF53" s="4">
        <v>0.2</v>
      </c>
      <c r="BG53" s="71" t="s">
        <v>11</v>
      </c>
      <c r="BH53" s="71">
        <f>SUM(AV53:BG53)</f>
        <v>0.6000000000000001</v>
      </c>
      <c r="BI53" s="36">
        <v>12</v>
      </c>
      <c r="BJ53" s="15" t="s">
        <v>11</v>
      </c>
      <c r="BK53" s="15">
        <f>BW53-BJ53-BI53</f>
        <v>0.09999999999999964</v>
      </c>
      <c r="BL53" s="15">
        <f>BX53-BK53-BJ53-BI53</f>
        <v>248.79999999999995</v>
      </c>
      <c r="BM53" s="15">
        <f>BY53-BL53-BK53-BJ53-BI53</f>
        <v>985.1</v>
      </c>
      <c r="BN53" s="15">
        <f>BZ53-BM53-BL53-BK53-BJ53-BI53</f>
        <v>1786.9000000000003</v>
      </c>
      <c r="BO53" s="15">
        <f>CA53-BN53-BM53-BL53-BK53-BJ53-BI53</f>
        <v>1498.8999999999999</v>
      </c>
      <c r="BP53" s="15">
        <f>CB53-BO53-BN53-BM53-BL53-BK53-BJ53-BI53</f>
        <v>662.3000000000004</v>
      </c>
      <c r="BQ53" s="15">
        <f>CC53-BP53-BO53-BN53-BM53-BL53-BK53-BJ53-BI53</f>
        <v>784.7999999999994</v>
      </c>
      <c r="BR53" s="15">
        <f>CD53-BQ53-BP53-BO53-BN53-BM53-BL53-BK53-BJ53-BI53</f>
        <v>266.9000000000008</v>
      </c>
      <c r="BS53" s="15">
        <f>CE53-BR53-BQ53-BP53-BO53-BN53-BM53-BL53-BK53-BJ53-BI53</f>
        <v>645.5000000000002</v>
      </c>
      <c r="BT53" s="15">
        <f>CF53-BS53-BR53-BQ53-BP53-BO53-BN53-BM53-BL53-BK53-BJ53-BI53</f>
        <v>565.7</v>
      </c>
      <c r="BU53" s="73">
        <f>SUM(BI53:BT53)</f>
        <v>7457</v>
      </c>
      <c r="BV53" s="71">
        <v>12.1</v>
      </c>
      <c r="BW53" s="71">
        <v>12.1</v>
      </c>
      <c r="BX53" s="71">
        <v>260.9</v>
      </c>
      <c r="BY53" s="71">
        <v>1246</v>
      </c>
      <c r="BZ53" s="71">
        <v>3032.9</v>
      </c>
      <c r="CA53" s="71">
        <v>4531.8</v>
      </c>
      <c r="CB53" s="71">
        <v>5194.1</v>
      </c>
      <c r="CC53" s="42">
        <v>5978.9</v>
      </c>
      <c r="CD53" s="42">
        <v>6245.8</v>
      </c>
      <c r="CE53" s="43">
        <v>6891.3</v>
      </c>
      <c r="CF53" s="43">
        <v>7457</v>
      </c>
      <c r="CG53" s="43">
        <v>3272.7</v>
      </c>
      <c r="CH53" s="119">
        <v>435</v>
      </c>
      <c r="CI53" s="124">
        <v>1164.3</v>
      </c>
      <c r="CJ53" s="71">
        <v>132</v>
      </c>
      <c r="CK53" s="71">
        <v>12224.87</v>
      </c>
      <c r="CL53" s="122">
        <v>6244.025</v>
      </c>
      <c r="CM53" s="122">
        <v>399.302</v>
      </c>
      <c r="CN53" s="122">
        <v>500.13700000000006</v>
      </c>
      <c r="CO53" s="122">
        <v>928.295</v>
      </c>
      <c r="CP53" s="122">
        <v>1314.393</v>
      </c>
      <c r="CQ53" s="122" t="s">
        <v>11</v>
      </c>
      <c r="CR53" s="122">
        <v>147.8</v>
      </c>
      <c r="CS53" s="122">
        <v>449.5</v>
      </c>
      <c r="CT53" s="122">
        <v>826.6</v>
      </c>
      <c r="CU53" s="122">
        <v>1686.4</v>
      </c>
      <c r="CV53" s="122">
        <v>2186.1</v>
      </c>
      <c r="CW53" s="122">
        <v>2574.4</v>
      </c>
      <c r="CX53" s="122">
        <v>2634.4</v>
      </c>
      <c r="CY53" s="122">
        <v>2818.4</v>
      </c>
      <c r="CZ53" s="122">
        <v>2978.4</v>
      </c>
      <c r="DA53" s="122">
        <v>3157.3</v>
      </c>
      <c r="DB53" s="122">
        <v>3272.7</v>
      </c>
      <c r="DC53" s="122">
        <v>60</v>
      </c>
      <c r="DD53" s="122">
        <v>319.3</v>
      </c>
      <c r="DE53" s="122">
        <v>396.5</v>
      </c>
      <c r="DF53" s="122">
        <v>396.5</v>
      </c>
      <c r="DG53" s="122">
        <v>396.5</v>
      </c>
      <c r="DH53" s="122">
        <v>396.5</v>
      </c>
      <c r="DI53" s="122">
        <v>396.5</v>
      </c>
      <c r="DJ53" s="122">
        <v>396.5</v>
      </c>
      <c r="DK53" s="122">
        <v>435</v>
      </c>
      <c r="DL53" s="122">
        <v>435</v>
      </c>
      <c r="DM53" s="122">
        <v>435</v>
      </c>
      <c r="DN53" s="122">
        <v>435</v>
      </c>
      <c r="DO53" s="122" t="s">
        <v>11</v>
      </c>
      <c r="DP53" s="122">
        <v>495.2</v>
      </c>
      <c r="DQ53" s="122">
        <v>495.2</v>
      </c>
      <c r="DR53" s="122">
        <v>495.2</v>
      </c>
      <c r="DS53" s="122">
        <v>570</v>
      </c>
      <c r="DT53" s="122">
        <v>570.2</v>
      </c>
      <c r="DU53" s="122">
        <v>770.2</v>
      </c>
      <c r="DV53" s="122">
        <v>924.3</v>
      </c>
      <c r="DW53" s="122">
        <v>924.3</v>
      </c>
      <c r="DX53" s="122">
        <v>1164.3</v>
      </c>
      <c r="DY53" s="122">
        <v>1164.3</v>
      </c>
      <c r="DZ53" s="122"/>
      <c r="EA53" s="122">
        <f t="shared" si="49"/>
        <v>1164.3</v>
      </c>
      <c r="EB53" s="122">
        <v>105</v>
      </c>
      <c r="EC53" s="122"/>
      <c r="ED53" s="122">
        <v>0</v>
      </c>
      <c r="EE53" s="122" t="s">
        <v>11</v>
      </c>
      <c r="EF53" s="122" t="s">
        <v>11</v>
      </c>
      <c r="EG53" s="122">
        <v>0</v>
      </c>
      <c r="EH53" s="122">
        <v>8</v>
      </c>
      <c r="EI53" s="122">
        <v>19</v>
      </c>
      <c r="EJ53" s="122">
        <v>0</v>
      </c>
      <c r="EK53" s="122">
        <v>0</v>
      </c>
      <c r="EL53" s="122"/>
      <c r="EM53" s="122"/>
      <c r="EN53" s="122">
        <f t="shared" si="50"/>
        <v>132</v>
      </c>
      <c r="EO53" s="122">
        <v>450</v>
      </c>
      <c r="EP53" s="122">
        <v>744</v>
      </c>
      <c r="EQ53" s="122">
        <v>0</v>
      </c>
      <c r="ER53" s="122">
        <v>1015.1</v>
      </c>
      <c r="ES53" s="122">
        <v>80</v>
      </c>
      <c r="ET53" s="122"/>
      <c r="EU53" s="122">
        <v>124</v>
      </c>
      <c r="EV53" s="122">
        <v>7558.64</v>
      </c>
      <c r="EW53" s="122">
        <v>1081.259</v>
      </c>
      <c r="EX53" s="122">
        <v>407.671</v>
      </c>
      <c r="EY53" s="122">
        <v>710.1</v>
      </c>
      <c r="EZ53" s="122">
        <v>54.1</v>
      </c>
      <c r="FA53" s="122">
        <f t="shared" si="51"/>
        <v>12224.87</v>
      </c>
      <c r="FB53" s="122" t="s">
        <v>11</v>
      </c>
      <c r="FC53" s="122">
        <v>4</v>
      </c>
      <c r="FD53" s="122">
        <v>0</v>
      </c>
      <c r="FE53" s="122">
        <v>50.22</v>
      </c>
      <c r="FF53" s="122">
        <v>53.893</v>
      </c>
      <c r="FG53" s="122">
        <v>251.4</v>
      </c>
      <c r="FH53" s="122">
        <v>202.162</v>
      </c>
      <c r="FI53" s="122">
        <v>55.098</v>
      </c>
      <c r="FJ53" s="122">
        <v>903.4</v>
      </c>
      <c r="FK53" s="122">
        <v>1427.51</v>
      </c>
      <c r="FL53" s="122">
        <v>1990.442</v>
      </c>
      <c r="FM53" s="122">
        <v>1305.9</v>
      </c>
      <c r="FN53" s="122">
        <f t="shared" si="52"/>
        <v>6244.025</v>
      </c>
      <c r="FO53" s="122">
        <v>185.505</v>
      </c>
      <c r="FP53" s="122">
        <v>5</v>
      </c>
      <c r="FQ53" s="122">
        <v>27.35</v>
      </c>
      <c r="FR53" s="122">
        <f>'[5]IV5-IV6'!$C$42</f>
        <v>1.515</v>
      </c>
      <c r="FS53" s="122">
        <f>'[6]IV5_IV6_Mai'!$D$38</f>
        <v>1.667</v>
      </c>
      <c r="FT53" s="122">
        <v>0</v>
      </c>
      <c r="FU53" s="122">
        <v>53.915</v>
      </c>
      <c r="FV53" s="122">
        <v>0.27</v>
      </c>
      <c r="FW53" s="122">
        <v>0.36</v>
      </c>
      <c r="FX53" s="122">
        <v>47.5</v>
      </c>
      <c r="FY53" s="122">
        <v>0.72</v>
      </c>
      <c r="FZ53" s="122">
        <v>75.5</v>
      </c>
      <c r="GA53" s="122">
        <f t="shared" si="53"/>
        <v>399.302</v>
      </c>
      <c r="GB53" s="122">
        <v>96.83</v>
      </c>
      <c r="GC53" s="122">
        <v>0.996</v>
      </c>
      <c r="GD53" s="122">
        <v>115.029</v>
      </c>
      <c r="GE53" s="122">
        <v>108.194</v>
      </c>
      <c r="GF53" s="122">
        <v>72.146</v>
      </c>
      <c r="GG53" s="122">
        <v>28.131</v>
      </c>
      <c r="GH53" s="122">
        <v>11.328</v>
      </c>
      <c r="GI53" s="122">
        <v>27.043</v>
      </c>
      <c r="GJ53" s="122">
        <v>12.97</v>
      </c>
      <c r="GK53" s="122">
        <v>16.666</v>
      </c>
      <c r="GL53" s="122">
        <v>0.023</v>
      </c>
      <c r="GM53" s="122">
        <v>10.781</v>
      </c>
      <c r="GN53" s="122">
        <f t="shared" si="54"/>
        <v>500.13700000000006</v>
      </c>
      <c r="GO53" s="122">
        <v>29.603</v>
      </c>
      <c r="GP53" s="122">
        <v>67.352</v>
      </c>
      <c r="GQ53" s="122">
        <v>206.25</v>
      </c>
      <c r="GR53" s="122">
        <v>1.266</v>
      </c>
      <c r="GS53" s="122">
        <v>33.115</v>
      </c>
      <c r="GT53" s="122"/>
      <c r="GU53" s="122">
        <v>396.94</v>
      </c>
      <c r="GV53" s="122">
        <v>13.06</v>
      </c>
      <c r="GW53" s="122"/>
      <c r="GX53" s="122">
        <v>14.697</v>
      </c>
      <c r="GY53" s="122">
        <v>110.369</v>
      </c>
      <c r="GZ53" s="122">
        <v>55.643</v>
      </c>
      <c r="HA53" s="122">
        <v>29.12</v>
      </c>
      <c r="HB53" s="122">
        <v>28.6</v>
      </c>
      <c r="HC53" s="122">
        <v>44.317</v>
      </c>
      <c r="HD53" s="122">
        <v>210.98</v>
      </c>
      <c r="HE53" s="122">
        <v>73.551</v>
      </c>
      <c r="HF53" s="122">
        <v>0.251</v>
      </c>
      <c r="HG53" s="122">
        <v>32.431</v>
      </c>
      <c r="HH53" s="122">
        <v>81.151</v>
      </c>
      <c r="HI53" s="122">
        <v>74.044</v>
      </c>
      <c r="HJ53" s="122">
        <v>629.834</v>
      </c>
      <c r="HK53" s="122">
        <v>0.114</v>
      </c>
      <c r="HL53" s="122">
        <v>110</v>
      </c>
      <c r="HM53" s="98">
        <v>1283.176</v>
      </c>
      <c r="HN53" s="98">
        <v>107.398</v>
      </c>
      <c r="HO53" s="98">
        <v>78.805</v>
      </c>
      <c r="HP53" s="122">
        <v>58.217</v>
      </c>
      <c r="HQ53" s="98">
        <v>82.566</v>
      </c>
      <c r="HR53" s="122">
        <v>99.863</v>
      </c>
      <c r="HS53" s="122">
        <v>4931.55</v>
      </c>
      <c r="HT53" s="122">
        <v>106.292</v>
      </c>
      <c r="HU53" s="122"/>
      <c r="HV53" s="122"/>
      <c r="HW53" s="122"/>
      <c r="HX53" s="122"/>
      <c r="HY53" s="122">
        <f t="shared" si="55"/>
        <v>500.40099999999995</v>
      </c>
      <c r="HZ53" s="122">
        <f t="shared" si="56"/>
        <v>6747.867000000001</v>
      </c>
    </row>
    <row r="54" spans="2:234" ht="15.75">
      <c r="B54" s="105" t="s">
        <v>83</v>
      </c>
      <c r="C54" s="71">
        <v>3766</v>
      </c>
      <c r="D54" s="42">
        <v>5400</v>
      </c>
      <c r="E54" s="72">
        <v>5145</v>
      </c>
      <c r="F54" s="42">
        <v>4748</v>
      </c>
      <c r="G54" s="42">
        <v>7047.4</v>
      </c>
      <c r="H54" s="42">
        <v>12308</v>
      </c>
      <c r="I54" s="43">
        <v>765</v>
      </c>
      <c r="J54" s="43">
        <v>475</v>
      </c>
      <c r="K54" s="15">
        <v>95</v>
      </c>
      <c r="L54" s="15">
        <v>356</v>
      </c>
      <c r="M54" s="15">
        <v>517</v>
      </c>
      <c r="N54" s="15">
        <v>193</v>
      </c>
      <c r="O54" s="15">
        <v>463</v>
      </c>
      <c r="P54" s="15">
        <v>552</v>
      </c>
      <c r="Q54" s="15">
        <v>508</v>
      </c>
      <c r="R54" s="15">
        <v>412</v>
      </c>
      <c r="S54" s="15">
        <v>716</v>
      </c>
      <c r="T54" s="15">
        <v>348</v>
      </c>
      <c r="U54" s="42">
        <f>+I54+J54+K54+L54+M54+N54+O54+P54+Q54+R54+S54+T54</f>
        <v>5400</v>
      </c>
      <c r="V54" s="56">
        <v>811</v>
      </c>
      <c r="W54" s="43">
        <v>305</v>
      </c>
      <c r="X54" s="15">
        <v>550</v>
      </c>
      <c r="Y54" s="15">
        <v>232</v>
      </c>
      <c r="Z54" s="15">
        <v>174</v>
      </c>
      <c r="AA54" s="15">
        <v>353</v>
      </c>
      <c r="AB54" s="15">
        <v>782</v>
      </c>
      <c r="AC54" s="15">
        <v>159</v>
      </c>
      <c r="AD54" s="15">
        <v>645</v>
      </c>
      <c r="AE54" s="15">
        <v>552</v>
      </c>
      <c r="AF54" s="15">
        <v>258</v>
      </c>
      <c r="AG54" s="15">
        <v>324</v>
      </c>
      <c r="AH54" s="71">
        <f>SUM(V54:AG54)</f>
        <v>5145</v>
      </c>
      <c r="AI54" s="43">
        <v>217</v>
      </c>
      <c r="AJ54" s="15">
        <v>410</v>
      </c>
      <c r="AK54" s="15">
        <v>750</v>
      </c>
      <c r="AL54" s="15">
        <v>446</v>
      </c>
      <c r="AM54" s="15">
        <v>116</v>
      </c>
      <c r="AN54" s="15">
        <v>398</v>
      </c>
      <c r="AO54" s="15">
        <v>270</v>
      </c>
      <c r="AP54" s="15">
        <v>315</v>
      </c>
      <c r="AQ54" s="15">
        <v>505</v>
      </c>
      <c r="AR54" s="15">
        <v>527</v>
      </c>
      <c r="AS54" s="15">
        <v>498</v>
      </c>
      <c r="AT54" s="15">
        <v>296</v>
      </c>
      <c r="AU54" s="71">
        <f>AI54+AJ54+AK54+AL54+AM54+AN54+AO54+AP54+AQ54+AR54+AS54+AT54</f>
        <v>4748</v>
      </c>
      <c r="AV54" s="42">
        <v>412</v>
      </c>
      <c r="AW54" s="15">
        <v>236</v>
      </c>
      <c r="AX54" s="31">
        <v>750</v>
      </c>
      <c r="AY54" s="15">
        <v>594</v>
      </c>
      <c r="AZ54" s="15">
        <v>676</v>
      </c>
      <c r="BA54" s="15">
        <v>682</v>
      </c>
      <c r="BB54" s="4">
        <v>729.2</v>
      </c>
      <c r="BC54" s="4">
        <v>526.5</v>
      </c>
      <c r="BD54" s="4">
        <v>499</v>
      </c>
      <c r="BE54" s="4">
        <v>698.4</v>
      </c>
      <c r="BF54" s="4">
        <v>616.3</v>
      </c>
      <c r="BG54" s="12">
        <v>628</v>
      </c>
      <c r="BH54" s="71">
        <f>SUM(AV54:BG54)</f>
        <v>7047.4</v>
      </c>
      <c r="BI54" s="36">
        <v>1083</v>
      </c>
      <c r="BJ54" s="15">
        <f>BV54-BI54</f>
        <v>1149.5</v>
      </c>
      <c r="BK54" s="15">
        <f>BW54-BJ54-BI54</f>
        <v>441.9000000000001</v>
      </c>
      <c r="BL54" s="15">
        <f>BX54-BK54-BJ54-BI54</f>
        <v>568.6999999999998</v>
      </c>
      <c r="BM54" s="15">
        <f>BY54-BL54-BK54-BJ54-BI54</f>
        <v>515.9000000000001</v>
      </c>
      <c r="BN54" s="15">
        <f>BZ54-BM54-BL54-BK54-BJ54-BI54</f>
        <v>777.3999999999996</v>
      </c>
      <c r="BO54" s="15">
        <f>CA54-BN54-BM54-BL54-BK54-BJ54-BI54</f>
        <v>1228.9</v>
      </c>
      <c r="BP54" s="15">
        <f>CB54-BO54-BN54-BM54-BL54-BK54-BJ54-BI54</f>
        <v>1180.1000000000008</v>
      </c>
      <c r="BQ54" s="15">
        <f>CC54-BP54-BO54-BN54-BM54-BL54-BK54-BJ54-BI54</f>
        <v>2413.3999999999996</v>
      </c>
      <c r="BR54" s="15">
        <f>CD54-BQ54-BP54-BO54-BN54-BM54-BL54-BK54-BJ54-BI54</f>
        <v>1156.1000000000008</v>
      </c>
      <c r="BS54" s="15">
        <f>CE54-BR54-BQ54-BP54-BO54-BN54-BM54-BL54-BK54-BJ54-BI54</f>
        <v>779.3999999999996</v>
      </c>
      <c r="BT54" s="15">
        <f>CF54-BS54-BR54-BQ54-BP54-BO54-BN54-BM54-BL54-BK54-BJ54-BI54</f>
        <v>1013.7000000000012</v>
      </c>
      <c r="BU54" s="73">
        <f>SUM(BI54:BT54)</f>
        <v>12308</v>
      </c>
      <c r="BV54" s="72">
        <v>2232.5</v>
      </c>
      <c r="BW54" s="42">
        <v>2674.4</v>
      </c>
      <c r="BX54" s="72">
        <v>3243.1</v>
      </c>
      <c r="BY54" s="71">
        <v>3759</v>
      </c>
      <c r="BZ54" s="71">
        <v>4536.4</v>
      </c>
      <c r="CA54" s="71">
        <v>5765.3</v>
      </c>
      <c r="CB54" s="71">
        <v>6945.4</v>
      </c>
      <c r="CC54" s="42">
        <v>9358.8</v>
      </c>
      <c r="CD54" s="42">
        <v>10514.9</v>
      </c>
      <c r="CE54" s="43">
        <v>11294.3</v>
      </c>
      <c r="CF54" s="43">
        <v>12308</v>
      </c>
      <c r="CG54" s="43">
        <v>9954.9</v>
      </c>
      <c r="CH54" s="119">
        <v>12861.3</v>
      </c>
      <c r="CI54" s="124">
        <v>14774.1</v>
      </c>
      <c r="CJ54" s="71">
        <v>21455.968</v>
      </c>
      <c r="CK54" s="71">
        <v>30430.569000000003</v>
      </c>
      <c r="CL54" s="122">
        <v>47785.575</v>
      </c>
      <c r="CM54" s="122">
        <v>48933.331999999995</v>
      </c>
      <c r="CN54" s="122">
        <v>76964.187</v>
      </c>
      <c r="CO54" s="122">
        <v>56709.189</v>
      </c>
      <c r="CP54" s="122">
        <v>70211.71199999998</v>
      </c>
      <c r="CQ54" s="122">
        <v>981.2</v>
      </c>
      <c r="CR54" s="122">
        <v>1495.9</v>
      </c>
      <c r="CS54" s="122">
        <v>2321.3</v>
      </c>
      <c r="CT54" s="122">
        <v>2875.8</v>
      </c>
      <c r="CU54" s="122">
        <v>3652.9</v>
      </c>
      <c r="CV54" s="122">
        <v>4468.3</v>
      </c>
      <c r="CW54" s="122">
        <v>5258.1</v>
      </c>
      <c r="CX54" s="122">
        <v>6373.8</v>
      </c>
      <c r="CY54" s="122">
        <v>7209.8</v>
      </c>
      <c r="CZ54" s="122">
        <v>8322.9</v>
      </c>
      <c r="DA54" s="122">
        <v>9381.1</v>
      </c>
      <c r="DB54" s="122">
        <v>9954.9</v>
      </c>
      <c r="DC54" s="122">
        <v>566.8</v>
      </c>
      <c r="DD54" s="122">
        <v>1305.4</v>
      </c>
      <c r="DE54" s="122">
        <v>2815.4</v>
      </c>
      <c r="DF54" s="122">
        <v>4277.7</v>
      </c>
      <c r="DG54" s="122">
        <v>5178.1</v>
      </c>
      <c r="DH54" s="122">
        <v>5842.8</v>
      </c>
      <c r="DI54" s="122">
        <v>7094.4</v>
      </c>
      <c r="DJ54" s="122">
        <v>8735.6</v>
      </c>
      <c r="DK54" s="122">
        <v>10685.8</v>
      </c>
      <c r="DL54" s="122">
        <v>11630.6</v>
      </c>
      <c r="DM54" s="122">
        <v>12236.5</v>
      </c>
      <c r="DN54" s="122">
        <v>12861.3</v>
      </c>
      <c r="DO54" s="122">
        <v>1192.6</v>
      </c>
      <c r="DP54" s="122">
        <v>2331</v>
      </c>
      <c r="DQ54" s="122">
        <v>3775.9</v>
      </c>
      <c r="DR54" s="122">
        <v>4777.4</v>
      </c>
      <c r="DS54" s="122">
        <v>6123</v>
      </c>
      <c r="DT54" s="122">
        <v>7825.9</v>
      </c>
      <c r="DU54" s="122">
        <v>9101.9</v>
      </c>
      <c r="DV54" s="122">
        <v>10154.1</v>
      </c>
      <c r="DW54" s="122">
        <v>10732.1</v>
      </c>
      <c r="DX54" s="122">
        <v>11865.1</v>
      </c>
      <c r="DY54" s="122">
        <v>13491.1</v>
      </c>
      <c r="DZ54" s="122">
        <v>1283</v>
      </c>
      <c r="EA54" s="122">
        <f t="shared" si="49"/>
        <v>14774.1</v>
      </c>
      <c r="EB54" s="122">
        <v>2529</v>
      </c>
      <c r="EC54" s="122">
        <v>1537</v>
      </c>
      <c r="ED54" s="122">
        <v>1523</v>
      </c>
      <c r="EE54" s="122">
        <v>1707</v>
      </c>
      <c r="EF54" s="122">
        <f>'[1]Feuil2'!$D$11</f>
        <v>917.046</v>
      </c>
      <c r="EG54" s="122">
        <f>'[2]Feuil3'!$E$9</f>
        <v>1847.515</v>
      </c>
      <c r="EH54" s="122">
        <v>1610</v>
      </c>
      <c r="EI54" s="122">
        <v>1202</v>
      </c>
      <c r="EJ54" s="122">
        <v>2334.822</v>
      </c>
      <c r="EK54" s="122">
        <v>2318.125</v>
      </c>
      <c r="EL54" s="122">
        <v>1321</v>
      </c>
      <c r="EM54" s="122">
        <v>2609.46</v>
      </c>
      <c r="EN54" s="122">
        <f t="shared" si="50"/>
        <v>21455.968</v>
      </c>
      <c r="EO54" s="122">
        <v>2145</v>
      </c>
      <c r="EP54" s="122">
        <v>2699</v>
      </c>
      <c r="EQ54" s="122">
        <v>2155</v>
      </c>
      <c r="ER54" s="122">
        <v>868.171</v>
      </c>
      <c r="ES54" s="122">
        <v>2989.8</v>
      </c>
      <c r="ET54" s="122">
        <v>2987.2</v>
      </c>
      <c r="EU54" s="122">
        <v>2483.7</v>
      </c>
      <c r="EV54" s="122">
        <v>2595.9</v>
      </c>
      <c r="EW54" s="122">
        <v>2134.306</v>
      </c>
      <c r="EX54" s="122">
        <v>3211.992</v>
      </c>
      <c r="EY54" s="122">
        <v>2355.7</v>
      </c>
      <c r="EZ54" s="122">
        <v>3804.8</v>
      </c>
      <c r="FA54" s="122">
        <f t="shared" si="51"/>
        <v>30430.569000000003</v>
      </c>
      <c r="FB54" s="122">
        <v>2447.794</v>
      </c>
      <c r="FC54" s="122">
        <v>3191.217</v>
      </c>
      <c r="FD54" s="122">
        <f>'[4]IV5-IV6'!$D$13</f>
        <v>2154.627</v>
      </c>
      <c r="FE54" s="122">
        <v>1500.99</v>
      </c>
      <c r="FF54" s="122">
        <v>2247.3</v>
      </c>
      <c r="FG54" s="122">
        <v>2092.7</v>
      </c>
      <c r="FH54" s="122">
        <v>2713.285</v>
      </c>
      <c r="FI54" s="122">
        <v>4365.849</v>
      </c>
      <c r="FJ54" s="122">
        <v>6564.6</v>
      </c>
      <c r="FK54" s="122">
        <v>6649.744</v>
      </c>
      <c r="FL54" s="122">
        <v>8599.7</v>
      </c>
      <c r="FM54" s="122">
        <v>5257.769</v>
      </c>
      <c r="FN54" s="122">
        <f t="shared" si="52"/>
        <v>47785.575</v>
      </c>
      <c r="FO54" s="122">
        <v>16430.002</v>
      </c>
      <c r="FP54" s="122">
        <v>3453.839</v>
      </c>
      <c r="FQ54" s="122">
        <v>1737.174</v>
      </c>
      <c r="FR54" s="122">
        <f>'[5]IV5-IV6'!$C$30</f>
        <v>3629.852</v>
      </c>
      <c r="FS54" s="122">
        <f>'[6]IV5_IV6_Mai'!$D$29</f>
        <v>1693.888</v>
      </c>
      <c r="FT54" s="122">
        <v>2848.9</v>
      </c>
      <c r="FU54" s="122">
        <v>2827.931</v>
      </c>
      <c r="FV54" s="122">
        <v>3597.468</v>
      </c>
      <c r="FW54" s="122">
        <v>4215.623</v>
      </c>
      <c r="FX54" s="122">
        <v>2840</v>
      </c>
      <c r="FY54" s="122">
        <v>2295.955</v>
      </c>
      <c r="FZ54" s="122">
        <v>3362.7</v>
      </c>
      <c r="GA54" s="122">
        <f t="shared" si="53"/>
        <v>48933.331999999995</v>
      </c>
      <c r="GB54" s="122">
        <v>3884.37</v>
      </c>
      <c r="GC54" s="122">
        <v>3440.506</v>
      </c>
      <c r="GD54" s="122">
        <v>3227.285</v>
      </c>
      <c r="GE54" s="122">
        <v>7047.587</v>
      </c>
      <c r="GF54" s="122">
        <v>8638.545</v>
      </c>
      <c r="GG54" s="122">
        <v>6536.73</v>
      </c>
      <c r="GH54" s="122">
        <v>8945.531</v>
      </c>
      <c r="GI54" s="122">
        <v>7315.801</v>
      </c>
      <c r="GJ54" s="122">
        <v>7076.892</v>
      </c>
      <c r="GK54" s="122">
        <v>6479.434</v>
      </c>
      <c r="GL54" s="122">
        <v>5725.405</v>
      </c>
      <c r="GM54" s="122">
        <v>8646.101</v>
      </c>
      <c r="GN54" s="122">
        <f t="shared" si="54"/>
        <v>76964.187</v>
      </c>
      <c r="GO54" s="122">
        <v>7065.802</v>
      </c>
      <c r="GP54" s="122">
        <v>11754.549</v>
      </c>
      <c r="GQ54" s="122">
        <v>11162.582</v>
      </c>
      <c r="GR54" s="122">
        <v>4453.54</v>
      </c>
      <c r="GS54" s="122">
        <v>2789.331</v>
      </c>
      <c r="GT54" s="122">
        <v>3208.651</v>
      </c>
      <c r="GU54" s="122">
        <v>1957.144</v>
      </c>
      <c r="GV54" s="122">
        <v>1730.147</v>
      </c>
      <c r="GW54" s="122">
        <v>3547.722</v>
      </c>
      <c r="GX54" s="122">
        <v>4338.41</v>
      </c>
      <c r="GY54" s="122">
        <v>2906.378</v>
      </c>
      <c r="GZ54" s="122">
        <v>3391.706</v>
      </c>
      <c r="HA54" s="122">
        <v>2606.58</v>
      </c>
      <c r="HB54" s="122">
        <v>3071.156</v>
      </c>
      <c r="HC54" s="122">
        <v>3249.618</v>
      </c>
      <c r="HD54" s="122">
        <v>6056.854</v>
      </c>
      <c r="HE54" s="122">
        <v>6419.506</v>
      </c>
      <c r="HF54" s="122">
        <v>4275.689</v>
      </c>
      <c r="HG54" s="122">
        <v>8386.521</v>
      </c>
      <c r="HH54" s="122">
        <v>17241.73</v>
      </c>
      <c r="HI54" s="122">
        <v>7966.882</v>
      </c>
      <c r="HJ54" s="122">
        <v>4019.35</v>
      </c>
      <c r="HK54" s="122">
        <v>3181.542</v>
      </c>
      <c r="HL54" s="122">
        <v>3736.284</v>
      </c>
      <c r="HM54" s="98">
        <v>4027.92</v>
      </c>
      <c r="HN54" s="98">
        <v>4095.795</v>
      </c>
      <c r="HO54" s="98">
        <v>5939.903</v>
      </c>
      <c r="HP54" s="122">
        <v>4438.427</v>
      </c>
      <c r="HQ54" s="98">
        <v>5251.567</v>
      </c>
      <c r="HR54" s="122">
        <v>5846.867</v>
      </c>
      <c r="HS54" s="122">
        <v>5614.754</v>
      </c>
      <c r="HT54" s="122">
        <v>9791.772</v>
      </c>
      <c r="HU54" s="122"/>
      <c r="HV54" s="122"/>
      <c r="HW54" s="122"/>
      <c r="HX54" s="122"/>
      <c r="HY54" s="122">
        <f t="shared" si="55"/>
        <v>51307.653999999995</v>
      </c>
      <c r="HZ54" s="122">
        <f t="shared" si="56"/>
        <v>45007.005000000005</v>
      </c>
    </row>
    <row r="55" spans="2:234" ht="15.75">
      <c r="B55" s="105" t="s">
        <v>84</v>
      </c>
      <c r="C55" s="71">
        <v>44</v>
      </c>
      <c r="D55" s="42">
        <v>37</v>
      </c>
      <c r="E55" s="72">
        <v>46</v>
      </c>
      <c r="F55" s="42">
        <v>14</v>
      </c>
      <c r="G55" s="42">
        <v>49.7</v>
      </c>
      <c r="H55" s="42" t="s">
        <v>11</v>
      </c>
      <c r="I55" s="43">
        <v>23</v>
      </c>
      <c r="J55" s="43" t="s">
        <v>11</v>
      </c>
      <c r="K55" s="15" t="s">
        <v>11</v>
      </c>
      <c r="L55" s="15" t="s">
        <v>11</v>
      </c>
      <c r="M55" s="15" t="s">
        <v>11</v>
      </c>
      <c r="N55" s="15" t="s">
        <v>11</v>
      </c>
      <c r="O55" s="15" t="s">
        <v>11</v>
      </c>
      <c r="P55" s="79" t="s">
        <v>16</v>
      </c>
      <c r="Q55" s="15" t="s">
        <v>11</v>
      </c>
      <c r="R55" s="15">
        <v>14</v>
      </c>
      <c r="S55" s="15" t="s">
        <v>11</v>
      </c>
      <c r="T55" s="15" t="s">
        <v>11</v>
      </c>
      <c r="U55" s="42">
        <f>+I55+J55+K55+L55+M55+N55+O55+P55+Q55+R55+S55+T55</f>
        <v>37</v>
      </c>
      <c r="V55" s="36" t="s">
        <v>11</v>
      </c>
      <c r="W55" s="43">
        <v>15</v>
      </c>
      <c r="X55" s="15" t="s">
        <v>11</v>
      </c>
      <c r="Y55" s="15" t="s">
        <v>11</v>
      </c>
      <c r="Z55" s="15" t="s">
        <v>11</v>
      </c>
      <c r="AA55" s="15">
        <v>17</v>
      </c>
      <c r="AB55" s="15" t="s">
        <v>11</v>
      </c>
      <c r="AC55" s="79">
        <v>14</v>
      </c>
      <c r="AD55" s="15" t="s">
        <v>11</v>
      </c>
      <c r="AE55" s="15" t="s">
        <v>11</v>
      </c>
      <c r="AF55" s="15" t="s">
        <v>11</v>
      </c>
      <c r="AG55" s="15" t="s">
        <v>11</v>
      </c>
      <c r="AH55" s="71">
        <f>SUM(V55:AG55)</f>
        <v>46</v>
      </c>
      <c r="AI55" s="43" t="s">
        <v>11</v>
      </c>
      <c r="AJ55" s="15" t="s">
        <v>11</v>
      </c>
      <c r="AK55" s="15" t="s">
        <v>11</v>
      </c>
      <c r="AL55" s="15" t="s">
        <v>11</v>
      </c>
      <c r="AM55" s="15" t="s">
        <v>11</v>
      </c>
      <c r="AN55" s="15" t="s">
        <v>11</v>
      </c>
      <c r="AO55" s="15" t="s">
        <v>11</v>
      </c>
      <c r="AP55" s="15" t="s">
        <v>11</v>
      </c>
      <c r="AQ55" s="15" t="s">
        <v>11</v>
      </c>
      <c r="AR55" s="15">
        <v>14</v>
      </c>
      <c r="AS55" s="15" t="s">
        <v>11</v>
      </c>
      <c r="AT55" s="15" t="s">
        <v>11</v>
      </c>
      <c r="AU55" s="71">
        <f>AI55+AJ55+AK55+AL55+AM55+AN55+AO55+AP55+AQ55+AR55+AS55+AT55</f>
        <v>14</v>
      </c>
      <c r="AV55" s="71" t="s">
        <v>11</v>
      </c>
      <c r="AW55" s="71" t="s">
        <v>11</v>
      </c>
      <c r="AX55" s="71" t="s">
        <v>11</v>
      </c>
      <c r="AY55" s="71" t="s">
        <v>11</v>
      </c>
      <c r="AZ55" s="71">
        <v>23</v>
      </c>
      <c r="BA55" s="71" t="s">
        <v>11</v>
      </c>
      <c r="BB55" s="4">
        <v>0</v>
      </c>
      <c r="BC55" s="4">
        <v>0</v>
      </c>
      <c r="BD55" s="4">
        <v>1.2</v>
      </c>
      <c r="BE55" s="4">
        <v>25.5</v>
      </c>
      <c r="BF55" s="4">
        <v>0</v>
      </c>
      <c r="BG55" s="71">
        <v>0</v>
      </c>
      <c r="BH55" s="71">
        <f>SUM(AV55:BG55)</f>
        <v>49.7</v>
      </c>
      <c r="BI55" s="36" t="s">
        <v>11</v>
      </c>
      <c r="BJ55" s="15" t="s">
        <v>11</v>
      </c>
      <c r="BK55" s="15">
        <f>BW55-BJ55-BI55</f>
        <v>0</v>
      </c>
      <c r="BL55" s="15">
        <f>BX55-BK55-BJ55-BI55</f>
        <v>0</v>
      </c>
      <c r="BM55" s="15">
        <f>BY55-BL55-BK55-BJ55-BI55</f>
        <v>0</v>
      </c>
      <c r="BN55" s="15">
        <f>BZ55-BM55-BL55-BK55-BJ55-BI55</f>
        <v>0</v>
      </c>
      <c r="BO55" s="15">
        <f>CA55-BN55-BM55-BL55-BK55-BJ55-BI55</f>
        <v>0</v>
      </c>
      <c r="BP55" s="15">
        <f>CB55-BO55-BN55-BM55-BL55-BK55-BJ55-BI55</f>
        <v>0</v>
      </c>
      <c r="BQ55" s="15">
        <f>CC55-BP55-BO55-BN55-BM55-BL55-BK55-BJ55-BI55</f>
        <v>0</v>
      </c>
      <c r="BR55" s="15">
        <f>CD55-BQ55-BP55-BO55-BN55-BM55-BL55-BK55-BJ55-BI55</f>
        <v>0</v>
      </c>
      <c r="BS55" s="15">
        <f>CE55-BR55-BQ55-BP55-BO55-BN55-BM55-BL55-BK55-BJ55-BI55</f>
        <v>0</v>
      </c>
      <c r="BT55" s="15">
        <f>CF55-BS55-BR55-BQ55-BP55-BO55-BN55-BM55-BL55-BK55-BJ55-BI55</f>
        <v>0</v>
      </c>
      <c r="BU55" s="73">
        <f>SUM(BI55:BT55)</f>
        <v>0</v>
      </c>
      <c r="BV55" s="71" t="s">
        <v>11</v>
      </c>
      <c r="BW55" s="71" t="s">
        <v>11</v>
      </c>
      <c r="BX55" s="71" t="s">
        <v>11</v>
      </c>
      <c r="BY55" s="71" t="s">
        <v>11</v>
      </c>
      <c r="BZ55" s="71" t="s">
        <v>11</v>
      </c>
      <c r="CA55" s="71" t="s">
        <v>11</v>
      </c>
      <c r="CB55" s="71" t="s">
        <v>11</v>
      </c>
      <c r="CC55" s="42" t="s">
        <v>11</v>
      </c>
      <c r="CD55" s="42" t="s">
        <v>11</v>
      </c>
      <c r="CE55" s="43" t="s">
        <v>11</v>
      </c>
      <c r="CF55" s="43" t="s">
        <v>11</v>
      </c>
      <c r="CG55" s="43">
        <v>12.2</v>
      </c>
      <c r="CH55" s="119">
        <v>5.8</v>
      </c>
      <c r="CI55" s="124">
        <v>13.1</v>
      </c>
      <c r="CJ55" s="71">
        <v>15.713999999999999</v>
      </c>
      <c r="CK55" s="71">
        <v>97.422</v>
      </c>
      <c r="CL55" s="122">
        <v>69.56</v>
      </c>
      <c r="CM55" s="122">
        <v>25.125</v>
      </c>
      <c r="CN55" s="122">
        <v>109.343</v>
      </c>
      <c r="CO55" s="122">
        <v>28.23</v>
      </c>
      <c r="CP55" s="122">
        <v>19.755</v>
      </c>
      <c r="CQ55" s="122" t="s">
        <v>11</v>
      </c>
      <c r="CR55" s="122" t="s">
        <v>11</v>
      </c>
      <c r="CS55" s="122">
        <v>5.3</v>
      </c>
      <c r="CT55" s="122">
        <v>5.3</v>
      </c>
      <c r="CU55" s="122">
        <v>5.3</v>
      </c>
      <c r="CV55" s="122">
        <v>5.3</v>
      </c>
      <c r="CW55" s="122">
        <v>5.3</v>
      </c>
      <c r="CX55" s="122">
        <v>5.3</v>
      </c>
      <c r="CY55" s="122">
        <v>5.3</v>
      </c>
      <c r="CZ55" s="122">
        <v>5.3</v>
      </c>
      <c r="DA55" s="122">
        <v>5.3</v>
      </c>
      <c r="DB55" s="122">
        <v>12.2</v>
      </c>
      <c r="DC55" s="122" t="s">
        <v>11</v>
      </c>
      <c r="DD55" s="122" t="s">
        <v>11</v>
      </c>
      <c r="DE55" s="122" t="s">
        <v>11</v>
      </c>
      <c r="DF55" s="122">
        <v>5.7</v>
      </c>
      <c r="DG55" s="122">
        <v>5.7</v>
      </c>
      <c r="DH55" s="122">
        <v>5.7</v>
      </c>
      <c r="DI55" s="122">
        <v>5.7</v>
      </c>
      <c r="DJ55" s="122">
        <v>5.7</v>
      </c>
      <c r="DK55" s="122">
        <v>5.7</v>
      </c>
      <c r="DL55" s="122">
        <v>5.8</v>
      </c>
      <c r="DM55" s="122">
        <v>5.8</v>
      </c>
      <c r="DN55" s="122">
        <v>5.8</v>
      </c>
      <c r="DO55" s="122" t="s">
        <v>11</v>
      </c>
      <c r="DP55" s="122" t="s">
        <v>11</v>
      </c>
      <c r="DQ55" s="122" t="s">
        <v>16</v>
      </c>
      <c r="DR55" s="122" t="s">
        <v>16</v>
      </c>
      <c r="DS55" s="122" t="s">
        <v>16</v>
      </c>
      <c r="DT55" s="122" t="s">
        <v>16</v>
      </c>
      <c r="DU55" s="122" t="s">
        <v>11</v>
      </c>
      <c r="DV55" s="122">
        <v>0.3</v>
      </c>
      <c r="DW55" s="122" t="s">
        <v>16</v>
      </c>
      <c r="DX55" s="122">
        <v>13.1</v>
      </c>
      <c r="DY55" s="122">
        <v>13.1</v>
      </c>
      <c r="DZ55" s="122"/>
      <c r="EA55" s="122">
        <f t="shared" si="49"/>
        <v>13.1</v>
      </c>
      <c r="EB55" s="122" t="s">
        <v>11</v>
      </c>
      <c r="EC55" s="122"/>
      <c r="ED55" s="122">
        <v>0</v>
      </c>
      <c r="EE55" s="122">
        <v>5</v>
      </c>
      <c r="EF55" s="122">
        <f>'[1]Feuil2'!$D$36</f>
        <v>5.414</v>
      </c>
      <c r="EG55" s="122">
        <v>0</v>
      </c>
      <c r="EH55" s="122" t="s">
        <v>16</v>
      </c>
      <c r="EI55" s="122">
        <v>0</v>
      </c>
      <c r="EJ55" s="122">
        <v>0</v>
      </c>
      <c r="EK55" s="122">
        <v>5.3</v>
      </c>
      <c r="EL55" s="122"/>
      <c r="EM55" s="122"/>
      <c r="EN55" s="122">
        <f t="shared" si="50"/>
        <v>15.713999999999999</v>
      </c>
      <c r="EO55" s="122">
        <v>0</v>
      </c>
      <c r="EP55" s="122" t="s">
        <v>16</v>
      </c>
      <c r="EQ55" s="122">
        <v>0</v>
      </c>
      <c r="ER55" s="122">
        <v>0</v>
      </c>
      <c r="ES55" s="122"/>
      <c r="ET55" s="122"/>
      <c r="EU55" s="122"/>
      <c r="EV55" s="122">
        <v>0</v>
      </c>
      <c r="EW55" s="122">
        <v>0</v>
      </c>
      <c r="EX55" s="122">
        <v>97.322</v>
      </c>
      <c r="EY55" s="122"/>
      <c r="EZ55" s="122"/>
      <c r="FA55" s="122">
        <f t="shared" si="51"/>
        <v>97.322</v>
      </c>
      <c r="FB55" s="122" t="s">
        <v>11</v>
      </c>
      <c r="FC55" s="122" t="s">
        <v>11</v>
      </c>
      <c r="FD55" s="122">
        <v>0</v>
      </c>
      <c r="FE55" s="122"/>
      <c r="FF55" s="122"/>
      <c r="FG55" s="122"/>
      <c r="FH55" s="122"/>
      <c r="FI55" s="122">
        <v>0</v>
      </c>
      <c r="FJ55" s="122">
        <v>0.6</v>
      </c>
      <c r="FK55" s="122">
        <v>4.96</v>
      </c>
      <c r="FL55" s="122">
        <v>0</v>
      </c>
      <c r="FM55" s="122">
        <v>64</v>
      </c>
      <c r="FN55" s="122">
        <f t="shared" si="52"/>
        <v>69.56</v>
      </c>
      <c r="FO55" s="122" t="s">
        <v>16</v>
      </c>
      <c r="FP55" s="122">
        <v>0</v>
      </c>
      <c r="FQ55" s="122">
        <v>10.5</v>
      </c>
      <c r="FR55" s="122">
        <f>'[5]IV5-IV6'!$C$43</f>
        <v>0.123</v>
      </c>
      <c r="FS55" s="122">
        <f>'[6]IV5_IV6_Mai'!$D$40</f>
        <v>5.095</v>
      </c>
      <c r="FT55" s="122">
        <v>5.5</v>
      </c>
      <c r="FU55" s="122">
        <v>0</v>
      </c>
      <c r="FV55" s="122">
        <v>0</v>
      </c>
      <c r="FW55" s="122">
        <v>-1</v>
      </c>
      <c r="FX55" s="122">
        <v>0</v>
      </c>
      <c r="FY55" s="122">
        <v>0.007</v>
      </c>
      <c r="FZ55" s="122">
        <v>4.9</v>
      </c>
      <c r="GA55" s="122">
        <f t="shared" si="53"/>
        <v>25.125</v>
      </c>
      <c r="GB55" s="122"/>
      <c r="GC55" s="122">
        <v>0</v>
      </c>
      <c r="GD55" s="122">
        <v>0</v>
      </c>
      <c r="GE55" s="122">
        <v>12.499</v>
      </c>
      <c r="GF55" s="122">
        <v>0.293</v>
      </c>
      <c r="GG55" s="122">
        <v>0.062</v>
      </c>
      <c r="GH55" s="122">
        <v>7.515</v>
      </c>
      <c r="GI55" s="122"/>
      <c r="GJ55" s="122">
        <v>0.356</v>
      </c>
      <c r="GK55" s="122">
        <v>0.38</v>
      </c>
      <c r="GL55" s="122">
        <v>88.171</v>
      </c>
      <c r="GM55" s="122">
        <v>0.067</v>
      </c>
      <c r="GN55" s="122">
        <f t="shared" si="54"/>
        <v>109.343</v>
      </c>
      <c r="GO55" s="122">
        <v>0.1</v>
      </c>
      <c r="GP55" s="122">
        <v>0</v>
      </c>
      <c r="GQ55" s="122">
        <v>0.481</v>
      </c>
      <c r="GR55" s="122">
        <v>0</v>
      </c>
      <c r="GS55" s="122"/>
      <c r="GT55" s="122"/>
      <c r="GU55" s="122">
        <v>0.066</v>
      </c>
      <c r="GV55" s="122">
        <v>4.807</v>
      </c>
      <c r="GW55" s="122">
        <v>0.004</v>
      </c>
      <c r="GX55" s="122">
        <v>2.462</v>
      </c>
      <c r="GY55" s="122">
        <v>20.302</v>
      </c>
      <c r="GZ55" s="122">
        <v>0.008</v>
      </c>
      <c r="HA55" s="122">
        <v>4.692</v>
      </c>
      <c r="HB55" s="122"/>
      <c r="HC55" s="122"/>
      <c r="HD55" s="122">
        <v>5.54</v>
      </c>
      <c r="HE55" s="122"/>
      <c r="HF55" s="122"/>
      <c r="HG55" s="122">
        <v>0.012</v>
      </c>
      <c r="HH55" s="122">
        <v>9.511</v>
      </c>
      <c r="HI55" s="122"/>
      <c r="HJ55" s="122"/>
      <c r="HK55" s="122"/>
      <c r="HL55" s="122"/>
      <c r="HM55" s="98">
        <v>4.697</v>
      </c>
      <c r="HN55" s="98"/>
      <c r="HO55" s="98">
        <v>112.113</v>
      </c>
      <c r="HP55" s="122">
        <v>0</v>
      </c>
      <c r="HQ55" s="98"/>
      <c r="HR55" s="122">
        <v>4.517</v>
      </c>
      <c r="HS55" s="122">
        <v>162.386</v>
      </c>
      <c r="HT55" s="122">
        <v>162.358</v>
      </c>
      <c r="HU55" s="122"/>
      <c r="HV55" s="122"/>
      <c r="HW55" s="122"/>
      <c r="HX55" s="122"/>
      <c r="HY55" s="122">
        <f t="shared" si="55"/>
        <v>19.755</v>
      </c>
      <c r="HZ55" s="122">
        <f t="shared" si="56"/>
        <v>446.07099999999997</v>
      </c>
    </row>
    <row r="56" spans="2:234" ht="15.75">
      <c r="B56" s="105" t="s">
        <v>85</v>
      </c>
      <c r="C56" s="71">
        <v>2572</v>
      </c>
      <c r="D56" s="42">
        <v>3650</v>
      </c>
      <c r="E56" s="72">
        <v>4713</v>
      </c>
      <c r="F56" s="42">
        <v>3319</v>
      </c>
      <c r="G56" s="42">
        <v>3660.3</v>
      </c>
      <c r="H56" s="42">
        <v>6238</v>
      </c>
      <c r="I56" s="43">
        <v>344</v>
      </c>
      <c r="J56" s="43">
        <v>378</v>
      </c>
      <c r="K56" s="15">
        <v>189</v>
      </c>
      <c r="L56" s="15">
        <v>127</v>
      </c>
      <c r="M56" s="15">
        <v>211</v>
      </c>
      <c r="N56" s="15">
        <v>265</v>
      </c>
      <c r="O56" s="15">
        <v>414</v>
      </c>
      <c r="P56" s="15">
        <v>822</v>
      </c>
      <c r="Q56" s="15">
        <v>325</v>
      </c>
      <c r="R56" s="15">
        <v>47</v>
      </c>
      <c r="S56" s="15">
        <v>335</v>
      </c>
      <c r="T56" s="15">
        <v>193</v>
      </c>
      <c r="U56" s="42">
        <f>+I56+J56+K56+L56+M56+N56+O56+P56+Q56+R56+S56+T56</f>
        <v>3650</v>
      </c>
      <c r="V56" s="56">
        <v>446</v>
      </c>
      <c r="W56" s="43">
        <v>242</v>
      </c>
      <c r="X56" s="15">
        <v>478</v>
      </c>
      <c r="Y56" s="15">
        <v>234</v>
      </c>
      <c r="Z56" s="15">
        <v>135</v>
      </c>
      <c r="AA56" s="15">
        <v>130</v>
      </c>
      <c r="AB56" s="15">
        <v>688</v>
      </c>
      <c r="AC56" s="15">
        <v>686</v>
      </c>
      <c r="AD56" s="15">
        <v>442</v>
      </c>
      <c r="AE56" s="15">
        <v>580</v>
      </c>
      <c r="AF56" s="15">
        <v>447</v>
      </c>
      <c r="AG56" s="15">
        <v>205</v>
      </c>
      <c r="AH56" s="71">
        <f>SUM(V56:AG56)</f>
        <v>4713</v>
      </c>
      <c r="AI56" s="43">
        <v>303</v>
      </c>
      <c r="AJ56" s="15">
        <v>166</v>
      </c>
      <c r="AK56" s="15">
        <v>346</v>
      </c>
      <c r="AL56" s="15">
        <v>261</v>
      </c>
      <c r="AM56" s="15">
        <v>297</v>
      </c>
      <c r="AN56" s="15">
        <v>148</v>
      </c>
      <c r="AO56" s="15">
        <v>358</v>
      </c>
      <c r="AP56" s="15">
        <v>453</v>
      </c>
      <c r="AQ56" s="15">
        <v>512</v>
      </c>
      <c r="AR56" s="15">
        <v>113</v>
      </c>
      <c r="AS56" s="15">
        <v>246</v>
      </c>
      <c r="AT56" s="15">
        <v>116</v>
      </c>
      <c r="AU56" s="71">
        <f>AI56+AJ56+AK56+AL56+AM56+AN56+AO56+AP56+AQ56+AR56+AS56+AT56</f>
        <v>3319</v>
      </c>
      <c r="AV56" s="42">
        <v>83</v>
      </c>
      <c r="AW56" s="15">
        <v>190</v>
      </c>
      <c r="AX56" s="31">
        <v>346</v>
      </c>
      <c r="AY56" s="15">
        <v>303</v>
      </c>
      <c r="AZ56" s="15">
        <v>269</v>
      </c>
      <c r="BA56" s="15">
        <v>401</v>
      </c>
      <c r="BB56" s="4">
        <v>273.5</v>
      </c>
      <c r="BC56" s="4">
        <v>478.7</v>
      </c>
      <c r="BD56" s="4">
        <v>309.5</v>
      </c>
      <c r="BE56" s="4">
        <v>272.9</v>
      </c>
      <c r="BF56" s="4">
        <v>332.7</v>
      </c>
      <c r="BG56" s="12">
        <v>401</v>
      </c>
      <c r="BH56" s="71">
        <f>SUM(AV56:BG56)</f>
        <v>3660.2999999999997</v>
      </c>
      <c r="BI56" s="36">
        <v>405</v>
      </c>
      <c r="BJ56" s="15">
        <f>BV56-BI56</f>
        <v>347</v>
      </c>
      <c r="BK56" s="15">
        <f>BW56-BJ56-BI56</f>
        <v>1278.1</v>
      </c>
      <c r="BL56" s="15">
        <f>BX56-BK56-BJ56-BI56</f>
        <v>454.4000000000001</v>
      </c>
      <c r="BM56" s="15">
        <f>BY56-BL56-BK56-BJ56-BI56</f>
        <v>243.5</v>
      </c>
      <c r="BN56" s="15">
        <f>BZ56-BM56-BL56-BK56-BJ56-BI56</f>
        <v>879.1999999999998</v>
      </c>
      <c r="BO56" s="15">
        <f>CA56-BN56-BM56-BL56-BK56-BJ56-BI56</f>
        <v>585.1000000000004</v>
      </c>
      <c r="BP56" s="15">
        <f>CB56-BO56-BN56-BM56-BL56-BK56-BJ56-BI56</f>
        <v>576.8000000000002</v>
      </c>
      <c r="BQ56" s="15">
        <f>CC56-BP56-BO56-BN56-BM56-BL56-BK56-BJ56-BI56</f>
        <v>444.7999999999993</v>
      </c>
      <c r="BR56" s="15">
        <f>CD56-BQ56-BP56-BO56-BN56-BM56-BL56-BK56-BJ56-BI56</f>
        <v>389</v>
      </c>
      <c r="BS56" s="15">
        <f>CE56-BR56-BQ56-BP56-BO56-BN56-BM56-BL56-BK56-BJ56-BI56</f>
        <v>227.10000000000036</v>
      </c>
      <c r="BT56" s="15">
        <f>CF56-BS56-BR56-BQ56-BP56-BO56-BN56-BM56-BL56-BK56-BJ56-BI56</f>
        <v>408</v>
      </c>
      <c r="BU56" s="73">
        <f>SUM(BI56:BT56)</f>
        <v>6238</v>
      </c>
      <c r="BV56" s="72">
        <v>752</v>
      </c>
      <c r="BW56" s="42">
        <v>2030.1</v>
      </c>
      <c r="BX56" s="72">
        <v>2484.5</v>
      </c>
      <c r="BY56" s="71">
        <v>2728</v>
      </c>
      <c r="BZ56" s="71">
        <v>3607.2</v>
      </c>
      <c r="CA56" s="71">
        <v>4192.3</v>
      </c>
      <c r="CB56" s="71">
        <v>4769.1</v>
      </c>
      <c r="CC56" s="42">
        <v>5213.9</v>
      </c>
      <c r="CD56" s="42">
        <v>5602.9</v>
      </c>
      <c r="CE56" s="43">
        <v>5830</v>
      </c>
      <c r="CF56" s="43">
        <v>6238</v>
      </c>
      <c r="CG56" s="43">
        <v>4152.1</v>
      </c>
      <c r="CH56" s="119">
        <v>6362.2</v>
      </c>
      <c r="CI56" s="124">
        <v>6917</v>
      </c>
      <c r="CJ56" s="71">
        <v>8128.218999999999</v>
      </c>
      <c r="CK56" s="71">
        <v>20848.644</v>
      </c>
      <c r="CL56" s="122">
        <v>29244.310999999998</v>
      </c>
      <c r="CM56" s="122">
        <v>41629.066</v>
      </c>
      <c r="CN56" s="122">
        <v>48066.987</v>
      </c>
      <c r="CO56" s="122">
        <v>57415.067</v>
      </c>
      <c r="CP56" s="122">
        <v>88867.903</v>
      </c>
      <c r="CQ56" s="122">
        <v>375.3</v>
      </c>
      <c r="CR56" s="122">
        <v>572.1</v>
      </c>
      <c r="CS56" s="122">
        <v>921.9</v>
      </c>
      <c r="CT56" s="122">
        <v>1243.1</v>
      </c>
      <c r="CU56" s="122">
        <v>1618</v>
      </c>
      <c r="CV56" s="122">
        <v>2132.4</v>
      </c>
      <c r="CW56" s="122">
        <v>2495.2</v>
      </c>
      <c r="CX56" s="122">
        <v>2936.2</v>
      </c>
      <c r="CY56" s="122">
        <v>3251</v>
      </c>
      <c r="CZ56" s="122">
        <v>3603.6</v>
      </c>
      <c r="DA56" s="122">
        <v>3946.5</v>
      </c>
      <c r="DB56" s="122">
        <v>4152.1</v>
      </c>
      <c r="DC56" s="122">
        <v>294.5</v>
      </c>
      <c r="DD56" s="122">
        <v>893.7</v>
      </c>
      <c r="DE56" s="122">
        <v>1554.8</v>
      </c>
      <c r="DF56" s="122">
        <v>1913.5</v>
      </c>
      <c r="DG56" s="122">
        <v>2401.2</v>
      </c>
      <c r="DH56" s="122">
        <v>3429.6</v>
      </c>
      <c r="DI56" s="122">
        <v>4310.3</v>
      </c>
      <c r="DJ56" s="122">
        <v>4781.2</v>
      </c>
      <c r="DK56" s="122">
        <v>5318.4</v>
      </c>
      <c r="DL56" s="122">
        <v>5662.3</v>
      </c>
      <c r="DM56" s="122">
        <v>6124.2</v>
      </c>
      <c r="DN56" s="122">
        <v>6362.2</v>
      </c>
      <c r="DO56" s="122">
        <v>181.3</v>
      </c>
      <c r="DP56" s="122">
        <v>628.1</v>
      </c>
      <c r="DQ56" s="122">
        <v>1171.6</v>
      </c>
      <c r="DR56" s="122">
        <v>1843.1</v>
      </c>
      <c r="DS56" s="122">
        <v>2605</v>
      </c>
      <c r="DT56" s="122">
        <v>3033.2</v>
      </c>
      <c r="DU56" s="122">
        <v>3471.5</v>
      </c>
      <c r="DV56" s="122">
        <v>4471.1</v>
      </c>
      <c r="DW56" s="122">
        <v>5163.5</v>
      </c>
      <c r="DX56" s="122">
        <v>5720</v>
      </c>
      <c r="DY56" s="122">
        <v>6252</v>
      </c>
      <c r="DZ56" s="122">
        <v>665</v>
      </c>
      <c r="EA56" s="122">
        <f t="shared" si="49"/>
        <v>6917</v>
      </c>
      <c r="EB56" s="122">
        <v>314</v>
      </c>
      <c r="EC56" s="122">
        <v>613</v>
      </c>
      <c r="ED56" s="122">
        <v>780</v>
      </c>
      <c r="EE56" s="122">
        <v>773</v>
      </c>
      <c r="EF56" s="122">
        <f>'[1]Feuil2'!$D$20</f>
        <v>695.939</v>
      </c>
      <c r="EG56" s="122">
        <f>'[2]Feuil3'!$E$20</f>
        <v>902.236</v>
      </c>
      <c r="EH56" s="122">
        <v>408</v>
      </c>
      <c r="EI56" s="122">
        <v>641</v>
      </c>
      <c r="EJ56" s="122">
        <v>745.407</v>
      </c>
      <c r="EK56" s="122">
        <v>845.437</v>
      </c>
      <c r="EL56" s="122">
        <v>751</v>
      </c>
      <c r="EM56" s="122">
        <v>659.2</v>
      </c>
      <c r="EN56" s="122">
        <f t="shared" si="50"/>
        <v>8128.218999999999</v>
      </c>
      <c r="EO56" s="122">
        <v>453</v>
      </c>
      <c r="EP56" s="122">
        <v>368</v>
      </c>
      <c r="EQ56" s="122">
        <v>1029</v>
      </c>
      <c r="ER56" s="122">
        <v>2689.449</v>
      </c>
      <c r="ES56" s="122">
        <v>983.8</v>
      </c>
      <c r="ET56" s="122">
        <v>889</v>
      </c>
      <c r="EU56" s="122">
        <v>2344.2</v>
      </c>
      <c r="EV56" s="122">
        <v>908.24</v>
      </c>
      <c r="EW56" s="122">
        <v>1773.419</v>
      </c>
      <c r="EX56" s="122">
        <v>2766.036</v>
      </c>
      <c r="EY56" s="122">
        <v>3451.6</v>
      </c>
      <c r="EZ56" s="122">
        <v>3192.9</v>
      </c>
      <c r="FA56" s="122">
        <f t="shared" si="51"/>
        <v>20848.644</v>
      </c>
      <c r="FB56" s="122">
        <v>1967.875</v>
      </c>
      <c r="FC56" s="122">
        <v>1841.479</v>
      </c>
      <c r="FD56" s="122">
        <f>'[4]IV5-IV6'!$D$26</f>
        <v>1029.402</v>
      </c>
      <c r="FE56" s="122">
        <v>2358.83</v>
      </c>
      <c r="FF56" s="122">
        <v>1869.077</v>
      </c>
      <c r="FG56" s="122">
        <v>2852.8</v>
      </c>
      <c r="FH56" s="122">
        <v>2410.599</v>
      </c>
      <c r="FI56" s="122">
        <v>2699.046</v>
      </c>
      <c r="FJ56" s="122">
        <v>2512.8</v>
      </c>
      <c r="FK56" s="122">
        <v>3911.375</v>
      </c>
      <c r="FL56" s="122">
        <v>2961.031</v>
      </c>
      <c r="FM56" s="122">
        <v>2829.997</v>
      </c>
      <c r="FN56" s="122">
        <f t="shared" si="52"/>
        <v>29244.310999999998</v>
      </c>
      <c r="FO56" s="122">
        <v>2175.566</v>
      </c>
      <c r="FP56" s="122">
        <v>3407.651</v>
      </c>
      <c r="FQ56" s="122">
        <v>1274.468</v>
      </c>
      <c r="FR56" s="122">
        <f>'[5]IV5-IV6'!$C$36</f>
        <v>1670.23</v>
      </c>
      <c r="FS56" s="122">
        <f>'[6]IV5_IV6_Mai'!$D$32</f>
        <v>3424.36</v>
      </c>
      <c r="FT56" s="122">
        <v>5295.5</v>
      </c>
      <c r="FU56" s="122">
        <v>4722.165</v>
      </c>
      <c r="FV56" s="122">
        <v>3802.477</v>
      </c>
      <c r="FW56" s="122">
        <v>3680.624</v>
      </c>
      <c r="FX56" s="122">
        <v>3396.5</v>
      </c>
      <c r="FY56" s="122">
        <v>3992.625</v>
      </c>
      <c r="FZ56" s="122">
        <v>4786.9</v>
      </c>
      <c r="GA56" s="122">
        <f t="shared" si="53"/>
        <v>41629.066</v>
      </c>
      <c r="GB56" s="122">
        <v>4292.742</v>
      </c>
      <c r="GC56" s="122">
        <v>2885.915</v>
      </c>
      <c r="GD56" s="122">
        <v>2348.062</v>
      </c>
      <c r="GE56" s="122">
        <v>2118.629</v>
      </c>
      <c r="GF56" s="122">
        <v>5319.093</v>
      </c>
      <c r="GG56" s="122">
        <v>4797.672</v>
      </c>
      <c r="GH56" s="122">
        <v>5733.163</v>
      </c>
      <c r="GI56" s="122">
        <v>4502.726</v>
      </c>
      <c r="GJ56" s="122">
        <v>3933.192</v>
      </c>
      <c r="GK56" s="122">
        <v>4335.765</v>
      </c>
      <c r="GL56" s="122">
        <v>3718.075</v>
      </c>
      <c r="GM56" s="122">
        <v>4081.953</v>
      </c>
      <c r="GN56" s="122">
        <f t="shared" si="54"/>
        <v>48066.987</v>
      </c>
      <c r="GO56" s="122">
        <v>6446.449</v>
      </c>
      <c r="GP56" s="122">
        <v>7541.775</v>
      </c>
      <c r="GQ56" s="122">
        <v>8389.03</v>
      </c>
      <c r="GR56" s="122">
        <v>7665.801</v>
      </c>
      <c r="GS56" s="122">
        <v>7949.343</v>
      </c>
      <c r="GT56" s="122">
        <v>5827.046</v>
      </c>
      <c r="GU56" s="122">
        <v>10660.345</v>
      </c>
      <c r="GV56" s="122">
        <v>8662.8</v>
      </c>
      <c r="GW56" s="122">
        <v>9130.689</v>
      </c>
      <c r="GX56" s="122">
        <v>10470.063</v>
      </c>
      <c r="GY56" s="122">
        <v>8214.405795605493</v>
      </c>
      <c r="GZ56" s="122">
        <v>8602.143</v>
      </c>
      <c r="HA56" s="122">
        <v>6426.55</v>
      </c>
      <c r="HB56" s="122">
        <v>6038.27</v>
      </c>
      <c r="HC56" s="122">
        <v>7305.92</v>
      </c>
      <c r="HD56" s="122">
        <v>7521.363</v>
      </c>
      <c r="HE56" s="122">
        <v>7055.489</v>
      </c>
      <c r="HF56" s="122">
        <v>7239.32</v>
      </c>
      <c r="HG56" s="122">
        <v>8087.975</v>
      </c>
      <c r="HH56" s="122">
        <v>8486.95</v>
      </c>
      <c r="HI56" s="122">
        <v>7803.739</v>
      </c>
      <c r="HJ56" s="122">
        <v>7090.437</v>
      </c>
      <c r="HK56" s="122">
        <v>7561.929</v>
      </c>
      <c r="HL56" s="122">
        <v>8249.961</v>
      </c>
      <c r="HM56" s="98">
        <v>8641.12</v>
      </c>
      <c r="HN56" s="98">
        <v>5389.364</v>
      </c>
      <c r="HO56" s="98">
        <v>7212.1</v>
      </c>
      <c r="HP56" s="122">
        <v>6311.235</v>
      </c>
      <c r="HQ56" s="98">
        <v>4757.478</v>
      </c>
      <c r="HR56" s="122">
        <v>7485.113</v>
      </c>
      <c r="HS56" s="122">
        <v>5189.34</v>
      </c>
      <c r="HT56" s="122">
        <v>6597.544</v>
      </c>
      <c r="HU56" s="122"/>
      <c r="HV56" s="122"/>
      <c r="HW56" s="122"/>
      <c r="HX56" s="122"/>
      <c r="HY56" s="122">
        <f t="shared" si="55"/>
        <v>58161.837</v>
      </c>
      <c r="HZ56" s="122">
        <f t="shared" si="56"/>
        <v>51583.294</v>
      </c>
    </row>
    <row r="57" spans="2:234" ht="15.75">
      <c r="B57" s="105" t="s">
        <v>86</v>
      </c>
      <c r="C57" s="71">
        <v>10616</v>
      </c>
      <c r="D57" s="42">
        <v>6544</v>
      </c>
      <c r="E57" s="72">
        <v>6381</v>
      </c>
      <c r="F57" s="42">
        <v>8838</v>
      </c>
      <c r="G57" s="42">
        <v>11239.7</v>
      </c>
      <c r="H57" s="42">
        <v>20229</v>
      </c>
      <c r="I57" s="43">
        <v>605</v>
      </c>
      <c r="J57" s="43">
        <v>516</v>
      </c>
      <c r="K57" s="15">
        <v>482</v>
      </c>
      <c r="L57" s="15">
        <v>541</v>
      </c>
      <c r="M57" s="15">
        <v>608</v>
      </c>
      <c r="N57" s="15">
        <v>389</v>
      </c>
      <c r="O57" s="15">
        <v>574</v>
      </c>
      <c r="P57" s="15">
        <v>613</v>
      </c>
      <c r="Q57" s="15">
        <v>630</v>
      </c>
      <c r="R57" s="15">
        <v>613</v>
      </c>
      <c r="S57" s="15">
        <v>829</v>
      </c>
      <c r="T57" s="15">
        <v>144</v>
      </c>
      <c r="U57" s="42">
        <v>6544</v>
      </c>
      <c r="V57" s="56">
        <v>359</v>
      </c>
      <c r="W57" s="43">
        <v>655</v>
      </c>
      <c r="X57" s="15">
        <v>683</v>
      </c>
      <c r="Y57" s="15">
        <v>475</v>
      </c>
      <c r="Z57" s="15">
        <v>690</v>
      </c>
      <c r="AA57" s="15">
        <v>580</v>
      </c>
      <c r="AB57" s="15">
        <v>601</v>
      </c>
      <c r="AC57" s="15">
        <v>363</v>
      </c>
      <c r="AD57" s="15">
        <v>492</v>
      </c>
      <c r="AE57" s="15">
        <v>505</v>
      </c>
      <c r="AF57" s="15">
        <v>604</v>
      </c>
      <c r="AG57" s="15">
        <v>374</v>
      </c>
      <c r="AH57" s="71">
        <v>6381</v>
      </c>
      <c r="AI57" s="43">
        <v>436</v>
      </c>
      <c r="AJ57" s="15">
        <v>447</v>
      </c>
      <c r="AK57" s="15">
        <v>1391</v>
      </c>
      <c r="AL57" s="15">
        <v>908</v>
      </c>
      <c r="AM57" s="15">
        <v>497</v>
      </c>
      <c r="AN57" s="15">
        <v>371</v>
      </c>
      <c r="AO57" s="15">
        <v>611</v>
      </c>
      <c r="AP57" s="15">
        <v>1108</v>
      </c>
      <c r="AQ57" s="15">
        <v>951</v>
      </c>
      <c r="AR57" s="15">
        <v>309</v>
      </c>
      <c r="AS57" s="15">
        <v>546</v>
      </c>
      <c r="AT57" s="15">
        <v>1263</v>
      </c>
      <c r="AU57" s="71">
        <v>8838</v>
      </c>
      <c r="AV57" s="42">
        <v>543</v>
      </c>
      <c r="AW57" s="4">
        <v>674</v>
      </c>
      <c r="AX57" s="31">
        <v>1391</v>
      </c>
      <c r="AY57" s="4">
        <v>622</v>
      </c>
      <c r="AZ57" s="31">
        <v>713</v>
      </c>
      <c r="BA57" s="4">
        <v>838</v>
      </c>
      <c r="BB57" s="4">
        <v>839.3</v>
      </c>
      <c r="BC57" s="4">
        <v>722.1</v>
      </c>
      <c r="BD57" s="4">
        <v>1120.1</v>
      </c>
      <c r="BE57" s="4">
        <v>914.2</v>
      </c>
      <c r="BF57" s="4">
        <v>1735</v>
      </c>
      <c r="BG57" s="12">
        <v>1128</v>
      </c>
      <c r="BH57" s="71">
        <v>11239.7</v>
      </c>
      <c r="BI57" s="36">
        <v>875</v>
      </c>
      <c r="BJ57" s="15">
        <v>941.4</v>
      </c>
      <c r="BK57" s="15">
        <v>1560.8</v>
      </c>
      <c r="BL57" s="15">
        <v>1316</v>
      </c>
      <c r="BM57" s="15">
        <v>1301.8</v>
      </c>
      <c r="BN57" s="15">
        <v>1334.1</v>
      </c>
      <c r="BO57" s="15">
        <v>1201.1</v>
      </c>
      <c r="BP57" s="15">
        <v>7010.6</v>
      </c>
      <c r="BQ57" s="15">
        <v>1608.7</v>
      </c>
      <c r="BR57" s="15">
        <v>1090.1</v>
      </c>
      <c r="BS57" s="15">
        <v>902.9000000000033</v>
      </c>
      <c r="BT57" s="15">
        <v>1086.5</v>
      </c>
      <c r="BU57" s="73">
        <v>20229</v>
      </c>
      <c r="BV57" s="72">
        <v>1816.4</v>
      </c>
      <c r="BW57" s="42">
        <v>3377.2</v>
      </c>
      <c r="BX57" s="72">
        <v>4693.2</v>
      </c>
      <c r="BY57" s="71">
        <v>5995</v>
      </c>
      <c r="BZ57" s="71">
        <v>7329.1</v>
      </c>
      <c r="CA57" s="71">
        <v>8530.2</v>
      </c>
      <c r="CB57" s="71">
        <v>15540.8</v>
      </c>
      <c r="CC57" s="71">
        <v>17149.5</v>
      </c>
      <c r="CD57" s="42">
        <v>18239.6</v>
      </c>
      <c r="CE57" s="43">
        <v>19142.5</v>
      </c>
      <c r="CF57" s="43">
        <v>20229</v>
      </c>
      <c r="CG57" s="43">
        <v>10149.1</v>
      </c>
      <c r="CH57" s="119">
        <v>15679.5</v>
      </c>
      <c r="CI57" s="124">
        <v>23107.6</v>
      </c>
      <c r="CJ57" s="71">
        <v>22177.343075067034</v>
      </c>
      <c r="CK57" s="71">
        <v>34329.40699999992</v>
      </c>
      <c r="CL57" s="122">
        <v>23924.390999999992</v>
      </c>
      <c r="CM57" s="122">
        <v>89721.64704200003</v>
      </c>
      <c r="CN57" s="122">
        <v>57040.25500000001</v>
      </c>
      <c r="CO57" s="122">
        <v>4377.820000000036</v>
      </c>
      <c r="CP57" s="122">
        <v>5060.8730000000005</v>
      </c>
      <c r="CQ57" s="122">
        <v>965.5</v>
      </c>
      <c r="CR57" s="122">
        <v>1690.2</v>
      </c>
      <c r="CS57" s="122">
        <v>2633.3</v>
      </c>
      <c r="CT57" s="122">
        <v>3417.7</v>
      </c>
      <c r="CU57" s="122">
        <v>4678.1</v>
      </c>
      <c r="CV57" s="122">
        <v>5673.3</v>
      </c>
      <c r="CW57" s="122">
        <v>6496.4</v>
      </c>
      <c r="CX57" s="122">
        <v>7353.8</v>
      </c>
      <c r="CY57" s="122">
        <v>8020.9</v>
      </c>
      <c r="CZ57" s="122">
        <v>8837.6</v>
      </c>
      <c r="DA57" s="122">
        <v>9599.1</v>
      </c>
      <c r="DB57" s="122">
        <v>10149.1</v>
      </c>
      <c r="DC57" s="122">
        <v>1378.9</v>
      </c>
      <c r="DD57" s="122">
        <v>2192.7</v>
      </c>
      <c r="DE57" s="122">
        <v>2808.2</v>
      </c>
      <c r="DF57" s="122">
        <v>4165.4</v>
      </c>
      <c r="DG57" s="122">
        <v>5688.2</v>
      </c>
      <c r="DH57" s="122">
        <v>6835.4</v>
      </c>
      <c r="DI57" s="122">
        <v>8623.3</v>
      </c>
      <c r="DJ57" s="122">
        <v>10312.2</v>
      </c>
      <c r="DK57" s="122">
        <v>11628.6</v>
      </c>
      <c r="DL57" s="122">
        <v>13147</v>
      </c>
      <c r="DM57" s="122">
        <v>14327.1</v>
      </c>
      <c r="DN57" s="122">
        <v>15679.5</v>
      </c>
      <c r="DO57" s="122">
        <v>3023.8</v>
      </c>
      <c r="DP57" s="122">
        <v>7271.8</v>
      </c>
      <c r="DQ57" s="122">
        <v>7072.7</v>
      </c>
      <c r="DR57" s="122">
        <v>9160</v>
      </c>
      <c r="DS57" s="122">
        <v>10477</v>
      </c>
      <c r="DT57" s="122">
        <f>13550.6-92.2</f>
        <v>13458.4</v>
      </c>
      <c r="DU57" s="122">
        <v>16315.9</v>
      </c>
      <c r="DV57" s="122">
        <v>18553.5</v>
      </c>
      <c r="DW57" s="122">
        <v>21124.5</v>
      </c>
      <c r="DX57" s="122">
        <v>21396.8</v>
      </c>
      <c r="DY57" s="122">
        <v>22917.6</v>
      </c>
      <c r="DZ57" s="122">
        <v>190</v>
      </c>
      <c r="EA57" s="122">
        <f t="shared" si="49"/>
        <v>23107.6</v>
      </c>
      <c r="EB57" s="122">
        <v>1196.0420000000026</v>
      </c>
      <c r="EC57" s="122">
        <v>1903.6000000000001</v>
      </c>
      <c r="ED57" s="122">
        <v>1562.7</v>
      </c>
      <c r="EE57" s="122">
        <v>1836</v>
      </c>
      <c r="EF57" s="122">
        <v>1294.9879999999998</v>
      </c>
      <c r="EG57" s="122">
        <v>1731.868</v>
      </c>
      <c r="EH57" s="122">
        <v>1583.9709999999977</v>
      </c>
      <c r="EI57" s="122">
        <v>1786.357000000005</v>
      </c>
      <c r="EJ57" s="122">
        <v>1232.4660000000001</v>
      </c>
      <c r="EK57" s="122">
        <v>2762.5339999999956</v>
      </c>
      <c r="EL57" s="122">
        <v>2354.550000000009</v>
      </c>
      <c r="EM57" s="122">
        <v>2932.2670750670222</v>
      </c>
      <c r="EN57" s="122">
        <f t="shared" si="50"/>
        <v>22177.343075067034</v>
      </c>
      <c r="EO57" s="122">
        <v>1386.5749999999612</v>
      </c>
      <c r="EP57" s="122">
        <v>1743.7139999999856</v>
      </c>
      <c r="EQ57" s="122">
        <v>2474.606</v>
      </c>
      <c r="ER57" s="122">
        <v>1543.040999999977</v>
      </c>
      <c r="ES57" s="122">
        <v>1757.0729999999999</v>
      </c>
      <c r="ET57" s="122">
        <v>5847.12000000001</v>
      </c>
      <c r="EU57" s="122">
        <v>3260.2689999999757</v>
      </c>
      <c r="EV57" s="122">
        <v>2213.3910000000155</v>
      </c>
      <c r="EW57" s="122">
        <v>3456.397000000003</v>
      </c>
      <c r="EX57" s="122">
        <v>4430.155</v>
      </c>
      <c r="EY57" s="122">
        <v>2475.365999999993</v>
      </c>
      <c r="EZ57" s="122">
        <f>0.2+2668.8+87.6+0.7+12.2+28.8+260.2+683.2</f>
        <v>3741.7</v>
      </c>
      <c r="FA57" s="122">
        <f t="shared" si="51"/>
        <v>34329.40699999992</v>
      </c>
      <c r="FB57" s="122">
        <v>3188.621</v>
      </c>
      <c r="FC57" s="122">
        <v>2236.8109999999997</v>
      </c>
      <c r="FD57" s="122">
        <v>2495.915999999998</v>
      </c>
      <c r="FE57" s="122">
        <v>1779.9039999999968</v>
      </c>
      <c r="FF57" s="122">
        <v>1645.5010000000013</v>
      </c>
      <c r="FG57" s="122">
        <v>2304.292999999999</v>
      </c>
      <c r="FH57" s="122">
        <v>2257.014999999994</v>
      </c>
      <c r="FI57" s="122">
        <f>1889.26200000001+0.2</f>
        <v>1889.46200000001</v>
      </c>
      <c r="FJ57" s="122">
        <v>1786.379</v>
      </c>
      <c r="FK57" s="122">
        <v>1222.9980000000003</v>
      </c>
      <c r="FL57" s="122">
        <v>1938.65</v>
      </c>
      <c r="FM57" s="122">
        <v>1179.2799999999916</v>
      </c>
      <c r="FN57" s="122">
        <f t="shared" si="52"/>
        <v>23924.829999999994</v>
      </c>
      <c r="FO57" s="122">
        <v>2262.3410419999996</v>
      </c>
      <c r="FP57" s="122">
        <v>7440.52099999999</v>
      </c>
      <c r="FQ57" s="122">
        <v>7442.177000000001</v>
      </c>
      <c r="FR57" s="122">
        <v>9786.323000000002</v>
      </c>
      <c r="FS57" s="122">
        <v>7387.81</v>
      </c>
      <c r="FT57" s="122">
        <v>6579.68</v>
      </c>
      <c r="FU57" s="122">
        <v>7830.721</v>
      </c>
      <c r="FV57" s="122">
        <v>8904.835000000001</v>
      </c>
      <c r="FW57" s="122">
        <v>8190.761999999997</v>
      </c>
      <c r="FX57" s="122">
        <v>8940.534000000032</v>
      </c>
      <c r="FY57" s="122">
        <v>9600.343</v>
      </c>
      <c r="FZ57" s="122">
        <v>5355.6</v>
      </c>
      <c r="GA57" s="122">
        <f t="shared" si="53"/>
        <v>89721.64704200003</v>
      </c>
      <c r="GB57" s="122">
        <v>8827.089</v>
      </c>
      <c r="GC57" s="122">
        <v>8486.806</v>
      </c>
      <c r="GD57" s="122">
        <v>6171.299000000001</v>
      </c>
      <c r="GE57" s="122">
        <v>2690.7830000000004</v>
      </c>
      <c r="GF57" s="122">
        <v>1359.7420000000002</v>
      </c>
      <c r="GG57" s="122">
        <v>2546.1859999999997</v>
      </c>
      <c r="GH57" s="122">
        <v>2158.132</v>
      </c>
      <c r="GI57" s="122">
        <v>2474.621</v>
      </c>
      <c r="GJ57" s="122">
        <v>8495.353</v>
      </c>
      <c r="GK57" s="122">
        <v>4042.6659999999997</v>
      </c>
      <c r="GL57" s="122">
        <v>5894.533000000001</v>
      </c>
      <c r="GM57" s="122">
        <v>3893.045</v>
      </c>
      <c r="GN57" s="122">
        <f t="shared" si="54"/>
        <v>57040.25500000001</v>
      </c>
      <c r="GO57" s="122">
        <v>6773.708000000001</v>
      </c>
      <c r="GP57" s="122">
        <v>3769.5480000000002</v>
      </c>
      <c r="GQ57" s="122">
        <v>2277.384</v>
      </c>
      <c r="GR57" s="122">
        <v>1653.8</v>
      </c>
      <c r="GS57" s="122">
        <v>2280.807</v>
      </c>
      <c r="GT57" s="122">
        <v>7155.0509999999995</v>
      </c>
      <c r="GU57" s="122">
        <v>3314.101000000001</v>
      </c>
      <c r="GV57" s="122">
        <v>7741.623000000001</v>
      </c>
      <c r="GW57" s="122">
        <v>11103.445</v>
      </c>
      <c r="GX57" s="122">
        <v>14273.478</v>
      </c>
      <c r="GY57" s="122">
        <v>9136.081999999999</v>
      </c>
      <c r="GZ57" s="122">
        <v>9344.090999999997</v>
      </c>
      <c r="HA57" s="122">
        <v>237.027</v>
      </c>
      <c r="HB57" s="122">
        <v>149.66899999999998</v>
      </c>
      <c r="HC57" s="122">
        <v>153.30900000000003</v>
      </c>
      <c r="HD57" s="122">
        <v>195.02599999999998</v>
      </c>
      <c r="HE57" s="122">
        <v>567.648</v>
      </c>
      <c r="HF57" s="122">
        <v>267.25399999999996</v>
      </c>
      <c r="HG57" s="122">
        <v>132.426</v>
      </c>
      <c r="HH57" s="122">
        <v>624.642</v>
      </c>
      <c r="HI57" s="122">
        <v>653.3779999999999</v>
      </c>
      <c r="HJ57" s="122">
        <v>1394.381</v>
      </c>
      <c r="HK57" s="122">
        <v>304.428</v>
      </c>
      <c r="HL57" s="122">
        <v>381.685</v>
      </c>
      <c r="HM57" s="98">
        <v>1267.2679999999996</v>
      </c>
      <c r="HN57" s="98">
        <v>1174.3799999999999</v>
      </c>
      <c r="HO57" s="98">
        <v>302.68299999999994</v>
      </c>
      <c r="HP57" s="122">
        <v>882.8089999999999</v>
      </c>
      <c r="HQ57" s="98">
        <v>260.98400000000004</v>
      </c>
      <c r="HR57" s="122">
        <v>1137.47</v>
      </c>
      <c r="HS57" s="122">
        <v>1010.8509999999999</v>
      </c>
      <c r="HT57" s="122">
        <v>844.809</v>
      </c>
      <c r="HU57" s="122"/>
      <c r="HV57" s="122"/>
      <c r="HW57" s="122"/>
      <c r="HX57" s="122"/>
      <c r="HY57" s="122">
        <f t="shared" si="55"/>
        <v>2327.001</v>
      </c>
      <c r="HZ57" s="122">
        <f t="shared" si="56"/>
        <v>6881.253999999999</v>
      </c>
    </row>
    <row r="58" spans="2:234" ht="15.75">
      <c r="B58" s="106"/>
      <c r="C58" s="71"/>
      <c r="D58" s="42"/>
      <c r="E58" s="72"/>
      <c r="F58" s="42"/>
      <c r="G58" s="42"/>
      <c r="H58" s="42"/>
      <c r="I58" s="43"/>
      <c r="J58" s="43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42"/>
      <c r="V58" s="56"/>
      <c r="W58" s="43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71"/>
      <c r="AI58" s="43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71"/>
      <c r="AV58" s="56"/>
      <c r="AW58" s="4"/>
      <c r="AX58" s="31"/>
      <c r="AY58" s="4"/>
      <c r="AZ58" s="31"/>
      <c r="BA58" s="4"/>
      <c r="BB58" s="4"/>
      <c r="BC58" s="4"/>
      <c r="BD58" s="4"/>
      <c r="BE58" s="4"/>
      <c r="BF58" s="12"/>
      <c r="BG58" s="12"/>
      <c r="BH58" s="71"/>
      <c r="BI58" s="36"/>
      <c r="BJ58" s="4"/>
      <c r="BK58" s="31"/>
      <c r="BL58" s="4"/>
      <c r="BM58" s="31"/>
      <c r="BN58" s="4"/>
      <c r="BO58" s="4"/>
      <c r="BP58" s="4"/>
      <c r="BQ58" s="4"/>
      <c r="BR58" s="4"/>
      <c r="BS58" s="12"/>
      <c r="BT58" s="12"/>
      <c r="BU58" s="73"/>
      <c r="BV58" s="72"/>
      <c r="BW58" s="42"/>
      <c r="BX58" s="72"/>
      <c r="BY58" s="71"/>
      <c r="BZ58" s="71"/>
      <c r="CA58" s="71"/>
      <c r="CB58" s="71"/>
      <c r="CC58" s="71"/>
      <c r="CD58" s="71"/>
      <c r="CE58" s="43"/>
      <c r="CF58" s="43"/>
      <c r="CG58" s="43"/>
      <c r="CH58" s="72"/>
      <c r="CI58" s="42"/>
      <c r="CJ58" s="124"/>
      <c r="CK58" s="124"/>
      <c r="CL58" s="124"/>
      <c r="CM58" s="125"/>
      <c r="CN58" s="125"/>
      <c r="CO58" s="125"/>
      <c r="CP58" s="125"/>
      <c r="CQ58" s="125"/>
      <c r="CR58" s="124"/>
      <c r="CS58" s="124"/>
      <c r="CT58" s="124"/>
      <c r="CU58" s="124"/>
      <c r="CV58" s="125"/>
      <c r="CW58" s="124"/>
      <c r="CX58" s="124"/>
      <c r="CY58" s="124"/>
      <c r="CZ58" s="124"/>
      <c r="DA58" s="124"/>
      <c r="DB58" s="124"/>
      <c r="DC58" s="124"/>
      <c r="DD58" s="124"/>
      <c r="DE58" s="124"/>
      <c r="DF58" s="125"/>
      <c r="DG58" s="124"/>
      <c r="DH58" s="125"/>
      <c r="DI58" s="124"/>
      <c r="DJ58" s="125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5"/>
      <c r="ED58" s="125"/>
      <c r="EE58" s="125"/>
      <c r="EF58" s="125"/>
      <c r="EG58" s="132"/>
      <c r="EH58" s="132"/>
      <c r="EI58" s="132"/>
      <c r="EJ58" s="124"/>
      <c r="EK58" s="124"/>
      <c r="EL58" s="125"/>
      <c r="EM58" s="125"/>
      <c r="EN58" s="136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3"/>
      <c r="FC58" s="123"/>
      <c r="FD58" s="123"/>
      <c r="FE58" s="123"/>
      <c r="FF58" s="128"/>
      <c r="FG58" s="123"/>
      <c r="FH58" s="123"/>
      <c r="FI58" s="123"/>
      <c r="FJ58" s="123"/>
      <c r="FK58" s="123"/>
      <c r="FL58" s="123"/>
      <c r="FM58" s="123"/>
      <c r="FN58" s="123"/>
      <c r="FO58" s="129"/>
      <c r="FP58" s="126"/>
      <c r="FQ58" s="126"/>
      <c r="FR58" s="126"/>
      <c r="FS58" s="126"/>
      <c r="FT58" s="126"/>
      <c r="FU58" s="126"/>
      <c r="FV58" s="124"/>
      <c r="FW58" s="124"/>
      <c r="FX58" s="124"/>
      <c r="FY58" s="124"/>
      <c r="FZ58" s="124"/>
      <c r="GA58" s="123"/>
      <c r="GB58" s="123"/>
      <c r="GC58" s="123"/>
      <c r="GD58" s="123"/>
      <c r="GE58" s="123"/>
      <c r="GF58" s="123"/>
      <c r="GG58" s="123"/>
      <c r="GH58" s="123"/>
      <c r="GI58" s="123"/>
      <c r="GJ58" s="123"/>
      <c r="GK58" s="123"/>
      <c r="GL58" s="123"/>
      <c r="GM58" s="123"/>
      <c r="GN58" s="123"/>
      <c r="GO58" s="123"/>
      <c r="GP58" s="123"/>
      <c r="GQ58" s="123"/>
      <c r="GR58" s="123"/>
      <c r="GS58" s="123"/>
      <c r="GT58" s="123"/>
      <c r="GU58" s="123"/>
      <c r="GV58" s="123"/>
      <c r="GW58" s="123"/>
      <c r="GX58" s="123"/>
      <c r="GY58" s="123"/>
      <c r="GZ58" s="123"/>
      <c r="HA58" s="123"/>
      <c r="HB58" s="123"/>
      <c r="HC58" s="123"/>
      <c r="HD58" s="123"/>
      <c r="HE58" s="123"/>
      <c r="HF58" s="123"/>
      <c r="HG58" s="123"/>
      <c r="HH58" s="123"/>
      <c r="HI58" s="123"/>
      <c r="HJ58" s="123"/>
      <c r="HK58" s="123"/>
      <c r="HL58" s="123"/>
      <c r="HM58" s="123"/>
      <c r="HN58" s="123"/>
      <c r="HO58" s="123"/>
      <c r="HP58" s="123"/>
      <c r="HQ58" s="142"/>
      <c r="HR58" s="123"/>
      <c r="HS58" s="123"/>
      <c r="HT58" s="123"/>
      <c r="HU58" s="123"/>
      <c r="HV58" s="123"/>
      <c r="HW58" s="123"/>
      <c r="HX58" s="123"/>
      <c r="HY58" s="124"/>
      <c r="HZ58" s="124"/>
    </row>
    <row r="59" spans="2:234" ht="15.75">
      <c r="B59" s="107" t="s">
        <v>87</v>
      </c>
      <c r="C59" s="58">
        <f aca="true" t="shared" si="57" ref="C59:T59">SUM(C61:C70)</f>
        <v>92156</v>
      </c>
      <c r="D59" s="58">
        <f t="shared" si="57"/>
        <v>127431</v>
      </c>
      <c r="E59" s="60">
        <f>SUM(E61:E70)</f>
        <v>180286</v>
      </c>
      <c r="F59" s="60">
        <f>SUM(F61:F70)</f>
        <v>179191</v>
      </c>
      <c r="G59" s="60">
        <f>SUM(G61:G70)</f>
        <v>171564.60000000003</v>
      </c>
      <c r="H59" s="60">
        <f>SUM(H61:H70)</f>
        <v>145930</v>
      </c>
      <c r="I59" s="59">
        <f t="shared" si="57"/>
        <v>10815</v>
      </c>
      <c r="J59" s="58">
        <f t="shared" si="57"/>
        <v>11470</v>
      </c>
      <c r="K59" s="58">
        <f t="shared" si="57"/>
        <v>8794</v>
      </c>
      <c r="L59" s="58">
        <f t="shared" si="57"/>
        <v>9580</v>
      </c>
      <c r="M59" s="58">
        <f t="shared" si="57"/>
        <v>11410</v>
      </c>
      <c r="N59" s="58">
        <f t="shared" si="57"/>
        <v>8334</v>
      </c>
      <c r="O59" s="58">
        <f t="shared" si="57"/>
        <v>11428</v>
      </c>
      <c r="P59" s="58">
        <f t="shared" si="57"/>
        <v>11841</v>
      </c>
      <c r="Q59" s="58">
        <f t="shared" si="57"/>
        <v>7933</v>
      </c>
      <c r="R59" s="58">
        <f t="shared" si="57"/>
        <v>12226</v>
      </c>
      <c r="S59" s="58">
        <f t="shared" si="57"/>
        <v>10589</v>
      </c>
      <c r="T59" s="58">
        <f t="shared" si="57"/>
        <v>13011</v>
      </c>
      <c r="U59" s="58">
        <f aca="true" t="shared" si="58" ref="U59:AG59">SUM(U61:U70)</f>
        <v>127431</v>
      </c>
      <c r="V59" s="58">
        <f t="shared" si="58"/>
        <v>9956</v>
      </c>
      <c r="W59" s="58">
        <f t="shared" si="58"/>
        <v>12123</v>
      </c>
      <c r="X59" s="58">
        <f t="shared" si="58"/>
        <v>17181</v>
      </c>
      <c r="Y59" s="58">
        <f t="shared" si="58"/>
        <v>11657</v>
      </c>
      <c r="Z59" s="58">
        <f t="shared" si="58"/>
        <v>13223</v>
      </c>
      <c r="AA59" s="58">
        <f t="shared" si="58"/>
        <v>13417</v>
      </c>
      <c r="AB59" s="58">
        <f t="shared" si="58"/>
        <v>15105</v>
      </c>
      <c r="AC59" s="58">
        <f t="shared" si="58"/>
        <v>12814</v>
      </c>
      <c r="AD59" s="58">
        <f t="shared" si="58"/>
        <v>24756</v>
      </c>
      <c r="AE59" s="58">
        <f t="shared" si="58"/>
        <v>12978</v>
      </c>
      <c r="AF59" s="58">
        <f t="shared" si="58"/>
        <v>15741</v>
      </c>
      <c r="AG59" s="58">
        <f t="shared" si="58"/>
        <v>21335</v>
      </c>
      <c r="AH59" s="58">
        <f>SUM(V59:AG59)</f>
        <v>180286</v>
      </c>
      <c r="AI59" s="58">
        <f aca="true" t="shared" si="59" ref="AI59:CF59">SUM(AI61:AI70)</f>
        <v>10071</v>
      </c>
      <c r="AJ59" s="58">
        <f t="shared" si="59"/>
        <v>13711</v>
      </c>
      <c r="AK59" s="58">
        <f t="shared" si="59"/>
        <v>18773</v>
      </c>
      <c r="AL59" s="58">
        <f t="shared" si="59"/>
        <v>13661</v>
      </c>
      <c r="AM59" s="58">
        <f t="shared" si="59"/>
        <v>12651</v>
      </c>
      <c r="AN59" s="58">
        <f t="shared" si="59"/>
        <v>18893</v>
      </c>
      <c r="AO59" s="58">
        <f t="shared" si="59"/>
        <v>14926</v>
      </c>
      <c r="AP59" s="58">
        <f t="shared" si="59"/>
        <v>13438</v>
      </c>
      <c r="AQ59" s="58">
        <f t="shared" si="59"/>
        <v>15073</v>
      </c>
      <c r="AR59" s="58">
        <f t="shared" si="59"/>
        <v>15484</v>
      </c>
      <c r="AS59" s="58">
        <f t="shared" si="59"/>
        <v>14974</v>
      </c>
      <c r="AT59" s="58">
        <f t="shared" si="59"/>
        <v>17536</v>
      </c>
      <c r="AU59" s="58">
        <f t="shared" si="59"/>
        <v>179191</v>
      </c>
      <c r="AV59" s="58">
        <f t="shared" si="59"/>
        <v>11577</v>
      </c>
      <c r="AW59" s="58">
        <f t="shared" si="59"/>
        <v>11447</v>
      </c>
      <c r="AX59" s="58">
        <f t="shared" si="59"/>
        <v>18773</v>
      </c>
      <c r="AY59" s="58">
        <f t="shared" si="59"/>
        <v>20660</v>
      </c>
      <c r="AZ59" s="58">
        <f t="shared" si="59"/>
        <v>15225</v>
      </c>
      <c r="BA59" s="58">
        <f t="shared" si="59"/>
        <v>13784</v>
      </c>
      <c r="BB59" s="58">
        <f t="shared" si="59"/>
        <v>10191.1</v>
      </c>
      <c r="BC59" s="58">
        <f t="shared" si="59"/>
        <v>13105.100000000002</v>
      </c>
      <c r="BD59" s="58">
        <f t="shared" si="59"/>
        <v>15909.199999999999</v>
      </c>
      <c r="BE59" s="58">
        <f t="shared" si="59"/>
        <v>13535.2</v>
      </c>
      <c r="BF59" s="58">
        <f t="shared" si="59"/>
        <v>16059</v>
      </c>
      <c r="BG59" s="58">
        <f t="shared" si="59"/>
        <v>11299</v>
      </c>
      <c r="BH59" s="58">
        <f t="shared" si="59"/>
        <v>171564.60000000003</v>
      </c>
      <c r="BI59" s="58">
        <f t="shared" si="59"/>
        <v>11892</v>
      </c>
      <c r="BJ59" s="58">
        <f t="shared" si="59"/>
        <v>10428.3</v>
      </c>
      <c r="BK59" s="58">
        <f t="shared" si="59"/>
        <v>14364.400000000001</v>
      </c>
      <c r="BL59" s="58">
        <f t="shared" si="59"/>
        <v>9511.2</v>
      </c>
      <c r="BM59" s="58">
        <f t="shared" si="59"/>
        <v>10553.099999999999</v>
      </c>
      <c r="BN59" s="58">
        <f t="shared" si="59"/>
        <v>12118.099999999997</v>
      </c>
      <c r="BO59" s="58">
        <f t="shared" si="59"/>
        <v>12311.4</v>
      </c>
      <c r="BP59" s="58">
        <f t="shared" si="59"/>
        <v>13657.199999999995</v>
      </c>
      <c r="BQ59" s="58">
        <f t="shared" si="59"/>
        <v>11587.200000000003</v>
      </c>
      <c r="BR59" s="58">
        <f t="shared" si="59"/>
        <v>13434.800000000003</v>
      </c>
      <c r="BS59" s="58">
        <f t="shared" si="59"/>
        <v>14042.8</v>
      </c>
      <c r="BT59" s="60">
        <f t="shared" si="59"/>
        <v>12029.500000000004</v>
      </c>
      <c r="BU59" s="60">
        <f>SUM(BI59:BT59)</f>
        <v>145929.99999999997</v>
      </c>
      <c r="BV59" s="58">
        <f t="shared" si="59"/>
        <v>22320.3</v>
      </c>
      <c r="BW59" s="58">
        <f t="shared" si="59"/>
        <v>36684.7</v>
      </c>
      <c r="BX59" s="58">
        <f t="shared" si="59"/>
        <v>46195.899999999994</v>
      </c>
      <c r="BY59" s="58">
        <f t="shared" si="59"/>
        <v>56749</v>
      </c>
      <c r="BZ59" s="58">
        <f t="shared" si="59"/>
        <v>68867.1</v>
      </c>
      <c r="CA59" s="58">
        <f t="shared" si="59"/>
        <v>81178.5</v>
      </c>
      <c r="CB59" s="58">
        <f t="shared" si="59"/>
        <v>94835.7</v>
      </c>
      <c r="CC59" s="58">
        <f t="shared" si="59"/>
        <v>106422.90000000001</v>
      </c>
      <c r="CD59" s="58">
        <f t="shared" si="59"/>
        <v>119857.70000000001</v>
      </c>
      <c r="CE59" s="58">
        <f t="shared" si="59"/>
        <v>133900.5</v>
      </c>
      <c r="CF59" s="58">
        <f t="shared" si="59"/>
        <v>145930</v>
      </c>
      <c r="CG59" s="58">
        <v>155480.9</v>
      </c>
      <c r="CH59" s="60">
        <f>SUM(CH61:CH70)</f>
        <v>167997.9</v>
      </c>
      <c r="CI59" s="58">
        <f aca="true" t="shared" si="60" ref="CI59:EW59">SUM(CI61:CI70)</f>
        <v>217011.09999999998</v>
      </c>
      <c r="CJ59" s="141">
        <f t="shared" si="60"/>
        <v>303762.08999999997</v>
      </c>
      <c r="CK59" s="141">
        <f t="shared" si="60"/>
        <v>403857.738</v>
      </c>
      <c r="CL59" s="145">
        <f t="shared" si="60"/>
        <v>420779.1439999999</v>
      </c>
      <c r="CM59" s="145">
        <f t="shared" si="60"/>
        <v>456630.4279580001</v>
      </c>
      <c r="CN59" s="145">
        <f t="shared" si="60"/>
        <v>430429.5036180374</v>
      </c>
      <c r="CO59" s="145">
        <f t="shared" si="60"/>
        <v>316128.941</v>
      </c>
      <c r="CP59" s="145">
        <f t="shared" si="60"/>
        <v>340884.55100000004</v>
      </c>
      <c r="CQ59" s="145">
        <f t="shared" si="60"/>
        <v>14045.6</v>
      </c>
      <c r="CR59" s="145">
        <f t="shared" si="60"/>
        <v>25532.2</v>
      </c>
      <c r="CS59" s="145">
        <f t="shared" si="60"/>
        <v>37149.3</v>
      </c>
      <c r="CT59" s="145">
        <f t="shared" si="60"/>
        <v>47076.600000000006</v>
      </c>
      <c r="CU59" s="145">
        <f t="shared" si="60"/>
        <v>57276.9</v>
      </c>
      <c r="CV59" s="145">
        <f t="shared" si="60"/>
        <v>71527.9</v>
      </c>
      <c r="CW59" s="145">
        <f t="shared" si="60"/>
        <v>84550.79999999999</v>
      </c>
      <c r="CX59" s="145">
        <f t="shared" si="60"/>
        <v>109309.09999999999</v>
      </c>
      <c r="CY59" s="145">
        <f t="shared" si="60"/>
        <v>120156.59999999999</v>
      </c>
      <c r="CZ59" s="145">
        <f t="shared" si="60"/>
        <v>132841.59999999998</v>
      </c>
      <c r="DA59" s="145">
        <f t="shared" si="60"/>
        <v>146750.1</v>
      </c>
      <c r="DB59" s="145">
        <f t="shared" si="60"/>
        <v>155480.9</v>
      </c>
      <c r="DC59" s="145">
        <f t="shared" si="60"/>
        <v>8496.699999999999</v>
      </c>
      <c r="DD59" s="145">
        <f t="shared" si="60"/>
        <v>17320.399999999998</v>
      </c>
      <c r="DE59" s="145">
        <f t="shared" si="60"/>
        <v>30453.7</v>
      </c>
      <c r="DF59" s="145">
        <f t="shared" si="60"/>
        <v>50327.2</v>
      </c>
      <c r="DG59" s="145">
        <f t="shared" si="60"/>
        <v>64770.9</v>
      </c>
      <c r="DH59" s="145">
        <f t="shared" si="60"/>
        <v>77752.40000000001</v>
      </c>
      <c r="DI59" s="145">
        <f t="shared" si="60"/>
        <v>91680.79999999999</v>
      </c>
      <c r="DJ59" s="145">
        <f t="shared" si="60"/>
        <v>106460</v>
      </c>
      <c r="DK59" s="145">
        <f t="shared" si="60"/>
        <v>122359.50000000001</v>
      </c>
      <c r="DL59" s="145">
        <f t="shared" si="60"/>
        <v>138952.2</v>
      </c>
      <c r="DM59" s="145">
        <f t="shared" si="60"/>
        <v>151650.70000000004</v>
      </c>
      <c r="DN59" s="145">
        <f t="shared" si="60"/>
        <v>167997.9</v>
      </c>
      <c r="DO59" s="145">
        <f t="shared" si="60"/>
        <v>15105.800000000001</v>
      </c>
      <c r="DP59" s="145">
        <f t="shared" si="60"/>
        <v>30082.4</v>
      </c>
      <c r="DQ59" s="145">
        <f t="shared" si="60"/>
        <v>50116.999999999985</v>
      </c>
      <c r="DR59" s="145">
        <f t="shared" si="60"/>
        <v>67795.8</v>
      </c>
      <c r="DS59" s="145">
        <f t="shared" si="60"/>
        <v>81773.7</v>
      </c>
      <c r="DT59" s="145">
        <f t="shared" si="60"/>
        <v>102506.20000000001</v>
      </c>
      <c r="DU59" s="145">
        <f t="shared" si="60"/>
        <v>121749.4</v>
      </c>
      <c r="DV59" s="145">
        <f t="shared" si="60"/>
        <v>145787.33000000002</v>
      </c>
      <c r="DW59" s="145">
        <f t="shared" si="60"/>
        <v>165106.40000000002</v>
      </c>
      <c r="DX59" s="145">
        <f t="shared" si="60"/>
        <v>181682.9</v>
      </c>
      <c r="DY59" s="145">
        <f t="shared" si="60"/>
        <v>197251.09999999998</v>
      </c>
      <c r="DZ59" s="145">
        <f t="shared" si="60"/>
        <v>19760</v>
      </c>
      <c r="EA59" s="145">
        <f t="shared" si="60"/>
        <v>217011.09999999998</v>
      </c>
      <c r="EB59" s="145">
        <f t="shared" si="60"/>
        <v>22776</v>
      </c>
      <c r="EC59" s="145">
        <f t="shared" si="60"/>
        <v>19187</v>
      </c>
      <c r="ED59" s="145">
        <f t="shared" si="60"/>
        <v>22607</v>
      </c>
      <c r="EE59" s="145">
        <f t="shared" si="60"/>
        <v>20136</v>
      </c>
      <c r="EF59" s="145">
        <f t="shared" si="60"/>
        <v>16517.106</v>
      </c>
      <c r="EG59" s="145">
        <f t="shared" si="60"/>
        <v>20121.361999999997</v>
      </c>
      <c r="EH59" s="145">
        <f t="shared" si="60"/>
        <v>19593.7</v>
      </c>
      <c r="EI59" s="145">
        <f t="shared" si="60"/>
        <v>31039.1</v>
      </c>
      <c r="EJ59" s="145">
        <f t="shared" si="60"/>
        <v>30711.490999999998</v>
      </c>
      <c r="EK59" s="145">
        <f t="shared" si="60"/>
        <v>29123.860999999997</v>
      </c>
      <c r="EL59" s="145">
        <f t="shared" si="60"/>
        <v>35820.6</v>
      </c>
      <c r="EM59" s="145">
        <f t="shared" si="60"/>
        <v>36128.87</v>
      </c>
      <c r="EN59" s="145">
        <f t="shared" si="60"/>
        <v>303762.08999999997</v>
      </c>
      <c r="EO59" s="145">
        <f t="shared" si="60"/>
        <v>31562.4</v>
      </c>
      <c r="EP59" s="145">
        <f t="shared" si="60"/>
        <v>33584.5</v>
      </c>
      <c r="EQ59" s="145">
        <f t="shared" si="60"/>
        <v>29639.4</v>
      </c>
      <c r="ER59" s="145">
        <f t="shared" si="60"/>
        <v>30350.387000000002</v>
      </c>
      <c r="ES59" s="145">
        <f t="shared" si="60"/>
        <v>22934.299999999996</v>
      </c>
      <c r="ET59" s="145">
        <f t="shared" si="60"/>
        <v>30846.3</v>
      </c>
      <c r="EU59" s="145">
        <f t="shared" si="60"/>
        <v>30088.100000000002</v>
      </c>
      <c r="EV59" s="145">
        <f t="shared" si="60"/>
        <v>41117.270000000004</v>
      </c>
      <c r="EW59" s="145">
        <f t="shared" si="60"/>
        <v>46009.62499999999</v>
      </c>
      <c r="EX59" s="145">
        <f aca="true" t="shared" si="61" ref="EX59:HY59">SUM(EX61:EX70)</f>
        <v>33529.255999999994</v>
      </c>
      <c r="EY59" s="145">
        <f t="shared" si="61"/>
        <v>37494.299999999996</v>
      </c>
      <c r="EZ59" s="145">
        <f t="shared" si="61"/>
        <v>36701.899999999994</v>
      </c>
      <c r="FA59" s="145">
        <f t="shared" si="61"/>
        <v>403857.738</v>
      </c>
      <c r="FB59" s="145">
        <f t="shared" si="61"/>
        <v>27903.634</v>
      </c>
      <c r="FC59" s="145">
        <f t="shared" si="61"/>
        <v>33770.649</v>
      </c>
      <c r="FD59" s="145">
        <f t="shared" si="61"/>
        <v>29637.185999999998</v>
      </c>
      <c r="FE59" s="145">
        <f t="shared" si="61"/>
        <v>36757.5</v>
      </c>
      <c r="FF59" s="145">
        <f t="shared" si="61"/>
        <v>34097.156</v>
      </c>
      <c r="FG59" s="145">
        <f t="shared" si="61"/>
        <v>34854.3</v>
      </c>
      <c r="FH59" s="145">
        <f t="shared" si="61"/>
        <v>32561.939000000002</v>
      </c>
      <c r="FI59" s="145">
        <f t="shared" si="61"/>
        <v>38934.792</v>
      </c>
      <c r="FJ59" s="145">
        <f t="shared" si="61"/>
        <v>32328.521</v>
      </c>
      <c r="FK59" s="145">
        <f t="shared" si="61"/>
        <v>34640.746999999996</v>
      </c>
      <c r="FL59" s="145">
        <f t="shared" si="61"/>
        <v>34301.823</v>
      </c>
      <c r="FM59" s="145">
        <f t="shared" si="61"/>
        <v>50990.897000000004</v>
      </c>
      <c r="FN59" s="145">
        <f t="shared" si="61"/>
        <v>420779.1439999999</v>
      </c>
      <c r="FO59" s="145">
        <f t="shared" si="61"/>
        <v>34904.512958</v>
      </c>
      <c r="FP59" s="145">
        <f t="shared" si="61"/>
        <v>38864.317</v>
      </c>
      <c r="FQ59" s="145">
        <f t="shared" si="61"/>
        <v>25829.845999999998</v>
      </c>
      <c r="FR59" s="145">
        <f t="shared" si="61"/>
        <v>30477.802999999996</v>
      </c>
      <c r="FS59" s="145">
        <f t="shared" si="61"/>
        <v>25923.414</v>
      </c>
      <c r="FT59" s="145">
        <f t="shared" si="61"/>
        <v>31018.8</v>
      </c>
      <c r="FU59" s="145">
        <f t="shared" si="61"/>
        <v>32610.464999999997</v>
      </c>
      <c r="FV59" s="145">
        <f t="shared" si="61"/>
        <v>38548.051999999996</v>
      </c>
      <c r="FW59" s="145">
        <f t="shared" si="61"/>
        <v>39228.58900000001</v>
      </c>
      <c r="FX59" s="145">
        <f t="shared" si="61"/>
        <v>28389.299999999996</v>
      </c>
      <c r="FY59" s="145">
        <f t="shared" si="61"/>
        <v>28927.029</v>
      </c>
      <c r="FZ59" s="145">
        <f t="shared" si="61"/>
        <v>101908.30000000002</v>
      </c>
      <c r="GA59" s="145">
        <f t="shared" si="61"/>
        <v>456630.4279580001</v>
      </c>
      <c r="GB59" s="145">
        <f t="shared" si="61"/>
        <v>48080.43800000001</v>
      </c>
      <c r="GC59" s="145">
        <f t="shared" si="61"/>
        <v>48328.941</v>
      </c>
      <c r="GD59" s="145">
        <f t="shared" si="61"/>
        <v>45638.76500000001</v>
      </c>
      <c r="GE59" s="145">
        <f t="shared" si="61"/>
        <v>22287.612000000005</v>
      </c>
      <c r="GF59" s="145">
        <f t="shared" si="61"/>
        <v>25353.659</v>
      </c>
      <c r="GG59" s="145">
        <f t="shared" si="61"/>
        <v>25542.40561803731</v>
      </c>
      <c r="GH59" s="145">
        <f t="shared" si="61"/>
        <v>33682.524000000005</v>
      </c>
      <c r="GI59" s="145">
        <f t="shared" si="61"/>
        <v>40968.802</v>
      </c>
      <c r="GJ59" s="145">
        <f t="shared" si="61"/>
        <v>38832.519</v>
      </c>
      <c r="GK59" s="145">
        <f t="shared" si="61"/>
        <v>33036.023</v>
      </c>
      <c r="GL59" s="145">
        <f t="shared" si="61"/>
        <v>34651.55300000001</v>
      </c>
      <c r="GM59" s="145">
        <f t="shared" si="61"/>
        <v>34020.761</v>
      </c>
      <c r="GN59" s="145">
        <f t="shared" si="61"/>
        <v>430424.0026180374</v>
      </c>
      <c r="GO59" s="145">
        <f t="shared" si="61"/>
        <v>31124.38</v>
      </c>
      <c r="GP59" s="145">
        <f t="shared" si="61"/>
        <v>25679.222999999998</v>
      </c>
      <c r="GQ59" s="145">
        <f t="shared" si="61"/>
        <v>24293.926</v>
      </c>
      <c r="GR59" s="145">
        <f t="shared" si="61"/>
        <v>27579.983999999997</v>
      </c>
      <c r="GS59" s="145">
        <f t="shared" si="61"/>
        <v>17621.128</v>
      </c>
      <c r="GT59" s="145">
        <f t="shared" si="61"/>
        <v>22883.689</v>
      </c>
      <c r="GU59" s="145">
        <f t="shared" si="61"/>
        <v>24144.777</v>
      </c>
      <c r="GV59" s="145">
        <f t="shared" si="61"/>
        <v>36657.64000000001</v>
      </c>
      <c r="GW59" s="145">
        <f t="shared" si="61"/>
        <v>44481.606</v>
      </c>
      <c r="GX59" s="145">
        <f t="shared" si="61"/>
        <v>27326.007999999998</v>
      </c>
      <c r="GY59" s="145">
        <f t="shared" si="61"/>
        <v>34016.939</v>
      </c>
      <c r="GZ59" s="145">
        <f t="shared" si="61"/>
        <v>33491.361</v>
      </c>
      <c r="HA59" s="145">
        <f t="shared" si="61"/>
        <v>24466.237</v>
      </c>
      <c r="HB59" s="145">
        <f t="shared" si="61"/>
        <v>33680.704</v>
      </c>
      <c r="HC59" s="145">
        <f t="shared" si="61"/>
        <v>34313.216</v>
      </c>
      <c r="HD59" s="145">
        <f t="shared" si="61"/>
        <v>27322.071</v>
      </c>
      <c r="HE59" s="145">
        <f t="shared" si="61"/>
        <v>22819.52</v>
      </c>
      <c r="HF59" s="145">
        <f t="shared" si="61"/>
        <v>29165.181</v>
      </c>
      <c r="HG59" s="145">
        <f t="shared" si="61"/>
        <v>27890.445</v>
      </c>
      <c r="HH59" s="145">
        <f t="shared" si="61"/>
        <v>30266.781</v>
      </c>
      <c r="HI59" s="145">
        <f t="shared" si="61"/>
        <v>30417.164999999997</v>
      </c>
      <c r="HJ59" s="145">
        <f t="shared" si="61"/>
        <v>27933.629</v>
      </c>
      <c r="HK59" s="145">
        <f t="shared" si="61"/>
        <v>26006.509000000002</v>
      </c>
      <c r="HL59" s="145">
        <f t="shared" si="61"/>
        <v>26603.092999999997</v>
      </c>
      <c r="HM59" s="145">
        <f t="shared" si="61"/>
        <v>27967.16</v>
      </c>
      <c r="HN59" s="145">
        <f t="shared" si="61"/>
        <v>23892.341999999997</v>
      </c>
      <c r="HO59" s="145">
        <f t="shared" si="61"/>
        <v>28290.058</v>
      </c>
      <c r="HP59" s="145">
        <f t="shared" si="61"/>
        <v>22763.989999999998</v>
      </c>
      <c r="HQ59" s="143">
        <f t="shared" si="61"/>
        <v>31881.676</v>
      </c>
      <c r="HR59" s="145">
        <f t="shared" si="61"/>
        <v>22623.471</v>
      </c>
      <c r="HS59" s="145">
        <f t="shared" si="61"/>
        <v>27325.146999999997</v>
      </c>
      <c r="HT59" s="145">
        <f t="shared" si="61"/>
        <v>36908.482560000004</v>
      </c>
      <c r="HU59" s="145">
        <f t="shared" si="61"/>
        <v>0</v>
      </c>
      <c r="HV59" s="145">
        <f t="shared" si="61"/>
        <v>0</v>
      </c>
      <c r="HW59" s="145">
        <f t="shared" si="61"/>
        <v>0</v>
      </c>
      <c r="HX59" s="145">
        <f t="shared" si="61"/>
        <v>0</v>
      </c>
      <c r="HY59" s="145">
        <f t="shared" si="61"/>
        <v>229924.15499999997</v>
      </c>
      <c r="HZ59" s="145">
        <f>SUM(HZ61:IV70)</f>
        <v>221652.32656</v>
      </c>
    </row>
    <row r="60" spans="2:234" ht="15.75">
      <c r="B60" s="107"/>
      <c r="C60" s="71"/>
      <c r="D60" s="42"/>
      <c r="E60" s="72"/>
      <c r="F60" s="42"/>
      <c r="G60" s="42"/>
      <c r="H60" s="42"/>
      <c r="I60" s="43"/>
      <c r="J60" s="43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42"/>
      <c r="V60" s="56"/>
      <c r="W60" s="43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71"/>
      <c r="AI60" s="43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71"/>
      <c r="AV60" s="56"/>
      <c r="AW60" s="4"/>
      <c r="AX60" s="31"/>
      <c r="AY60" s="4"/>
      <c r="AZ60" s="31"/>
      <c r="BA60" s="4"/>
      <c r="BB60" s="4"/>
      <c r="BC60" s="4"/>
      <c r="BD60" s="4"/>
      <c r="BE60" s="4"/>
      <c r="BF60" s="12"/>
      <c r="BG60" s="12"/>
      <c r="BH60" s="71"/>
      <c r="BI60" s="36"/>
      <c r="BJ60" s="4"/>
      <c r="BK60" s="31"/>
      <c r="BL60" s="4"/>
      <c r="BM60" s="31"/>
      <c r="BN60" s="4"/>
      <c r="BO60" s="4"/>
      <c r="BP60" s="4"/>
      <c r="BQ60" s="4"/>
      <c r="BR60" s="4"/>
      <c r="BS60" s="12"/>
      <c r="BT60" s="12"/>
      <c r="BU60" s="73"/>
      <c r="BV60" s="72"/>
      <c r="BW60" s="42"/>
      <c r="BX60" s="72"/>
      <c r="BY60" s="71"/>
      <c r="BZ60" s="71"/>
      <c r="CA60" s="71"/>
      <c r="CB60" s="71"/>
      <c r="CC60" s="71"/>
      <c r="CD60" s="71"/>
      <c r="CE60" s="43"/>
      <c r="CF60" s="43"/>
      <c r="CG60" s="43"/>
      <c r="CH60" s="72"/>
      <c r="CI60" s="42"/>
      <c r="CJ60" s="124"/>
      <c r="CK60" s="124"/>
      <c r="CL60" s="124"/>
      <c r="CM60" s="125"/>
      <c r="CN60" s="125"/>
      <c r="CO60" s="125"/>
      <c r="CP60" s="125"/>
      <c r="CQ60" s="125"/>
      <c r="CR60" s="124"/>
      <c r="CS60" s="124"/>
      <c r="CT60" s="124"/>
      <c r="CU60" s="124"/>
      <c r="CV60" s="125"/>
      <c r="CW60" s="124"/>
      <c r="CX60" s="124"/>
      <c r="CY60" s="124"/>
      <c r="CZ60" s="124"/>
      <c r="DA60" s="124"/>
      <c r="DB60" s="124"/>
      <c r="DC60" s="124"/>
      <c r="DD60" s="124"/>
      <c r="DE60" s="124"/>
      <c r="DF60" s="125"/>
      <c r="DG60" s="124"/>
      <c r="DH60" s="125"/>
      <c r="DI60" s="124"/>
      <c r="DJ60" s="125"/>
      <c r="DK60" s="124"/>
      <c r="DL60" s="124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5"/>
      <c r="ED60" s="125"/>
      <c r="EE60" s="125"/>
      <c r="EF60" s="125"/>
      <c r="EG60" s="125"/>
      <c r="EH60" s="125"/>
      <c r="EI60" s="125"/>
      <c r="EJ60" s="124"/>
      <c r="EK60" s="124"/>
      <c r="EL60" s="125"/>
      <c r="EM60" s="125"/>
      <c r="EN60" s="136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3"/>
      <c r="FC60" s="123"/>
      <c r="FD60" s="123"/>
      <c r="FE60" s="123"/>
      <c r="FF60" s="128"/>
      <c r="FG60" s="123"/>
      <c r="FH60" s="123"/>
      <c r="FI60" s="123"/>
      <c r="FJ60" s="123"/>
      <c r="FK60" s="123"/>
      <c r="FL60" s="123"/>
      <c r="FM60" s="123"/>
      <c r="FN60" s="123"/>
      <c r="FO60" s="129"/>
      <c r="FP60" s="126"/>
      <c r="FQ60" s="126"/>
      <c r="FR60" s="126"/>
      <c r="FS60" s="126"/>
      <c r="FT60" s="126"/>
      <c r="FU60" s="126"/>
      <c r="FV60" s="124"/>
      <c r="FW60" s="124"/>
      <c r="FX60" s="124"/>
      <c r="FY60" s="124"/>
      <c r="FZ60" s="124"/>
      <c r="GA60" s="123"/>
      <c r="GB60" s="123"/>
      <c r="GC60" s="123"/>
      <c r="GD60" s="123"/>
      <c r="GE60" s="123"/>
      <c r="GF60" s="123"/>
      <c r="GG60" s="123"/>
      <c r="GH60" s="123"/>
      <c r="GI60" s="123"/>
      <c r="GJ60" s="123"/>
      <c r="GK60" s="123"/>
      <c r="GL60" s="123"/>
      <c r="GM60" s="123"/>
      <c r="GN60" s="123"/>
      <c r="GO60" s="123"/>
      <c r="GP60" s="123"/>
      <c r="GQ60" s="123"/>
      <c r="GR60" s="123"/>
      <c r="GS60" s="123"/>
      <c r="GT60" s="123"/>
      <c r="GU60" s="123"/>
      <c r="GV60" s="123"/>
      <c r="GW60" s="123"/>
      <c r="GX60" s="123"/>
      <c r="GY60" s="123"/>
      <c r="GZ60" s="123"/>
      <c r="HA60" s="123"/>
      <c r="HB60" s="123"/>
      <c r="HC60" s="123"/>
      <c r="HD60" s="123"/>
      <c r="HE60" s="123"/>
      <c r="HF60" s="123"/>
      <c r="HG60" s="123"/>
      <c r="HH60" s="123"/>
      <c r="HI60" s="123"/>
      <c r="HJ60" s="123"/>
      <c r="HK60" s="123"/>
      <c r="HL60" s="123"/>
      <c r="HM60" s="123"/>
      <c r="HN60" s="123"/>
      <c r="HO60" s="123"/>
      <c r="HP60" s="123"/>
      <c r="HQ60" s="98"/>
      <c r="HR60" s="123"/>
      <c r="HS60" s="123"/>
      <c r="HT60" s="123"/>
      <c r="HU60" s="123"/>
      <c r="HV60" s="123"/>
      <c r="HW60" s="123"/>
      <c r="HX60" s="123"/>
      <c r="HY60" s="124"/>
      <c r="HZ60" s="124"/>
    </row>
    <row r="61" spans="2:234" ht="15.75">
      <c r="B61" s="108" t="s">
        <v>88</v>
      </c>
      <c r="C61" s="71">
        <v>4252</v>
      </c>
      <c r="D61" s="42">
        <v>4930</v>
      </c>
      <c r="E61" s="72">
        <v>5744</v>
      </c>
      <c r="F61" s="42">
        <v>3547</v>
      </c>
      <c r="G61" s="42">
        <v>12951.2</v>
      </c>
      <c r="H61" s="42">
        <v>5446</v>
      </c>
      <c r="I61" s="43">
        <v>584</v>
      </c>
      <c r="J61" s="43">
        <v>1056</v>
      </c>
      <c r="K61" s="15">
        <v>169</v>
      </c>
      <c r="L61" s="15">
        <v>354</v>
      </c>
      <c r="M61" s="15">
        <v>574</v>
      </c>
      <c r="N61" s="15">
        <v>635</v>
      </c>
      <c r="O61" s="15">
        <v>379</v>
      </c>
      <c r="P61" s="15">
        <v>306</v>
      </c>
      <c r="Q61" s="15">
        <v>106</v>
      </c>
      <c r="R61" s="15">
        <v>275</v>
      </c>
      <c r="S61" s="15">
        <v>155</v>
      </c>
      <c r="T61" s="15">
        <v>337</v>
      </c>
      <c r="U61" s="42">
        <f>+I61+J61+K61+L61+M61+N61+O61+P61+Q61+R61+S61+T61</f>
        <v>4930</v>
      </c>
      <c r="V61" s="56">
        <v>247</v>
      </c>
      <c r="W61" s="43">
        <v>232</v>
      </c>
      <c r="X61" s="15">
        <v>647</v>
      </c>
      <c r="Y61" s="15">
        <v>297</v>
      </c>
      <c r="Z61" s="15">
        <v>525</v>
      </c>
      <c r="AA61" s="15">
        <v>558</v>
      </c>
      <c r="AB61" s="15">
        <v>711</v>
      </c>
      <c r="AC61" s="15">
        <v>239</v>
      </c>
      <c r="AD61" s="15">
        <v>734</v>
      </c>
      <c r="AE61" s="15">
        <v>662</v>
      </c>
      <c r="AF61" s="15">
        <v>425</v>
      </c>
      <c r="AG61" s="15">
        <v>467</v>
      </c>
      <c r="AH61" s="71">
        <f>SUM(V61:AG61)</f>
        <v>5744</v>
      </c>
      <c r="AI61" s="43">
        <v>171</v>
      </c>
      <c r="AJ61" s="15">
        <v>418</v>
      </c>
      <c r="AK61" s="15">
        <v>334</v>
      </c>
      <c r="AL61" s="15">
        <v>65</v>
      </c>
      <c r="AM61" s="15">
        <v>471</v>
      </c>
      <c r="AN61" s="15">
        <v>156</v>
      </c>
      <c r="AO61" s="15">
        <v>282</v>
      </c>
      <c r="AP61" s="15">
        <v>289</v>
      </c>
      <c r="AQ61" s="15">
        <v>191</v>
      </c>
      <c r="AR61" s="15">
        <v>328</v>
      </c>
      <c r="AS61" s="15">
        <v>240</v>
      </c>
      <c r="AT61" s="15">
        <v>602</v>
      </c>
      <c r="AU61" s="71">
        <f aca="true" t="shared" si="62" ref="AU61:AU69">AI61+AJ61+AK61+AL61+AM61+AN61+AO61+AP61+AQ61+AR61+AS61+AT61</f>
        <v>3547</v>
      </c>
      <c r="AV61" s="42">
        <v>630</v>
      </c>
      <c r="AW61" s="15">
        <v>122</v>
      </c>
      <c r="AX61" s="31">
        <v>334</v>
      </c>
      <c r="AY61" s="15">
        <v>557</v>
      </c>
      <c r="AZ61" s="15">
        <v>404</v>
      </c>
      <c r="BA61" s="15">
        <v>395</v>
      </c>
      <c r="BB61" s="4">
        <v>655</v>
      </c>
      <c r="BC61" s="4">
        <v>1522.7</v>
      </c>
      <c r="BD61" s="4">
        <v>2449.5</v>
      </c>
      <c r="BE61" s="4">
        <v>3123.4</v>
      </c>
      <c r="BF61" s="4">
        <v>2514.6</v>
      </c>
      <c r="BG61" s="12">
        <v>244</v>
      </c>
      <c r="BH61" s="71">
        <f aca="true" t="shared" si="63" ref="BH61:BH69">SUM(AV61:BG61)</f>
        <v>12951.2</v>
      </c>
      <c r="BI61" s="36">
        <v>495</v>
      </c>
      <c r="BJ61" s="15">
        <f>BV61-BI61</f>
        <v>438.29999999999995</v>
      </c>
      <c r="BK61" s="15">
        <f aca="true" t="shared" si="64" ref="BK61:BK69">BW61-BJ61-BI61</f>
        <v>883.4000000000001</v>
      </c>
      <c r="BL61" s="15">
        <f aca="true" t="shared" si="65" ref="BL61:BL69">BX61-BK61-BJ61-BI61</f>
        <v>763.8</v>
      </c>
      <c r="BM61" s="15">
        <f aca="true" t="shared" si="66" ref="BM61:BM69">BY61-BL61-BK61-BJ61-BI61</f>
        <v>303.4999999999998</v>
      </c>
      <c r="BN61" s="15">
        <f aca="true" t="shared" si="67" ref="BN61:BN69">BZ61-BM61-BL61-BK61-BJ61-BI61</f>
        <v>308.9000000000003</v>
      </c>
      <c r="BO61" s="15">
        <f aca="true" t="shared" si="68" ref="BO61:BO69">CA61-BN61-BM61-BL61-BK61-BJ61-BI61</f>
        <v>190.09999999999945</v>
      </c>
      <c r="BP61" s="15">
        <f aca="true" t="shared" si="69" ref="BP61:BP69">CB61-BO61-BN61-BM61-BL61-BK61-BJ61-BI61</f>
        <v>462.10000000000014</v>
      </c>
      <c r="BQ61" s="15">
        <f aca="true" t="shared" si="70" ref="BQ61:BQ69">CC61-BP61-BO61-BN61-BM61-BL61-BK61-BJ61-BI61</f>
        <v>237.1999999999996</v>
      </c>
      <c r="BR61" s="15">
        <f aca="true" t="shared" si="71" ref="BR61:BR69">CD61-BQ61-BP61-BO61-BN61-BM61-BL61-BK61-BJ61-BI61</f>
        <v>417.4999999999998</v>
      </c>
      <c r="BS61" s="15">
        <f aca="true" t="shared" si="72" ref="BS61:BS69">CE61-BR61-BQ61-BP61-BO61-BN61-BM61-BL61-BK61-BJ61-BI61</f>
        <v>312.9999999999998</v>
      </c>
      <c r="BT61" s="15">
        <f aca="true" t="shared" si="73" ref="BT61:BT69">CF61-BS61-BR61-BQ61-BP61-BO61-BN61-BM61-BL61-BK61-BJ61-BI61</f>
        <v>633.1999999999996</v>
      </c>
      <c r="BU61" s="73">
        <f aca="true" t="shared" si="74" ref="BU61:BU69">SUM(BI61:BT61)</f>
        <v>5446</v>
      </c>
      <c r="BV61" s="72">
        <v>933.3</v>
      </c>
      <c r="BW61" s="42">
        <v>1816.7</v>
      </c>
      <c r="BX61" s="72">
        <v>2580.5</v>
      </c>
      <c r="BY61" s="71">
        <v>2884</v>
      </c>
      <c r="BZ61" s="71">
        <v>3192.9</v>
      </c>
      <c r="CA61" s="71">
        <v>3383</v>
      </c>
      <c r="CB61" s="71">
        <v>3845.1</v>
      </c>
      <c r="CC61" s="42">
        <v>4082.3</v>
      </c>
      <c r="CD61" s="42">
        <v>4499.8</v>
      </c>
      <c r="CE61" s="43">
        <v>4812.8</v>
      </c>
      <c r="CF61" s="43">
        <v>5446</v>
      </c>
      <c r="CG61" s="43">
        <v>6120.2</v>
      </c>
      <c r="CH61" s="119">
        <v>4107.4</v>
      </c>
      <c r="CI61" s="124">
        <v>3266.3</v>
      </c>
      <c r="CJ61" s="71">
        <v>5244.026</v>
      </c>
      <c r="CK61" s="71">
        <v>12566.423999999999</v>
      </c>
      <c r="CL61" s="122">
        <v>18794.195000000003</v>
      </c>
      <c r="CM61" s="122">
        <v>15092.476000000002</v>
      </c>
      <c r="CN61" s="122">
        <v>20089.371000000003</v>
      </c>
      <c r="CO61" s="122">
        <v>17580.47</v>
      </c>
      <c r="CP61" s="122">
        <v>15292.819000000001</v>
      </c>
      <c r="CQ61" s="122">
        <v>93.5</v>
      </c>
      <c r="CR61" s="122">
        <v>540.4</v>
      </c>
      <c r="CS61" s="122">
        <v>836.3</v>
      </c>
      <c r="CT61" s="122">
        <v>1186.2</v>
      </c>
      <c r="CU61" s="122">
        <v>2309.2</v>
      </c>
      <c r="CV61" s="122">
        <v>3014.1</v>
      </c>
      <c r="CW61" s="122">
        <v>3105.1</v>
      </c>
      <c r="CX61" s="122">
        <v>4706</v>
      </c>
      <c r="CY61" s="122">
        <v>5024</v>
      </c>
      <c r="CZ61" s="122">
        <v>5542.4</v>
      </c>
      <c r="DA61" s="122">
        <v>5902.9</v>
      </c>
      <c r="DB61" s="122">
        <v>6120.2</v>
      </c>
      <c r="DC61" s="122">
        <v>344.8</v>
      </c>
      <c r="DD61" s="122">
        <v>1289.7</v>
      </c>
      <c r="DE61" s="122">
        <v>1739.5</v>
      </c>
      <c r="DF61" s="122">
        <v>1931.8</v>
      </c>
      <c r="DG61" s="122">
        <v>2023</v>
      </c>
      <c r="DH61" s="122">
        <v>2666.8</v>
      </c>
      <c r="DI61" s="122">
        <v>3009.2</v>
      </c>
      <c r="DJ61" s="122">
        <v>3118.5</v>
      </c>
      <c r="DK61" s="122">
        <v>3269.2</v>
      </c>
      <c r="DL61" s="122">
        <v>3754.7</v>
      </c>
      <c r="DM61" s="122">
        <v>4019.2</v>
      </c>
      <c r="DN61" s="122">
        <v>4107.4</v>
      </c>
      <c r="DO61" s="122">
        <v>14</v>
      </c>
      <c r="DP61" s="122">
        <v>262.7</v>
      </c>
      <c r="DQ61" s="122">
        <v>503</v>
      </c>
      <c r="DR61" s="122">
        <v>773.9</v>
      </c>
      <c r="DS61" s="122">
        <v>1604</v>
      </c>
      <c r="DT61" s="122">
        <v>1802.7</v>
      </c>
      <c r="DU61" s="122">
        <v>2086</v>
      </c>
      <c r="DV61" s="122">
        <v>2205.7</v>
      </c>
      <c r="DW61" s="122">
        <v>2483.5</v>
      </c>
      <c r="DX61" s="122">
        <v>2569.3</v>
      </c>
      <c r="DY61" s="122">
        <v>2948.3</v>
      </c>
      <c r="DZ61" s="122">
        <v>318</v>
      </c>
      <c r="EA61" s="122">
        <f>DY61+DZ61</f>
        <v>3266.3</v>
      </c>
      <c r="EB61" s="122">
        <v>1112</v>
      </c>
      <c r="EC61" s="122">
        <v>235</v>
      </c>
      <c r="ED61" s="122">
        <v>272</v>
      </c>
      <c r="EE61" s="122">
        <v>146</v>
      </c>
      <c r="EF61" s="122">
        <f>'[1]Feuil2'!$D$4</f>
        <v>285.699</v>
      </c>
      <c r="EG61" s="122">
        <f>'[2]Feuil3'!$E$4</f>
        <v>295.889</v>
      </c>
      <c r="EH61" s="122">
        <v>320</v>
      </c>
      <c r="EI61" s="122">
        <v>191</v>
      </c>
      <c r="EJ61" s="122">
        <v>44.644</v>
      </c>
      <c r="EK61" s="122">
        <v>418.794</v>
      </c>
      <c r="EL61" s="122">
        <v>1759</v>
      </c>
      <c r="EM61" s="122">
        <v>164</v>
      </c>
      <c r="EN61" s="122">
        <f aca="true" t="shared" si="75" ref="EN61:EN70">SUM(EB61:EM61)</f>
        <v>5244.026</v>
      </c>
      <c r="EO61" s="122">
        <v>253</v>
      </c>
      <c r="EP61" s="122">
        <v>507</v>
      </c>
      <c r="EQ61" s="122">
        <v>651</v>
      </c>
      <c r="ER61" s="122">
        <f>'[3]avril pays'!$C$2</f>
        <v>632.335</v>
      </c>
      <c r="ES61" s="122">
        <v>1840.1</v>
      </c>
      <c r="ET61" s="122">
        <v>1081.6</v>
      </c>
      <c r="EU61" s="122">
        <v>858.9</v>
      </c>
      <c r="EV61" s="122">
        <v>152.58</v>
      </c>
      <c r="EW61" s="122">
        <v>1485.118</v>
      </c>
      <c r="EX61" s="122">
        <v>1855.491</v>
      </c>
      <c r="EY61" s="122">
        <v>1341.9</v>
      </c>
      <c r="EZ61" s="122">
        <v>1907.4</v>
      </c>
      <c r="FA61" s="122">
        <f aca="true" t="shared" si="76" ref="FA61:FA70">SUM(EO61:EZ61)</f>
        <v>12566.423999999999</v>
      </c>
      <c r="FB61" s="122">
        <v>1310.232</v>
      </c>
      <c r="FC61" s="122">
        <v>162.414</v>
      </c>
      <c r="FD61" s="122">
        <f>'[4]IV5-IV6'!$D$4</f>
        <v>650.797</v>
      </c>
      <c r="FE61" s="122">
        <v>1658.28</v>
      </c>
      <c r="FF61" s="122">
        <v>1272.776</v>
      </c>
      <c r="FG61" s="122">
        <v>1980.2</v>
      </c>
      <c r="FH61" s="122">
        <v>1500.317</v>
      </c>
      <c r="FI61" s="122">
        <v>1741.236</v>
      </c>
      <c r="FJ61" s="122">
        <v>2361.6</v>
      </c>
      <c r="FK61" s="122">
        <v>2588.475</v>
      </c>
      <c r="FL61" s="122">
        <v>1939.132</v>
      </c>
      <c r="FM61" s="122">
        <v>1628.736</v>
      </c>
      <c r="FN61" s="122">
        <f aca="true" t="shared" si="77" ref="FN61:FN70">SUM(FB61:FM61)</f>
        <v>18794.195000000003</v>
      </c>
      <c r="FO61" s="122">
        <v>3291.299</v>
      </c>
      <c r="FP61" s="122">
        <v>1130.402</v>
      </c>
      <c r="FQ61" s="122">
        <v>2273.272</v>
      </c>
      <c r="FR61" s="122">
        <f>'[5]IV5-IV6'!$C$3</f>
        <v>1027.707</v>
      </c>
      <c r="FS61" s="122">
        <f>'[6]IV5_IV6_Mai'!$D$19</f>
        <v>884.52</v>
      </c>
      <c r="FT61" s="122">
        <v>75.5</v>
      </c>
      <c r="FU61" s="122">
        <v>1421.597</v>
      </c>
      <c r="FV61" s="122">
        <v>455.029</v>
      </c>
      <c r="FW61" s="122">
        <v>1379.521</v>
      </c>
      <c r="FX61" s="122">
        <v>1039.1</v>
      </c>
      <c r="FY61" s="122">
        <v>934.829</v>
      </c>
      <c r="FZ61" s="122">
        <v>1179.7</v>
      </c>
      <c r="GA61" s="122">
        <f aca="true" t="shared" si="78" ref="GA61:GA70">FO61+FP61+FQ61+FR61+FS61+FT61+FU61+FV61+FW61+FX61+FY61+FZ61</f>
        <v>15092.476000000002</v>
      </c>
      <c r="GB61" s="122">
        <v>1029.783</v>
      </c>
      <c r="GC61" s="122">
        <v>1185.274</v>
      </c>
      <c r="GD61" s="122">
        <v>1908.488</v>
      </c>
      <c r="GE61" s="122">
        <v>2456.81</v>
      </c>
      <c r="GF61" s="122">
        <v>1687.229</v>
      </c>
      <c r="GG61" s="122">
        <v>1514.386</v>
      </c>
      <c r="GH61" s="122">
        <v>1245.336</v>
      </c>
      <c r="GI61" s="122">
        <v>1346.78</v>
      </c>
      <c r="GJ61" s="122">
        <v>2547.576</v>
      </c>
      <c r="GK61" s="122">
        <v>968.342</v>
      </c>
      <c r="GL61" s="122">
        <v>2428.931</v>
      </c>
      <c r="GM61" s="122">
        <v>1770.436</v>
      </c>
      <c r="GN61" s="122">
        <f aca="true" t="shared" si="79" ref="GN61:GN70">SUM(GB61:GM61)</f>
        <v>20089.371000000003</v>
      </c>
      <c r="GO61" s="122">
        <v>2922.153</v>
      </c>
      <c r="GP61" s="122">
        <v>1990.024</v>
      </c>
      <c r="GQ61" s="122">
        <v>1187.239</v>
      </c>
      <c r="GR61" s="122">
        <v>1540.912</v>
      </c>
      <c r="GS61" s="122">
        <v>745.387</v>
      </c>
      <c r="GT61" s="122">
        <v>2272.463</v>
      </c>
      <c r="GU61" s="122">
        <v>1940.206</v>
      </c>
      <c r="GV61" s="122">
        <v>4295.698</v>
      </c>
      <c r="GW61" s="122">
        <v>3756.897</v>
      </c>
      <c r="GX61" s="122">
        <v>3965.153</v>
      </c>
      <c r="GY61" s="122">
        <v>2909.973</v>
      </c>
      <c r="GZ61" s="122">
        <v>4064.238</v>
      </c>
      <c r="HA61" s="122">
        <v>1226.652</v>
      </c>
      <c r="HB61" s="122">
        <v>1283.304</v>
      </c>
      <c r="HC61" s="122">
        <v>8126.435</v>
      </c>
      <c r="HD61" s="122">
        <v>269.807</v>
      </c>
      <c r="HE61" s="122">
        <v>364.864</v>
      </c>
      <c r="HF61" s="122">
        <v>282.575</v>
      </c>
      <c r="HG61" s="122">
        <v>3562.786</v>
      </c>
      <c r="HH61" s="122">
        <v>45.753</v>
      </c>
      <c r="HI61" s="122">
        <v>21.146</v>
      </c>
      <c r="HJ61" s="122">
        <v>36.598</v>
      </c>
      <c r="HK61" s="122">
        <v>25.828</v>
      </c>
      <c r="HL61" s="122">
        <v>47.071</v>
      </c>
      <c r="HM61" s="98">
        <v>35.223</v>
      </c>
      <c r="HN61" s="98">
        <v>20.562</v>
      </c>
      <c r="HO61" s="98">
        <v>992.975</v>
      </c>
      <c r="HP61" s="122">
        <v>35.835</v>
      </c>
      <c r="HQ61" s="98">
        <v>923.791</v>
      </c>
      <c r="HR61" s="122">
        <v>977.653</v>
      </c>
      <c r="HS61" s="122">
        <v>169.69</v>
      </c>
      <c r="HT61" s="122">
        <v>1507.40156</v>
      </c>
      <c r="HU61" s="122"/>
      <c r="HV61" s="122"/>
      <c r="HW61" s="122"/>
      <c r="HX61" s="122"/>
      <c r="HY61" s="122">
        <f>HA61+HB61+HC61+HD61+HE61+HF61+HG61+HH61</f>
        <v>15162.176000000001</v>
      </c>
      <c r="HZ61" s="122">
        <f>HM61+HN61+HO61+HP61+HQ61+HR61+HS61+HT61</f>
        <v>4663.13056</v>
      </c>
    </row>
    <row r="62" spans="2:234" ht="15.75">
      <c r="B62" s="105" t="s">
        <v>89</v>
      </c>
      <c r="C62" s="71">
        <v>230</v>
      </c>
      <c r="D62" s="71" t="s">
        <v>11</v>
      </c>
      <c r="E62" s="72" t="s">
        <v>11</v>
      </c>
      <c r="F62" s="42" t="s">
        <v>11</v>
      </c>
      <c r="G62" s="42">
        <v>2.5</v>
      </c>
      <c r="H62" s="42">
        <v>18</v>
      </c>
      <c r="I62" s="43" t="s">
        <v>11</v>
      </c>
      <c r="J62" s="43" t="s">
        <v>11</v>
      </c>
      <c r="K62" s="15" t="s">
        <v>11</v>
      </c>
      <c r="L62" s="15" t="s">
        <v>11</v>
      </c>
      <c r="M62" s="15" t="s">
        <v>11</v>
      </c>
      <c r="N62" s="15" t="s">
        <v>11</v>
      </c>
      <c r="O62" s="15" t="s">
        <v>11</v>
      </c>
      <c r="P62" s="15" t="s">
        <v>11</v>
      </c>
      <c r="Q62" s="15" t="s">
        <v>11</v>
      </c>
      <c r="R62" s="15" t="s">
        <v>11</v>
      </c>
      <c r="S62" s="15" t="s">
        <v>11</v>
      </c>
      <c r="T62" s="15" t="s">
        <v>11</v>
      </c>
      <c r="U62" s="71" t="s">
        <v>11</v>
      </c>
      <c r="V62" s="42" t="s">
        <v>11</v>
      </c>
      <c r="W62" s="43" t="s">
        <v>11</v>
      </c>
      <c r="X62" s="15" t="s">
        <v>11</v>
      </c>
      <c r="Y62" s="15" t="s">
        <v>11</v>
      </c>
      <c r="Z62" s="15" t="s">
        <v>11</v>
      </c>
      <c r="AA62" s="15" t="s">
        <v>11</v>
      </c>
      <c r="AB62" s="15" t="s">
        <v>11</v>
      </c>
      <c r="AC62" s="15" t="s">
        <v>11</v>
      </c>
      <c r="AD62" s="15" t="s">
        <v>11</v>
      </c>
      <c r="AE62" s="15" t="s">
        <v>11</v>
      </c>
      <c r="AF62" s="15" t="s">
        <v>11</v>
      </c>
      <c r="AG62" s="15" t="s">
        <v>11</v>
      </c>
      <c r="AH62" s="71" t="s">
        <v>11</v>
      </c>
      <c r="AI62" s="43" t="s">
        <v>11</v>
      </c>
      <c r="AJ62" s="15" t="s">
        <v>11</v>
      </c>
      <c r="AK62" s="15" t="s">
        <v>11</v>
      </c>
      <c r="AL62" s="15" t="s">
        <v>11</v>
      </c>
      <c r="AM62" s="15" t="s">
        <v>11</v>
      </c>
      <c r="AN62" s="15" t="s">
        <v>11</v>
      </c>
      <c r="AO62" s="15" t="s">
        <v>11</v>
      </c>
      <c r="AP62" s="15" t="s">
        <v>11</v>
      </c>
      <c r="AQ62" s="15" t="s">
        <v>11</v>
      </c>
      <c r="AR62" s="15" t="s">
        <v>11</v>
      </c>
      <c r="AS62" s="15" t="s">
        <v>11</v>
      </c>
      <c r="AT62" s="15" t="s">
        <v>11</v>
      </c>
      <c r="AU62" s="71">
        <f t="shared" si="62"/>
        <v>0</v>
      </c>
      <c r="AV62" s="71" t="s">
        <v>11</v>
      </c>
      <c r="AW62" s="79" t="s">
        <v>11</v>
      </c>
      <c r="AX62" s="79" t="s">
        <v>11</v>
      </c>
      <c r="AY62" s="79" t="s">
        <v>11</v>
      </c>
      <c r="AZ62" s="79" t="s">
        <v>11</v>
      </c>
      <c r="BA62" s="79">
        <v>2</v>
      </c>
      <c r="BB62" s="4">
        <v>0</v>
      </c>
      <c r="BC62" s="4">
        <v>0</v>
      </c>
      <c r="BD62" s="4">
        <v>0.5</v>
      </c>
      <c r="BE62" s="4">
        <v>0</v>
      </c>
      <c r="BF62" s="4">
        <v>0</v>
      </c>
      <c r="BG62" s="79" t="s">
        <v>11</v>
      </c>
      <c r="BH62" s="71">
        <f t="shared" si="63"/>
        <v>2.5</v>
      </c>
      <c r="BI62" s="36" t="s">
        <v>11</v>
      </c>
      <c r="BJ62" s="15" t="s">
        <v>11</v>
      </c>
      <c r="BK62" s="15">
        <f t="shared" si="64"/>
        <v>10.5</v>
      </c>
      <c r="BL62" s="15">
        <f t="shared" si="65"/>
        <v>0</v>
      </c>
      <c r="BM62" s="15">
        <f t="shared" si="66"/>
        <v>0.5</v>
      </c>
      <c r="BN62" s="15">
        <f t="shared" si="67"/>
        <v>0</v>
      </c>
      <c r="BO62" s="15">
        <f t="shared" si="68"/>
        <v>7.100000000000001</v>
      </c>
      <c r="BP62" s="15">
        <f t="shared" si="69"/>
        <v>0</v>
      </c>
      <c r="BQ62" s="15">
        <f t="shared" si="70"/>
        <v>0</v>
      </c>
      <c r="BR62" s="15">
        <f t="shared" si="71"/>
        <v>0</v>
      </c>
      <c r="BS62" s="15">
        <f t="shared" si="72"/>
        <v>0</v>
      </c>
      <c r="BT62" s="15">
        <f t="shared" si="73"/>
        <v>-0.10000000000000142</v>
      </c>
      <c r="BU62" s="73">
        <f t="shared" si="74"/>
        <v>18</v>
      </c>
      <c r="BV62" s="73" t="s">
        <v>11</v>
      </c>
      <c r="BW62" s="71">
        <v>10.5</v>
      </c>
      <c r="BX62" s="73">
        <v>10.5</v>
      </c>
      <c r="BY62" s="71">
        <v>11</v>
      </c>
      <c r="BZ62" s="71">
        <v>11</v>
      </c>
      <c r="CA62" s="71">
        <v>18.1</v>
      </c>
      <c r="CB62" s="71">
        <v>18.1</v>
      </c>
      <c r="CC62" s="42">
        <v>18.1</v>
      </c>
      <c r="CD62" s="42">
        <v>18.1</v>
      </c>
      <c r="CE62" s="43">
        <v>18.1</v>
      </c>
      <c r="CF62" s="43">
        <v>18</v>
      </c>
      <c r="CG62" s="43" t="s">
        <v>11</v>
      </c>
      <c r="CH62" s="72" t="s">
        <v>11</v>
      </c>
      <c r="CI62" s="124" t="s">
        <v>11</v>
      </c>
      <c r="CJ62" s="71">
        <v>118.19799999999998</v>
      </c>
      <c r="CK62" s="71">
        <v>14.909</v>
      </c>
      <c r="CL62" s="122">
        <v>72</v>
      </c>
      <c r="CM62" s="122">
        <v>50.4</v>
      </c>
      <c r="CN62" s="122">
        <v>0</v>
      </c>
      <c r="CO62" s="122">
        <v>2.432</v>
      </c>
      <c r="CP62" s="122">
        <v>5.777</v>
      </c>
      <c r="CQ62" s="122" t="s">
        <v>11</v>
      </c>
      <c r="CR62" s="122" t="s">
        <v>11</v>
      </c>
      <c r="CS62" s="122" t="s">
        <v>11</v>
      </c>
      <c r="CT62" s="122" t="s">
        <v>11</v>
      </c>
      <c r="CU62" s="122" t="s">
        <v>11</v>
      </c>
      <c r="CV62" s="122" t="s">
        <v>11</v>
      </c>
      <c r="CW62" s="122" t="s">
        <v>11</v>
      </c>
      <c r="CX62" s="122" t="s">
        <v>11</v>
      </c>
      <c r="CY62" s="122" t="s">
        <v>11</v>
      </c>
      <c r="CZ62" s="122" t="s">
        <v>11</v>
      </c>
      <c r="DA62" s="122" t="s">
        <v>11</v>
      </c>
      <c r="DB62" s="122" t="s">
        <v>11</v>
      </c>
      <c r="DC62" s="122" t="s">
        <v>11</v>
      </c>
      <c r="DD62" s="122" t="s">
        <v>11</v>
      </c>
      <c r="DE62" s="122" t="s">
        <v>11</v>
      </c>
      <c r="DF62" s="122" t="s">
        <v>11</v>
      </c>
      <c r="DG62" s="122" t="s">
        <v>11</v>
      </c>
      <c r="DH62" s="122" t="s">
        <v>11</v>
      </c>
      <c r="DI62" s="122" t="s">
        <v>11</v>
      </c>
      <c r="DJ62" s="122" t="s">
        <v>11</v>
      </c>
      <c r="DK62" s="122" t="s">
        <v>11</v>
      </c>
      <c r="DL62" s="122" t="s">
        <v>11</v>
      </c>
      <c r="DM62" s="122" t="s">
        <v>11</v>
      </c>
      <c r="DN62" s="122" t="s">
        <v>11</v>
      </c>
      <c r="DO62" s="122" t="s">
        <v>11</v>
      </c>
      <c r="DP62" s="122" t="s">
        <v>11</v>
      </c>
      <c r="DQ62" s="122" t="s">
        <v>11</v>
      </c>
      <c r="DR62" s="122" t="s">
        <v>11</v>
      </c>
      <c r="DS62" s="122" t="s">
        <v>11</v>
      </c>
      <c r="DT62" s="122" t="s">
        <v>11</v>
      </c>
      <c r="DU62" s="122" t="s">
        <v>11</v>
      </c>
      <c r="DV62" s="122" t="s">
        <v>11</v>
      </c>
      <c r="DW62" s="122" t="s">
        <v>11</v>
      </c>
      <c r="DX62" s="122" t="s">
        <v>11</v>
      </c>
      <c r="DY62" s="122" t="s">
        <v>11</v>
      </c>
      <c r="DZ62" s="122"/>
      <c r="EA62" s="122" t="s">
        <v>11</v>
      </c>
      <c r="EB62" s="122" t="s">
        <v>11</v>
      </c>
      <c r="EC62" s="122"/>
      <c r="ED62" s="122">
        <v>0</v>
      </c>
      <c r="EE62" s="122" t="s">
        <v>11</v>
      </c>
      <c r="EF62" s="122" t="s">
        <v>11</v>
      </c>
      <c r="EG62" s="122">
        <v>0</v>
      </c>
      <c r="EH62" s="122">
        <v>0</v>
      </c>
      <c r="EI62" s="122">
        <v>0</v>
      </c>
      <c r="EJ62" s="122">
        <v>0.234</v>
      </c>
      <c r="EK62" s="122">
        <v>79.564</v>
      </c>
      <c r="EL62" s="122">
        <v>0</v>
      </c>
      <c r="EM62" s="122">
        <v>38.4</v>
      </c>
      <c r="EN62" s="122">
        <f t="shared" si="75"/>
        <v>118.19799999999998</v>
      </c>
      <c r="EO62" s="122">
        <v>0</v>
      </c>
      <c r="EP62" s="122"/>
      <c r="EQ62" s="122">
        <v>0</v>
      </c>
      <c r="ER62" s="122">
        <v>0</v>
      </c>
      <c r="ES62" s="122"/>
      <c r="ET62" s="122"/>
      <c r="EU62" s="122"/>
      <c r="EV62" s="122">
        <v>0</v>
      </c>
      <c r="EW62" s="122">
        <v>0</v>
      </c>
      <c r="EX62" s="122">
        <v>14.909</v>
      </c>
      <c r="EY62" s="122"/>
      <c r="EZ62" s="122"/>
      <c r="FA62" s="122">
        <f t="shared" si="76"/>
        <v>14.909</v>
      </c>
      <c r="FB62" s="122">
        <v>3</v>
      </c>
      <c r="FC62" s="122" t="s">
        <v>11</v>
      </c>
      <c r="FD62" s="122">
        <v>0</v>
      </c>
      <c r="FE62" s="122"/>
      <c r="FF62" s="122"/>
      <c r="FG62" s="122"/>
      <c r="FH62" s="122"/>
      <c r="FI62" s="122">
        <v>0</v>
      </c>
      <c r="FJ62" s="122">
        <v>69</v>
      </c>
      <c r="FK62" s="122">
        <v>0</v>
      </c>
      <c r="FL62" s="122">
        <v>0</v>
      </c>
      <c r="FM62" s="122"/>
      <c r="FN62" s="122">
        <f t="shared" si="77"/>
        <v>72</v>
      </c>
      <c r="FO62" s="122" t="s">
        <v>11</v>
      </c>
      <c r="FP62" s="122">
        <v>0</v>
      </c>
      <c r="FQ62" s="122">
        <v>0</v>
      </c>
      <c r="FR62" s="122">
        <v>0</v>
      </c>
      <c r="FS62" s="122">
        <v>0</v>
      </c>
      <c r="FT62" s="122">
        <v>50.4</v>
      </c>
      <c r="FU62" s="122">
        <v>0</v>
      </c>
      <c r="FV62" s="122">
        <v>0</v>
      </c>
      <c r="FW62" s="122"/>
      <c r="FX62" s="122">
        <v>0</v>
      </c>
      <c r="FY62" s="122">
        <v>0</v>
      </c>
      <c r="FZ62" s="122">
        <v>0</v>
      </c>
      <c r="GA62" s="122">
        <f t="shared" si="78"/>
        <v>50.4</v>
      </c>
      <c r="GB62" s="122"/>
      <c r="GC62" s="122">
        <v>0</v>
      </c>
      <c r="GD62" s="122">
        <v>0</v>
      </c>
      <c r="GE62" s="122">
        <v>0</v>
      </c>
      <c r="GF62" s="122">
        <v>0</v>
      </c>
      <c r="GG62" s="122">
        <v>0</v>
      </c>
      <c r="GH62" s="122">
        <v>0</v>
      </c>
      <c r="GI62" s="122">
        <v>0</v>
      </c>
      <c r="GJ62" s="122"/>
      <c r="GK62" s="122"/>
      <c r="GL62" s="122"/>
      <c r="GM62" s="122"/>
      <c r="GN62" s="122">
        <f t="shared" si="79"/>
        <v>0</v>
      </c>
      <c r="GO62" s="122"/>
      <c r="GP62" s="122">
        <v>0</v>
      </c>
      <c r="GQ62" s="122"/>
      <c r="GR62" s="122">
        <v>0</v>
      </c>
      <c r="GS62" s="122"/>
      <c r="GT62" s="122">
        <v>2.4</v>
      </c>
      <c r="GU62" s="122"/>
      <c r="GV62" s="122"/>
      <c r="GW62" s="122"/>
      <c r="GX62" s="122"/>
      <c r="GY62" s="122">
        <v>0.008</v>
      </c>
      <c r="GZ62" s="122">
        <v>0.024</v>
      </c>
      <c r="HA62" s="122">
        <v>0.117</v>
      </c>
      <c r="HB62" s="122"/>
      <c r="HC62" s="122"/>
      <c r="HD62" s="122"/>
      <c r="HE62" s="122"/>
      <c r="HF62" s="122"/>
      <c r="HG62" s="122"/>
      <c r="HH62" s="122"/>
      <c r="HI62" s="122"/>
      <c r="HJ62" s="122">
        <v>5.66</v>
      </c>
      <c r="HK62" s="122"/>
      <c r="HL62" s="122"/>
      <c r="HM62" s="98"/>
      <c r="HN62" s="98"/>
      <c r="HO62" s="98"/>
      <c r="HP62" s="122">
        <v>12</v>
      </c>
      <c r="HQ62" s="98"/>
      <c r="HR62" s="122">
        <v>0</v>
      </c>
      <c r="HS62" s="122"/>
      <c r="HT62" s="122"/>
      <c r="HU62" s="122"/>
      <c r="HV62" s="122"/>
      <c r="HW62" s="122"/>
      <c r="HX62" s="122"/>
      <c r="HY62" s="147">
        <f aca="true" t="shared" si="80" ref="HY62:HY70">HA62+HB62+HC62+HD62+HE62+HF62+HG62+HH62</f>
        <v>0.117</v>
      </c>
      <c r="HZ62" s="122">
        <f aca="true" t="shared" si="81" ref="HZ62:HZ70">HM62+HN62+HO62+HP62+HQ62+HR62+HS62+HT62</f>
        <v>12</v>
      </c>
    </row>
    <row r="63" spans="2:234" ht="15.75">
      <c r="B63" s="105" t="s">
        <v>90</v>
      </c>
      <c r="C63" s="71">
        <v>10095</v>
      </c>
      <c r="D63" s="42">
        <v>27424</v>
      </c>
      <c r="E63" s="72">
        <v>38273</v>
      </c>
      <c r="F63" s="42">
        <v>39990</v>
      </c>
      <c r="G63" s="42">
        <v>37030.4</v>
      </c>
      <c r="H63" s="42">
        <v>26033</v>
      </c>
      <c r="I63" s="43">
        <v>1716</v>
      </c>
      <c r="J63" s="43">
        <v>2176</v>
      </c>
      <c r="K63" s="15">
        <v>1928</v>
      </c>
      <c r="L63" s="15">
        <v>1723</v>
      </c>
      <c r="M63" s="15">
        <v>2239</v>
      </c>
      <c r="N63" s="15">
        <v>2529</v>
      </c>
      <c r="O63" s="15">
        <v>1390</v>
      </c>
      <c r="P63" s="15">
        <v>2175</v>
      </c>
      <c r="Q63" s="15">
        <v>2314</v>
      </c>
      <c r="R63" s="15">
        <v>2938</v>
      </c>
      <c r="S63" s="15">
        <v>3423</v>
      </c>
      <c r="T63" s="15">
        <v>2873</v>
      </c>
      <c r="U63" s="42">
        <f aca="true" t="shared" si="82" ref="U63:U69">+I63+J63+K63+L63+M63+N63+O63+P63+Q63+R63+S63+T63</f>
        <v>27424</v>
      </c>
      <c r="V63" s="56">
        <v>2429</v>
      </c>
      <c r="W63" s="43">
        <v>2757</v>
      </c>
      <c r="X63" s="15">
        <v>5030</v>
      </c>
      <c r="Y63" s="15">
        <v>3502</v>
      </c>
      <c r="Z63" s="15">
        <v>2463</v>
      </c>
      <c r="AA63" s="15">
        <v>2802</v>
      </c>
      <c r="AB63" s="15">
        <v>2701</v>
      </c>
      <c r="AC63" s="15">
        <v>2550</v>
      </c>
      <c r="AD63" s="15">
        <v>3305</v>
      </c>
      <c r="AE63" s="15">
        <v>4104</v>
      </c>
      <c r="AF63" s="15">
        <v>3236</v>
      </c>
      <c r="AG63" s="15">
        <v>3394</v>
      </c>
      <c r="AH63" s="71">
        <f aca="true" t="shared" si="83" ref="AH63:AH69">SUM(V63:AG63)</f>
        <v>38273</v>
      </c>
      <c r="AI63" s="78">
        <v>2446</v>
      </c>
      <c r="AJ63" s="15">
        <v>2031</v>
      </c>
      <c r="AK63" s="15">
        <v>3643</v>
      </c>
      <c r="AL63" s="15">
        <v>3007</v>
      </c>
      <c r="AM63" s="15">
        <v>2171</v>
      </c>
      <c r="AN63" s="15">
        <v>3755</v>
      </c>
      <c r="AO63" s="15">
        <v>4038</v>
      </c>
      <c r="AP63" s="15">
        <v>3386</v>
      </c>
      <c r="AQ63" s="15">
        <v>4236</v>
      </c>
      <c r="AR63" s="15">
        <v>3456</v>
      </c>
      <c r="AS63" s="15">
        <v>3316</v>
      </c>
      <c r="AT63" s="15">
        <v>4505</v>
      </c>
      <c r="AU63" s="71">
        <f t="shared" si="62"/>
        <v>39990</v>
      </c>
      <c r="AV63" s="42">
        <v>3724</v>
      </c>
      <c r="AW63" s="15">
        <v>4404</v>
      </c>
      <c r="AX63" s="31">
        <v>3643</v>
      </c>
      <c r="AY63" s="15">
        <v>3918</v>
      </c>
      <c r="AZ63" s="15">
        <v>3484</v>
      </c>
      <c r="BA63" s="15">
        <v>4080</v>
      </c>
      <c r="BB63" s="4">
        <v>2225.7</v>
      </c>
      <c r="BC63" s="4">
        <v>2866.3</v>
      </c>
      <c r="BD63" s="4">
        <v>2842.8</v>
      </c>
      <c r="BE63" s="4">
        <v>2330.9</v>
      </c>
      <c r="BF63" s="4">
        <v>1874.7</v>
      </c>
      <c r="BG63" s="12">
        <v>1637</v>
      </c>
      <c r="BH63" s="71">
        <f t="shared" si="63"/>
        <v>37030.399999999994</v>
      </c>
      <c r="BI63" s="36">
        <v>2557</v>
      </c>
      <c r="BJ63" s="15">
        <f aca="true" t="shared" si="84" ref="BJ63:BJ69">BV63-BI63</f>
        <v>1752.8999999999996</v>
      </c>
      <c r="BK63" s="15">
        <f t="shared" si="64"/>
        <v>2985.9000000000005</v>
      </c>
      <c r="BL63" s="15">
        <f t="shared" si="65"/>
        <v>2262.9000000000005</v>
      </c>
      <c r="BM63" s="15">
        <f t="shared" si="66"/>
        <v>2066.2999999999984</v>
      </c>
      <c r="BN63" s="15">
        <f t="shared" si="67"/>
        <v>1635.2999999999984</v>
      </c>
      <c r="BO63" s="15">
        <f t="shared" si="68"/>
        <v>1505.6999999999998</v>
      </c>
      <c r="BP63" s="15">
        <f t="shared" si="69"/>
        <v>2719.0999999999976</v>
      </c>
      <c r="BQ63" s="15">
        <f t="shared" si="70"/>
        <v>2539.999999999999</v>
      </c>
      <c r="BR63" s="15">
        <f t="shared" si="71"/>
        <v>2623.300000000002</v>
      </c>
      <c r="BS63" s="15">
        <f t="shared" si="72"/>
        <v>2114.899999999997</v>
      </c>
      <c r="BT63" s="15">
        <f t="shared" si="73"/>
        <v>1269.6999999999998</v>
      </c>
      <c r="BU63" s="73">
        <f t="shared" si="74"/>
        <v>26033</v>
      </c>
      <c r="BV63" s="72">
        <v>4309.9</v>
      </c>
      <c r="BW63" s="42">
        <v>7295.8</v>
      </c>
      <c r="BX63" s="72">
        <v>9558.7</v>
      </c>
      <c r="BY63" s="71">
        <v>11625</v>
      </c>
      <c r="BZ63" s="71">
        <v>13260.3</v>
      </c>
      <c r="CA63" s="71">
        <v>14766</v>
      </c>
      <c r="CB63" s="71">
        <v>17485.1</v>
      </c>
      <c r="CC63" s="42">
        <v>20025.1</v>
      </c>
      <c r="CD63" s="42">
        <v>22648.4</v>
      </c>
      <c r="CE63" s="43">
        <v>24763.3</v>
      </c>
      <c r="CF63" s="43">
        <v>26033</v>
      </c>
      <c r="CG63" s="43">
        <v>25934.7</v>
      </c>
      <c r="CH63" s="119">
        <v>24765.7</v>
      </c>
      <c r="CI63" s="124">
        <v>28711.4</v>
      </c>
      <c r="CJ63" s="71">
        <v>32157.710000000003</v>
      </c>
      <c r="CK63" s="71">
        <v>51610.344</v>
      </c>
      <c r="CL63" s="122">
        <v>65404.405000000006</v>
      </c>
      <c r="CM63" s="122">
        <v>57271.845</v>
      </c>
      <c r="CN63" s="122">
        <v>48252.606</v>
      </c>
      <c r="CO63" s="122">
        <v>46978.528</v>
      </c>
      <c r="CP63" s="122">
        <v>48359.874</v>
      </c>
      <c r="CQ63" s="122">
        <v>2604.7</v>
      </c>
      <c r="CR63" s="122">
        <f>5188.4-0.7</f>
        <v>5187.7</v>
      </c>
      <c r="CS63" s="122">
        <v>7674.9</v>
      </c>
      <c r="CT63" s="122">
        <v>9648.5</v>
      </c>
      <c r="CU63" s="122">
        <v>11006.7</v>
      </c>
      <c r="CV63" s="122">
        <v>12678.9</v>
      </c>
      <c r="CW63" s="122">
        <v>14478</v>
      </c>
      <c r="CX63" s="122">
        <v>16348.1</v>
      </c>
      <c r="CY63" s="122">
        <v>18401.6</v>
      </c>
      <c r="CZ63" s="122">
        <v>20519.5</v>
      </c>
      <c r="DA63" s="122">
        <v>24347</v>
      </c>
      <c r="DB63" s="122">
        <v>25934.7</v>
      </c>
      <c r="DC63" s="122">
        <v>1401</v>
      </c>
      <c r="DD63" s="122">
        <v>2508.8</v>
      </c>
      <c r="DE63" s="122">
        <v>4515.3</v>
      </c>
      <c r="DF63" s="122">
        <v>7321.5</v>
      </c>
      <c r="DG63" s="122">
        <v>9098.2</v>
      </c>
      <c r="DH63" s="122">
        <v>10487.5</v>
      </c>
      <c r="DI63" s="122">
        <v>12953.9</v>
      </c>
      <c r="DJ63" s="122">
        <v>15779.9</v>
      </c>
      <c r="DK63" s="122">
        <v>17939.3</v>
      </c>
      <c r="DL63" s="122">
        <v>19581.4</v>
      </c>
      <c r="DM63" s="122">
        <v>21104.2</v>
      </c>
      <c r="DN63" s="122">
        <v>24765.7</v>
      </c>
      <c r="DO63" s="122">
        <v>2368.3</v>
      </c>
      <c r="DP63" s="122">
        <v>4446.4</v>
      </c>
      <c r="DQ63" s="122">
        <v>7029.9</v>
      </c>
      <c r="DR63" s="122">
        <v>9531.6</v>
      </c>
      <c r="DS63" s="122">
        <v>11746</v>
      </c>
      <c r="DT63" s="122">
        <v>15179.5</v>
      </c>
      <c r="DU63" s="122">
        <v>18084.3</v>
      </c>
      <c r="DV63" s="122">
        <v>20325.8</v>
      </c>
      <c r="DW63" s="122">
        <v>23282.4</v>
      </c>
      <c r="DX63" s="122">
        <v>25547.4</v>
      </c>
      <c r="DY63" s="122">
        <v>27172.4</v>
      </c>
      <c r="DZ63" s="122">
        <v>1539</v>
      </c>
      <c r="EA63" s="122">
        <f aca="true" t="shared" si="85" ref="EA63:EA70">DY63+DZ63</f>
        <v>28711.4</v>
      </c>
      <c r="EB63" s="122">
        <v>1541</v>
      </c>
      <c r="EC63" s="122">
        <v>2345</v>
      </c>
      <c r="ED63" s="122">
        <v>3753</v>
      </c>
      <c r="EE63" s="122">
        <v>3717</v>
      </c>
      <c r="EF63" s="122">
        <f>'[1]Feuil2'!$D$25</f>
        <v>2597.023</v>
      </c>
      <c r="EG63" s="122">
        <f>'[2]Feuil3'!$E$26</f>
        <v>2259.7</v>
      </c>
      <c r="EH63" s="122">
        <v>1875</v>
      </c>
      <c r="EI63" s="122">
        <v>2460</v>
      </c>
      <c r="EJ63" s="122">
        <v>2823.647</v>
      </c>
      <c r="EK63" s="122">
        <v>2505.34</v>
      </c>
      <c r="EL63" s="122">
        <v>3221</v>
      </c>
      <c r="EM63" s="122">
        <v>3060</v>
      </c>
      <c r="EN63" s="122">
        <f t="shared" si="75"/>
        <v>32157.710000000003</v>
      </c>
      <c r="EO63" s="122">
        <v>1981</v>
      </c>
      <c r="EP63" s="122">
        <v>2684</v>
      </c>
      <c r="EQ63" s="122">
        <v>3875</v>
      </c>
      <c r="ER63" s="122">
        <f>'[3]avril pays'!$C$28</f>
        <v>3607.604</v>
      </c>
      <c r="ES63" s="122">
        <v>2390.1</v>
      </c>
      <c r="ET63" s="122">
        <v>3561.3</v>
      </c>
      <c r="EU63" s="122">
        <v>2972.7</v>
      </c>
      <c r="EV63" s="122">
        <v>5755.23</v>
      </c>
      <c r="EW63" s="122">
        <v>4661.564</v>
      </c>
      <c r="EX63" s="122">
        <v>3713.346</v>
      </c>
      <c r="EY63" s="122">
        <v>10839.8</v>
      </c>
      <c r="EZ63" s="122">
        <v>5568.7</v>
      </c>
      <c r="FA63" s="122">
        <f t="shared" si="76"/>
        <v>51610.344</v>
      </c>
      <c r="FB63" s="122">
        <v>5051.929</v>
      </c>
      <c r="FC63" s="122">
        <v>5824.125</v>
      </c>
      <c r="FD63" s="122">
        <f>'[4]IV5-IV6'!$D$32</f>
        <v>3874.669</v>
      </c>
      <c r="FE63" s="122">
        <v>7487.35</v>
      </c>
      <c r="FF63" s="122">
        <v>6273.5</v>
      </c>
      <c r="FG63" s="122">
        <v>6545</v>
      </c>
      <c r="FH63" s="122">
        <v>7888.121</v>
      </c>
      <c r="FI63" s="122">
        <v>7630.521</v>
      </c>
      <c r="FJ63" s="122">
        <v>3719.6</v>
      </c>
      <c r="FK63" s="122">
        <v>4141.436</v>
      </c>
      <c r="FL63" s="122">
        <v>3042.527</v>
      </c>
      <c r="FM63" s="122">
        <v>3925.627</v>
      </c>
      <c r="FN63" s="122">
        <f t="shared" si="77"/>
        <v>65404.405000000006</v>
      </c>
      <c r="FO63" s="122">
        <v>5402.952</v>
      </c>
      <c r="FP63" s="122">
        <v>3109.462</v>
      </c>
      <c r="FQ63" s="122">
        <v>2621.905</v>
      </c>
      <c r="FR63" s="122">
        <f>'[5]IV5-IV6'!$C$11</f>
        <v>2806.202</v>
      </c>
      <c r="FS63" s="122">
        <f>'[6]IV5_IV6_Mai'!$D$10</f>
        <v>3856.938</v>
      </c>
      <c r="FT63" s="122">
        <v>5184.5</v>
      </c>
      <c r="FU63" s="122">
        <v>6936.446</v>
      </c>
      <c r="FV63" s="122">
        <v>8650.977</v>
      </c>
      <c r="FW63" s="122">
        <v>4361.099</v>
      </c>
      <c r="FX63" s="122">
        <v>5574.7</v>
      </c>
      <c r="FY63" s="122">
        <v>3418.564</v>
      </c>
      <c r="FZ63" s="122">
        <v>5348.1</v>
      </c>
      <c r="GA63" s="122">
        <f t="shared" si="78"/>
        <v>57271.845</v>
      </c>
      <c r="GB63" s="122">
        <v>2553.044</v>
      </c>
      <c r="GC63" s="122">
        <v>4074.503</v>
      </c>
      <c r="GD63" s="122">
        <v>3530.719</v>
      </c>
      <c r="GE63" s="122">
        <v>3038.105</v>
      </c>
      <c r="GF63" s="122">
        <v>2851.905</v>
      </c>
      <c r="GG63" s="122">
        <v>3652.944</v>
      </c>
      <c r="GH63" s="122">
        <v>3334.244</v>
      </c>
      <c r="GI63" s="122">
        <v>7971.371</v>
      </c>
      <c r="GJ63" s="122">
        <v>4367.722</v>
      </c>
      <c r="GK63" s="122">
        <v>3904.307</v>
      </c>
      <c r="GL63" s="122">
        <v>3101.158</v>
      </c>
      <c r="GM63" s="122">
        <v>5872.583</v>
      </c>
      <c r="GN63" s="122">
        <f t="shared" si="79"/>
        <v>48252.605</v>
      </c>
      <c r="GO63" s="122">
        <v>2653.567</v>
      </c>
      <c r="GP63" s="122">
        <v>2506.975</v>
      </c>
      <c r="GQ63" s="122">
        <v>3182.117</v>
      </c>
      <c r="GR63" s="122">
        <v>3848.168</v>
      </c>
      <c r="GS63" s="122">
        <v>2591.641</v>
      </c>
      <c r="GT63" s="122">
        <v>2684.941</v>
      </c>
      <c r="GU63" s="122">
        <v>5090.094</v>
      </c>
      <c r="GV63" s="122">
        <v>7690.833</v>
      </c>
      <c r="GW63" s="122">
        <v>10241.873</v>
      </c>
      <c r="GX63" s="122">
        <v>4549.033</v>
      </c>
      <c r="GY63" s="122">
        <v>4511.581</v>
      </c>
      <c r="GZ63" s="122">
        <v>7493.325</v>
      </c>
      <c r="HA63" s="122">
        <v>4002.216</v>
      </c>
      <c r="HB63" s="122">
        <v>4739.892</v>
      </c>
      <c r="HC63" s="122">
        <v>5729.015</v>
      </c>
      <c r="HD63" s="122">
        <v>4062.923</v>
      </c>
      <c r="HE63" s="122">
        <v>3410.875</v>
      </c>
      <c r="HF63" s="122">
        <v>4158.231</v>
      </c>
      <c r="HG63" s="122">
        <v>4266.598</v>
      </c>
      <c r="HH63" s="122">
        <v>5305.893</v>
      </c>
      <c r="HI63" s="122">
        <v>3297.213</v>
      </c>
      <c r="HJ63" s="122">
        <v>2854.783</v>
      </c>
      <c r="HK63" s="122">
        <v>3597.387</v>
      </c>
      <c r="HL63" s="122">
        <v>2934.848</v>
      </c>
      <c r="HM63" s="98">
        <v>2911.703</v>
      </c>
      <c r="HN63" s="98">
        <v>3618.666</v>
      </c>
      <c r="HO63" s="98">
        <v>2419.973</v>
      </c>
      <c r="HP63" s="122">
        <v>2588.582</v>
      </c>
      <c r="HQ63" s="98">
        <v>2553.923</v>
      </c>
      <c r="HR63" s="122">
        <v>2243.574</v>
      </c>
      <c r="HS63" s="122">
        <v>3549.047</v>
      </c>
      <c r="HT63" s="122">
        <v>5726.492</v>
      </c>
      <c r="HU63" s="122"/>
      <c r="HV63" s="122"/>
      <c r="HW63" s="122"/>
      <c r="HX63" s="122"/>
      <c r="HY63" s="122">
        <f t="shared" si="80"/>
        <v>35675.643</v>
      </c>
      <c r="HZ63" s="122">
        <f t="shared" si="81"/>
        <v>25611.96</v>
      </c>
    </row>
    <row r="64" spans="2:234" ht="15.75">
      <c r="B64" s="105" t="s">
        <v>91</v>
      </c>
      <c r="C64" s="71">
        <v>867</v>
      </c>
      <c r="D64" s="42">
        <v>1854</v>
      </c>
      <c r="E64" s="42">
        <v>22828</v>
      </c>
      <c r="F64" s="42">
        <v>26807</v>
      </c>
      <c r="G64" s="42">
        <v>26504.3</v>
      </c>
      <c r="H64" s="42">
        <v>36057</v>
      </c>
      <c r="I64" s="43">
        <v>18</v>
      </c>
      <c r="J64" s="43">
        <v>43</v>
      </c>
      <c r="K64" s="15">
        <v>103</v>
      </c>
      <c r="L64" s="15">
        <v>55</v>
      </c>
      <c r="M64" s="15">
        <v>252</v>
      </c>
      <c r="N64" s="15">
        <v>131</v>
      </c>
      <c r="O64" s="15">
        <v>231</v>
      </c>
      <c r="P64" s="15">
        <v>90</v>
      </c>
      <c r="Q64" s="15">
        <v>345</v>
      </c>
      <c r="R64" s="15">
        <v>219</v>
      </c>
      <c r="S64" s="15">
        <v>153</v>
      </c>
      <c r="T64" s="15">
        <v>214</v>
      </c>
      <c r="U64" s="42">
        <f t="shared" si="82"/>
        <v>1854</v>
      </c>
      <c r="V64" s="56">
        <v>43</v>
      </c>
      <c r="W64" s="15">
        <v>130</v>
      </c>
      <c r="X64" s="15">
        <v>103</v>
      </c>
      <c r="Y64" s="15">
        <v>107</v>
      </c>
      <c r="Z64" s="15">
        <v>26</v>
      </c>
      <c r="AA64" s="15">
        <v>248</v>
      </c>
      <c r="AB64" s="15">
        <v>998</v>
      </c>
      <c r="AC64" s="15">
        <v>254</v>
      </c>
      <c r="AD64" s="15">
        <v>9567</v>
      </c>
      <c r="AE64" s="15">
        <v>398</v>
      </c>
      <c r="AF64" s="15">
        <v>6198</v>
      </c>
      <c r="AG64" s="15">
        <v>4756</v>
      </c>
      <c r="AH64" s="71">
        <f t="shared" si="83"/>
        <v>22828</v>
      </c>
      <c r="AI64" s="43">
        <v>601</v>
      </c>
      <c r="AJ64" s="15">
        <v>2491</v>
      </c>
      <c r="AK64" s="15">
        <v>3442</v>
      </c>
      <c r="AL64" s="15">
        <v>213</v>
      </c>
      <c r="AM64" s="15">
        <v>306</v>
      </c>
      <c r="AN64" s="15">
        <v>5476</v>
      </c>
      <c r="AO64" s="15">
        <v>2233</v>
      </c>
      <c r="AP64" s="15">
        <v>928</v>
      </c>
      <c r="AQ64" s="15">
        <v>1059</v>
      </c>
      <c r="AR64" s="15">
        <v>4427</v>
      </c>
      <c r="AS64" s="15">
        <v>2240</v>
      </c>
      <c r="AT64" s="15">
        <v>3391</v>
      </c>
      <c r="AU64" s="71">
        <f t="shared" si="62"/>
        <v>26807</v>
      </c>
      <c r="AV64" s="42">
        <v>1718</v>
      </c>
      <c r="AW64" s="42">
        <v>1202</v>
      </c>
      <c r="AX64" s="36">
        <v>3442</v>
      </c>
      <c r="AY64" s="42">
        <v>6196</v>
      </c>
      <c r="AZ64" s="42">
        <v>1602</v>
      </c>
      <c r="BA64" s="42">
        <v>1134</v>
      </c>
      <c r="BB64" s="4">
        <v>984.9</v>
      </c>
      <c r="BC64" s="4">
        <v>2095.9</v>
      </c>
      <c r="BD64" s="4">
        <v>1743.3</v>
      </c>
      <c r="BE64" s="4">
        <v>1964.9</v>
      </c>
      <c r="BF64" s="4">
        <v>2302.3</v>
      </c>
      <c r="BG64" s="74">
        <v>2119</v>
      </c>
      <c r="BH64" s="71">
        <f t="shared" si="63"/>
        <v>26504.3</v>
      </c>
      <c r="BI64" s="36">
        <v>1628</v>
      </c>
      <c r="BJ64" s="15">
        <f t="shared" si="84"/>
        <v>1270.1</v>
      </c>
      <c r="BK64" s="15">
        <f t="shared" si="64"/>
        <v>2494.7000000000007</v>
      </c>
      <c r="BL64" s="15">
        <f t="shared" si="65"/>
        <v>1736.3999999999992</v>
      </c>
      <c r="BM64" s="15">
        <f t="shared" si="66"/>
        <v>2593.7999999999993</v>
      </c>
      <c r="BN64" s="15">
        <f t="shared" si="67"/>
        <v>2980.3999999999996</v>
      </c>
      <c r="BO64" s="15">
        <f t="shared" si="68"/>
        <v>3383.300000000001</v>
      </c>
      <c r="BP64" s="15">
        <f t="shared" si="69"/>
        <v>4028.199999999999</v>
      </c>
      <c r="BQ64" s="15">
        <f t="shared" si="70"/>
        <v>2662.600000000002</v>
      </c>
      <c r="BR64" s="15">
        <f t="shared" si="71"/>
        <v>4548.4999999999945</v>
      </c>
      <c r="BS64" s="15">
        <f t="shared" si="72"/>
        <v>3884.500000000002</v>
      </c>
      <c r="BT64" s="15">
        <f t="shared" si="73"/>
        <v>4846.500000000002</v>
      </c>
      <c r="BU64" s="73">
        <f t="shared" si="74"/>
        <v>36057</v>
      </c>
      <c r="BV64" s="42">
        <v>2898.1</v>
      </c>
      <c r="BW64" s="42">
        <v>5392.8</v>
      </c>
      <c r="BX64" s="42">
        <v>7129.2</v>
      </c>
      <c r="BY64" s="71">
        <v>9723</v>
      </c>
      <c r="BZ64" s="71">
        <v>12703.4</v>
      </c>
      <c r="CA64" s="71">
        <v>16086.7</v>
      </c>
      <c r="CB64" s="71">
        <v>20114.9</v>
      </c>
      <c r="CC64" s="42">
        <v>22777.5</v>
      </c>
      <c r="CD64" s="42">
        <v>27326</v>
      </c>
      <c r="CE64" s="43">
        <v>31210.5</v>
      </c>
      <c r="CF64" s="43">
        <v>36057</v>
      </c>
      <c r="CG64" s="43">
        <v>70301.8</v>
      </c>
      <c r="CH64" s="119">
        <v>81155.8</v>
      </c>
      <c r="CI64" s="124">
        <v>85017.4</v>
      </c>
      <c r="CJ64" s="71">
        <v>60096.297999999995</v>
      </c>
      <c r="CK64" s="71">
        <v>66941.093</v>
      </c>
      <c r="CL64" s="122">
        <v>70643.287</v>
      </c>
      <c r="CM64" s="122">
        <v>95236.674</v>
      </c>
      <c r="CN64" s="122">
        <v>46747.33461803731</v>
      </c>
      <c r="CO64" s="122">
        <v>41338.177</v>
      </c>
      <c r="CP64" s="122">
        <v>51544.422000000006</v>
      </c>
      <c r="CQ64" s="122">
        <v>5749.6</v>
      </c>
      <c r="CR64" s="122">
        <v>10431.5</v>
      </c>
      <c r="CS64" s="122">
        <v>15061.2</v>
      </c>
      <c r="CT64" s="122">
        <v>18797.1</v>
      </c>
      <c r="CU64" s="122">
        <v>23809</v>
      </c>
      <c r="CV64" s="122">
        <v>32223.7</v>
      </c>
      <c r="CW64" s="122">
        <v>38124.3</v>
      </c>
      <c r="CX64" s="122">
        <v>50612.1</v>
      </c>
      <c r="CY64" s="122">
        <v>54645</v>
      </c>
      <c r="CZ64" s="122">
        <v>61146.7</v>
      </c>
      <c r="DA64" s="122">
        <v>66551.9</v>
      </c>
      <c r="DB64" s="122">
        <v>70301.8</v>
      </c>
      <c r="DC64" s="122">
        <v>3872.5</v>
      </c>
      <c r="DD64" s="122">
        <v>6687.4</v>
      </c>
      <c r="DE64" s="122">
        <v>13771.1</v>
      </c>
      <c r="DF64" s="122">
        <v>22699.7</v>
      </c>
      <c r="DG64" s="122">
        <v>29160.7</v>
      </c>
      <c r="DH64" s="122">
        <v>37219</v>
      </c>
      <c r="DI64" s="122">
        <v>42582.7</v>
      </c>
      <c r="DJ64" s="122">
        <v>49399</v>
      </c>
      <c r="DK64" s="122">
        <v>57522.1</v>
      </c>
      <c r="DL64" s="122">
        <v>65490.2</v>
      </c>
      <c r="DM64" s="122">
        <v>72830.3</v>
      </c>
      <c r="DN64" s="122">
        <v>81155.8</v>
      </c>
      <c r="DO64" s="122">
        <v>7335.7</v>
      </c>
      <c r="DP64" s="122">
        <v>15674.8</v>
      </c>
      <c r="DQ64" s="122">
        <v>23282.3</v>
      </c>
      <c r="DR64" s="122">
        <v>30973.8</v>
      </c>
      <c r="DS64" s="122">
        <v>36369</v>
      </c>
      <c r="DT64" s="122">
        <v>44520.1</v>
      </c>
      <c r="DU64" s="122">
        <v>49966.9</v>
      </c>
      <c r="DV64" s="122">
        <v>58183.6</v>
      </c>
      <c r="DW64" s="122">
        <v>63815.9</v>
      </c>
      <c r="DX64" s="122">
        <v>70471.4</v>
      </c>
      <c r="DY64" s="122">
        <v>77441.4</v>
      </c>
      <c r="DZ64" s="122">
        <v>7576</v>
      </c>
      <c r="EA64" s="122">
        <f t="shared" si="85"/>
        <v>85017.4</v>
      </c>
      <c r="EB64" s="122">
        <v>4434</v>
      </c>
      <c r="EC64" s="122">
        <v>6246</v>
      </c>
      <c r="ED64" s="122">
        <v>5918</v>
      </c>
      <c r="EE64" s="122">
        <v>4767</v>
      </c>
      <c r="EF64" s="122">
        <f>'[1]Feuil2'!$D$30</f>
        <v>4030.963</v>
      </c>
      <c r="EG64" s="122">
        <f>'[2]Feuil3'!$E$33</f>
        <v>4177.748</v>
      </c>
      <c r="EH64" s="122">
        <v>2883</v>
      </c>
      <c r="EI64" s="122">
        <v>5542</v>
      </c>
      <c r="EJ64" s="122">
        <v>5804.401</v>
      </c>
      <c r="EK64" s="122">
        <v>4617.186</v>
      </c>
      <c r="EL64" s="122">
        <v>6079</v>
      </c>
      <c r="EM64" s="122">
        <v>5597</v>
      </c>
      <c r="EN64" s="122">
        <f t="shared" si="75"/>
        <v>60096.297999999995</v>
      </c>
      <c r="EO64" s="122">
        <v>4507</v>
      </c>
      <c r="EP64" s="122">
        <v>3965</v>
      </c>
      <c r="EQ64" s="122">
        <v>5068</v>
      </c>
      <c r="ER64" s="122">
        <f>'[3]avril pays'!$C$36</f>
        <v>6024.668</v>
      </c>
      <c r="ES64" s="122">
        <v>5115.6</v>
      </c>
      <c r="ET64" s="122">
        <v>4659.1</v>
      </c>
      <c r="EU64" s="122">
        <v>4158.5</v>
      </c>
      <c r="EV64" s="122">
        <v>6320.56</v>
      </c>
      <c r="EW64" s="122">
        <v>6994.103</v>
      </c>
      <c r="EX64" s="122">
        <v>7938.062</v>
      </c>
      <c r="EY64" s="122">
        <v>5732.8</v>
      </c>
      <c r="EZ64" s="122">
        <v>6457.7</v>
      </c>
      <c r="FA64" s="122">
        <f t="shared" si="76"/>
        <v>66941.093</v>
      </c>
      <c r="FB64" s="122">
        <v>2404.598</v>
      </c>
      <c r="FC64" s="122">
        <v>6816.016</v>
      </c>
      <c r="FD64" s="122">
        <f>'[4]IV5-IV6'!$D$40</f>
        <v>5067.703</v>
      </c>
      <c r="FE64" s="122">
        <v>4673.16</v>
      </c>
      <c r="FF64" s="122">
        <v>3800.1</v>
      </c>
      <c r="FG64" s="122">
        <v>3762.7</v>
      </c>
      <c r="FH64" s="122">
        <v>4013.168</v>
      </c>
      <c r="FI64" s="122">
        <v>7126.848</v>
      </c>
      <c r="FJ64" s="122">
        <v>7423.2</v>
      </c>
      <c r="FK64" s="122">
        <v>7726.581</v>
      </c>
      <c r="FL64" s="122">
        <v>9705.006</v>
      </c>
      <c r="FM64" s="122">
        <v>8124.207</v>
      </c>
      <c r="FN64" s="122">
        <f t="shared" si="77"/>
        <v>70643.287</v>
      </c>
      <c r="FO64" s="122">
        <v>6953.452</v>
      </c>
      <c r="FP64" s="122">
        <v>6347.976</v>
      </c>
      <c r="FQ64" s="122">
        <v>5561.849</v>
      </c>
      <c r="FR64" s="122">
        <f>'[5]IV5-IV6'!$C$16</f>
        <v>14356.528</v>
      </c>
      <c r="FS64" s="122">
        <f>'[6]IV5_IV6_Mai'!$D$18</f>
        <v>8004.736</v>
      </c>
      <c r="FT64" s="122">
        <v>6260.7</v>
      </c>
      <c r="FU64" s="122">
        <v>7065.775</v>
      </c>
      <c r="FV64" s="122">
        <v>10612.596</v>
      </c>
      <c r="FW64" s="122">
        <v>10233.371</v>
      </c>
      <c r="FX64" s="122">
        <v>8285.6</v>
      </c>
      <c r="FY64" s="122">
        <v>4116.591</v>
      </c>
      <c r="FZ64" s="122">
        <v>7437.5</v>
      </c>
      <c r="GA64" s="122">
        <f t="shared" si="78"/>
        <v>95236.674</v>
      </c>
      <c r="GB64" s="122">
        <v>4111.823</v>
      </c>
      <c r="GC64" s="122">
        <v>3213.553</v>
      </c>
      <c r="GD64" s="122">
        <v>4449.403</v>
      </c>
      <c r="GE64" s="122">
        <v>4027.145</v>
      </c>
      <c r="GF64" s="122">
        <v>3659.999</v>
      </c>
      <c r="GG64" s="122">
        <v>4066.9846180373147</v>
      </c>
      <c r="GH64" s="122">
        <v>3348.762</v>
      </c>
      <c r="GI64" s="122">
        <v>3986.405</v>
      </c>
      <c r="GJ64" s="122">
        <v>4744.069</v>
      </c>
      <c r="GK64" s="122">
        <v>3929.006</v>
      </c>
      <c r="GL64" s="122">
        <v>3189.501</v>
      </c>
      <c r="GM64" s="122">
        <v>4020.684</v>
      </c>
      <c r="GN64" s="122">
        <f t="shared" si="79"/>
        <v>46747.33461803731</v>
      </c>
      <c r="GO64" s="122">
        <v>3223.456</v>
      </c>
      <c r="GP64" s="122">
        <v>2626.99</v>
      </c>
      <c r="GQ64" s="122">
        <v>3023.711</v>
      </c>
      <c r="GR64" s="122">
        <v>4900.284</v>
      </c>
      <c r="GS64" s="122">
        <v>1417.082</v>
      </c>
      <c r="GT64" s="122">
        <v>1644.942</v>
      </c>
      <c r="GU64" s="122">
        <v>2486.532</v>
      </c>
      <c r="GV64" s="122">
        <v>5108.598</v>
      </c>
      <c r="GW64" s="122">
        <v>5074.993</v>
      </c>
      <c r="GX64" s="122">
        <v>4191.408</v>
      </c>
      <c r="GY64" s="122">
        <v>4189.698</v>
      </c>
      <c r="GZ64" s="122">
        <v>3700.813</v>
      </c>
      <c r="HA64" s="122">
        <v>4405.798</v>
      </c>
      <c r="HB64" s="122">
        <v>9278.47</v>
      </c>
      <c r="HC64" s="122">
        <v>4078.624</v>
      </c>
      <c r="HD64" s="122">
        <v>2807.303</v>
      </c>
      <c r="HE64" s="122">
        <v>3244.506</v>
      </c>
      <c r="HF64" s="122">
        <v>2396.012</v>
      </c>
      <c r="HG64" s="122">
        <v>2487.223</v>
      </c>
      <c r="HH64" s="122">
        <v>4423.691</v>
      </c>
      <c r="HI64" s="122">
        <v>6165.768</v>
      </c>
      <c r="HJ64" s="122">
        <v>5068.372</v>
      </c>
      <c r="HK64" s="122">
        <v>3791.782</v>
      </c>
      <c r="HL64" s="122">
        <v>3396.873</v>
      </c>
      <c r="HM64" s="98">
        <v>3646.542</v>
      </c>
      <c r="HN64" s="98">
        <v>3798.884</v>
      </c>
      <c r="HO64" s="98">
        <v>6091.814</v>
      </c>
      <c r="HP64" s="122">
        <v>2893.726</v>
      </c>
      <c r="HQ64" s="98">
        <v>2504.989</v>
      </c>
      <c r="HR64" s="122">
        <v>3641.061</v>
      </c>
      <c r="HS64" s="122">
        <v>4239.821</v>
      </c>
      <c r="HT64" s="122">
        <v>4212.61</v>
      </c>
      <c r="HU64" s="122"/>
      <c r="HV64" s="122"/>
      <c r="HW64" s="122"/>
      <c r="HX64" s="122"/>
      <c r="HY64" s="122">
        <f t="shared" si="80"/>
        <v>33121.627</v>
      </c>
      <c r="HZ64" s="122">
        <f t="shared" si="81"/>
        <v>31029.447000000004</v>
      </c>
    </row>
    <row r="65" spans="2:234" ht="15.75">
      <c r="B65" s="105" t="s">
        <v>92</v>
      </c>
      <c r="C65" s="71">
        <v>2079</v>
      </c>
      <c r="D65" s="42">
        <v>2606</v>
      </c>
      <c r="E65" s="72">
        <v>5897</v>
      </c>
      <c r="F65" s="42">
        <v>13874</v>
      </c>
      <c r="G65" s="42">
        <v>6705.1</v>
      </c>
      <c r="H65" s="42">
        <v>3691</v>
      </c>
      <c r="I65" s="43">
        <v>907</v>
      </c>
      <c r="J65" s="43">
        <v>4</v>
      </c>
      <c r="K65" s="15" t="s">
        <v>11</v>
      </c>
      <c r="L65" s="15">
        <v>50</v>
      </c>
      <c r="M65" s="15" t="s">
        <v>11</v>
      </c>
      <c r="N65" s="15" t="s">
        <v>11</v>
      </c>
      <c r="O65" s="15" t="s">
        <v>11</v>
      </c>
      <c r="P65" s="15" t="s">
        <v>11</v>
      </c>
      <c r="Q65" s="15">
        <v>1</v>
      </c>
      <c r="R65" s="15">
        <v>100</v>
      </c>
      <c r="S65" s="15">
        <v>164</v>
      </c>
      <c r="T65" s="15">
        <v>1380</v>
      </c>
      <c r="U65" s="42">
        <f t="shared" si="82"/>
        <v>2606</v>
      </c>
      <c r="V65" s="56">
        <v>222</v>
      </c>
      <c r="W65" s="43">
        <v>103</v>
      </c>
      <c r="X65" s="15">
        <v>1100</v>
      </c>
      <c r="Y65" s="15">
        <v>381</v>
      </c>
      <c r="Z65" s="15">
        <v>831</v>
      </c>
      <c r="AA65" s="15">
        <v>1281</v>
      </c>
      <c r="AB65" s="15">
        <v>51</v>
      </c>
      <c r="AC65" s="15">
        <v>192</v>
      </c>
      <c r="AD65" s="15">
        <v>330</v>
      </c>
      <c r="AE65" s="15">
        <v>601</v>
      </c>
      <c r="AF65" s="15">
        <v>146</v>
      </c>
      <c r="AG65" s="15">
        <v>659</v>
      </c>
      <c r="AH65" s="71">
        <f t="shared" si="83"/>
        <v>5897</v>
      </c>
      <c r="AI65" s="43">
        <v>480</v>
      </c>
      <c r="AJ65" s="15">
        <v>1750</v>
      </c>
      <c r="AK65" s="15">
        <v>1920</v>
      </c>
      <c r="AL65" s="15">
        <v>1475</v>
      </c>
      <c r="AM65" s="15">
        <v>1567</v>
      </c>
      <c r="AN65" s="15">
        <v>411</v>
      </c>
      <c r="AO65" s="15">
        <v>975</v>
      </c>
      <c r="AP65" s="15">
        <v>400</v>
      </c>
      <c r="AQ65" s="15">
        <v>600</v>
      </c>
      <c r="AR65" s="15">
        <v>117</v>
      </c>
      <c r="AS65" s="15">
        <v>2181</v>
      </c>
      <c r="AT65" s="15">
        <v>1998</v>
      </c>
      <c r="AU65" s="71">
        <f t="shared" si="62"/>
        <v>13874</v>
      </c>
      <c r="AV65" s="42">
        <v>196</v>
      </c>
      <c r="AW65" s="15">
        <v>123</v>
      </c>
      <c r="AX65" s="31">
        <v>1920</v>
      </c>
      <c r="AY65" s="15">
        <v>702</v>
      </c>
      <c r="AZ65" s="15">
        <v>381</v>
      </c>
      <c r="BA65" s="15">
        <v>730</v>
      </c>
      <c r="BB65" s="4">
        <v>0</v>
      </c>
      <c r="BC65" s="4">
        <v>0.1</v>
      </c>
      <c r="BD65" s="4">
        <v>1000</v>
      </c>
      <c r="BE65" s="4">
        <v>800</v>
      </c>
      <c r="BF65" s="4">
        <v>3</v>
      </c>
      <c r="BG65" s="12">
        <v>850</v>
      </c>
      <c r="BH65" s="71">
        <f t="shared" si="63"/>
        <v>6705.1</v>
      </c>
      <c r="BI65" s="36">
        <v>187</v>
      </c>
      <c r="BJ65" s="15">
        <f t="shared" si="84"/>
        <v>273.2</v>
      </c>
      <c r="BK65" s="15">
        <f t="shared" si="64"/>
        <v>603</v>
      </c>
      <c r="BL65" s="15">
        <f t="shared" si="65"/>
        <v>622.3</v>
      </c>
      <c r="BM65" s="15">
        <f t="shared" si="66"/>
        <v>480.5</v>
      </c>
      <c r="BN65" s="15">
        <f t="shared" si="67"/>
        <v>476.5999999999999</v>
      </c>
      <c r="BO65" s="15">
        <f t="shared" si="68"/>
        <v>56.00000000000006</v>
      </c>
      <c r="BP65" s="15">
        <f t="shared" si="69"/>
        <v>400</v>
      </c>
      <c r="BQ65" s="15">
        <f t="shared" si="70"/>
        <v>0</v>
      </c>
      <c r="BR65" s="15">
        <f t="shared" si="71"/>
        <v>0</v>
      </c>
      <c r="BS65" s="15">
        <f t="shared" si="72"/>
        <v>512.2000000000003</v>
      </c>
      <c r="BT65" s="15">
        <f t="shared" si="73"/>
        <v>80.19999999999987</v>
      </c>
      <c r="BU65" s="73">
        <f t="shared" si="74"/>
        <v>3691</v>
      </c>
      <c r="BV65" s="72">
        <v>460.2</v>
      </c>
      <c r="BW65" s="42">
        <v>1063.2</v>
      </c>
      <c r="BX65" s="72">
        <v>1685.5</v>
      </c>
      <c r="BY65" s="71">
        <v>2166</v>
      </c>
      <c r="BZ65" s="71">
        <v>2642.6</v>
      </c>
      <c r="CA65" s="71">
        <v>2698.6</v>
      </c>
      <c r="CB65" s="71">
        <v>3098.6</v>
      </c>
      <c r="CC65" s="42">
        <v>3098.6</v>
      </c>
      <c r="CD65" s="42">
        <v>3098.6</v>
      </c>
      <c r="CE65" s="43">
        <v>3610.8</v>
      </c>
      <c r="CF65" s="43">
        <v>3691</v>
      </c>
      <c r="CG65" s="43">
        <v>1377.1</v>
      </c>
      <c r="CH65" s="119">
        <v>46.2</v>
      </c>
      <c r="CI65" s="124">
        <v>247.9</v>
      </c>
      <c r="CJ65" s="71">
        <v>348.992</v>
      </c>
      <c r="CK65" s="71">
        <v>5184.279</v>
      </c>
      <c r="CL65" s="122">
        <v>4931.592000000001</v>
      </c>
      <c r="CM65" s="122">
        <v>4088.6099999999997</v>
      </c>
      <c r="CN65" s="122">
        <v>11279.876</v>
      </c>
      <c r="CO65" s="122">
        <v>8914.406</v>
      </c>
      <c r="CP65" s="122">
        <v>5308.841999999999</v>
      </c>
      <c r="CQ65" s="122">
        <v>27.2</v>
      </c>
      <c r="CR65" s="122">
        <v>627.2</v>
      </c>
      <c r="CS65" s="122">
        <v>684.6</v>
      </c>
      <c r="CT65" s="122">
        <v>1238.4</v>
      </c>
      <c r="CU65" s="122">
        <v>1353.8</v>
      </c>
      <c r="CV65" s="122">
        <v>1355.6</v>
      </c>
      <c r="CW65" s="122">
        <v>1357.2</v>
      </c>
      <c r="CX65" s="122">
        <v>1362.5</v>
      </c>
      <c r="CY65" s="122">
        <v>1368.4</v>
      </c>
      <c r="CZ65" s="122">
        <v>1368.9</v>
      </c>
      <c r="DA65" s="122">
        <v>1377.1</v>
      </c>
      <c r="DB65" s="122">
        <v>1377.1</v>
      </c>
      <c r="DC65" s="122">
        <v>4.5</v>
      </c>
      <c r="DD65" s="122">
        <v>4.5</v>
      </c>
      <c r="DE65" s="122">
        <v>28.5</v>
      </c>
      <c r="DF65" s="122">
        <v>30.2</v>
      </c>
      <c r="DG65" s="122">
        <v>32.2</v>
      </c>
      <c r="DH65" s="122">
        <v>34.3</v>
      </c>
      <c r="DI65" s="122">
        <v>38.2</v>
      </c>
      <c r="DJ65" s="122">
        <v>38.4</v>
      </c>
      <c r="DK65" s="122">
        <v>39.7</v>
      </c>
      <c r="DL65" s="122">
        <v>42.9</v>
      </c>
      <c r="DM65" s="122">
        <v>42.9</v>
      </c>
      <c r="DN65" s="122">
        <v>46.2</v>
      </c>
      <c r="DO65" s="122">
        <v>16.6</v>
      </c>
      <c r="DP65" s="122">
        <v>17</v>
      </c>
      <c r="DQ65" s="122">
        <v>61.5</v>
      </c>
      <c r="DR65" s="122">
        <v>61.8</v>
      </c>
      <c r="DS65" s="122">
        <v>71</v>
      </c>
      <c r="DT65" s="122">
        <v>89.8</v>
      </c>
      <c r="DU65" s="122">
        <v>110.4</v>
      </c>
      <c r="DV65" s="122">
        <v>152.3</v>
      </c>
      <c r="DW65" s="122">
        <v>181.9</v>
      </c>
      <c r="DX65" s="122">
        <v>234.9</v>
      </c>
      <c r="DY65" s="122">
        <v>247.9</v>
      </c>
      <c r="DZ65" s="122"/>
      <c r="EA65" s="122">
        <f t="shared" si="85"/>
        <v>247.9</v>
      </c>
      <c r="EB65" s="122">
        <v>1</v>
      </c>
      <c r="EC65" s="122">
        <v>2</v>
      </c>
      <c r="ED65" s="122">
        <v>0</v>
      </c>
      <c r="EE65" s="122">
        <v>12</v>
      </c>
      <c r="EF65" s="122">
        <f>'[1]Feuil2'!$D$12</f>
        <v>42.592</v>
      </c>
      <c r="EG65" s="122">
        <f>'[2]Feuil3'!$E$10</f>
        <v>9.65</v>
      </c>
      <c r="EH65" s="122">
        <v>2</v>
      </c>
      <c r="EI65" s="122">
        <v>98</v>
      </c>
      <c r="EJ65" s="122">
        <v>16.85</v>
      </c>
      <c r="EK65" s="122">
        <v>70.9</v>
      </c>
      <c r="EL65" s="122">
        <v>37</v>
      </c>
      <c r="EM65" s="122">
        <v>57</v>
      </c>
      <c r="EN65" s="122">
        <f t="shared" si="75"/>
        <v>348.992</v>
      </c>
      <c r="EO65" s="122">
        <v>172</v>
      </c>
      <c r="EP65" s="122">
        <v>324</v>
      </c>
      <c r="EQ65" s="122">
        <v>391</v>
      </c>
      <c r="ER65" s="122">
        <f>'[3]avril pays'!$C$12</f>
        <v>473.183</v>
      </c>
      <c r="ES65" s="122">
        <v>388.3</v>
      </c>
      <c r="ET65" s="122">
        <v>516.8</v>
      </c>
      <c r="EU65" s="122">
        <v>897.4</v>
      </c>
      <c r="EV65" s="122">
        <v>1142.05</v>
      </c>
      <c r="EW65" s="122">
        <v>577.939</v>
      </c>
      <c r="EX65" s="122">
        <v>231.507</v>
      </c>
      <c r="EY65" s="122">
        <v>31.6</v>
      </c>
      <c r="EZ65" s="122">
        <v>38.5</v>
      </c>
      <c r="FA65" s="122">
        <f t="shared" si="76"/>
        <v>5184.279</v>
      </c>
      <c r="FB65" s="122">
        <v>162</v>
      </c>
      <c r="FC65" s="122">
        <v>12.628</v>
      </c>
      <c r="FD65" s="122">
        <f>'[4]IV5-IV6'!$D$43</f>
        <v>391.38</v>
      </c>
      <c r="FE65" s="122">
        <v>407.45</v>
      </c>
      <c r="FF65" s="122">
        <v>468.7</v>
      </c>
      <c r="FG65" s="122">
        <v>1313.4</v>
      </c>
      <c r="FH65" s="122">
        <v>866.136</v>
      </c>
      <c r="FI65" s="122">
        <v>676.175</v>
      </c>
      <c r="FJ65" s="122">
        <v>233.6</v>
      </c>
      <c r="FK65" s="122">
        <v>171.616</v>
      </c>
      <c r="FL65" s="122">
        <v>119.291</v>
      </c>
      <c r="FM65" s="122">
        <v>109.216</v>
      </c>
      <c r="FN65" s="122">
        <f t="shared" si="77"/>
        <v>4931.592000000001</v>
      </c>
      <c r="FO65" s="122">
        <v>234.21</v>
      </c>
      <c r="FP65" s="122">
        <v>304.313</v>
      </c>
      <c r="FQ65" s="122">
        <v>414.402</v>
      </c>
      <c r="FR65" s="122">
        <f>'[5]IV5-IV6'!$C$6</f>
        <v>217.605</v>
      </c>
      <c r="FS65" s="122">
        <f>'[6]IV5_IV6_Mai'!$D$6</f>
        <v>566.403</v>
      </c>
      <c r="FT65" s="122">
        <v>351.1</v>
      </c>
      <c r="FU65" s="122">
        <v>604.211</v>
      </c>
      <c r="FV65" s="122">
        <v>581.8</v>
      </c>
      <c r="FW65" s="122">
        <v>201.566</v>
      </c>
      <c r="FX65" s="122">
        <v>161</v>
      </c>
      <c r="FY65" s="122">
        <v>237</v>
      </c>
      <c r="FZ65" s="122">
        <v>215</v>
      </c>
      <c r="GA65" s="122">
        <f t="shared" si="78"/>
        <v>4088.6099999999997</v>
      </c>
      <c r="GB65" s="122">
        <v>411.411</v>
      </c>
      <c r="GC65" s="122">
        <v>360.444</v>
      </c>
      <c r="GD65" s="122">
        <v>665.571</v>
      </c>
      <c r="GE65" s="122">
        <v>500.994</v>
      </c>
      <c r="GF65" s="122">
        <v>401.785</v>
      </c>
      <c r="GG65" s="122">
        <v>582.747</v>
      </c>
      <c r="GH65" s="122">
        <v>2428.104</v>
      </c>
      <c r="GI65" s="122">
        <v>1158.778</v>
      </c>
      <c r="GJ65" s="122">
        <v>3095.94</v>
      </c>
      <c r="GK65" s="122">
        <v>451.977</v>
      </c>
      <c r="GL65" s="122">
        <v>969.885</v>
      </c>
      <c r="GM65" s="122">
        <v>252.24</v>
      </c>
      <c r="GN65" s="122">
        <f t="shared" si="79"/>
        <v>11279.876</v>
      </c>
      <c r="GO65" s="122">
        <v>1011.727</v>
      </c>
      <c r="GP65" s="122">
        <v>937.455</v>
      </c>
      <c r="GQ65" s="122">
        <v>396.931</v>
      </c>
      <c r="GR65" s="122">
        <v>1870.882</v>
      </c>
      <c r="GS65" s="122">
        <v>166.006</v>
      </c>
      <c r="GT65" s="122">
        <v>1865.681</v>
      </c>
      <c r="GU65" s="122">
        <v>528.301</v>
      </c>
      <c r="GV65" s="122">
        <v>522.074</v>
      </c>
      <c r="GW65" s="122">
        <v>575.53</v>
      </c>
      <c r="GX65" s="122">
        <v>320.541</v>
      </c>
      <c r="GY65" s="122">
        <v>562.526</v>
      </c>
      <c r="GZ65" s="122">
        <v>134.072</v>
      </c>
      <c r="HA65" s="122">
        <v>294.078</v>
      </c>
      <c r="HB65" s="122">
        <v>359.544</v>
      </c>
      <c r="HC65" s="122">
        <v>384.88</v>
      </c>
      <c r="HD65" s="122">
        <v>317.917</v>
      </c>
      <c r="HE65" s="122">
        <v>468.732</v>
      </c>
      <c r="HF65" s="122">
        <v>593.037</v>
      </c>
      <c r="HG65" s="122">
        <v>1003.234</v>
      </c>
      <c r="HH65" s="122">
        <v>1002.808</v>
      </c>
      <c r="HI65" s="122">
        <v>432.61</v>
      </c>
      <c r="HJ65" s="122">
        <v>175.516</v>
      </c>
      <c r="HK65" s="122">
        <v>182.559</v>
      </c>
      <c r="HL65" s="122">
        <v>93.927</v>
      </c>
      <c r="HM65" s="98">
        <v>85.955</v>
      </c>
      <c r="HN65" s="98">
        <v>47.565</v>
      </c>
      <c r="HO65" s="98">
        <v>55.854</v>
      </c>
      <c r="HP65" s="122">
        <v>94.405</v>
      </c>
      <c r="HQ65" s="98">
        <v>55.471</v>
      </c>
      <c r="HR65" s="122">
        <v>76.363</v>
      </c>
      <c r="HS65" s="122">
        <v>159.318</v>
      </c>
      <c r="HT65" s="122">
        <v>143.094</v>
      </c>
      <c r="HU65" s="122"/>
      <c r="HV65" s="122"/>
      <c r="HW65" s="122"/>
      <c r="HX65" s="122"/>
      <c r="HY65" s="122">
        <f t="shared" si="80"/>
        <v>4424.23</v>
      </c>
      <c r="HZ65" s="122">
        <f t="shared" si="81"/>
        <v>718.0250000000001</v>
      </c>
    </row>
    <row r="66" spans="2:234" ht="15.75">
      <c r="B66" s="105" t="s">
        <v>93</v>
      </c>
      <c r="C66" s="71">
        <v>1100</v>
      </c>
      <c r="D66" s="42">
        <v>4313</v>
      </c>
      <c r="E66" s="72">
        <v>2730</v>
      </c>
      <c r="F66" s="42">
        <v>2803</v>
      </c>
      <c r="G66" s="42">
        <v>1996.4</v>
      </c>
      <c r="H66" s="42">
        <v>2517</v>
      </c>
      <c r="I66" s="43">
        <v>804</v>
      </c>
      <c r="J66" s="43">
        <v>1081</v>
      </c>
      <c r="K66" s="15">
        <v>544</v>
      </c>
      <c r="L66" s="15">
        <v>88</v>
      </c>
      <c r="M66" s="15">
        <v>118</v>
      </c>
      <c r="N66" s="15">
        <v>103</v>
      </c>
      <c r="O66" s="15">
        <v>68</v>
      </c>
      <c r="P66" s="15">
        <v>77</v>
      </c>
      <c r="Q66" s="15">
        <v>25</v>
      </c>
      <c r="R66" s="15">
        <v>230</v>
      </c>
      <c r="S66" s="15">
        <v>539</v>
      </c>
      <c r="T66" s="15">
        <v>636</v>
      </c>
      <c r="U66" s="42">
        <f t="shared" si="82"/>
        <v>4313</v>
      </c>
      <c r="V66" s="56">
        <v>145</v>
      </c>
      <c r="W66" s="43">
        <v>425</v>
      </c>
      <c r="X66" s="15">
        <v>388</v>
      </c>
      <c r="Y66" s="15">
        <v>267</v>
      </c>
      <c r="Z66" s="15">
        <v>551</v>
      </c>
      <c r="AA66" s="15">
        <v>352</v>
      </c>
      <c r="AB66" s="15">
        <v>71</v>
      </c>
      <c r="AC66" s="15">
        <v>24</v>
      </c>
      <c r="AD66" s="15">
        <v>220</v>
      </c>
      <c r="AE66" s="15">
        <v>67</v>
      </c>
      <c r="AF66" s="15">
        <v>66</v>
      </c>
      <c r="AG66" s="15">
        <v>154</v>
      </c>
      <c r="AH66" s="71">
        <f t="shared" si="83"/>
        <v>2730</v>
      </c>
      <c r="AI66" s="43">
        <v>80</v>
      </c>
      <c r="AJ66" s="15">
        <v>156</v>
      </c>
      <c r="AK66" s="15">
        <v>250</v>
      </c>
      <c r="AL66" s="15">
        <v>119</v>
      </c>
      <c r="AM66" s="15">
        <v>240</v>
      </c>
      <c r="AN66" s="15">
        <v>59</v>
      </c>
      <c r="AO66" s="15">
        <v>16</v>
      </c>
      <c r="AP66" s="15">
        <v>303</v>
      </c>
      <c r="AQ66" s="15">
        <v>102</v>
      </c>
      <c r="AR66" s="15">
        <v>319</v>
      </c>
      <c r="AS66" s="15">
        <v>986</v>
      </c>
      <c r="AT66" s="15">
        <v>173</v>
      </c>
      <c r="AU66" s="71">
        <f t="shared" si="62"/>
        <v>2803</v>
      </c>
      <c r="AV66" s="42">
        <v>64</v>
      </c>
      <c r="AW66" s="15">
        <v>121</v>
      </c>
      <c r="AX66" s="31">
        <v>250</v>
      </c>
      <c r="AY66" s="15">
        <v>206</v>
      </c>
      <c r="AZ66" s="15">
        <v>16</v>
      </c>
      <c r="BA66" s="15">
        <v>134</v>
      </c>
      <c r="BB66" s="4">
        <v>4.6</v>
      </c>
      <c r="BC66" s="4">
        <v>183.6</v>
      </c>
      <c r="BD66" s="4">
        <v>212.9</v>
      </c>
      <c r="BE66" s="4">
        <v>283.4</v>
      </c>
      <c r="BF66" s="4">
        <v>294.9</v>
      </c>
      <c r="BG66" s="12">
        <v>226</v>
      </c>
      <c r="BH66" s="71">
        <f t="shared" si="63"/>
        <v>1996.4</v>
      </c>
      <c r="BI66" s="36">
        <v>299</v>
      </c>
      <c r="BJ66" s="15">
        <f t="shared" si="84"/>
        <v>272.5</v>
      </c>
      <c r="BK66" s="15">
        <f t="shared" si="64"/>
        <v>191.29999999999995</v>
      </c>
      <c r="BL66" s="15">
        <f t="shared" si="65"/>
        <v>336.29999999999995</v>
      </c>
      <c r="BM66" s="15">
        <f t="shared" si="66"/>
        <v>213.9000000000001</v>
      </c>
      <c r="BN66" s="15">
        <f t="shared" si="67"/>
        <v>143.70000000000005</v>
      </c>
      <c r="BO66" s="15">
        <f t="shared" si="68"/>
        <v>240.39999999999986</v>
      </c>
      <c r="BP66" s="15">
        <f t="shared" si="69"/>
        <v>50.100000000000136</v>
      </c>
      <c r="BQ66" s="15">
        <f t="shared" si="70"/>
        <v>228.0999999999999</v>
      </c>
      <c r="BR66" s="15">
        <f t="shared" si="71"/>
        <v>13.5</v>
      </c>
      <c r="BS66" s="15">
        <f t="shared" si="72"/>
        <v>58.799999999999955</v>
      </c>
      <c r="BT66" s="15">
        <f t="shared" si="73"/>
        <v>469.4000000000001</v>
      </c>
      <c r="BU66" s="73">
        <f t="shared" si="74"/>
        <v>2517</v>
      </c>
      <c r="BV66" s="72">
        <v>571.5</v>
      </c>
      <c r="BW66" s="42">
        <v>762.8</v>
      </c>
      <c r="BX66" s="72">
        <v>1099.1</v>
      </c>
      <c r="BY66" s="71">
        <v>1313</v>
      </c>
      <c r="BZ66" s="71">
        <v>1456.7</v>
      </c>
      <c r="CA66" s="71">
        <v>1697.1</v>
      </c>
      <c r="CB66" s="71">
        <v>1747.2</v>
      </c>
      <c r="CC66" s="42">
        <v>1975.3</v>
      </c>
      <c r="CD66" s="42">
        <v>1988.8</v>
      </c>
      <c r="CE66" s="43">
        <v>2047.6</v>
      </c>
      <c r="CF66" s="43">
        <v>2517</v>
      </c>
      <c r="CG66" s="43">
        <v>3319</v>
      </c>
      <c r="CH66" s="119">
        <v>5282.7</v>
      </c>
      <c r="CI66" s="124">
        <v>3229.7</v>
      </c>
      <c r="CJ66" s="71">
        <v>9807.304</v>
      </c>
      <c r="CK66" s="71">
        <v>25962.14</v>
      </c>
      <c r="CL66" s="122">
        <v>45872.335</v>
      </c>
      <c r="CM66" s="122">
        <v>58536.858</v>
      </c>
      <c r="CN66" s="122">
        <v>22840.114</v>
      </c>
      <c r="CO66" s="122">
        <v>21999.876</v>
      </c>
      <c r="CP66" s="122">
        <v>19130.316</v>
      </c>
      <c r="CQ66" s="122">
        <v>15.2</v>
      </c>
      <c r="CR66" s="122">
        <v>40</v>
      </c>
      <c r="CS66" s="122">
        <v>348.4</v>
      </c>
      <c r="CT66" s="122">
        <v>563.5</v>
      </c>
      <c r="CU66" s="122">
        <v>869.5</v>
      </c>
      <c r="CV66" s="122">
        <v>1246.3</v>
      </c>
      <c r="CW66" s="122">
        <v>1787.7</v>
      </c>
      <c r="CX66" s="122">
        <v>1942.9</v>
      </c>
      <c r="CY66" s="122">
        <v>2126.5</v>
      </c>
      <c r="CZ66" s="122">
        <v>2547.9</v>
      </c>
      <c r="DA66" s="122">
        <v>2921.3</v>
      </c>
      <c r="DB66" s="122">
        <v>3319</v>
      </c>
      <c r="DC66" s="122">
        <v>269.2</v>
      </c>
      <c r="DD66" s="122">
        <v>622.1</v>
      </c>
      <c r="DE66" s="122">
        <v>800.5</v>
      </c>
      <c r="DF66" s="122">
        <v>1328.4</v>
      </c>
      <c r="DG66" s="122">
        <v>1794.4</v>
      </c>
      <c r="DH66" s="122">
        <v>2241.3</v>
      </c>
      <c r="DI66" s="122">
        <v>2608.2</v>
      </c>
      <c r="DJ66" s="122">
        <v>3161.9</v>
      </c>
      <c r="DK66" s="122">
        <v>3723.6</v>
      </c>
      <c r="DL66" s="122">
        <v>4437.1</v>
      </c>
      <c r="DM66" s="122">
        <v>4792.1</v>
      </c>
      <c r="DN66" s="122">
        <v>5282.7</v>
      </c>
      <c r="DO66" s="122">
        <v>220.1</v>
      </c>
      <c r="DP66" s="122">
        <v>400.7</v>
      </c>
      <c r="DQ66" s="122">
        <v>865.6</v>
      </c>
      <c r="DR66" s="122">
        <v>1280.4</v>
      </c>
      <c r="DS66" s="122">
        <v>1692</v>
      </c>
      <c r="DT66" s="122">
        <v>1908.5</v>
      </c>
      <c r="DU66" s="122">
        <v>2096.2</v>
      </c>
      <c r="DV66" s="122">
        <v>2213.8</v>
      </c>
      <c r="DW66" s="122">
        <v>2461</v>
      </c>
      <c r="DX66" s="122">
        <v>2560.7</v>
      </c>
      <c r="DY66" s="122">
        <v>2689.7</v>
      </c>
      <c r="DZ66" s="122">
        <v>540</v>
      </c>
      <c r="EA66" s="122">
        <f t="shared" si="85"/>
        <v>3229.7</v>
      </c>
      <c r="EB66" s="122">
        <v>213</v>
      </c>
      <c r="EC66" s="122">
        <v>85</v>
      </c>
      <c r="ED66" s="122">
        <v>166</v>
      </c>
      <c r="EE66" s="122">
        <v>251</v>
      </c>
      <c r="EF66" s="122">
        <f>'[1]Feuil2'!$D$33</f>
        <v>84.301</v>
      </c>
      <c r="EG66" s="122">
        <f>'[2]Feuil3'!$E$37</f>
        <v>145.825</v>
      </c>
      <c r="EH66" s="122">
        <v>251</v>
      </c>
      <c r="EI66" s="122">
        <v>1165</v>
      </c>
      <c r="EJ66" s="122">
        <v>923.891</v>
      </c>
      <c r="EK66" s="122">
        <v>1320.287</v>
      </c>
      <c r="EL66" s="122">
        <v>2320</v>
      </c>
      <c r="EM66" s="122">
        <v>2882</v>
      </c>
      <c r="EN66" s="122">
        <f t="shared" si="75"/>
        <v>9807.304</v>
      </c>
      <c r="EO66" s="122">
        <v>2894</v>
      </c>
      <c r="EP66" s="122">
        <v>2572</v>
      </c>
      <c r="EQ66" s="122">
        <v>2160</v>
      </c>
      <c r="ER66" s="122">
        <f>'[3]avril pays'!$C$41</f>
        <v>2390.986</v>
      </c>
      <c r="ES66" s="122">
        <v>1955.3</v>
      </c>
      <c r="ET66" s="122">
        <v>2148.9</v>
      </c>
      <c r="EU66" s="122">
        <v>1834.2</v>
      </c>
      <c r="EV66" s="122">
        <v>2770.25</v>
      </c>
      <c r="EW66" s="122">
        <v>2330.739</v>
      </c>
      <c r="EX66" s="122">
        <v>1335.165</v>
      </c>
      <c r="EY66" s="122">
        <v>1350.8</v>
      </c>
      <c r="EZ66" s="122">
        <v>2219.8</v>
      </c>
      <c r="FA66" s="122">
        <f t="shared" si="76"/>
        <v>25962.14</v>
      </c>
      <c r="FB66" s="122">
        <v>1843.782</v>
      </c>
      <c r="FC66" s="122">
        <v>1375.23</v>
      </c>
      <c r="FD66" s="122">
        <f>'[4]IV5-IV6'!$D$45</f>
        <v>2159.85</v>
      </c>
      <c r="FE66" s="122">
        <v>4593.74</v>
      </c>
      <c r="FF66" s="122">
        <v>1665.467</v>
      </c>
      <c r="FG66" s="122">
        <v>1959.6</v>
      </c>
      <c r="FH66" s="122">
        <v>1479.652</v>
      </c>
      <c r="FI66" s="122">
        <v>1653.173</v>
      </c>
      <c r="FJ66" s="122">
        <v>1475</v>
      </c>
      <c r="FK66" s="122">
        <v>1882.733</v>
      </c>
      <c r="FL66" s="122">
        <v>4003.894</v>
      </c>
      <c r="FM66" s="122">
        <v>21780.214</v>
      </c>
      <c r="FN66" s="122">
        <f t="shared" si="77"/>
        <v>45872.335</v>
      </c>
      <c r="FO66" s="122">
        <v>3668.418</v>
      </c>
      <c r="FP66" s="122">
        <v>14284.105</v>
      </c>
      <c r="FQ66" s="122">
        <v>3920.587</v>
      </c>
      <c r="FR66" s="122">
        <f>'[5]IV5-IV6'!$C$17</f>
        <v>4384.121</v>
      </c>
      <c r="FS66" s="122">
        <f>'[6]IV5_IV6_Mai'!$D$14</f>
        <v>1758.037</v>
      </c>
      <c r="FT66" s="122">
        <v>4654.4</v>
      </c>
      <c r="FU66" s="122">
        <v>1956.539</v>
      </c>
      <c r="FV66" s="122">
        <v>1619.055</v>
      </c>
      <c r="FW66" s="122">
        <v>8199.472</v>
      </c>
      <c r="FX66" s="122">
        <v>1389.1</v>
      </c>
      <c r="FY66" s="122">
        <v>4628.724</v>
      </c>
      <c r="FZ66" s="122">
        <v>8074.3</v>
      </c>
      <c r="GA66" s="122">
        <f t="shared" si="78"/>
        <v>58536.858</v>
      </c>
      <c r="GB66" s="122">
        <v>4302.283</v>
      </c>
      <c r="GC66" s="122">
        <v>1536.534</v>
      </c>
      <c r="GD66" s="122">
        <v>678.313</v>
      </c>
      <c r="GE66" s="122">
        <v>865.868</v>
      </c>
      <c r="GF66" s="122">
        <v>1481.753</v>
      </c>
      <c r="GG66" s="122">
        <v>1855.246</v>
      </c>
      <c r="GH66" s="122">
        <v>2155.508</v>
      </c>
      <c r="GI66" s="122">
        <v>1920.069</v>
      </c>
      <c r="GJ66" s="122">
        <v>2113.189</v>
      </c>
      <c r="GK66" s="122">
        <v>1849.705</v>
      </c>
      <c r="GL66" s="122">
        <v>2036.835</v>
      </c>
      <c r="GM66" s="122">
        <v>2041.811</v>
      </c>
      <c r="GN66" s="122">
        <f t="shared" si="79"/>
        <v>22837.114</v>
      </c>
      <c r="GO66" s="122">
        <v>1271.269</v>
      </c>
      <c r="GP66" s="122">
        <v>1267.093</v>
      </c>
      <c r="GQ66" s="122">
        <v>1907.684</v>
      </c>
      <c r="GR66" s="122">
        <v>1239.907</v>
      </c>
      <c r="GS66" s="122">
        <v>1662.713</v>
      </c>
      <c r="GT66" s="122">
        <v>829.862</v>
      </c>
      <c r="GU66" s="122">
        <v>1469.149</v>
      </c>
      <c r="GV66" s="122">
        <v>1615.22</v>
      </c>
      <c r="GW66" s="122">
        <v>1657.313</v>
      </c>
      <c r="GX66" s="122">
        <v>1428.139</v>
      </c>
      <c r="GY66" s="122">
        <v>1979.979</v>
      </c>
      <c r="GZ66" s="122">
        <v>5492.862</v>
      </c>
      <c r="HA66" s="122">
        <v>1145.305</v>
      </c>
      <c r="HB66" s="122">
        <v>1397.775</v>
      </c>
      <c r="HC66" s="122">
        <v>1463.88</v>
      </c>
      <c r="HD66" s="122">
        <v>2132.223</v>
      </c>
      <c r="HE66" s="122">
        <v>2240.548</v>
      </c>
      <c r="HF66" s="122">
        <v>2453.476</v>
      </c>
      <c r="HG66" s="122">
        <v>2117.981</v>
      </c>
      <c r="HH66" s="122">
        <v>918.632</v>
      </c>
      <c r="HI66" s="122">
        <v>1936.461</v>
      </c>
      <c r="HJ66" s="122">
        <v>1432.571</v>
      </c>
      <c r="HK66" s="122">
        <v>897.981</v>
      </c>
      <c r="HL66" s="122">
        <v>993.483</v>
      </c>
      <c r="HM66" s="98">
        <v>1378.444</v>
      </c>
      <c r="HN66" s="98">
        <v>2584.551</v>
      </c>
      <c r="HO66" s="98">
        <v>864.748</v>
      </c>
      <c r="HP66" s="122">
        <v>566.582</v>
      </c>
      <c r="HQ66" s="98">
        <v>809.794</v>
      </c>
      <c r="HR66" s="122">
        <v>1206.651</v>
      </c>
      <c r="HS66" s="122">
        <v>1803.617</v>
      </c>
      <c r="HT66" s="122">
        <v>1276.164</v>
      </c>
      <c r="HU66" s="122"/>
      <c r="HV66" s="122"/>
      <c r="HW66" s="122"/>
      <c r="HX66" s="122"/>
      <c r="HY66" s="122">
        <f t="shared" si="80"/>
        <v>13869.82</v>
      </c>
      <c r="HZ66" s="122">
        <f t="shared" si="81"/>
        <v>10490.551000000001</v>
      </c>
    </row>
    <row r="67" spans="2:234" ht="15.75">
      <c r="B67" s="105" t="s">
        <v>94</v>
      </c>
      <c r="C67" s="71">
        <v>53467</v>
      </c>
      <c r="D67" s="42">
        <v>58265</v>
      </c>
      <c r="E67" s="72">
        <v>60177</v>
      </c>
      <c r="F67" s="42">
        <v>49368</v>
      </c>
      <c r="G67" s="42">
        <v>36587.1</v>
      </c>
      <c r="H67" s="42">
        <v>20262</v>
      </c>
      <c r="I67" s="43">
        <v>4828</v>
      </c>
      <c r="J67" s="43">
        <v>5039</v>
      </c>
      <c r="K67" s="15">
        <v>4593</v>
      </c>
      <c r="L67" s="15">
        <v>4547</v>
      </c>
      <c r="M67" s="15">
        <v>5683</v>
      </c>
      <c r="N67" s="15">
        <v>3836</v>
      </c>
      <c r="O67" s="15">
        <v>6750</v>
      </c>
      <c r="P67" s="15">
        <v>6787</v>
      </c>
      <c r="Q67" s="15">
        <v>3226</v>
      </c>
      <c r="R67" s="15">
        <v>4534</v>
      </c>
      <c r="S67" s="15">
        <v>4220</v>
      </c>
      <c r="T67" s="15">
        <v>4222</v>
      </c>
      <c r="U67" s="42">
        <f t="shared" si="82"/>
        <v>58265</v>
      </c>
      <c r="V67" s="56">
        <v>4653</v>
      </c>
      <c r="W67" s="43">
        <v>5482</v>
      </c>
      <c r="X67" s="15">
        <v>6053</v>
      </c>
      <c r="Y67" s="15">
        <v>4142</v>
      </c>
      <c r="Z67" s="15">
        <v>3848</v>
      </c>
      <c r="AA67" s="15">
        <v>2838</v>
      </c>
      <c r="AB67" s="15">
        <v>7590</v>
      </c>
      <c r="AC67" s="15">
        <v>4096</v>
      </c>
      <c r="AD67" s="15">
        <v>7669</v>
      </c>
      <c r="AE67" s="15">
        <v>2886</v>
      </c>
      <c r="AF67" s="15">
        <v>2737</v>
      </c>
      <c r="AG67" s="15">
        <v>8183</v>
      </c>
      <c r="AH67" s="71">
        <f t="shared" si="83"/>
        <v>60177</v>
      </c>
      <c r="AI67" s="43">
        <v>3271</v>
      </c>
      <c r="AJ67" s="15">
        <v>4904</v>
      </c>
      <c r="AK67" s="15">
        <v>4284</v>
      </c>
      <c r="AL67" s="15">
        <v>3588</v>
      </c>
      <c r="AM67" s="15">
        <v>3759</v>
      </c>
      <c r="AN67" s="15">
        <v>5741</v>
      </c>
      <c r="AO67" s="15">
        <v>3996</v>
      </c>
      <c r="AP67" s="15">
        <v>5203</v>
      </c>
      <c r="AQ67" s="15">
        <v>4123</v>
      </c>
      <c r="AR67" s="15">
        <v>3567</v>
      </c>
      <c r="AS67" s="15">
        <v>3487</v>
      </c>
      <c r="AT67" s="15">
        <v>3445</v>
      </c>
      <c r="AU67" s="71">
        <f t="shared" si="62"/>
        <v>49368</v>
      </c>
      <c r="AV67" s="42">
        <v>3382</v>
      </c>
      <c r="AW67" s="15">
        <v>2848</v>
      </c>
      <c r="AX67" s="31">
        <v>4284</v>
      </c>
      <c r="AY67" s="15">
        <v>4313</v>
      </c>
      <c r="AZ67" s="15">
        <v>4147</v>
      </c>
      <c r="BA67" s="15">
        <v>2977</v>
      </c>
      <c r="BB67" s="4">
        <v>2324.9</v>
      </c>
      <c r="BC67" s="4">
        <v>2699</v>
      </c>
      <c r="BD67" s="4">
        <v>2860.8</v>
      </c>
      <c r="BE67" s="4">
        <v>1332.5</v>
      </c>
      <c r="BF67" s="4">
        <v>3443.9</v>
      </c>
      <c r="BG67" s="12">
        <v>1975</v>
      </c>
      <c r="BH67" s="71">
        <f t="shared" si="63"/>
        <v>36587.1</v>
      </c>
      <c r="BI67" s="36">
        <v>2154</v>
      </c>
      <c r="BJ67" s="15">
        <f t="shared" si="84"/>
        <v>1306.9</v>
      </c>
      <c r="BK67" s="15">
        <f t="shared" si="64"/>
        <v>2380.6000000000004</v>
      </c>
      <c r="BL67" s="15">
        <f t="shared" si="65"/>
        <v>1363.3999999999992</v>
      </c>
      <c r="BM67" s="15">
        <f t="shared" si="66"/>
        <v>1599.1</v>
      </c>
      <c r="BN67" s="15">
        <f t="shared" si="67"/>
        <v>1835.6</v>
      </c>
      <c r="BO67" s="15">
        <f t="shared" si="68"/>
        <v>1483.1999999999985</v>
      </c>
      <c r="BP67" s="15">
        <f t="shared" si="69"/>
        <v>1937.9999999999995</v>
      </c>
      <c r="BQ67" s="15">
        <f t="shared" si="70"/>
        <v>1230.6</v>
      </c>
      <c r="BR67" s="15">
        <f t="shared" si="71"/>
        <v>1415.8000000000006</v>
      </c>
      <c r="BS67" s="15">
        <f t="shared" si="72"/>
        <v>1814.0000000000014</v>
      </c>
      <c r="BT67" s="15">
        <f t="shared" si="73"/>
        <v>1740.8000000000006</v>
      </c>
      <c r="BU67" s="73">
        <f t="shared" si="74"/>
        <v>20262</v>
      </c>
      <c r="BV67" s="72">
        <v>3460.9</v>
      </c>
      <c r="BW67" s="42">
        <v>5841.5</v>
      </c>
      <c r="BX67" s="72">
        <v>7204.9</v>
      </c>
      <c r="BY67" s="71">
        <v>8804</v>
      </c>
      <c r="BZ67" s="71">
        <v>10639.6</v>
      </c>
      <c r="CA67" s="71">
        <v>12122.8</v>
      </c>
      <c r="CB67" s="71">
        <v>14060.8</v>
      </c>
      <c r="CC67" s="42">
        <v>15291.4</v>
      </c>
      <c r="CD67" s="42">
        <v>16707.2</v>
      </c>
      <c r="CE67" s="43">
        <v>18521.2</v>
      </c>
      <c r="CF67" s="43">
        <v>20262</v>
      </c>
      <c r="CG67" s="43">
        <v>29018.5</v>
      </c>
      <c r="CH67" s="119">
        <v>31728</v>
      </c>
      <c r="CI67" s="124">
        <v>41961.4</v>
      </c>
      <c r="CJ67" s="71">
        <v>80645.106</v>
      </c>
      <c r="CK67" s="71">
        <v>134046.21899999998</v>
      </c>
      <c r="CL67" s="122">
        <v>118300.34399999998</v>
      </c>
      <c r="CM67" s="122">
        <v>186717.66100000002</v>
      </c>
      <c r="CN67" s="122">
        <v>255104.16000000003</v>
      </c>
      <c r="CO67" s="122">
        <v>161611.765</v>
      </c>
      <c r="CP67" s="122">
        <v>149881.199</v>
      </c>
      <c r="CQ67" s="122">
        <v>1570</v>
      </c>
      <c r="CR67" s="122">
        <v>2634.5</v>
      </c>
      <c r="CS67" s="122">
        <v>4097</v>
      </c>
      <c r="CT67" s="122">
        <v>4772.7</v>
      </c>
      <c r="CU67" s="122">
        <v>5783.1</v>
      </c>
      <c r="CV67" s="122">
        <v>7884.5</v>
      </c>
      <c r="CW67" s="122">
        <v>10849.9</v>
      </c>
      <c r="CX67" s="122">
        <v>17801.9</v>
      </c>
      <c r="CY67" s="122">
        <v>21944</v>
      </c>
      <c r="CZ67" s="122">
        <v>23857.8</v>
      </c>
      <c r="DA67" s="122">
        <v>26588.3</v>
      </c>
      <c r="DB67" s="122">
        <v>29018.5</v>
      </c>
      <c r="DC67" s="122">
        <v>1545.9</v>
      </c>
      <c r="DD67" s="122">
        <v>3590</v>
      </c>
      <c r="DE67" s="122">
        <v>5094</v>
      </c>
      <c r="DF67" s="122">
        <v>10718</v>
      </c>
      <c r="DG67" s="122">
        <v>14434.8</v>
      </c>
      <c r="DH67" s="122">
        <v>16008.8</v>
      </c>
      <c r="DI67" s="122">
        <v>17650.2</v>
      </c>
      <c r="DJ67" s="122">
        <v>20306.6</v>
      </c>
      <c r="DK67" s="122">
        <v>23593.3</v>
      </c>
      <c r="DL67" s="122">
        <v>26785.6</v>
      </c>
      <c r="DM67" s="122">
        <v>29570.9</v>
      </c>
      <c r="DN67" s="122">
        <v>31728</v>
      </c>
      <c r="DO67" s="122">
        <v>2669</v>
      </c>
      <c r="DP67" s="122">
        <v>6061.4</v>
      </c>
      <c r="DQ67" s="122">
        <v>9813.3</v>
      </c>
      <c r="DR67" s="122">
        <v>14490.8</v>
      </c>
      <c r="DS67" s="122">
        <v>16900</v>
      </c>
      <c r="DT67" s="122">
        <v>21590.8</v>
      </c>
      <c r="DU67" s="122">
        <v>26002.3</v>
      </c>
      <c r="DV67" s="122">
        <v>31301</v>
      </c>
      <c r="DW67" s="122">
        <v>34194.4</v>
      </c>
      <c r="DX67" s="122">
        <v>36947.4</v>
      </c>
      <c r="DY67" s="122">
        <v>39048.4</v>
      </c>
      <c r="DZ67" s="122">
        <v>2913</v>
      </c>
      <c r="EA67" s="122">
        <f t="shared" si="85"/>
        <v>41961.4</v>
      </c>
      <c r="EB67" s="122">
        <v>4905</v>
      </c>
      <c r="EC67" s="122">
        <v>3816</v>
      </c>
      <c r="ED67" s="122">
        <v>4841</v>
      </c>
      <c r="EE67" s="122">
        <v>3917</v>
      </c>
      <c r="EF67" s="122">
        <f>'[1]Feuil2'!$D$37</f>
        <v>2116.535</v>
      </c>
      <c r="EG67" s="122">
        <f>'[2]Feuil3'!$E$42</f>
        <v>4636.481</v>
      </c>
      <c r="EH67" s="122">
        <v>5898</v>
      </c>
      <c r="EI67" s="122">
        <v>8914</v>
      </c>
      <c r="EJ67" s="122">
        <v>9892.214</v>
      </c>
      <c r="EK67" s="122">
        <f>10369.276+69.6</f>
        <v>10438.876</v>
      </c>
      <c r="EL67" s="122">
        <v>10124</v>
      </c>
      <c r="EM67" s="122">
        <v>11146</v>
      </c>
      <c r="EN67" s="122">
        <f t="shared" si="75"/>
        <v>80645.106</v>
      </c>
      <c r="EO67" s="122">
        <v>10645</v>
      </c>
      <c r="EP67" s="122">
        <v>11413</v>
      </c>
      <c r="EQ67" s="122">
        <v>9080</v>
      </c>
      <c r="ER67" s="122">
        <f>'[3]avril pays'!$C$46</f>
        <v>7615.334</v>
      </c>
      <c r="ES67" s="122">
        <v>5360.4</v>
      </c>
      <c r="ET67" s="122">
        <v>9404.6</v>
      </c>
      <c r="EU67" s="122">
        <v>9089</v>
      </c>
      <c r="EV67" s="122">
        <v>11872.89</v>
      </c>
      <c r="EW67" s="122">
        <v>21038.869</v>
      </c>
      <c r="EX67" s="122">
        <v>11426.326</v>
      </c>
      <c r="EY67" s="122">
        <v>12327.7</v>
      </c>
      <c r="EZ67" s="122">
        <v>14773.1</v>
      </c>
      <c r="FA67" s="122">
        <f t="shared" si="76"/>
        <v>134046.21899999998</v>
      </c>
      <c r="FB67" s="122">
        <v>8971.884</v>
      </c>
      <c r="FC67" s="122">
        <v>10385.936</v>
      </c>
      <c r="FD67" s="122">
        <f>'[4]IV5-IV6'!$D$50</f>
        <v>9079.523</v>
      </c>
      <c r="FE67" s="122">
        <v>8005.24</v>
      </c>
      <c r="FF67" s="122">
        <v>9181.15</v>
      </c>
      <c r="FG67" s="122">
        <v>10636.3</v>
      </c>
      <c r="FH67" s="122">
        <v>9042.118</v>
      </c>
      <c r="FI67" s="122">
        <v>13285.589</v>
      </c>
      <c r="FJ67" s="122">
        <v>11536.2</v>
      </c>
      <c r="FK67" s="122">
        <v>10469.522</v>
      </c>
      <c r="FL67" s="122">
        <v>8952.856</v>
      </c>
      <c r="FM67" s="122">
        <v>8754.026</v>
      </c>
      <c r="FN67" s="122">
        <f t="shared" si="77"/>
        <v>118300.34399999998</v>
      </c>
      <c r="FO67" s="122">
        <v>9604.812</v>
      </c>
      <c r="FP67" s="122">
        <v>9511.898</v>
      </c>
      <c r="FQ67" s="122">
        <v>8542.381</v>
      </c>
      <c r="FR67" s="122">
        <f>'[5]IV5-IV6'!$C$19</f>
        <v>7060.423</v>
      </c>
      <c r="FS67" s="122">
        <f>'[6]IV5_IV6_Mai'!$D$17</f>
        <v>7585.999</v>
      </c>
      <c r="FT67" s="122">
        <v>11008.9</v>
      </c>
      <c r="FU67" s="122">
        <v>11461.654</v>
      </c>
      <c r="FV67" s="122">
        <v>11590.865</v>
      </c>
      <c r="FW67" s="122">
        <v>10571.861</v>
      </c>
      <c r="FX67" s="122">
        <v>9739.1</v>
      </c>
      <c r="FY67" s="122">
        <v>13790.268</v>
      </c>
      <c r="FZ67" s="122">
        <v>76249.5</v>
      </c>
      <c r="GA67" s="122">
        <f t="shared" si="78"/>
        <v>186717.66100000002</v>
      </c>
      <c r="GB67" s="122">
        <v>34024.62</v>
      </c>
      <c r="GC67" s="122">
        <v>35488.476</v>
      </c>
      <c r="GD67" s="122">
        <v>32411.669</v>
      </c>
      <c r="GE67" s="122">
        <v>9991.859</v>
      </c>
      <c r="GF67" s="122">
        <v>14209.722</v>
      </c>
      <c r="GG67" s="122">
        <v>12127.609</v>
      </c>
      <c r="GH67" s="122">
        <v>15947.632</v>
      </c>
      <c r="GI67" s="122">
        <v>20436.38</v>
      </c>
      <c r="GJ67" s="122">
        <v>19033.953</v>
      </c>
      <c r="GK67" s="122">
        <v>21110.822</v>
      </c>
      <c r="GL67" s="122">
        <v>21010.176</v>
      </c>
      <c r="GM67" s="122">
        <v>19311.242</v>
      </c>
      <c r="GN67" s="122">
        <f t="shared" si="79"/>
        <v>255104.16000000003</v>
      </c>
      <c r="GO67" s="122">
        <v>17648.114</v>
      </c>
      <c r="GP67" s="122">
        <v>15131.612</v>
      </c>
      <c r="GQ67" s="122">
        <v>12745.837</v>
      </c>
      <c r="GR67" s="122">
        <v>13494.356</v>
      </c>
      <c r="GS67" s="122">
        <v>9603.499</v>
      </c>
      <c r="GT67" s="122">
        <v>11236.154</v>
      </c>
      <c r="GU67" s="122">
        <v>12070.767</v>
      </c>
      <c r="GV67" s="122">
        <v>16423.506</v>
      </c>
      <c r="GW67" s="122">
        <v>21345.314</v>
      </c>
      <c r="GX67" s="122">
        <v>12617.86</v>
      </c>
      <c r="GY67" s="122">
        <v>17036.452</v>
      </c>
      <c r="GZ67" s="122">
        <v>11184.976</v>
      </c>
      <c r="HA67" s="122">
        <v>11205.325</v>
      </c>
      <c r="HB67" s="122">
        <v>15435.982</v>
      </c>
      <c r="HC67" s="122">
        <v>12898.885</v>
      </c>
      <c r="HD67" s="122">
        <v>14340.674</v>
      </c>
      <c r="HE67" s="122">
        <v>10727.59</v>
      </c>
      <c r="HF67" s="122">
        <v>14960.079</v>
      </c>
      <c r="HG67" s="122">
        <v>11010.44</v>
      </c>
      <c r="HH67" s="122">
        <v>13258.273</v>
      </c>
      <c r="HI67" s="122">
        <v>10969.398</v>
      </c>
      <c r="HJ67" s="122">
        <v>10617.829</v>
      </c>
      <c r="HK67" s="122">
        <v>11784.645</v>
      </c>
      <c r="HL67" s="122">
        <v>12672.079</v>
      </c>
      <c r="HM67" s="98">
        <v>14225.813</v>
      </c>
      <c r="HN67" s="98">
        <v>9506.756</v>
      </c>
      <c r="HO67" s="98">
        <v>8848.299</v>
      </c>
      <c r="HP67" s="122">
        <v>11421.596</v>
      </c>
      <c r="HQ67" s="98">
        <v>14960.318</v>
      </c>
      <c r="HR67" s="122">
        <v>11380.212</v>
      </c>
      <c r="HS67" s="122">
        <v>10252.711</v>
      </c>
      <c r="HT67" s="122">
        <v>16661.092</v>
      </c>
      <c r="HU67" s="122"/>
      <c r="HV67" s="122"/>
      <c r="HW67" s="122"/>
      <c r="HX67" s="122"/>
      <c r="HY67" s="122">
        <f t="shared" si="80"/>
        <v>103837.248</v>
      </c>
      <c r="HZ67" s="122">
        <f t="shared" si="81"/>
        <v>97256.797</v>
      </c>
    </row>
    <row r="68" spans="2:234" ht="15.75">
      <c r="B68" s="105" t="s">
        <v>95</v>
      </c>
      <c r="C68" s="71">
        <v>17023</v>
      </c>
      <c r="D68" s="42">
        <v>23820</v>
      </c>
      <c r="E68" s="72">
        <v>41103</v>
      </c>
      <c r="F68" s="42">
        <v>34395</v>
      </c>
      <c r="G68" s="42">
        <v>47299.7</v>
      </c>
      <c r="H68" s="42">
        <v>48277</v>
      </c>
      <c r="I68" s="43">
        <v>1648</v>
      </c>
      <c r="J68" s="43">
        <v>1464</v>
      </c>
      <c r="K68" s="15">
        <v>1228</v>
      </c>
      <c r="L68" s="15">
        <v>2168</v>
      </c>
      <c r="M68" s="15">
        <v>1851</v>
      </c>
      <c r="N68" s="15">
        <v>1025</v>
      </c>
      <c r="O68" s="15">
        <v>2547</v>
      </c>
      <c r="P68" s="15">
        <v>1974</v>
      </c>
      <c r="Q68" s="15">
        <v>1683</v>
      </c>
      <c r="R68" s="15">
        <v>3209</v>
      </c>
      <c r="S68" s="15">
        <v>1720</v>
      </c>
      <c r="T68" s="15">
        <v>3303</v>
      </c>
      <c r="U68" s="42">
        <f t="shared" si="82"/>
        <v>23820</v>
      </c>
      <c r="V68" s="56">
        <v>2044</v>
      </c>
      <c r="W68" s="43">
        <v>2975</v>
      </c>
      <c r="X68" s="15">
        <v>3776</v>
      </c>
      <c r="Y68" s="15">
        <v>2949</v>
      </c>
      <c r="Z68" s="15">
        <v>4716</v>
      </c>
      <c r="AA68" s="15">
        <v>4824</v>
      </c>
      <c r="AB68" s="15">
        <v>2757</v>
      </c>
      <c r="AC68" s="15">
        <v>5310</v>
      </c>
      <c r="AD68" s="15">
        <v>2899</v>
      </c>
      <c r="AE68" s="15">
        <v>3400</v>
      </c>
      <c r="AF68" s="15">
        <v>2665</v>
      </c>
      <c r="AG68" s="15">
        <v>2788</v>
      </c>
      <c r="AH68" s="71">
        <f t="shared" si="83"/>
        <v>41103</v>
      </c>
      <c r="AI68" s="43">
        <v>2792</v>
      </c>
      <c r="AJ68" s="15">
        <v>1856</v>
      </c>
      <c r="AK68" s="15">
        <v>4071</v>
      </c>
      <c r="AL68" s="15">
        <v>4245</v>
      </c>
      <c r="AM68" s="15">
        <v>3929</v>
      </c>
      <c r="AN68" s="15">
        <v>2747</v>
      </c>
      <c r="AO68" s="15">
        <v>2913</v>
      </c>
      <c r="AP68" s="15">
        <v>1418</v>
      </c>
      <c r="AQ68" s="15">
        <v>3067</v>
      </c>
      <c r="AR68" s="15">
        <v>2222</v>
      </c>
      <c r="AS68" s="15">
        <v>1919</v>
      </c>
      <c r="AT68" s="15">
        <v>3216</v>
      </c>
      <c r="AU68" s="71">
        <f t="shared" si="62"/>
        <v>34395</v>
      </c>
      <c r="AV68" s="42">
        <v>1702</v>
      </c>
      <c r="AW68" s="15">
        <v>2347</v>
      </c>
      <c r="AX68" s="31">
        <v>4071</v>
      </c>
      <c r="AY68" s="15">
        <v>4753</v>
      </c>
      <c r="AZ68" s="15">
        <v>4821</v>
      </c>
      <c r="BA68" s="15">
        <v>4127</v>
      </c>
      <c r="BB68" s="4">
        <v>3778.1</v>
      </c>
      <c r="BC68" s="4">
        <v>3680.8</v>
      </c>
      <c r="BD68" s="4">
        <v>4748.3</v>
      </c>
      <c r="BE68" s="4">
        <v>3598.2</v>
      </c>
      <c r="BF68" s="4">
        <v>5585.3</v>
      </c>
      <c r="BG68" s="12">
        <v>4088</v>
      </c>
      <c r="BH68" s="71">
        <f t="shared" si="63"/>
        <v>47299.7</v>
      </c>
      <c r="BI68" s="36">
        <v>4247</v>
      </c>
      <c r="BJ68" s="15">
        <f t="shared" si="84"/>
        <v>4843.299999999999</v>
      </c>
      <c r="BK68" s="15">
        <f t="shared" si="64"/>
        <v>4575.5</v>
      </c>
      <c r="BL68" s="15">
        <f t="shared" si="65"/>
        <v>1868.5</v>
      </c>
      <c r="BM68" s="15">
        <f t="shared" si="66"/>
        <v>3023.7000000000007</v>
      </c>
      <c r="BN68" s="15">
        <f t="shared" si="67"/>
        <v>4106</v>
      </c>
      <c r="BO68" s="15">
        <f t="shared" si="68"/>
        <v>5018</v>
      </c>
      <c r="BP68" s="15">
        <f t="shared" si="69"/>
        <v>3921.7999999999993</v>
      </c>
      <c r="BQ68" s="15">
        <f t="shared" si="70"/>
        <v>4286.200000000001</v>
      </c>
      <c r="BR68" s="15">
        <f t="shared" si="71"/>
        <v>4286.800000000007</v>
      </c>
      <c r="BS68" s="15">
        <f t="shared" si="72"/>
        <v>5262.5</v>
      </c>
      <c r="BT68" s="15">
        <f t="shared" si="73"/>
        <v>2837.7000000000007</v>
      </c>
      <c r="BU68" s="73">
        <f t="shared" si="74"/>
        <v>48277</v>
      </c>
      <c r="BV68" s="72">
        <v>9090.3</v>
      </c>
      <c r="BW68" s="42">
        <v>13665.8</v>
      </c>
      <c r="BX68" s="72">
        <v>15534.3</v>
      </c>
      <c r="BY68" s="71">
        <v>18558</v>
      </c>
      <c r="BZ68" s="71">
        <v>22664</v>
      </c>
      <c r="CA68" s="71">
        <v>27682</v>
      </c>
      <c r="CB68" s="71">
        <v>31603.8</v>
      </c>
      <c r="CC68" s="42">
        <v>35890</v>
      </c>
      <c r="CD68" s="42">
        <v>40176.8</v>
      </c>
      <c r="CE68" s="43">
        <v>45439.3</v>
      </c>
      <c r="CF68" s="43">
        <v>48277</v>
      </c>
      <c r="CG68" s="43">
        <v>16117.3</v>
      </c>
      <c r="CH68" s="119">
        <v>12431.9</v>
      </c>
      <c r="CI68" s="124">
        <v>31248.6</v>
      </c>
      <c r="CJ68" s="71">
        <v>101272.023</v>
      </c>
      <c r="CK68" s="71">
        <v>92291.18800000002</v>
      </c>
      <c r="CL68" s="122">
        <v>83713.77599999998</v>
      </c>
      <c r="CM68" s="122">
        <v>24669.356999999996</v>
      </c>
      <c r="CN68" s="122">
        <v>13709.814</v>
      </c>
      <c r="CO68" s="122">
        <v>9860.855</v>
      </c>
      <c r="CP68" s="122">
        <v>45974.37899999999</v>
      </c>
      <c r="CQ68" s="122">
        <v>3356.5</v>
      </c>
      <c r="CR68" s="122">
        <v>5416.6</v>
      </c>
      <c r="CS68" s="122">
        <v>7703.7</v>
      </c>
      <c r="CT68" s="122">
        <v>9105</v>
      </c>
      <c r="CU68" s="122">
        <v>10239.2</v>
      </c>
      <c r="CV68" s="122">
        <v>11029.4</v>
      </c>
      <c r="CW68" s="122">
        <v>12471.5</v>
      </c>
      <c r="CX68" s="122">
        <v>13658.5</v>
      </c>
      <c r="CY68" s="122">
        <v>13708.5</v>
      </c>
      <c r="CZ68" s="122">
        <v>14820.7</v>
      </c>
      <c r="DA68" s="122">
        <v>15839.7</v>
      </c>
      <c r="DB68" s="122">
        <v>16117.3</v>
      </c>
      <c r="DC68" s="122">
        <v>990.4</v>
      </c>
      <c r="DD68" s="122">
        <v>2177.8</v>
      </c>
      <c r="DE68" s="122">
        <v>3112.7</v>
      </c>
      <c r="DF68" s="122">
        <v>4092</v>
      </c>
      <c r="DG68" s="122">
        <v>5880</v>
      </c>
      <c r="DH68" s="122">
        <v>6338.1</v>
      </c>
      <c r="DI68" s="122">
        <v>7726.5</v>
      </c>
      <c r="DJ68" s="122">
        <v>8827.1</v>
      </c>
      <c r="DK68" s="122">
        <v>9537.2</v>
      </c>
      <c r="DL68" s="122">
        <v>11440.6</v>
      </c>
      <c r="DM68" s="122">
        <v>11598.7</v>
      </c>
      <c r="DN68" s="122">
        <v>12431.9</v>
      </c>
      <c r="DO68" s="122">
        <v>1010.7</v>
      </c>
      <c r="DP68" s="122">
        <v>1673.7</v>
      </c>
      <c r="DQ68" s="122">
        <v>2909.7</v>
      </c>
      <c r="DR68" s="122">
        <v>3652.7</v>
      </c>
      <c r="DS68" s="122">
        <v>4866.7</v>
      </c>
      <c r="DT68" s="122">
        <v>7706.7</v>
      </c>
      <c r="DU68" s="122">
        <v>9902.7</v>
      </c>
      <c r="DV68" s="122">
        <v>14176.7</v>
      </c>
      <c r="DW68" s="122">
        <v>18045.6</v>
      </c>
      <c r="DX68" s="122">
        <v>21736.6</v>
      </c>
      <c r="DY68" s="122">
        <v>25650.6</v>
      </c>
      <c r="DZ68" s="122">
        <v>5598</v>
      </c>
      <c r="EA68" s="122">
        <f t="shared" si="85"/>
        <v>31248.6</v>
      </c>
      <c r="EB68" s="122">
        <v>9033</v>
      </c>
      <c r="EC68" s="122">
        <v>6273</v>
      </c>
      <c r="ED68" s="122">
        <v>5327</v>
      </c>
      <c r="EE68" s="122">
        <v>5763</v>
      </c>
      <c r="EF68" s="122">
        <f>'[1]Feuil2'!$D$41</f>
        <v>6471.031</v>
      </c>
      <c r="EG68" s="122">
        <f>'[2]Feuil3'!$E$46</f>
        <v>6900.058</v>
      </c>
      <c r="EH68" s="122">
        <v>7030</v>
      </c>
      <c r="EI68" s="122">
        <v>12024</v>
      </c>
      <c r="EJ68" s="122">
        <v>10316.149</v>
      </c>
      <c r="EK68" s="122">
        <v>9411.185</v>
      </c>
      <c r="EL68" s="122">
        <v>11002</v>
      </c>
      <c r="EM68" s="122">
        <v>11721.6</v>
      </c>
      <c r="EN68" s="122">
        <f t="shared" si="75"/>
        <v>101272.023</v>
      </c>
      <c r="EO68" s="122">
        <v>10612</v>
      </c>
      <c r="EP68" s="122">
        <v>10608</v>
      </c>
      <c r="EQ68" s="122">
        <v>6908</v>
      </c>
      <c r="ER68" s="122">
        <f>'[3]avril pays'!$C$49</f>
        <v>8607.965</v>
      </c>
      <c r="ES68" s="122">
        <v>5183.4</v>
      </c>
      <c r="ET68" s="122">
        <v>8636.7</v>
      </c>
      <c r="EU68" s="122">
        <v>8542.5</v>
      </c>
      <c r="EV68" s="122">
        <v>10312.52</v>
      </c>
      <c r="EW68" s="122">
        <v>7030.653</v>
      </c>
      <c r="EX68" s="122">
        <v>5306.55</v>
      </c>
      <c r="EY68" s="122">
        <v>5465.8</v>
      </c>
      <c r="EZ68" s="122">
        <v>5077.1</v>
      </c>
      <c r="FA68" s="122">
        <f t="shared" si="76"/>
        <v>92291.18800000002</v>
      </c>
      <c r="FB68" s="122">
        <v>6926.83</v>
      </c>
      <c r="FC68" s="122">
        <v>7845.098</v>
      </c>
      <c r="FD68" s="122">
        <f>'[4]IV5-IV6'!$D$54</f>
        <v>6907.966</v>
      </c>
      <c r="FE68" s="122">
        <v>8401.13</v>
      </c>
      <c r="FF68" s="122">
        <v>10394.27</v>
      </c>
      <c r="FG68" s="122">
        <v>8063.7</v>
      </c>
      <c r="FH68" s="122">
        <v>7104.712</v>
      </c>
      <c r="FI68" s="122">
        <v>6366.306</v>
      </c>
      <c r="FJ68" s="122">
        <v>4081.2</v>
      </c>
      <c r="FK68" s="122">
        <v>6684.947</v>
      </c>
      <c r="FL68" s="122">
        <v>4944.709</v>
      </c>
      <c r="FM68" s="122">
        <v>5992.908</v>
      </c>
      <c r="FN68" s="122">
        <f t="shared" si="77"/>
        <v>83713.77599999998</v>
      </c>
      <c r="FO68" s="122">
        <v>3416.723</v>
      </c>
      <c r="FP68" s="122">
        <v>2927.766</v>
      </c>
      <c r="FQ68" s="122">
        <v>1439.995</v>
      </c>
      <c r="FR68" s="122">
        <f>'[5]IV5-IV6'!$C$21</f>
        <v>349.725</v>
      </c>
      <c r="FS68" s="122">
        <f>'[6]IV5_IV6_Mai'!$D$20</f>
        <v>2463.681</v>
      </c>
      <c r="FT68" s="122">
        <v>2997.1</v>
      </c>
      <c r="FU68" s="122">
        <v>1603.581</v>
      </c>
      <c r="FV68" s="122">
        <v>3032.89</v>
      </c>
      <c r="FW68" s="122">
        <v>2505.893</v>
      </c>
      <c r="FX68" s="122">
        <v>922.6</v>
      </c>
      <c r="FY68" s="122">
        <v>610.103</v>
      </c>
      <c r="FZ68" s="122">
        <v>2399.3</v>
      </c>
      <c r="GA68" s="122">
        <f t="shared" si="78"/>
        <v>24669.356999999996</v>
      </c>
      <c r="GB68" s="122">
        <v>271.022</v>
      </c>
      <c r="GC68" s="122">
        <v>1862.774</v>
      </c>
      <c r="GD68" s="122">
        <v>1796.91</v>
      </c>
      <c r="GE68" s="122">
        <v>958.449</v>
      </c>
      <c r="GF68" s="122">
        <v>715.603</v>
      </c>
      <c r="GG68" s="122">
        <v>213.155</v>
      </c>
      <c r="GH68" s="122">
        <v>2169.954</v>
      </c>
      <c r="GI68" s="122">
        <v>2129.27</v>
      </c>
      <c r="GJ68" s="122">
        <v>1454.012</v>
      </c>
      <c r="GK68" s="122">
        <v>606.381</v>
      </c>
      <c r="GL68" s="122">
        <v>1153.234</v>
      </c>
      <c r="GM68" s="122">
        <v>379.05</v>
      </c>
      <c r="GN68" s="122">
        <f t="shared" si="79"/>
        <v>13709.814</v>
      </c>
      <c r="GO68" s="122">
        <v>653.63</v>
      </c>
      <c r="GP68" s="122">
        <v>441</v>
      </c>
      <c r="GQ68" s="122">
        <v>658.6</v>
      </c>
      <c r="GR68" s="122">
        <v>518.352</v>
      </c>
      <c r="GS68" s="122"/>
      <c r="GT68" s="122">
        <v>1898.992</v>
      </c>
      <c r="GU68" s="122">
        <v>353.254</v>
      </c>
      <c r="GV68" s="122">
        <v>762.977</v>
      </c>
      <c r="GW68" s="122">
        <v>1213.095</v>
      </c>
      <c r="GX68" s="122">
        <v>0.6</v>
      </c>
      <c r="GY68" s="122">
        <v>2252.805</v>
      </c>
      <c r="GZ68" s="122">
        <v>1107.55</v>
      </c>
      <c r="HA68" s="122">
        <v>1996.923</v>
      </c>
      <c r="HB68" s="122">
        <v>1009.9</v>
      </c>
      <c r="HC68" s="122">
        <v>1418.431</v>
      </c>
      <c r="HD68" s="122">
        <v>2642.421</v>
      </c>
      <c r="HE68" s="122">
        <v>2298.474</v>
      </c>
      <c r="HF68" s="122">
        <v>4203.389</v>
      </c>
      <c r="HG68" s="122">
        <v>3310.708</v>
      </c>
      <c r="HH68" s="122">
        <v>5268.771</v>
      </c>
      <c r="HI68" s="122">
        <v>6370.662</v>
      </c>
      <c r="HJ68" s="122">
        <v>6368.243</v>
      </c>
      <c r="HK68" s="122">
        <v>5019.702</v>
      </c>
      <c r="HL68" s="122">
        <v>6066.755</v>
      </c>
      <c r="HM68" s="98">
        <v>5598.072</v>
      </c>
      <c r="HN68" s="98">
        <v>4204.902</v>
      </c>
      <c r="HO68" s="98">
        <v>7993.285</v>
      </c>
      <c r="HP68" s="122">
        <v>5032.18</v>
      </c>
      <c r="HQ68" s="98">
        <v>9466.78</v>
      </c>
      <c r="HR68" s="122">
        <v>2724.363</v>
      </c>
      <c r="HS68" s="122">
        <v>6963.29</v>
      </c>
      <c r="HT68" s="122">
        <v>6357.06</v>
      </c>
      <c r="HU68" s="122"/>
      <c r="HV68" s="122"/>
      <c r="HW68" s="122"/>
      <c r="HX68" s="122"/>
      <c r="HY68" s="122">
        <f t="shared" si="80"/>
        <v>22149.017</v>
      </c>
      <c r="HZ68" s="122">
        <f t="shared" si="81"/>
        <v>48339.93199999999</v>
      </c>
    </row>
    <row r="69" spans="2:234" ht="15.75">
      <c r="B69" s="105" t="s">
        <v>96</v>
      </c>
      <c r="C69" s="71">
        <v>615</v>
      </c>
      <c r="D69" s="42">
        <v>739</v>
      </c>
      <c r="E69" s="72">
        <v>160</v>
      </c>
      <c r="F69" s="42">
        <v>401</v>
      </c>
      <c r="G69" s="42">
        <v>128.2</v>
      </c>
      <c r="H69" s="42">
        <v>204</v>
      </c>
      <c r="I69" s="76">
        <v>1</v>
      </c>
      <c r="J69" s="43">
        <v>286</v>
      </c>
      <c r="K69" s="15" t="s">
        <v>11</v>
      </c>
      <c r="L69" s="15">
        <v>18</v>
      </c>
      <c r="M69" s="15">
        <v>356</v>
      </c>
      <c r="N69" s="15" t="s">
        <v>16</v>
      </c>
      <c r="O69" s="15" t="s">
        <v>11</v>
      </c>
      <c r="P69" s="15">
        <v>36</v>
      </c>
      <c r="Q69" s="15">
        <v>6</v>
      </c>
      <c r="R69" s="15">
        <v>19</v>
      </c>
      <c r="S69" s="15">
        <v>17</v>
      </c>
      <c r="T69" s="15" t="s">
        <v>11</v>
      </c>
      <c r="U69" s="42">
        <f t="shared" si="82"/>
        <v>739</v>
      </c>
      <c r="V69" s="36" t="s">
        <v>16</v>
      </c>
      <c r="W69" s="43">
        <v>6</v>
      </c>
      <c r="X69" s="15">
        <v>31</v>
      </c>
      <c r="Y69" s="15">
        <v>7</v>
      </c>
      <c r="Z69" s="15">
        <v>5</v>
      </c>
      <c r="AA69" s="15" t="s">
        <v>11</v>
      </c>
      <c r="AB69" s="15">
        <v>36</v>
      </c>
      <c r="AC69" s="15">
        <v>36</v>
      </c>
      <c r="AD69" s="15" t="s">
        <v>11</v>
      </c>
      <c r="AE69" s="15">
        <v>18</v>
      </c>
      <c r="AF69" s="15" t="s">
        <v>11</v>
      </c>
      <c r="AG69" s="15">
        <v>21</v>
      </c>
      <c r="AH69" s="71">
        <f t="shared" si="83"/>
        <v>160</v>
      </c>
      <c r="AI69" s="43">
        <v>17</v>
      </c>
      <c r="AJ69" s="15" t="s">
        <v>11</v>
      </c>
      <c r="AK69" s="15">
        <v>18</v>
      </c>
      <c r="AL69" s="15">
        <v>125</v>
      </c>
      <c r="AM69" s="15">
        <v>60</v>
      </c>
      <c r="AN69" s="15">
        <v>1</v>
      </c>
      <c r="AO69" s="15">
        <v>115</v>
      </c>
      <c r="AP69" s="75" t="s">
        <v>11</v>
      </c>
      <c r="AQ69" s="75" t="s">
        <v>11</v>
      </c>
      <c r="AR69" s="75" t="s">
        <v>11</v>
      </c>
      <c r="AS69" s="75" t="s">
        <v>11</v>
      </c>
      <c r="AT69" s="75">
        <v>65</v>
      </c>
      <c r="AU69" s="71">
        <f t="shared" si="62"/>
        <v>401</v>
      </c>
      <c r="AV69" s="77" t="s">
        <v>11</v>
      </c>
      <c r="AW69" s="15">
        <v>30</v>
      </c>
      <c r="AX69" s="31">
        <v>18</v>
      </c>
      <c r="AY69" s="4"/>
      <c r="AZ69" s="31">
        <v>1</v>
      </c>
      <c r="BA69" s="15">
        <v>26</v>
      </c>
      <c r="BB69" s="4">
        <v>0</v>
      </c>
      <c r="BC69" s="4">
        <v>19</v>
      </c>
      <c r="BD69" s="4">
        <v>0</v>
      </c>
      <c r="BE69" s="4">
        <v>34.2</v>
      </c>
      <c r="BF69" s="4">
        <v>0</v>
      </c>
      <c r="BG69" s="12">
        <v>0</v>
      </c>
      <c r="BH69" s="71">
        <f t="shared" si="63"/>
        <v>128.2</v>
      </c>
      <c r="BI69" s="36" t="s">
        <v>11</v>
      </c>
      <c r="BJ69" s="15">
        <f t="shared" si="84"/>
        <v>35.4</v>
      </c>
      <c r="BK69" s="15">
        <f t="shared" si="64"/>
        <v>0</v>
      </c>
      <c r="BL69" s="15">
        <f t="shared" si="65"/>
        <v>36.6</v>
      </c>
      <c r="BM69" s="15">
        <f t="shared" si="66"/>
        <v>0</v>
      </c>
      <c r="BN69" s="15">
        <f t="shared" si="67"/>
        <v>35.29999999999999</v>
      </c>
      <c r="BO69" s="15">
        <f t="shared" si="68"/>
        <v>3.5</v>
      </c>
      <c r="BP69" s="15">
        <f t="shared" si="69"/>
        <v>31.500000000000036</v>
      </c>
      <c r="BQ69" s="15">
        <f t="shared" si="70"/>
        <v>26</v>
      </c>
      <c r="BR69" s="15">
        <f t="shared" si="71"/>
        <v>36.00000000000001</v>
      </c>
      <c r="BS69" s="15">
        <f t="shared" si="72"/>
        <v>0</v>
      </c>
      <c r="BT69" s="15">
        <f t="shared" si="73"/>
        <v>-0.30000000000001137</v>
      </c>
      <c r="BU69" s="73">
        <f t="shared" si="74"/>
        <v>204</v>
      </c>
      <c r="BV69" s="72">
        <v>35.4</v>
      </c>
      <c r="BW69" s="42">
        <v>35.4</v>
      </c>
      <c r="BX69" s="72">
        <v>72</v>
      </c>
      <c r="BY69" s="71">
        <v>72</v>
      </c>
      <c r="BZ69" s="71">
        <v>107.3</v>
      </c>
      <c r="CA69" s="71">
        <v>110.8</v>
      </c>
      <c r="CB69" s="71">
        <v>142.3</v>
      </c>
      <c r="CC69" s="42">
        <v>168.3</v>
      </c>
      <c r="CD69" s="42">
        <v>204.3</v>
      </c>
      <c r="CE69" s="43">
        <v>204.3</v>
      </c>
      <c r="CF69" s="43">
        <v>204</v>
      </c>
      <c r="CG69" s="43">
        <v>639.4</v>
      </c>
      <c r="CH69" s="119">
        <v>121.2</v>
      </c>
      <c r="CI69" s="124">
        <v>109</v>
      </c>
      <c r="CJ69" s="71">
        <v>72.40899999999999</v>
      </c>
      <c r="CK69" s="71">
        <v>105.8</v>
      </c>
      <c r="CL69" s="122">
        <v>36.092</v>
      </c>
      <c r="CM69" s="122">
        <v>126.95400000000001</v>
      </c>
      <c r="CN69" s="122">
        <v>75.83699999999999</v>
      </c>
      <c r="CO69" s="122">
        <v>306.086</v>
      </c>
      <c r="CP69" s="122">
        <v>110.4</v>
      </c>
      <c r="CQ69" s="122">
        <v>538</v>
      </c>
      <c r="CR69" s="122">
        <v>538</v>
      </c>
      <c r="CS69" s="122">
        <v>541.9</v>
      </c>
      <c r="CT69" s="122">
        <v>541.9</v>
      </c>
      <c r="CU69" s="122">
        <v>597.9</v>
      </c>
      <c r="CV69" s="122">
        <v>597.9</v>
      </c>
      <c r="CW69" s="122">
        <v>597.9</v>
      </c>
      <c r="CX69" s="122">
        <v>615.9</v>
      </c>
      <c r="CY69" s="122">
        <v>621.7</v>
      </c>
      <c r="CZ69" s="122">
        <v>639.4</v>
      </c>
      <c r="DA69" s="122">
        <v>639.4</v>
      </c>
      <c r="DB69" s="122">
        <v>639.4</v>
      </c>
      <c r="DC69" s="122">
        <v>13</v>
      </c>
      <c r="DD69" s="122">
        <v>13</v>
      </c>
      <c r="DE69" s="122">
        <v>13</v>
      </c>
      <c r="DF69" s="122">
        <v>48.7</v>
      </c>
      <c r="DG69" s="122">
        <v>48.7</v>
      </c>
      <c r="DH69" s="122">
        <v>48.7</v>
      </c>
      <c r="DI69" s="122">
        <v>84.5</v>
      </c>
      <c r="DJ69" s="122">
        <v>84.5</v>
      </c>
      <c r="DK69" s="122">
        <v>120.5</v>
      </c>
      <c r="DL69" s="122">
        <v>121.2</v>
      </c>
      <c r="DM69" s="122">
        <v>121.2</v>
      </c>
      <c r="DN69" s="122">
        <v>121.2</v>
      </c>
      <c r="DO69" s="122">
        <v>18</v>
      </c>
      <c r="DP69" s="122">
        <v>19</v>
      </c>
      <c r="DQ69" s="122">
        <v>37</v>
      </c>
      <c r="DR69" s="122">
        <v>70</v>
      </c>
      <c r="DS69" s="122">
        <v>73</v>
      </c>
      <c r="DT69" s="122">
        <v>73</v>
      </c>
      <c r="DU69" s="122">
        <v>91</v>
      </c>
      <c r="DV69" s="122">
        <v>109</v>
      </c>
      <c r="DW69" s="122">
        <v>109</v>
      </c>
      <c r="DX69" s="122">
        <v>109</v>
      </c>
      <c r="DY69" s="122">
        <v>109</v>
      </c>
      <c r="DZ69" s="122"/>
      <c r="EA69" s="122">
        <f t="shared" si="85"/>
        <v>109</v>
      </c>
      <c r="EB69" s="122" t="s">
        <v>11</v>
      </c>
      <c r="EC69" s="122" t="s">
        <v>11</v>
      </c>
      <c r="ED69" s="122" t="s">
        <v>11</v>
      </c>
      <c r="EE69" s="122" t="s">
        <v>11</v>
      </c>
      <c r="EF69" s="122">
        <f>'[1]Feuil2'!$D$42</f>
        <v>18.289</v>
      </c>
      <c r="EG69" s="122">
        <v>0</v>
      </c>
      <c r="EH69" s="122" t="s">
        <v>16</v>
      </c>
      <c r="EI69" s="122">
        <v>0</v>
      </c>
      <c r="EJ69" s="122">
        <v>0</v>
      </c>
      <c r="EK69" s="122">
        <v>36.12</v>
      </c>
      <c r="EL69" s="122">
        <v>0</v>
      </c>
      <c r="EM69" s="122">
        <v>18</v>
      </c>
      <c r="EN69" s="122">
        <f t="shared" si="75"/>
        <v>72.40899999999999</v>
      </c>
      <c r="EO69" s="122">
        <v>0</v>
      </c>
      <c r="EP69" s="122">
        <v>36</v>
      </c>
      <c r="EQ69" s="122">
        <v>0</v>
      </c>
      <c r="ER69" s="122">
        <v>0</v>
      </c>
      <c r="ES69" s="122">
        <v>35.1</v>
      </c>
      <c r="ET69" s="122"/>
      <c r="EU69" s="122"/>
      <c r="EV69" s="122">
        <v>0</v>
      </c>
      <c r="EW69" s="122">
        <v>0</v>
      </c>
      <c r="EX69" s="122">
        <v>0</v>
      </c>
      <c r="EY69" s="122">
        <v>34.7</v>
      </c>
      <c r="EZ69" s="122"/>
      <c r="FA69" s="122">
        <f t="shared" si="76"/>
        <v>105.8</v>
      </c>
      <c r="FB69" s="122" t="s">
        <v>11</v>
      </c>
      <c r="FC69" s="122" t="s">
        <v>11</v>
      </c>
      <c r="FD69" s="122">
        <v>0</v>
      </c>
      <c r="FE69" s="122"/>
      <c r="FF69" s="122">
        <v>0</v>
      </c>
      <c r="FG69" s="122">
        <v>18</v>
      </c>
      <c r="FH69" s="122">
        <v>18.092</v>
      </c>
      <c r="FI69" s="122">
        <v>0</v>
      </c>
      <c r="FJ69" s="122"/>
      <c r="FK69" s="122">
        <v>0</v>
      </c>
      <c r="FL69" s="122">
        <v>0</v>
      </c>
      <c r="FM69" s="122"/>
      <c r="FN69" s="122">
        <f t="shared" si="77"/>
        <v>36.092</v>
      </c>
      <c r="FO69" s="122">
        <v>37.949</v>
      </c>
      <c r="FP69" s="122">
        <v>0</v>
      </c>
      <c r="FQ69" s="122">
        <v>0</v>
      </c>
      <c r="FR69" s="122">
        <v>0</v>
      </c>
      <c r="FS69" s="122">
        <f>'[6]IV5_IV6_Mai'!$D$21</f>
        <v>53.405</v>
      </c>
      <c r="FT69" s="122">
        <v>0</v>
      </c>
      <c r="FU69" s="122">
        <v>0</v>
      </c>
      <c r="FV69" s="122">
        <v>0</v>
      </c>
      <c r="FW69" s="122">
        <v>0</v>
      </c>
      <c r="FX69" s="122">
        <v>0</v>
      </c>
      <c r="FY69" s="122">
        <v>0</v>
      </c>
      <c r="FZ69" s="122">
        <v>35.6</v>
      </c>
      <c r="GA69" s="122">
        <f t="shared" si="78"/>
        <v>126.95400000000001</v>
      </c>
      <c r="GB69" s="122">
        <v>4.116</v>
      </c>
      <c r="GC69" s="122">
        <v>0</v>
      </c>
      <c r="GD69" s="122">
        <v>0.8</v>
      </c>
      <c r="GE69" s="122">
        <v>17.517</v>
      </c>
      <c r="GF69" s="122">
        <v>0</v>
      </c>
      <c r="GG69" s="122">
        <v>0.048</v>
      </c>
      <c r="GH69" s="122">
        <v>17.895</v>
      </c>
      <c r="GI69" s="122"/>
      <c r="GJ69" s="122"/>
      <c r="GK69" s="122"/>
      <c r="GL69" s="122">
        <v>35.461</v>
      </c>
      <c r="GM69" s="122"/>
      <c r="GN69" s="122">
        <f t="shared" si="79"/>
        <v>75.83699999999999</v>
      </c>
      <c r="GO69" s="122"/>
      <c r="GP69" s="122">
        <v>0</v>
      </c>
      <c r="GQ69" s="122"/>
      <c r="GR69" s="122">
        <v>0.011</v>
      </c>
      <c r="GS69" s="122"/>
      <c r="GT69" s="122"/>
      <c r="GU69" s="122">
        <v>7.6</v>
      </c>
      <c r="GV69" s="122">
        <v>26.29</v>
      </c>
      <c r="GW69" s="122">
        <v>13.64</v>
      </c>
      <c r="GX69" s="122"/>
      <c r="GY69" s="122">
        <v>23.095</v>
      </c>
      <c r="GZ69" s="122">
        <v>235.45</v>
      </c>
      <c r="HA69" s="122">
        <v>29.393</v>
      </c>
      <c r="HB69" s="122"/>
      <c r="HC69" s="122"/>
      <c r="HD69" s="122">
        <v>44</v>
      </c>
      <c r="HE69" s="122"/>
      <c r="HF69" s="122"/>
      <c r="HG69" s="122"/>
      <c r="HH69" s="122"/>
      <c r="HI69" s="122"/>
      <c r="HJ69" s="122"/>
      <c r="HK69" s="122">
        <v>17.73</v>
      </c>
      <c r="HL69" s="122">
        <v>19.277</v>
      </c>
      <c r="HM69" s="98"/>
      <c r="HN69" s="98">
        <v>0.099</v>
      </c>
      <c r="HO69" s="98"/>
      <c r="HP69" s="122">
        <v>0</v>
      </c>
      <c r="HQ69" s="98">
        <v>0.007</v>
      </c>
      <c r="HR69" s="122">
        <v>0</v>
      </c>
      <c r="HS69" s="122"/>
      <c r="HT69" s="122"/>
      <c r="HU69" s="122"/>
      <c r="HV69" s="122"/>
      <c r="HW69" s="122"/>
      <c r="HX69" s="122"/>
      <c r="HY69" s="122">
        <f t="shared" si="80"/>
        <v>73.393</v>
      </c>
      <c r="HZ69" s="122">
        <f t="shared" si="81"/>
        <v>0.10600000000000001</v>
      </c>
    </row>
    <row r="70" spans="2:234" ht="15.75">
      <c r="B70" s="105" t="s">
        <v>97</v>
      </c>
      <c r="C70" s="71">
        <v>2428</v>
      </c>
      <c r="D70" s="42">
        <v>3480</v>
      </c>
      <c r="E70" s="72">
        <v>3374</v>
      </c>
      <c r="F70" s="42">
        <v>8006</v>
      </c>
      <c r="G70" s="42">
        <v>2359.7</v>
      </c>
      <c r="H70" s="42">
        <v>3425</v>
      </c>
      <c r="I70" s="43">
        <v>309</v>
      </c>
      <c r="J70" s="43">
        <v>321</v>
      </c>
      <c r="K70" s="15">
        <v>229</v>
      </c>
      <c r="L70" s="15">
        <v>577</v>
      </c>
      <c r="M70" s="15">
        <v>337</v>
      </c>
      <c r="N70" s="15">
        <v>75</v>
      </c>
      <c r="O70" s="15">
        <v>63</v>
      </c>
      <c r="P70" s="15">
        <v>396</v>
      </c>
      <c r="Q70" s="15">
        <v>227</v>
      </c>
      <c r="R70" s="15">
        <v>702</v>
      </c>
      <c r="S70" s="15">
        <v>198</v>
      </c>
      <c r="T70" s="15">
        <v>46</v>
      </c>
      <c r="U70" s="42">
        <v>3480</v>
      </c>
      <c r="V70" s="56">
        <v>173</v>
      </c>
      <c r="W70" s="43">
        <v>13</v>
      </c>
      <c r="X70" s="15">
        <v>53</v>
      </c>
      <c r="Y70" s="15">
        <v>5</v>
      </c>
      <c r="Z70" s="15">
        <v>258</v>
      </c>
      <c r="AA70" s="15">
        <v>514</v>
      </c>
      <c r="AB70" s="15">
        <v>190</v>
      </c>
      <c r="AC70" s="15">
        <v>113</v>
      </c>
      <c r="AD70" s="15">
        <v>32</v>
      </c>
      <c r="AE70" s="15">
        <v>842</v>
      </c>
      <c r="AF70" s="15">
        <v>268</v>
      </c>
      <c r="AG70" s="15">
        <v>913</v>
      </c>
      <c r="AH70" s="71">
        <v>3374</v>
      </c>
      <c r="AI70" s="43">
        <v>213</v>
      </c>
      <c r="AJ70" s="15">
        <v>105</v>
      </c>
      <c r="AK70" s="15">
        <v>811</v>
      </c>
      <c r="AL70" s="15">
        <v>824</v>
      </c>
      <c r="AM70" s="15">
        <v>148</v>
      </c>
      <c r="AN70" s="15">
        <v>547</v>
      </c>
      <c r="AO70" s="15">
        <v>358</v>
      </c>
      <c r="AP70" s="15">
        <v>1511</v>
      </c>
      <c r="AQ70" s="15">
        <v>1695</v>
      </c>
      <c r="AR70" s="15">
        <v>1048</v>
      </c>
      <c r="AS70" s="15">
        <v>605</v>
      </c>
      <c r="AT70" s="15">
        <v>141</v>
      </c>
      <c r="AU70" s="71">
        <v>8006</v>
      </c>
      <c r="AV70" s="42">
        <v>161</v>
      </c>
      <c r="AW70" s="4">
        <v>250</v>
      </c>
      <c r="AX70" s="31">
        <v>811</v>
      </c>
      <c r="AY70" s="4">
        <v>15</v>
      </c>
      <c r="AZ70" s="31">
        <v>369</v>
      </c>
      <c r="BA70" s="4">
        <v>179</v>
      </c>
      <c r="BB70" s="4">
        <v>217.9</v>
      </c>
      <c r="BC70" s="4">
        <v>37.7</v>
      </c>
      <c r="BD70" s="4">
        <v>51.1</v>
      </c>
      <c r="BE70" s="4">
        <v>67.7</v>
      </c>
      <c r="BF70" s="4">
        <v>40.3</v>
      </c>
      <c r="BG70" s="12">
        <v>160</v>
      </c>
      <c r="BH70" s="71">
        <v>2359.7</v>
      </c>
      <c r="BI70" s="36">
        <v>325</v>
      </c>
      <c r="BJ70" s="15">
        <v>235.7</v>
      </c>
      <c r="BK70" s="15">
        <v>239.5</v>
      </c>
      <c r="BL70" s="15">
        <v>521</v>
      </c>
      <c r="BM70" s="15">
        <v>271.8</v>
      </c>
      <c r="BN70" s="15">
        <v>596.3</v>
      </c>
      <c r="BO70" s="15">
        <v>424.1</v>
      </c>
      <c r="BP70" s="15">
        <v>106.4</v>
      </c>
      <c r="BQ70" s="15">
        <v>376.5</v>
      </c>
      <c r="BR70" s="15">
        <v>93.39999999999964</v>
      </c>
      <c r="BS70" s="15">
        <v>82.90000000000009</v>
      </c>
      <c r="BT70" s="15">
        <v>152.4</v>
      </c>
      <c r="BU70" s="73">
        <v>3425</v>
      </c>
      <c r="BV70" s="72">
        <v>560.7</v>
      </c>
      <c r="BW70" s="42">
        <v>800.2</v>
      </c>
      <c r="BX70" s="72">
        <v>1321.2</v>
      </c>
      <c r="BY70" s="71">
        <v>1593</v>
      </c>
      <c r="BZ70" s="71">
        <v>2189.3</v>
      </c>
      <c r="CA70" s="71">
        <v>2613.4</v>
      </c>
      <c r="CB70" s="71">
        <v>2719.8</v>
      </c>
      <c r="CC70" s="71">
        <v>3096.3</v>
      </c>
      <c r="CD70" s="42">
        <v>3189.7</v>
      </c>
      <c r="CE70" s="43">
        <v>3272.6</v>
      </c>
      <c r="CF70" s="43">
        <v>3425</v>
      </c>
      <c r="CG70" s="43">
        <v>2652.9</v>
      </c>
      <c r="CH70" s="119">
        <v>8359</v>
      </c>
      <c r="CI70" s="124">
        <v>23219.4</v>
      </c>
      <c r="CJ70" s="71">
        <v>14000.024000000001</v>
      </c>
      <c r="CK70" s="71">
        <v>15135.342</v>
      </c>
      <c r="CL70" s="122">
        <v>13011.117999999999</v>
      </c>
      <c r="CM70" s="122">
        <v>14839.592958000003</v>
      </c>
      <c r="CN70" s="122">
        <v>12330.390999999998</v>
      </c>
      <c r="CO70" s="122">
        <v>7536.34600000002</v>
      </c>
      <c r="CP70" s="122">
        <v>5276.523</v>
      </c>
      <c r="CQ70" s="122">
        <v>90.9</v>
      </c>
      <c r="CR70" s="122">
        <v>116.3</v>
      </c>
      <c r="CS70" s="122">
        <v>201.3</v>
      </c>
      <c r="CT70" s="122">
        <v>1223.3</v>
      </c>
      <c r="CU70" s="122">
        <v>1308.5</v>
      </c>
      <c r="CV70" s="122">
        <v>1497.5</v>
      </c>
      <c r="CW70" s="122">
        <v>1779.2</v>
      </c>
      <c r="CX70" s="122">
        <v>2261.2</v>
      </c>
      <c r="CY70" s="122">
        <v>2316.9</v>
      </c>
      <c r="CZ70" s="122">
        <v>2398.3</v>
      </c>
      <c r="DA70" s="122">
        <v>2582.5</v>
      </c>
      <c r="DB70" s="122">
        <v>2652.9</v>
      </c>
      <c r="DC70" s="122">
        <v>55.4</v>
      </c>
      <c r="DD70" s="122">
        <v>427.1</v>
      </c>
      <c r="DE70" s="122">
        <v>1379.1</v>
      </c>
      <c r="DF70" s="122">
        <v>2156.9</v>
      </c>
      <c r="DG70" s="122">
        <v>2298.9</v>
      </c>
      <c r="DH70" s="122">
        <v>2707.9</v>
      </c>
      <c r="DI70" s="122">
        <v>5027.4</v>
      </c>
      <c r="DJ70" s="122">
        <v>5744.1</v>
      </c>
      <c r="DK70" s="122">
        <v>6614.6</v>
      </c>
      <c r="DL70" s="122">
        <v>7298.5</v>
      </c>
      <c r="DM70" s="122">
        <v>7571.2</v>
      </c>
      <c r="DN70" s="122">
        <v>8359</v>
      </c>
      <c r="DO70" s="122">
        <v>1453.4</v>
      </c>
      <c r="DP70" s="122">
        <v>1526.7</v>
      </c>
      <c r="DQ70" s="122">
        <v>5614.7</v>
      </c>
      <c r="DR70" s="122">
        <v>6960.8</v>
      </c>
      <c r="DS70" s="122">
        <v>8452</v>
      </c>
      <c r="DT70" s="122">
        <v>9635.1</v>
      </c>
      <c r="DU70" s="122">
        <v>13409.6</v>
      </c>
      <c r="DV70" s="122">
        <v>17119.43</v>
      </c>
      <c r="DW70" s="122">
        <v>20532.7</v>
      </c>
      <c r="DX70" s="122">
        <v>21506.2</v>
      </c>
      <c r="DY70" s="122">
        <v>21943.4</v>
      </c>
      <c r="DZ70" s="122">
        <v>1276</v>
      </c>
      <c r="EA70" s="122">
        <f t="shared" si="85"/>
        <v>23219.4</v>
      </c>
      <c r="EB70" s="122">
        <v>1537</v>
      </c>
      <c r="EC70" s="122">
        <v>185</v>
      </c>
      <c r="ED70" s="122">
        <f>1120+2+15+1+76+1116</f>
        <v>2330</v>
      </c>
      <c r="EE70" s="122">
        <f>1458+1+1+4+17+82</f>
        <v>1563</v>
      </c>
      <c r="EF70" s="122">
        <f>'[1]Feuil2'!$D$15+'[1]Feuil2'!$D$27+'[1]Feuil2'!$D$33</f>
        <v>870.673</v>
      </c>
      <c r="EG70" s="122">
        <f>'[2]Feuil3'!$E$14+'[2]Feuil3'!$E$30+'[2]Feuil3'!$E$31+'[2]Feuil3'!$E$41</f>
        <v>1696.011</v>
      </c>
      <c r="EH70" s="122">
        <f>2+68+0.3+1257+7.4</f>
        <v>1334.7</v>
      </c>
      <c r="EI70" s="122">
        <v>645.1</v>
      </c>
      <c r="EJ70" s="122">
        <v>889.4610000000001</v>
      </c>
      <c r="EK70" s="122">
        <v>225.60899999999995</v>
      </c>
      <c r="EL70" s="122">
        <f>4+744+0.2+0.4+67+430+1+32</f>
        <v>1278.6</v>
      </c>
      <c r="EM70" s="122">
        <f>2+1179.4+0.5+0.47+198+64.5</f>
        <v>1444.8700000000001</v>
      </c>
      <c r="EN70" s="122">
        <f t="shared" si="75"/>
        <v>14000.024000000001</v>
      </c>
      <c r="EO70" s="122">
        <f>321+0.2+1+3+0.2+173</f>
        <v>498.4</v>
      </c>
      <c r="EP70" s="122">
        <f>1289+184+0.2+0.1+2+0.2</f>
        <v>1475.5</v>
      </c>
      <c r="EQ70" s="122">
        <f>0.1+1312+0.2+0.1+66+76+1+51</f>
        <v>1506.3999999999999</v>
      </c>
      <c r="ER70" s="122">
        <f>'[3]avril pays'!$C$4+'[3]avril pays'!$C$9+'[3]avril pays'!$C$14+'[3]avril pays'!$C$19+'[3]avril pays'!$C$30+'[3]avril pays'!$C$32+'[3]avril pays'!$C$33+'[3]avril pays'!$C$45</f>
        <v>998.312</v>
      </c>
      <c r="ES70" s="122">
        <f>0.4+0.2+0.1+147.5+260.9+0.3+0.7+0.4+246.9+8.5+0.1</f>
        <v>666</v>
      </c>
      <c r="ET70" s="122">
        <f>1.1+1.6+828.9+2.2+3.3+0.2</f>
        <v>837.3000000000001</v>
      </c>
      <c r="EU70" s="122">
        <f>1550.7+0.1+0.3+0.5+182.6+0.2+0.3+0.2</f>
        <v>1734.8999999999999</v>
      </c>
      <c r="EV70" s="122">
        <f>0.19+0.23+1826.74+5.52+0.66+0.13+2.37+113.01+141.29+293.28+0.08+0.02+0.16+404.41+0.1+3</f>
        <v>2791.1899999999996</v>
      </c>
      <c r="EW70" s="122">
        <v>1890.64</v>
      </c>
      <c r="EX70" s="122">
        <v>1707.8999999999999</v>
      </c>
      <c r="EY70" s="122">
        <v>369.19999999999993</v>
      </c>
      <c r="EZ70" s="122">
        <f>0.9+510.8+0.6+2.2+1+3.2+0.8+136.1+1+0.5+0.9+1.6</f>
        <v>659.6</v>
      </c>
      <c r="FA70" s="122">
        <f t="shared" si="76"/>
        <v>15135.342</v>
      </c>
      <c r="FB70" s="122">
        <v>1229.379</v>
      </c>
      <c r="FC70" s="122">
        <v>1349.202</v>
      </c>
      <c r="FD70" s="122">
        <f>'[4]IV5-IV6'!$D$6+'[4]IV5-IV6'!$D$17+'[4]IV5-IV6'!$D$18+'[4]IV5-IV6'!$D$21+'[4]IV5-IV6'!$D$24+'[4]IV5-IV6'!$D$34+'[4]IV5-IV6'!$D$36+'[4]IV5-IV6'!$D$37+'[4]IV5-IV6'!$D$49</f>
        <v>1505.2979999999998</v>
      </c>
      <c r="FE70" s="122">
        <f>0.03+0.34+0.39+1227.34+1.02+0.19+109.47+19.5+0.13+0.24+172.5</f>
        <v>1531.15</v>
      </c>
      <c r="FF70" s="122">
        <f>902.7+0.35+9+1.678+112+6+6.795+0.87+1.8</f>
        <v>1041.193</v>
      </c>
      <c r="FG70" s="122">
        <f>8+510.6+0.2+0.2+0.5+17.2+34.1+0.5+4+0.1</f>
        <v>575.4000000000002</v>
      </c>
      <c r="FH70" s="122">
        <v>649.623</v>
      </c>
      <c r="FI70" s="122">
        <v>454.94399999999996</v>
      </c>
      <c r="FJ70" s="122">
        <f>0.2+1.6+1301.3+0.21+0.6+0.6+0.011+106.9+0.2+3.3+14.2</f>
        <v>1429.1209999999999</v>
      </c>
      <c r="FK70" s="122">
        <v>975.4369999999999</v>
      </c>
      <c r="FL70" s="122">
        <v>1594.4080000000001</v>
      </c>
      <c r="FM70" s="122">
        <v>675.963</v>
      </c>
      <c r="FN70" s="122">
        <f t="shared" si="77"/>
        <v>13011.117999999999</v>
      </c>
      <c r="FO70" s="122">
        <v>2294.697958</v>
      </c>
      <c r="FP70" s="122">
        <v>1248.3949999999998</v>
      </c>
      <c r="FQ70" s="122">
        <v>1055.455</v>
      </c>
      <c r="FR70" s="122">
        <f>'[5]IV5-IV6'!$C$4+'[5]IV5-IV6'!$C$5+'[5]IV5-IV6'!$C$7+'[5]IV5-IV6'!$C$8+'[5]IV5-IV6'!$C$9+'[5]IV5-IV6'!$C$10+'[5]IV5-IV6'!$C$12+'[5]IV5-IV6'!$C$13+'[5]IV5-IV6'!$C$14+'[5]IV5-IV6'!$C$15+'[5]IV5-IV6'!$C$18+'[5]IV5-IV6'!$C$20</f>
        <v>275.4920000000001</v>
      </c>
      <c r="FS70" s="122">
        <v>749.695</v>
      </c>
      <c r="FT70" s="122">
        <v>436.19999999999993</v>
      </c>
      <c r="FU70" s="122">
        <v>1560.6619999999966</v>
      </c>
      <c r="FV70" s="122">
        <v>2004.8400000000001</v>
      </c>
      <c r="FW70" s="122">
        <v>1775.8060000000114</v>
      </c>
      <c r="FX70" s="122">
        <v>1278.1000000000004</v>
      </c>
      <c r="FY70" s="122">
        <v>1190.949999999997</v>
      </c>
      <c r="FZ70" s="122">
        <v>969.2999999999969</v>
      </c>
      <c r="GA70" s="122">
        <f t="shared" si="78"/>
        <v>14839.592958000003</v>
      </c>
      <c r="GB70" s="122">
        <v>1372.3359999999998</v>
      </c>
      <c r="GC70" s="122">
        <v>607.383</v>
      </c>
      <c r="GD70" s="122">
        <v>196.89199999999994</v>
      </c>
      <c r="GE70" s="122">
        <v>430.865</v>
      </c>
      <c r="GF70" s="122">
        <v>345.6629999999999</v>
      </c>
      <c r="GG70" s="122">
        <v>1529.2859999999998</v>
      </c>
      <c r="GH70" s="122">
        <v>3035.089</v>
      </c>
      <c r="GI70" s="122">
        <v>2019.749</v>
      </c>
      <c r="GJ70" s="122">
        <v>1476.0579999999998</v>
      </c>
      <c r="GK70" s="122">
        <v>215.48299999999998</v>
      </c>
      <c r="GL70" s="122">
        <v>726.3720000000001</v>
      </c>
      <c r="GM70" s="122">
        <v>372.715</v>
      </c>
      <c r="GN70" s="122">
        <f t="shared" si="79"/>
        <v>12327.890999999998</v>
      </c>
      <c r="GO70" s="122">
        <v>1740.464</v>
      </c>
      <c r="GP70" s="122">
        <v>778.074</v>
      </c>
      <c r="GQ70" s="122">
        <v>1191.8070000000002</v>
      </c>
      <c r="GR70" s="122">
        <v>167.112</v>
      </c>
      <c r="GS70" s="122">
        <v>1434.8</v>
      </c>
      <c r="GT70" s="122">
        <v>448.25399999999996</v>
      </c>
      <c r="GU70" s="122">
        <v>198.87399999999997</v>
      </c>
      <c r="GV70" s="122">
        <v>212.444</v>
      </c>
      <c r="GW70" s="122">
        <v>602.9510000000001</v>
      </c>
      <c r="GX70" s="122">
        <v>253.27400000000006</v>
      </c>
      <c r="GY70" s="122">
        <v>550.8220000000001</v>
      </c>
      <c r="GZ70" s="122">
        <v>78.051</v>
      </c>
      <c r="HA70" s="122">
        <v>160.43</v>
      </c>
      <c r="HB70" s="122">
        <v>175.837</v>
      </c>
      <c r="HC70" s="122">
        <v>213.066</v>
      </c>
      <c r="HD70" s="122">
        <v>704.8030000000001</v>
      </c>
      <c r="HE70" s="122">
        <v>63.931</v>
      </c>
      <c r="HF70" s="122">
        <v>118.38200000000002</v>
      </c>
      <c r="HG70" s="122">
        <v>131.475</v>
      </c>
      <c r="HH70" s="122">
        <v>42.959999999999994</v>
      </c>
      <c r="HI70" s="122">
        <v>1223.907</v>
      </c>
      <c r="HJ70" s="122">
        <v>1374.057</v>
      </c>
      <c r="HK70" s="122">
        <v>688.8950000000001</v>
      </c>
      <c r="HL70" s="122">
        <v>378.78</v>
      </c>
      <c r="HM70" s="98">
        <v>85.408</v>
      </c>
      <c r="HN70" s="98">
        <v>110.35700000000001</v>
      </c>
      <c r="HO70" s="98">
        <v>1023.11</v>
      </c>
      <c r="HP70" s="122">
        <v>119.084</v>
      </c>
      <c r="HQ70" s="98">
        <v>606.6030000000002</v>
      </c>
      <c r="HR70" s="122">
        <v>373.594</v>
      </c>
      <c r="HS70" s="122">
        <v>187.65299999999996</v>
      </c>
      <c r="HT70" s="122">
        <v>1024.569</v>
      </c>
      <c r="HU70" s="122"/>
      <c r="HV70" s="122"/>
      <c r="HW70" s="122"/>
      <c r="HX70" s="122"/>
      <c r="HY70" s="122">
        <f t="shared" si="80"/>
        <v>1610.884</v>
      </c>
      <c r="HZ70" s="122">
        <f t="shared" si="81"/>
        <v>3530.378</v>
      </c>
    </row>
    <row r="71" spans="2:234" ht="10.5" customHeight="1">
      <c r="B71" s="106"/>
      <c r="C71" s="71"/>
      <c r="D71" s="42"/>
      <c r="E71" s="72"/>
      <c r="F71" s="42"/>
      <c r="G71" s="42"/>
      <c r="H71" s="42"/>
      <c r="I71" s="43"/>
      <c r="J71" s="43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42"/>
      <c r="V71" s="56"/>
      <c r="W71" s="43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71"/>
      <c r="AI71" s="43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71"/>
      <c r="AV71" s="56"/>
      <c r="AW71" s="4"/>
      <c r="AX71" s="31"/>
      <c r="AY71" s="4"/>
      <c r="AZ71" s="31"/>
      <c r="BA71" s="4"/>
      <c r="BB71" s="4"/>
      <c r="BC71" s="4"/>
      <c r="BD71" s="4"/>
      <c r="BE71" s="4"/>
      <c r="BF71" s="12"/>
      <c r="BG71" s="12"/>
      <c r="BH71" s="71"/>
      <c r="BI71" s="36"/>
      <c r="BJ71" s="4"/>
      <c r="BK71" s="31"/>
      <c r="BL71" s="4"/>
      <c r="BM71" s="31"/>
      <c r="BN71" s="4"/>
      <c r="BO71" s="4"/>
      <c r="BP71" s="4"/>
      <c r="BQ71" s="4"/>
      <c r="BR71" s="4"/>
      <c r="BS71" s="12"/>
      <c r="BT71" s="12"/>
      <c r="BU71" s="73"/>
      <c r="BV71" s="72"/>
      <c r="BW71" s="42"/>
      <c r="BX71" s="72"/>
      <c r="BY71" s="71"/>
      <c r="BZ71" s="71"/>
      <c r="CA71" s="71"/>
      <c r="CB71" s="71"/>
      <c r="CC71" s="71"/>
      <c r="CD71" s="71"/>
      <c r="CE71" s="43"/>
      <c r="CF71" s="43"/>
      <c r="CG71" s="43"/>
      <c r="CH71" s="72"/>
      <c r="CI71" s="42"/>
      <c r="CJ71" s="124"/>
      <c r="CK71" s="124"/>
      <c r="CL71" s="124"/>
      <c r="CM71" s="125"/>
      <c r="CN71" s="125"/>
      <c r="CO71" s="125"/>
      <c r="CP71" s="125"/>
      <c r="CQ71" s="125"/>
      <c r="CR71" s="124"/>
      <c r="CS71" s="124"/>
      <c r="CT71" s="124"/>
      <c r="CU71" s="124"/>
      <c r="CV71" s="125"/>
      <c r="CW71" s="124"/>
      <c r="CX71" s="124"/>
      <c r="CY71" s="124"/>
      <c r="CZ71" s="124"/>
      <c r="DA71" s="124"/>
      <c r="DB71" s="124"/>
      <c r="DC71" s="124"/>
      <c r="DD71" s="124"/>
      <c r="DE71" s="124"/>
      <c r="DF71" s="125"/>
      <c r="DG71" s="124"/>
      <c r="DH71" s="125"/>
      <c r="DI71" s="124"/>
      <c r="DJ71" s="125"/>
      <c r="DK71" s="124"/>
      <c r="DL71" s="124"/>
      <c r="DM71" s="124"/>
      <c r="DN71" s="124"/>
      <c r="DO71" s="124"/>
      <c r="DP71" s="124"/>
      <c r="DQ71" s="124"/>
      <c r="DR71" s="124"/>
      <c r="DS71" s="124"/>
      <c r="DT71" s="124"/>
      <c r="DU71" s="124"/>
      <c r="DV71" s="124"/>
      <c r="DW71" s="124"/>
      <c r="DX71" s="124"/>
      <c r="DY71" s="124"/>
      <c r="DZ71" s="124"/>
      <c r="EA71" s="124"/>
      <c r="EB71" s="124"/>
      <c r="EC71" s="125"/>
      <c r="ED71" s="125"/>
      <c r="EE71" s="125"/>
      <c r="EF71" s="125"/>
      <c r="EG71" s="125"/>
      <c r="EH71" s="125"/>
      <c r="EI71" s="125"/>
      <c r="EJ71" s="124"/>
      <c r="EK71" s="124"/>
      <c r="EL71" s="125"/>
      <c r="EM71" s="125"/>
      <c r="EN71" s="136"/>
      <c r="EO71" s="124"/>
      <c r="EP71" s="124"/>
      <c r="EQ71" s="124"/>
      <c r="ER71" s="124"/>
      <c r="ES71" s="124"/>
      <c r="ET71" s="124"/>
      <c r="EU71" s="124"/>
      <c r="EV71" s="124"/>
      <c r="EW71" s="124"/>
      <c r="EX71" s="124"/>
      <c r="EY71" s="124"/>
      <c r="EZ71" s="124"/>
      <c r="FA71" s="124"/>
      <c r="FB71" s="123"/>
      <c r="FC71" s="123"/>
      <c r="FD71" s="123"/>
      <c r="FE71" s="123"/>
      <c r="FF71" s="128"/>
      <c r="FG71" s="123"/>
      <c r="FH71" s="123"/>
      <c r="FI71" s="123"/>
      <c r="FJ71" s="123"/>
      <c r="FK71" s="123"/>
      <c r="FL71" s="123"/>
      <c r="FM71" s="123"/>
      <c r="FN71" s="123"/>
      <c r="FO71" s="129"/>
      <c r="FP71" s="126"/>
      <c r="FQ71" s="126"/>
      <c r="FR71" s="126"/>
      <c r="FS71" s="126"/>
      <c r="FT71" s="126"/>
      <c r="FU71" s="126"/>
      <c r="FV71" s="124"/>
      <c r="FW71" s="124"/>
      <c r="FX71" s="124"/>
      <c r="FY71" s="124"/>
      <c r="FZ71" s="124"/>
      <c r="GA71" s="123"/>
      <c r="GB71" s="123"/>
      <c r="GC71" s="123"/>
      <c r="GD71" s="123"/>
      <c r="GE71" s="123"/>
      <c r="GF71" s="123"/>
      <c r="GG71" s="123"/>
      <c r="GH71" s="123"/>
      <c r="GI71" s="123"/>
      <c r="GJ71" s="123"/>
      <c r="GK71" s="123"/>
      <c r="GL71" s="123"/>
      <c r="GM71" s="123"/>
      <c r="GN71" s="123"/>
      <c r="GO71" s="123"/>
      <c r="GP71" s="123"/>
      <c r="GQ71" s="123"/>
      <c r="GR71" s="123"/>
      <c r="GS71" s="123"/>
      <c r="GT71" s="123"/>
      <c r="GU71" s="123"/>
      <c r="GV71" s="123"/>
      <c r="GW71" s="123"/>
      <c r="GX71" s="123"/>
      <c r="GY71" s="123"/>
      <c r="GZ71" s="123"/>
      <c r="HA71" s="123"/>
      <c r="HB71" s="123"/>
      <c r="HC71" s="123"/>
      <c r="HD71" s="123"/>
      <c r="HE71" s="123"/>
      <c r="HF71" s="123"/>
      <c r="HG71" s="123"/>
      <c r="HH71" s="123"/>
      <c r="HI71" s="123"/>
      <c r="HJ71" s="123"/>
      <c r="HK71" s="123"/>
      <c r="HL71" s="123"/>
      <c r="HM71" s="123"/>
      <c r="HN71" s="123"/>
      <c r="HO71" s="123"/>
      <c r="HP71" s="123"/>
      <c r="HQ71" s="142"/>
      <c r="HR71" s="123"/>
      <c r="HS71" s="123"/>
      <c r="HT71" s="123"/>
      <c r="HU71" s="123"/>
      <c r="HV71" s="123"/>
      <c r="HW71" s="123"/>
      <c r="HX71" s="123"/>
      <c r="HY71" s="124"/>
      <c r="HZ71" s="124"/>
    </row>
    <row r="72" spans="2:234" ht="15.75">
      <c r="B72" s="107" t="s">
        <v>98</v>
      </c>
      <c r="C72" s="58">
        <f>SUM(C74:C76)</f>
        <v>4000</v>
      </c>
      <c r="D72" s="58">
        <f>SUM(D74:D76)</f>
        <v>1749</v>
      </c>
      <c r="E72" s="60">
        <f>SUM(E74:E76)</f>
        <v>1771</v>
      </c>
      <c r="F72" s="60">
        <f aca="true" t="shared" si="86" ref="F72:BI72">SUM(F74:F76)</f>
        <v>4133</v>
      </c>
      <c r="G72" s="60">
        <f t="shared" si="86"/>
        <v>5829.5</v>
      </c>
      <c r="H72" s="60">
        <f t="shared" si="86"/>
        <v>5522</v>
      </c>
      <c r="I72" s="60">
        <f t="shared" si="86"/>
        <v>81</v>
      </c>
      <c r="J72" s="60">
        <f t="shared" si="86"/>
        <v>63</v>
      </c>
      <c r="K72" s="60">
        <f t="shared" si="86"/>
        <v>116</v>
      </c>
      <c r="L72" s="60">
        <f t="shared" si="86"/>
        <v>150</v>
      </c>
      <c r="M72" s="60">
        <f t="shared" si="86"/>
        <v>183</v>
      </c>
      <c r="N72" s="60">
        <f t="shared" si="86"/>
        <v>256</v>
      </c>
      <c r="O72" s="60">
        <f t="shared" si="86"/>
        <v>181</v>
      </c>
      <c r="P72" s="60">
        <f t="shared" si="86"/>
        <v>248</v>
      </c>
      <c r="Q72" s="60">
        <f t="shared" si="86"/>
        <v>97</v>
      </c>
      <c r="R72" s="60">
        <f t="shared" si="86"/>
        <v>96</v>
      </c>
      <c r="S72" s="60">
        <f t="shared" si="86"/>
        <v>136</v>
      </c>
      <c r="T72" s="60">
        <f t="shared" si="86"/>
        <v>142</v>
      </c>
      <c r="U72" s="60">
        <f t="shared" si="86"/>
        <v>1749</v>
      </c>
      <c r="V72" s="60">
        <f t="shared" si="86"/>
        <v>91</v>
      </c>
      <c r="W72" s="60">
        <f t="shared" si="86"/>
        <v>144</v>
      </c>
      <c r="X72" s="60">
        <f t="shared" si="86"/>
        <v>216</v>
      </c>
      <c r="Y72" s="60">
        <f t="shared" si="86"/>
        <v>108</v>
      </c>
      <c r="Z72" s="60">
        <f t="shared" si="86"/>
        <v>140</v>
      </c>
      <c r="AA72" s="60">
        <f t="shared" si="86"/>
        <v>117</v>
      </c>
      <c r="AB72" s="60">
        <f t="shared" si="86"/>
        <v>123</v>
      </c>
      <c r="AC72" s="60">
        <f t="shared" si="86"/>
        <v>195</v>
      </c>
      <c r="AD72" s="60">
        <f t="shared" si="86"/>
        <v>219</v>
      </c>
      <c r="AE72" s="60">
        <f t="shared" si="86"/>
        <v>186</v>
      </c>
      <c r="AF72" s="60">
        <f t="shared" si="86"/>
        <v>111</v>
      </c>
      <c r="AG72" s="60">
        <f t="shared" si="86"/>
        <v>121</v>
      </c>
      <c r="AH72" s="60">
        <f t="shared" si="86"/>
        <v>1771</v>
      </c>
      <c r="AI72" s="60">
        <f t="shared" si="86"/>
        <v>72</v>
      </c>
      <c r="AJ72" s="60">
        <f t="shared" si="86"/>
        <v>75</v>
      </c>
      <c r="AK72" s="60">
        <f t="shared" si="86"/>
        <v>624</v>
      </c>
      <c r="AL72" s="60">
        <f t="shared" si="86"/>
        <v>243</v>
      </c>
      <c r="AM72" s="60">
        <f t="shared" si="86"/>
        <v>87</v>
      </c>
      <c r="AN72" s="60">
        <f t="shared" si="86"/>
        <v>279</v>
      </c>
      <c r="AO72" s="60">
        <f t="shared" si="86"/>
        <v>882</v>
      </c>
      <c r="AP72" s="60">
        <f t="shared" si="86"/>
        <v>1060</v>
      </c>
      <c r="AQ72" s="60">
        <f t="shared" si="86"/>
        <v>173</v>
      </c>
      <c r="AR72" s="60">
        <f t="shared" si="86"/>
        <v>321</v>
      </c>
      <c r="AS72" s="60">
        <f t="shared" si="86"/>
        <v>78</v>
      </c>
      <c r="AT72" s="60">
        <f t="shared" si="86"/>
        <v>239</v>
      </c>
      <c r="AU72" s="60">
        <f t="shared" si="86"/>
        <v>4133</v>
      </c>
      <c r="AV72" s="60">
        <f t="shared" si="86"/>
        <v>145</v>
      </c>
      <c r="AW72" s="60">
        <f t="shared" si="86"/>
        <v>81</v>
      </c>
      <c r="AX72" s="60">
        <f t="shared" si="86"/>
        <v>624</v>
      </c>
      <c r="AY72" s="60">
        <f t="shared" si="86"/>
        <v>292</v>
      </c>
      <c r="AZ72" s="60">
        <f t="shared" si="86"/>
        <v>352</v>
      </c>
      <c r="BA72" s="60">
        <f t="shared" si="86"/>
        <v>232</v>
      </c>
      <c r="BB72" s="60">
        <f t="shared" si="86"/>
        <v>1209.8</v>
      </c>
      <c r="BC72" s="60">
        <f t="shared" si="86"/>
        <v>421.70000000000005</v>
      </c>
      <c r="BD72" s="60">
        <f t="shared" si="86"/>
        <v>429.8</v>
      </c>
      <c r="BE72" s="60">
        <f t="shared" si="86"/>
        <v>893.3000000000001</v>
      </c>
      <c r="BF72" s="60">
        <f t="shared" si="86"/>
        <v>576.9</v>
      </c>
      <c r="BG72" s="60">
        <f t="shared" si="86"/>
        <v>572</v>
      </c>
      <c r="BH72" s="60">
        <f t="shared" si="86"/>
        <v>5829.5</v>
      </c>
      <c r="BI72" s="60">
        <f t="shared" si="86"/>
        <v>321.8</v>
      </c>
      <c r="BJ72" s="58">
        <f aca="true" t="shared" si="87" ref="BJ72:BT72">SUM(BJ74:BJ76)</f>
        <v>617.7</v>
      </c>
      <c r="BK72" s="58">
        <f t="shared" si="87"/>
        <v>1089</v>
      </c>
      <c r="BL72" s="58">
        <f t="shared" si="87"/>
        <v>248.9999999999999</v>
      </c>
      <c r="BM72" s="58">
        <f t="shared" si="87"/>
        <v>223.5</v>
      </c>
      <c r="BN72" s="58">
        <f t="shared" si="87"/>
        <v>436.39999999999975</v>
      </c>
      <c r="BO72" s="58">
        <f t="shared" si="87"/>
        <v>281.70000000000016</v>
      </c>
      <c r="BP72" s="58">
        <f t="shared" si="87"/>
        <v>654.3999999999999</v>
      </c>
      <c r="BQ72" s="58">
        <f t="shared" si="87"/>
        <v>375.29999999999984</v>
      </c>
      <c r="BR72" s="58">
        <f t="shared" si="87"/>
        <v>208.7000000000003</v>
      </c>
      <c r="BS72" s="58">
        <f t="shared" si="87"/>
        <v>666.9000000000001</v>
      </c>
      <c r="BT72" s="60">
        <f t="shared" si="87"/>
        <v>397.39999999999964</v>
      </c>
      <c r="BU72" s="60">
        <f>SUM(BI72:BT72)</f>
        <v>5521.800000000001</v>
      </c>
      <c r="BV72" s="58">
        <f aca="true" t="shared" si="88" ref="BV72:CF72">SUM(BV74:BV76)</f>
        <v>939.5</v>
      </c>
      <c r="BW72" s="58">
        <f t="shared" si="88"/>
        <v>2028.5</v>
      </c>
      <c r="BX72" s="58">
        <f t="shared" si="88"/>
        <v>2277.5</v>
      </c>
      <c r="BY72" s="58">
        <f t="shared" si="88"/>
        <v>2501</v>
      </c>
      <c r="BZ72" s="58">
        <f t="shared" si="88"/>
        <v>2937.3999999999996</v>
      </c>
      <c r="CA72" s="58">
        <f t="shared" si="88"/>
        <v>3219.1</v>
      </c>
      <c r="CB72" s="58">
        <f t="shared" si="88"/>
        <v>3873.5</v>
      </c>
      <c r="CC72" s="58">
        <f t="shared" si="88"/>
        <v>4248.799999999999</v>
      </c>
      <c r="CD72" s="58">
        <f t="shared" si="88"/>
        <v>4457.5</v>
      </c>
      <c r="CE72" s="58">
        <f t="shared" si="88"/>
        <v>5124.4</v>
      </c>
      <c r="CF72" s="58">
        <f t="shared" si="88"/>
        <v>5521.8</v>
      </c>
      <c r="CG72" s="58">
        <v>5038.6</v>
      </c>
      <c r="CH72" s="60">
        <f>SUM(CH74:CH76)</f>
        <v>3160.2000000000003</v>
      </c>
      <c r="CI72" s="58">
        <f aca="true" t="shared" si="89" ref="CI72:EW72">SUM(CI74:CI76)</f>
        <v>11657.500000000002</v>
      </c>
      <c r="CJ72" s="141">
        <f t="shared" si="89"/>
        <v>7621.599999999999</v>
      </c>
      <c r="CK72" s="141">
        <f t="shared" si="89"/>
        <v>27668.428</v>
      </c>
      <c r="CL72" s="145">
        <f t="shared" si="89"/>
        <v>33835.185000000005</v>
      </c>
      <c r="CM72" s="145">
        <f t="shared" si="89"/>
        <v>13667.185</v>
      </c>
      <c r="CN72" s="145">
        <f t="shared" si="89"/>
        <v>14696.524000000001</v>
      </c>
      <c r="CO72" s="145">
        <f t="shared" si="89"/>
        <v>12621.971</v>
      </c>
      <c r="CP72" s="145">
        <f t="shared" si="89"/>
        <v>9721.726</v>
      </c>
      <c r="CQ72" s="145">
        <f t="shared" si="89"/>
        <v>572.9000000000001</v>
      </c>
      <c r="CR72" s="145">
        <f t="shared" si="89"/>
        <v>685.3000000000001</v>
      </c>
      <c r="CS72" s="145">
        <f t="shared" si="89"/>
        <v>772.9</v>
      </c>
      <c r="CT72" s="145">
        <f t="shared" si="89"/>
        <v>949.3</v>
      </c>
      <c r="CU72" s="145">
        <f t="shared" si="89"/>
        <v>1136.2</v>
      </c>
      <c r="CV72" s="145">
        <f t="shared" si="89"/>
        <v>2333.5</v>
      </c>
      <c r="CW72" s="145">
        <f t="shared" si="89"/>
        <v>3699.7</v>
      </c>
      <c r="CX72" s="145">
        <f t="shared" si="89"/>
        <v>4184</v>
      </c>
      <c r="CY72" s="145">
        <f t="shared" si="89"/>
        <v>4384.5</v>
      </c>
      <c r="CZ72" s="145">
        <f t="shared" si="89"/>
        <v>4633.799999999999</v>
      </c>
      <c r="DA72" s="145">
        <f t="shared" si="89"/>
        <v>4845.7</v>
      </c>
      <c r="DB72" s="145">
        <f t="shared" si="89"/>
        <v>5038.6</v>
      </c>
      <c r="DC72" s="145">
        <f t="shared" si="89"/>
        <v>400.2</v>
      </c>
      <c r="DD72" s="145">
        <f t="shared" si="89"/>
        <v>806.4</v>
      </c>
      <c r="DE72" s="145">
        <f t="shared" si="89"/>
        <v>1232.2</v>
      </c>
      <c r="DF72" s="145">
        <f t="shared" si="89"/>
        <v>1385.2</v>
      </c>
      <c r="DG72" s="145">
        <f t="shared" si="89"/>
        <v>1786.6</v>
      </c>
      <c r="DH72" s="145">
        <f t="shared" si="89"/>
        <v>2035.5</v>
      </c>
      <c r="DI72" s="145">
        <f t="shared" si="89"/>
        <v>2273.6000000000004</v>
      </c>
      <c r="DJ72" s="145">
        <f t="shared" si="89"/>
        <v>2349.9</v>
      </c>
      <c r="DK72" s="145">
        <f t="shared" si="89"/>
        <v>2517.4</v>
      </c>
      <c r="DL72" s="145">
        <f t="shared" si="89"/>
        <v>2831</v>
      </c>
      <c r="DM72" s="145">
        <f t="shared" si="89"/>
        <v>2968.3</v>
      </c>
      <c r="DN72" s="145">
        <f t="shared" si="89"/>
        <v>3160.2000000000003</v>
      </c>
      <c r="DO72" s="145">
        <f t="shared" si="89"/>
        <v>358.9</v>
      </c>
      <c r="DP72" s="145">
        <f t="shared" si="89"/>
        <v>3574.8</v>
      </c>
      <c r="DQ72" s="145">
        <f t="shared" si="89"/>
        <v>3682</v>
      </c>
      <c r="DR72" s="145">
        <f t="shared" si="89"/>
        <v>3903.6</v>
      </c>
      <c r="DS72" s="145">
        <f t="shared" si="89"/>
        <v>4119.9</v>
      </c>
      <c r="DT72" s="145">
        <f t="shared" si="89"/>
        <v>4213.5</v>
      </c>
      <c r="DU72" s="145">
        <f t="shared" si="89"/>
        <v>4319.2</v>
      </c>
      <c r="DV72" s="145">
        <f t="shared" si="89"/>
        <v>4632.2</v>
      </c>
      <c r="DW72" s="145">
        <f t="shared" si="89"/>
        <v>10899.100000000002</v>
      </c>
      <c r="DX72" s="145">
        <f t="shared" si="89"/>
        <v>11561.500000000002</v>
      </c>
      <c r="DY72" s="145">
        <f t="shared" si="89"/>
        <v>11593.500000000002</v>
      </c>
      <c r="DZ72" s="145">
        <f t="shared" si="89"/>
        <v>64</v>
      </c>
      <c r="EA72" s="145">
        <f t="shared" si="89"/>
        <v>11657.500000000002</v>
      </c>
      <c r="EB72" s="145">
        <f t="shared" si="89"/>
        <v>2661</v>
      </c>
      <c r="EC72" s="145">
        <f t="shared" si="89"/>
        <v>311</v>
      </c>
      <c r="ED72" s="145">
        <f t="shared" si="89"/>
        <v>270</v>
      </c>
      <c r="EE72" s="145">
        <f t="shared" si="89"/>
        <v>116</v>
      </c>
      <c r="EF72" s="145">
        <f t="shared" si="89"/>
        <v>94.937</v>
      </c>
      <c r="EG72" s="145">
        <f t="shared" si="89"/>
        <v>132.925</v>
      </c>
      <c r="EH72" s="145">
        <f t="shared" si="89"/>
        <v>158.2</v>
      </c>
      <c r="EI72" s="145">
        <f t="shared" si="89"/>
        <v>410</v>
      </c>
      <c r="EJ72" s="145">
        <f t="shared" si="89"/>
        <v>362.336</v>
      </c>
      <c r="EK72" s="145">
        <f t="shared" si="89"/>
        <v>730.4119999999999</v>
      </c>
      <c r="EL72" s="145">
        <f t="shared" si="89"/>
        <v>1222.79</v>
      </c>
      <c r="EM72" s="145">
        <f t="shared" si="89"/>
        <v>1152</v>
      </c>
      <c r="EN72" s="145">
        <f t="shared" si="89"/>
        <v>7621.599999999999</v>
      </c>
      <c r="EO72" s="145">
        <f t="shared" si="89"/>
        <v>246.1</v>
      </c>
      <c r="EP72" s="145">
        <f t="shared" si="89"/>
        <v>335</v>
      </c>
      <c r="EQ72" s="145">
        <f t="shared" si="89"/>
        <v>304</v>
      </c>
      <c r="ER72" s="145">
        <f t="shared" si="89"/>
        <v>537.399</v>
      </c>
      <c r="ES72" s="145">
        <f t="shared" si="89"/>
        <v>1532.7</v>
      </c>
      <c r="ET72" s="145">
        <f t="shared" si="89"/>
        <v>1240.4</v>
      </c>
      <c r="EU72" s="145">
        <f t="shared" si="89"/>
        <v>356.9</v>
      </c>
      <c r="EV72" s="145">
        <f t="shared" si="89"/>
        <v>940.0099999999999</v>
      </c>
      <c r="EW72" s="145">
        <f t="shared" si="89"/>
        <v>3619.455</v>
      </c>
      <c r="EX72" s="145">
        <f aca="true" t="shared" si="90" ref="EX72:HY72">SUM(EX74:EX76)</f>
        <v>4372.164</v>
      </c>
      <c r="EY72" s="145">
        <f t="shared" si="90"/>
        <v>5923.5</v>
      </c>
      <c r="EZ72" s="145">
        <f t="shared" si="90"/>
        <v>8260.8</v>
      </c>
      <c r="FA72" s="145">
        <f t="shared" si="90"/>
        <v>27668.428</v>
      </c>
      <c r="FB72" s="145">
        <f t="shared" si="90"/>
        <v>1824.8</v>
      </c>
      <c r="FC72" s="145">
        <f t="shared" si="90"/>
        <v>5034.865</v>
      </c>
      <c r="FD72" s="145">
        <f t="shared" si="90"/>
        <v>303.959</v>
      </c>
      <c r="FE72" s="145">
        <f t="shared" si="90"/>
        <v>6266.58</v>
      </c>
      <c r="FF72" s="145">
        <f t="shared" si="90"/>
        <v>4940.709000000001</v>
      </c>
      <c r="FG72" s="145">
        <f t="shared" si="90"/>
        <v>3048.6</v>
      </c>
      <c r="FH72" s="145">
        <f t="shared" si="90"/>
        <v>787.5619999999999</v>
      </c>
      <c r="FI72" s="145">
        <f t="shared" si="90"/>
        <v>2391.7690000000002</v>
      </c>
      <c r="FJ72" s="145">
        <f t="shared" si="90"/>
        <v>2336.2</v>
      </c>
      <c r="FK72" s="145">
        <f t="shared" si="90"/>
        <v>2636.406</v>
      </c>
      <c r="FL72" s="145">
        <f t="shared" si="90"/>
        <v>1797.7259999999999</v>
      </c>
      <c r="FM72" s="145">
        <f t="shared" si="90"/>
        <v>2466.009</v>
      </c>
      <c r="FN72" s="145">
        <f t="shared" si="90"/>
        <v>33835.185000000005</v>
      </c>
      <c r="FO72" s="145">
        <f t="shared" si="90"/>
        <v>226.765</v>
      </c>
      <c r="FP72" s="145">
        <f t="shared" si="90"/>
        <v>461.614</v>
      </c>
      <c r="FQ72" s="145">
        <f t="shared" si="90"/>
        <v>878.366</v>
      </c>
      <c r="FR72" s="145">
        <f t="shared" si="90"/>
        <v>458.62</v>
      </c>
      <c r="FS72" s="145">
        <f t="shared" si="90"/>
        <v>3919.888</v>
      </c>
      <c r="FT72" s="145">
        <f t="shared" si="90"/>
        <v>422.8</v>
      </c>
      <c r="FU72" s="145">
        <f t="shared" si="90"/>
        <v>580.446</v>
      </c>
      <c r="FV72" s="145">
        <f t="shared" si="90"/>
        <v>2276.091</v>
      </c>
      <c r="FW72" s="145">
        <f t="shared" si="90"/>
        <v>416.446</v>
      </c>
      <c r="FX72" s="145">
        <f t="shared" si="90"/>
        <v>571.1</v>
      </c>
      <c r="FY72" s="145">
        <f t="shared" si="90"/>
        <v>905.149</v>
      </c>
      <c r="FZ72" s="145">
        <f t="shared" si="90"/>
        <v>2549.8999999999996</v>
      </c>
      <c r="GA72" s="145">
        <f t="shared" si="90"/>
        <v>13667.185</v>
      </c>
      <c r="GB72" s="145">
        <f t="shared" si="90"/>
        <v>1812.752</v>
      </c>
      <c r="GC72" s="145">
        <f t="shared" si="90"/>
        <v>2050.129</v>
      </c>
      <c r="GD72" s="145">
        <f t="shared" si="90"/>
        <v>1378.9279999999999</v>
      </c>
      <c r="GE72" s="145">
        <f t="shared" si="90"/>
        <v>1266.0149999999999</v>
      </c>
      <c r="GF72" s="145">
        <f t="shared" si="90"/>
        <v>1587.399</v>
      </c>
      <c r="GG72" s="145">
        <f t="shared" si="90"/>
        <v>841.094</v>
      </c>
      <c r="GH72" s="145">
        <f t="shared" si="90"/>
        <v>458.796</v>
      </c>
      <c r="GI72" s="145">
        <f t="shared" si="90"/>
        <v>409.037</v>
      </c>
      <c r="GJ72" s="145">
        <f t="shared" si="90"/>
        <v>1260.6779999999999</v>
      </c>
      <c r="GK72" s="145">
        <f t="shared" si="90"/>
        <v>2683.739</v>
      </c>
      <c r="GL72" s="145">
        <f t="shared" si="90"/>
        <v>479.017</v>
      </c>
      <c r="GM72" s="145">
        <f t="shared" si="90"/>
        <v>468.37399999999997</v>
      </c>
      <c r="GN72" s="145">
        <f t="shared" si="90"/>
        <v>14695.958</v>
      </c>
      <c r="GO72" s="145">
        <f t="shared" si="90"/>
        <v>894.972</v>
      </c>
      <c r="GP72" s="145">
        <f t="shared" si="90"/>
        <v>2179.7980000000002</v>
      </c>
      <c r="GQ72" s="145">
        <f t="shared" si="90"/>
        <v>257.668</v>
      </c>
      <c r="GR72" s="145">
        <f t="shared" si="90"/>
        <v>2373.019</v>
      </c>
      <c r="GS72" s="145">
        <f t="shared" si="90"/>
        <v>583.416</v>
      </c>
      <c r="GT72" s="145">
        <f t="shared" si="90"/>
        <v>590.1020000000001</v>
      </c>
      <c r="GU72" s="145">
        <f t="shared" si="90"/>
        <v>2551.234</v>
      </c>
      <c r="GV72" s="145">
        <f t="shared" si="90"/>
        <v>3111.834</v>
      </c>
      <c r="GW72" s="145">
        <f t="shared" si="90"/>
        <v>203.442</v>
      </c>
      <c r="GX72" s="145">
        <f t="shared" si="90"/>
        <v>1431.535</v>
      </c>
      <c r="GY72" s="145">
        <f t="shared" si="90"/>
        <v>543.375</v>
      </c>
      <c r="GZ72" s="145">
        <f t="shared" si="90"/>
        <v>631.9549999999999</v>
      </c>
      <c r="HA72" s="145">
        <f t="shared" si="90"/>
        <v>260.89</v>
      </c>
      <c r="HB72" s="145">
        <f t="shared" si="90"/>
        <v>251.624</v>
      </c>
      <c r="HC72" s="145">
        <f t="shared" si="90"/>
        <v>222.029</v>
      </c>
      <c r="HD72" s="145">
        <f t="shared" si="90"/>
        <v>417.72</v>
      </c>
      <c r="HE72" s="145">
        <f t="shared" si="90"/>
        <v>410.37899999999996</v>
      </c>
      <c r="HF72" s="145">
        <f t="shared" si="90"/>
        <v>248.429</v>
      </c>
      <c r="HG72" s="145">
        <f t="shared" si="90"/>
        <v>229.23399999999998</v>
      </c>
      <c r="HH72" s="145">
        <f t="shared" si="90"/>
        <v>2293.0799999999995</v>
      </c>
      <c r="HI72" s="145">
        <f t="shared" si="90"/>
        <v>3677.099</v>
      </c>
      <c r="HJ72" s="145">
        <f t="shared" si="90"/>
        <v>702.548</v>
      </c>
      <c r="HK72" s="145">
        <f t="shared" si="90"/>
        <v>600.497</v>
      </c>
      <c r="HL72" s="145">
        <f t="shared" si="90"/>
        <v>408.19700000000006</v>
      </c>
      <c r="HM72" s="145">
        <f t="shared" si="90"/>
        <v>2479.501</v>
      </c>
      <c r="HN72" s="145">
        <f t="shared" si="90"/>
        <v>1065.936</v>
      </c>
      <c r="HO72" s="145">
        <f t="shared" si="90"/>
        <v>2126.5860000000002</v>
      </c>
      <c r="HP72" s="145">
        <f t="shared" si="90"/>
        <v>3234.2299999999996</v>
      </c>
      <c r="HQ72" s="143">
        <f t="shared" si="90"/>
        <v>291.06899999999996</v>
      </c>
      <c r="HR72" s="145">
        <f t="shared" si="90"/>
        <v>943.305</v>
      </c>
      <c r="HS72" s="145">
        <f t="shared" si="90"/>
        <v>6422.865</v>
      </c>
      <c r="HT72" s="145">
        <f t="shared" si="90"/>
        <v>3758.648</v>
      </c>
      <c r="HU72" s="145">
        <f t="shared" si="90"/>
        <v>0</v>
      </c>
      <c r="HV72" s="145">
        <f t="shared" si="90"/>
        <v>0</v>
      </c>
      <c r="HW72" s="145">
        <f t="shared" si="90"/>
        <v>0</v>
      </c>
      <c r="HX72" s="145">
        <f t="shared" si="90"/>
        <v>0</v>
      </c>
      <c r="HY72" s="145">
        <f t="shared" si="90"/>
        <v>4333.385</v>
      </c>
      <c r="HZ72" s="145">
        <f>SUM(HZ74:IV76)</f>
        <v>20322.14</v>
      </c>
    </row>
    <row r="73" spans="2:234" ht="10.5" customHeight="1">
      <c r="B73" s="107"/>
      <c r="C73" s="71"/>
      <c r="D73" s="42"/>
      <c r="E73" s="72"/>
      <c r="F73" s="42"/>
      <c r="G73" s="42"/>
      <c r="H73" s="42"/>
      <c r="I73" s="43"/>
      <c r="J73" s="43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42"/>
      <c r="V73" s="56"/>
      <c r="W73" s="43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71"/>
      <c r="AI73" s="43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71"/>
      <c r="AV73" s="56"/>
      <c r="AW73" s="4"/>
      <c r="AX73" s="31"/>
      <c r="AY73" s="4"/>
      <c r="AZ73" s="31"/>
      <c r="BA73" s="4"/>
      <c r="BB73" s="4"/>
      <c r="BC73" s="4"/>
      <c r="BD73" s="4"/>
      <c r="BE73" s="4"/>
      <c r="BF73" s="12"/>
      <c r="BG73" s="12"/>
      <c r="BH73" s="71"/>
      <c r="BI73" s="36"/>
      <c r="BJ73" s="4"/>
      <c r="BK73" s="31"/>
      <c r="BL73" s="4"/>
      <c r="BM73" s="31"/>
      <c r="BN73" s="4"/>
      <c r="BO73" s="4"/>
      <c r="BP73" s="4"/>
      <c r="BQ73" s="4"/>
      <c r="BR73" s="4"/>
      <c r="BS73" s="12"/>
      <c r="BT73" s="12"/>
      <c r="BU73" s="73"/>
      <c r="BV73" s="72"/>
      <c r="BW73" s="42"/>
      <c r="BX73" s="72"/>
      <c r="BY73" s="71"/>
      <c r="BZ73" s="71"/>
      <c r="CA73" s="71"/>
      <c r="CB73" s="71"/>
      <c r="CC73" s="71"/>
      <c r="CD73" s="71"/>
      <c r="CE73" s="43"/>
      <c r="CF73" s="43"/>
      <c r="CG73" s="43"/>
      <c r="CH73" s="72"/>
      <c r="CI73" s="42"/>
      <c r="CJ73" s="124"/>
      <c r="CK73" s="124"/>
      <c r="CL73" s="124"/>
      <c r="CM73" s="125"/>
      <c r="CN73" s="125"/>
      <c r="CO73" s="125"/>
      <c r="CP73" s="125"/>
      <c r="CQ73" s="125"/>
      <c r="CR73" s="124"/>
      <c r="CS73" s="124"/>
      <c r="CT73" s="124"/>
      <c r="CU73" s="124"/>
      <c r="CV73" s="125"/>
      <c r="CW73" s="124"/>
      <c r="CX73" s="124"/>
      <c r="CY73" s="124"/>
      <c r="CZ73" s="124"/>
      <c r="DA73" s="124"/>
      <c r="DB73" s="124"/>
      <c r="DC73" s="124"/>
      <c r="DD73" s="124"/>
      <c r="DE73" s="124"/>
      <c r="DF73" s="125"/>
      <c r="DG73" s="124"/>
      <c r="DH73" s="125"/>
      <c r="DI73" s="124"/>
      <c r="DJ73" s="125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5"/>
      <c r="ED73" s="125"/>
      <c r="EE73" s="125"/>
      <c r="EF73" s="125"/>
      <c r="EG73" s="125"/>
      <c r="EH73" s="125"/>
      <c r="EI73" s="125"/>
      <c r="EJ73" s="124"/>
      <c r="EK73" s="124"/>
      <c r="EL73" s="125"/>
      <c r="EM73" s="125"/>
      <c r="EN73" s="136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3"/>
      <c r="FC73" s="123"/>
      <c r="FD73" s="123"/>
      <c r="FE73" s="123"/>
      <c r="FF73" s="128"/>
      <c r="FG73" s="123"/>
      <c r="FH73" s="123"/>
      <c r="FI73" s="123"/>
      <c r="FJ73" s="123"/>
      <c r="FK73" s="123"/>
      <c r="FL73" s="123"/>
      <c r="FM73" s="123"/>
      <c r="FN73" s="123"/>
      <c r="FO73" s="129"/>
      <c r="FP73" s="126"/>
      <c r="FQ73" s="126"/>
      <c r="FR73" s="126"/>
      <c r="FS73" s="126"/>
      <c r="FT73" s="126"/>
      <c r="FU73" s="126"/>
      <c r="FV73" s="124"/>
      <c r="FW73" s="124"/>
      <c r="FX73" s="124"/>
      <c r="FY73" s="124"/>
      <c r="FZ73" s="124"/>
      <c r="GA73" s="123"/>
      <c r="GB73" s="123"/>
      <c r="GC73" s="123"/>
      <c r="GD73" s="123"/>
      <c r="GE73" s="123"/>
      <c r="GF73" s="123"/>
      <c r="GG73" s="123"/>
      <c r="GH73" s="123"/>
      <c r="GI73" s="123"/>
      <c r="GJ73" s="123"/>
      <c r="GK73" s="123"/>
      <c r="GL73" s="123"/>
      <c r="GM73" s="123"/>
      <c r="GN73" s="123"/>
      <c r="GO73" s="123"/>
      <c r="GP73" s="123"/>
      <c r="GQ73" s="123"/>
      <c r="GR73" s="123"/>
      <c r="GS73" s="123"/>
      <c r="GT73" s="123"/>
      <c r="GU73" s="123"/>
      <c r="GV73" s="123"/>
      <c r="GW73" s="123"/>
      <c r="GX73" s="123"/>
      <c r="GY73" s="123"/>
      <c r="GZ73" s="123"/>
      <c r="HA73" s="123"/>
      <c r="HB73" s="123"/>
      <c r="HC73" s="123"/>
      <c r="HD73" s="123"/>
      <c r="HE73" s="123"/>
      <c r="HF73" s="123"/>
      <c r="HG73" s="123"/>
      <c r="HH73" s="123"/>
      <c r="HI73" s="123"/>
      <c r="HJ73" s="123"/>
      <c r="HK73" s="123"/>
      <c r="HL73" s="123"/>
      <c r="HM73" s="123"/>
      <c r="HN73" s="123"/>
      <c r="HO73" s="123"/>
      <c r="HP73" s="123"/>
      <c r="HQ73" s="98"/>
      <c r="HR73" s="123"/>
      <c r="HS73" s="123"/>
      <c r="HT73" s="123"/>
      <c r="HU73" s="123"/>
      <c r="HV73" s="123"/>
      <c r="HW73" s="123"/>
      <c r="HX73" s="123"/>
      <c r="HY73" s="124"/>
      <c r="HZ73" s="124"/>
    </row>
    <row r="74" spans="2:234" ht="15.75">
      <c r="B74" s="105" t="s">
        <v>99</v>
      </c>
      <c r="C74" s="71">
        <v>3474</v>
      </c>
      <c r="D74" s="42">
        <v>848</v>
      </c>
      <c r="E74" s="72">
        <v>686</v>
      </c>
      <c r="F74" s="42">
        <v>925</v>
      </c>
      <c r="G74" s="42">
        <v>1159</v>
      </c>
      <c r="H74" s="42">
        <v>694</v>
      </c>
      <c r="I74" s="43">
        <v>49</v>
      </c>
      <c r="J74" s="43">
        <v>31</v>
      </c>
      <c r="K74" s="15">
        <v>46</v>
      </c>
      <c r="L74" s="15">
        <v>63</v>
      </c>
      <c r="M74" s="15">
        <v>52</v>
      </c>
      <c r="N74" s="15">
        <v>230</v>
      </c>
      <c r="O74" s="15">
        <v>77</v>
      </c>
      <c r="P74" s="15">
        <v>161</v>
      </c>
      <c r="Q74" s="15">
        <v>33</v>
      </c>
      <c r="R74" s="15">
        <v>11</v>
      </c>
      <c r="S74" s="15">
        <v>65</v>
      </c>
      <c r="T74" s="15">
        <v>30</v>
      </c>
      <c r="U74" s="42">
        <f>+I74+J74+K74+L74+M74+N74+O74+P74+Q74+R74+S74+T74</f>
        <v>848</v>
      </c>
      <c r="V74" s="56">
        <v>15</v>
      </c>
      <c r="W74" s="43">
        <v>100</v>
      </c>
      <c r="X74" s="15">
        <v>60</v>
      </c>
      <c r="Y74" s="15">
        <v>26</v>
      </c>
      <c r="Z74" s="15">
        <v>46</v>
      </c>
      <c r="AA74" s="15">
        <v>4</v>
      </c>
      <c r="AB74" s="15">
        <v>86</v>
      </c>
      <c r="AC74" s="15">
        <v>49</v>
      </c>
      <c r="AD74" s="15">
        <v>167</v>
      </c>
      <c r="AE74" s="15">
        <v>39</v>
      </c>
      <c r="AF74" s="15">
        <v>36</v>
      </c>
      <c r="AG74" s="15">
        <v>58</v>
      </c>
      <c r="AH74" s="71">
        <f>SUM(V74:AG74)</f>
        <v>686</v>
      </c>
      <c r="AI74" s="43">
        <v>2</v>
      </c>
      <c r="AJ74" s="15">
        <v>41</v>
      </c>
      <c r="AK74" s="15">
        <v>530</v>
      </c>
      <c r="AL74" s="15">
        <v>47</v>
      </c>
      <c r="AM74" s="15">
        <v>52</v>
      </c>
      <c r="AN74" s="15">
        <v>38</v>
      </c>
      <c r="AO74" s="15">
        <v>23</v>
      </c>
      <c r="AP74" s="15">
        <v>17</v>
      </c>
      <c r="AQ74" s="15">
        <v>64</v>
      </c>
      <c r="AR74" s="15">
        <v>70</v>
      </c>
      <c r="AS74" s="15">
        <v>30</v>
      </c>
      <c r="AT74" s="15">
        <v>11</v>
      </c>
      <c r="AU74" s="71">
        <f>AI74+AJ74+AK74+AL74+AM74+AN74+AO74+AP74+AQ74+AR74+AS74+AT74</f>
        <v>925</v>
      </c>
      <c r="AV74" s="42">
        <v>3</v>
      </c>
      <c r="AW74" s="15">
        <v>34</v>
      </c>
      <c r="AX74" s="31">
        <v>530</v>
      </c>
      <c r="AY74" s="15">
        <v>37</v>
      </c>
      <c r="AZ74" s="15">
        <v>33</v>
      </c>
      <c r="BA74" s="15">
        <v>77</v>
      </c>
      <c r="BB74" s="4">
        <v>100.5</v>
      </c>
      <c r="BC74" s="4">
        <v>12.6</v>
      </c>
      <c r="BD74" s="4">
        <v>63.1</v>
      </c>
      <c r="BE74" s="4">
        <v>100.2</v>
      </c>
      <c r="BF74" s="4">
        <v>167.6</v>
      </c>
      <c r="BG74" s="12">
        <v>1</v>
      </c>
      <c r="BH74" s="71">
        <f>SUM(AV74:BG74)</f>
        <v>1159</v>
      </c>
      <c r="BI74" s="36">
        <v>63</v>
      </c>
      <c r="BJ74" s="15">
        <f>BV74-BI74</f>
        <v>169.4</v>
      </c>
      <c r="BK74" s="15">
        <f>BW74-BJ74-BI74</f>
        <v>29.700000000000017</v>
      </c>
      <c r="BL74" s="15">
        <f>BX74-BK74-BJ74-BI74</f>
        <v>14.199999999999989</v>
      </c>
      <c r="BM74" s="15">
        <f>BY74-BL74-BK74-BJ74-BI74</f>
        <v>16.69999999999999</v>
      </c>
      <c r="BN74" s="15">
        <f>BZ74-BM74-BL74-BK74-BJ74-BI74</f>
        <v>37.099999999999994</v>
      </c>
      <c r="BO74" s="15">
        <f>CA74-BN74-BM74-BL74-BK74-BJ74-BI74</f>
        <v>67.39999999999995</v>
      </c>
      <c r="BP74" s="15">
        <f>CB74-BO74-BN74-BM74-BL74-BK74-BJ74-BI74</f>
        <v>177.49999999999997</v>
      </c>
      <c r="BQ74" s="15">
        <f>CC74-BP74-BO74-BN74-BM74-BL74-BK74-BJ74-BI74</f>
        <v>29.200000000000017</v>
      </c>
      <c r="BR74" s="15">
        <f>CD74-BQ74-BP74-BO74-BN74-BM74-BL74-BK74-BJ74-BI74</f>
        <v>28.199999999999903</v>
      </c>
      <c r="BS74" s="15">
        <f>CE74-BR74-BQ74-BP74-BO74-BN74-BM74-BL74-BK74-BJ74-BI74</f>
        <v>24.30000000000004</v>
      </c>
      <c r="BT74" s="15">
        <f>CF74-BS74-BR74-BQ74-BP74-BO74-BN74-BM74-BL74-BK74-BJ74-BI74</f>
        <v>37.49999999999997</v>
      </c>
      <c r="BU74" s="73">
        <f>SUM(BI74:BT74)</f>
        <v>694.2</v>
      </c>
      <c r="BV74" s="72">
        <v>232.4</v>
      </c>
      <c r="BW74" s="42">
        <v>262.1</v>
      </c>
      <c r="BX74" s="72">
        <v>276.3</v>
      </c>
      <c r="BY74" s="71">
        <v>293</v>
      </c>
      <c r="BZ74" s="71">
        <v>330.1</v>
      </c>
      <c r="CA74" s="71">
        <v>397.5</v>
      </c>
      <c r="CB74" s="71">
        <v>575</v>
      </c>
      <c r="CC74" s="42">
        <v>604.2</v>
      </c>
      <c r="CD74" s="42">
        <v>632.4</v>
      </c>
      <c r="CE74" s="43">
        <v>656.7</v>
      </c>
      <c r="CF74" s="43">
        <v>694.2</v>
      </c>
      <c r="CG74" s="43">
        <v>858.6</v>
      </c>
      <c r="CH74" s="119">
        <v>390.3</v>
      </c>
      <c r="CI74" s="127">
        <v>5005.1</v>
      </c>
      <c r="CJ74" s="71">
        <v>5981.198</v>
      </c>
      <c r="CK74" s="71">
        <v>19041.926</v>
      </c>
      <c r="CL74" s="122">
        <v>19722.082000000002</v>
      </c>
      <c r="CM74" s="122">
        <v>8528.892</v>
      </c>
      <c r="CN74" s="122">
        <v>2416.4169999999995</v>
      </c>
      <c r="CO74" s="122">
        <v>4283.267</v>
      </c>
      <c r="CP74" s="122">
        <v>6420.357000000001</v>
      </c>
      <c r="CQ74" s="122">
        <v>185</v>
      </c>
      <c r="CR74" s="122">
        <v>189.7</v>
      </c>
      <c r="CS74" s="122">
        <v>192.2</v>
      </c>
      <c r="CT74" s="122">
        <v>256.4</v>
      </c>
      <c r="CU74" s="122">
        <v>297</v>
      </c>
      <c r="CV74" s="122">
        <v>343.8</v>
      </c>
      <c r="CW74" s="122">
        <v>666</v>
      </c>
      <c r="CX74" s="122">
        <v>728.6</v>
      </c>
      <c r="CY74" s="122">
        <v>741.9</v>
      </c>
      <c r="CZ74" s="122">
        <v>759.4</v>
      </c>
      <c r="DA74" s="122">
        <v>821.1</v>
      </c>
      <c r="DB74" s="122">
        <v>858.6</v>
      </c>
      <c r="DC74" s="122">
        <v>34.6</v>
      </c>
      <c r="DD74" s="122">
        <v>53.8</v>
      </c>
      <c r="DE74" s="122">
        <v>134.9</v>
      </c>
      <c r="DF74" s="122">
        <v>142.9</v>
      </c>
      <c r="DG74" s="122">
        <v>208.5</v>
      </c>
      <c r="DH74" s="122">
        <v>221.7</v>
      </c>
      <c r="DI74" s="122">
        <v>265.1</v>
      </c>
      <c r="DJ74" s="122">
        <v>278.8</v>
      </c>
      <c r="DK74" s="122">
        <v>299.4</v>
      </c>
      <c r="DL74" s="122">
        <v>372.6</v>
      </c>
      <c r="DM74" s="122">
        <v>377.9</v>
      </c>
      <c r="DN74" s="122">
        <v>390.3</v>
      </c>
      <c r="DO74" s="122">
        <v>84</v>
      </c>
      <c r="DP74" s="122">
        <v>444.1</v>
      </c>
      <c r="DQ74" s="122">
        <v>448</v>
      </c>
      <c r="DR74" s="122">
        <v>473.2</v>
      </c>
      <c r="DS74" s="122">
        <v>575.6</v>
      </c>
      <c r="DT74" s="122">
        <v>596.3</v>
      </c>
      <c r="DU74" s="122">
        <v>598.1</v>
      </c>
      <c r="DV74" s="122">
        <v>690.3</v>
      </c>
      <c r="DW74" s="122">
        <v>4283.1</v>
      </c>
      <c r="DX74" s="122">
        <v>4933.1</v>
      </c>
      <c r="DY74" s="122">
        <v>4943.1</v>
      </c>
      <c r="DZ74" s="122">
        <v>62</v>
      </c>
      <c r="EA74" s="122">
        <f>DY74+DZ74</f>
        <v>5005.1</v>
      </c>
      <c r="EB74" s="122">
        <v>2528</v>
      </c>
      <c r="EC74" s="122">
        <v>299.7</v>
      </c>
      <c r="ED74" s="122">
        <v>142</v>
      </c>
      <c r="EE74" s="122">
        <v>64</v>
      </c>
      <c r="EF74" s="122">
        <f>'[1]Feuil2'!$D$17</f>
        <v>12.849</v>
      </c>
      <c r="EG74" s="122">
        <f>'[2]Feuil3'!$E$16</f>
        <v>50.931</v>
      </c>
      <c r="EH74" s="122">
        <v>67</v>
      </c>
      <c r="EI74" s="122">
        <v>225</v>
      </c>
      <c r="EJ74" s="122">
        <v>183.556</v>
      </c>
      <c r="EK74" s="122">
        <v>411.162</v>
      </c>
      <c r="EL74" s="122">
        <v>1036</v>
      </c>
      <c r="EM74" s="122">
        <v>961</v>
      </c>
      <c r="EN74" s="122">
        <f>SUM(EB74:EM74)</f>
        <v>5981.198</v>
      </c>
      <c r="EO74" s="122">
        <v>201</v>
      </c>
      <c r="EP74" s="122">
        <v>201</v>
      </c>
      <c r="EQ74" s="122">
        <v>163</v>
      </c>
      <c r="ER74" s="122">
        <f>'[3]avril pays'!$C$17</f>
        <v>363.612</v>
      </c>
      <c r="ES74" s="122">
        <v>1383.9</v>
      </c>
      <c r="ET74" s="122">
        <v>1121.7</v>
      </c>
      <c r="EU74" s="122">
        <v>246</v>
      </c>
      <c r="EV74" s="122">
        <v>893.28</v>
      </c>
      <c r="EW74" s="122">
        <v>3393.657</v>
      </c>
      <c r="EX74" s="122">
        <v>4185.977</v>
      </c>
      <c r="EY74" s="122">
        <v>2993.6</v>
      </c>
      <c r="EZ74" s="122">
        <v>3895.2</v>
      </c>
      <c r="FA74" s="122">
        <f>SUM(EO74:EZ74)</f>
        <v>19041.926</v>
      </c>
      <c r="FB74" s="122">
        <v>1701.4</v>
      </c>
      <c r="FC74" s="122">
        <v>4065.502</v>
      </c>
      <c r="FD74" s="122">
        <f>'[4]IV5-IV6'!$D$20</f>
        <v>162.611</v>
      </c>
      <c r="FE74" s="122">
        <v>540.8</v>
      </c>
      <c r="FF74" s="122">
        <v>3386.3</v>
      </c>
      <c r="FG74" s="122">
        <v>1057.1</v>
      </c>
      <c r="FH74" s="122">
        <v>273.712</v>
      </c>
      <c r="FI74" s="122">
        <v>2178.906</v>
      </c>
      <c r="FJ74" s="122">
        <v>2232.9</v>
      </c>
      <c r="FK74" s="122">
        <v>2419.754</v>
      </c>
      <c r="FL74" s="122">
        <v>1383.093</v>
      </c>
      <c r="FM74" s="122">
        <v>320.004</v>
      </c>
      <c r="FN74" s="122">
        <f>SUM(FB74:FM74)</f>
        <v>19722.082000000002</v>
      </c>
      <c r="FO74" s="122">
        <v>70.427</v>
      </c>
      <c r="FP74" s="122">
        <v>396.388</v>
      </c>
      <c r="FQ74" s="122">
        <v>830.932</v>
      </c>
      <c r="FR74" s="122">
        <f>'[5]IV5-IV6'!$C$25</f>
        <v>394.198</v>
      </c>
      <c r="FS74" s="122">
        <f>'[6]IV5_IV6_Mai'!$D$25</f>
        <v>3821.427</v>
      </c>
      <c r="FT74" s="122">
        <v>332.5</v>
      </c>
      <c r="FU74" s="122">
        <v>390.814</v>
      </c>
      <c r="FV74" s="122">
        <v>1320.778</v>
      </c>
      <c r="FW74" s="122">
        <v>244.184</v>
      </c>
      <c r="FX74" s="122">
        <v>152.9</v>
      </c>
      <c r="FY74" s="122">
        <v>398.544</v>
      </c>
      <c r="FZ74" s="122">
        <v>175.8</v>
      </c>
      <c r="GA74" s="122">
        <f>FO74+FP74+FQ74+FR74+FS74+FT74+FU74+FV74+FW74+FX74+FY74+FZ74</f>
        <v>8528.892</v>
      </c>
      <c r="GB74" s="122">
        <v>152.344</v>
      </c>
      <c r="GC74" s="122">
        <v>165.361</v>
      </c>
      <c r="GD74" s="122">
        <v>301.205</v>
      </c>
      <c r="GE74" s="122">
        <v>214.242</v>
      </c>
      <c r="GF74" s="122">
        <v>167.06</v>
      </c>
      <c r="GG74" s="122">
        <v>121.567</v>
      </c>
      <c r="GH74" s="122">
        <v>245.561</v>
      </c>
      <c r="GI74" s="122">
        <v>118.759</v>
      </c>
      <c r="GJ74" s="122">
        <v>269.76</v>
      </c>
      <c r="GK74" s="122">
        <v>135.728</v>
      </c>
      <c r="GL74" s="122">
        <v>276.876</v>
      </c>
      <c r="GM74" s="122">
        <v>247.388</v>
      </c>
      <c r="GN74" s="122">
        <f>SUM(GB74:GM74)</f>
        <v>2415.8509999999997</v>
      </c>
      <c r="GO74" s="122">
        <v>369.043</v>
      </c>
      <c r="GP74" s="122">
        <v>591.897</v>
      </c>
      <c r="GQ74" s="122">
        <v>130.323</v>
      </c>
      <c r="GR74" s="122">
        <v>194.057</v>
      </c>
      <c r="GS74" s="122">
        <v>184.889</v>
      </c>
      <c r="GT74" s="122">
        <v>177.082</v>
      </c>
      <c r="GU74" s="122">
        <v>148.705</v>
      </c>
      <c r="GV74" s="122">
        <v>111.395</v>
      </c>
      <c r="GW74" s="122">
        <v>139.04</v>
      </c>
      <c r="GX74" s="122">
        <v>1322.208</v>
      </c>
      <c r="GY74" s="122">
        <v>490.602</v>
      </c>
      <c r="GZ74" s="122">
        <v>599.161</v>
      </c>
      <c r="HA74" s="122">
        <v>162.921</v>
      </c>
      <c r="HB74" s="122">
        <v>246.957</v>
      </c>
      <c r="HC74" s="122">
        <v>165.672</v>
      </c>
      <c r="HD74" s="122">
        <v>314.613</v>
      </c>
      <c r="HE74" s="122">
        <v>291.655</v>
      </c>
      <c r="HF74" s="122">
        <v>156.796</v>
      </c>
      <c r="HG74" s="122">
        <v>171.381</v>
      </c>
      <c r="HH74" s="122">
        <v>218.066</v>
      </c>
      <c r="HI74" s="122">
        <v>3235.141</v>
      </c>
      <c r="HJ74" s="122">
        <v>651.06</v>
      </c>
      <c r="HK74" s="122">
        <v>510.569</v>
      </c>
      <c r="HL74" s="122">
        <v>295.526</v>
      </c>
      <c r="HM74" s="98">
        <v>390.691</v>
      </c>
      <c r="HN74" s="98">
        <v>997.036</v>
      </c>
      <c r="HO74" s="98">
        <v>1006.336</v>
      </c>
      <c r="HP74" s="122">
        <v>82.405</v>
      </c>
      <c r="HQ74" s="98">
        <v>158.378</v>
      </c>
      <c r="HR74" s="122">
        <v>237.054</v>
      </c>
      <c r="HS74" s="122">
        <v>1425.619</v>
      </c>
      <c r="HT74" s="122">
        <v>688.637</v>
      </c>
      <c r="HU74" s="122"/>
      <c r="HV74" s="122"/>
      <c r="HW74" s="122"/>
      <c r="HX74" s="122"/>
      <c r="HY74" s="122">
        <f>HA74+HB74+HC74+HD74+HE74+HF74+HG74+HH74</f>
        <v>1728.0610000000001</v>
      </c>
      <c r="HZ74" s="122">
        <f>HM74+HN74+HO74+HP74+HQ74+HR74+HS74+HT74</f>
        <v>4986.156</v>
      </c>
    </row>
    <row r="75" spans="2:234" ht="15.75">
      <c r="B75" s="105" t="s">
        <v>100</v>
      </c>
      <c r="C75" s="71">
        <v>198</v>
      </c>
      <c r="D75" s="42">
        <v>855</v>
      </c>
      <c r="E75" s="72">
        <v>904</v>
      </c>
      <c r="F75" s="42">
        <v>2955</v>
      </c>
      <c r="G75" s="42">
        <v>2913.6</v>
      </c>
      <c r="H75" s="42">
        <v>4011</v>
      </c>
      <c r="I75" s="43">
        <v>29</v>
      </c>
      <c r="J75" s="43">
        <v>32</v>
      </c>
      <c r="K75" s="15">
        <v>55</v>
      </c>
      <c r="L75" s="15">
        <v>87</v>
      </c>
      <c r="M75" s="15">
        <v>130</v>
      </c>
      <c r="N75" s="15">
        <v>26</v>
      </c>
      <c r="O75" s="15">
        <v>104</v>
      </c>
      <c r="P75" s="15">
        <v>70</v>
      </c>
      <c r="Q75" s="15">
        <v>63</v>
      </c>
      <c r="R75" s="15">
        <v>80</v>
      </c>
      <c r="S75" s="15">
        <v>71</v>
      </c>
      <c r="T75" s="15">
        <v>108</v>
      </c>
      <c r="U75" s="42">
        <f>+I75+J75+K75+L75+M75+N75+O75+P75+Q75+R75+S75+T75</f>
        <v>855</v>
      </c>
      <c r="V75" s="56">
        <v>67</v>
      </c>
      <c r="W75" s="43">
        <v>27</v>
      </c>
      <c r="X75" s="15">
        <v>86</v>
      </c>
      <c r="Y75" s="15">
        <v>78</v>
      </c>
      <c r="Z75" s="15">
        <v>70</v>
      </c>
      <c r="AA75" s="15">
        <v>113</v>
      </c>
      <c r="AB75" s="15">
        <v>28</v>
      </c>
      <c r="AC75" s="15">
        <v>133</v>
      </c>
      <c r="AD75" s="15">
        <v>52</v>
      </c>
      <c r="AE75" s="15">
        <v>141</v>
      </c>
      <c r="AF75" s="15">
        <v>51</v>
      </c>
      <c r="AG75" s="15">
        <v>58</v>
      </c>
      <c r="AH75" s="71">
        <f>SUM(V75:AG75)</f>
        <v>904</v>
      </c>
      <c r="AI75" s="43">
        <v>53</v>
      </c>
      <c r="AJ75" s="15">
        <v>6</v>
      </c>
      <c r="AK75" s="15">
        <v>94</v>
      </c>
      <c r="AL75" s="15">
        <v>167</v>
      </c>
      <c r="AM75" s="15">
        <v>30</v>
      </c>
      <c r="AN75" s="15">
        <v>138</v>
      </c>
      <c r="AO75" s="15">
        <v>825</v>
      </c>
      <c r="AP75" s="15">
        <v>1040</v>
      </c>
      <c r="AQ75" s="15">
        <v>106</v>
      </c>
      <c r="AR75" s="15">
        <v>245</v>
      </c>
      <c r="AS75" s="15">
        <v>43</v>
      </c>
      <c r="AT75" s="15">
        <v>208</v>
      </c>
      <c r="AU75" s="71">
        <f>AI75+AJ75+AK75+AL75+AM75+AN75+AO75+AP75+AQ75+AR75+AS75+AT75</f>
        <v>2955</v>
      </c>
      <c r="AV75" s="42">
        <v>129</v>
      </c>
      <c r="AW75" s="15">
        <v>27</v>
      </c>
      <c r="AX75" s="31">
        <v>94</v>
      </c>
      <c r="AY75" s="15">
        <v>242</v>
      </c>
      <c r="AZ75" s="15">
        <v>284</v>
      </c>
      <c r="BA75" s="15">
        <v>131</v>
      </c>
      <c r="BB75" s="4">
        <v>321.8</v>
      </c>
      <c r="BC75" s="4">
        <v>263</v>
      </c>
      <c r="BD75" s="4">
        <v>342.4</v>
      </c>
      <c r="BE75" s="4">
        <v>509.5</v>
      </c>
      <c r="BF75" s="4">
        <v>277.9</v>
      </c>
      <c r="BG75" s="12">
        <v>292</v>
      </c>
      <c r="BH75" s="71">
        <f>SUM(AV75:BG75)</f>
        <v>2913.6</v>
      </c>
      <c r="BI75" s="42">
        <v>242.8</v>
      </c>
      <c r="BJ75" s="15">
        <f>BV75-BI75</f>
        <v>435.40000000000003</v>
      </c>
      <c r="BK75" s="15">
        <f>BW75-BJ75-BI75</f>
        <v>1059.2</v>
      </c>
      <c r="BL75" s="15">
        <f>BX75-BK75-BJ75-BI75</f>
        <v>204.5999999999999</v>
      </c>
      <c r="BM75" s="15">
        <f>BY75-BL75-BK75-BJ75-BI75</f>
        <v>183</v>
      </c>
      <c r="BN75" s="15">
        <f>BZ75-BM75-BL75-BK75-BJ75-BI75</f>
        <v>320.69999999999976</v>
      </c>
      <c r="BO75" s="15">
        <f>CA75-BN75-BM75-BL75-BK75-BJ75-BI75</f>
        <v>203.80000000000018</v>
      </c>
      <c r="BP75" s="15">
        <f>CB75-BO75-BN75-BM75-BL75-BK75-BJ75-BI75</f>
        <v>424.59999999999985</v>
      </c>
      <c r="BQ75" s="15">
        <f>CC75-BP75-BO75-BN75-BM75-BL75-BK75-BJ75-BI75</f>
        <v>281.09999999999985</v>
      </c>
      <c r="BR75" s="15">
        <f>CD75-BQ75-BP75-BO75-BN75-BM75-BL75-BK75-BJ75-BI75</f>
        <v>179.60000000000036</v>
      </c>
      <c r="BS75" s="15">
        <f>CE75-BR75-BQ75-BP75-BO75-BN75-BM75-BL75-BK75-BJ75-BI75</f>
        <v>157.5</v>
      </c>
      <c r="BT75" s="15">
        <f>CF75-BS75-BR75-BQ75-BP75-BO75-BN75-BM75-BL75-BK75-BJ75-BI75</f>
        <v>318.29999999999967</v>
      </c>
      <c r="BU75" s="73">
        <f>SUM(BI75:BT75)</f>
        <v>4010.6</v>
      </c>
      <c r="BV75" s="72">
        <v>678.2</v>
      </c>
      <c r="BW75" s="42">
        <v>1737.4</v>
      </c>
      <c r="BX75" s="72">
        <v>1942</v>
      </c>
      <c r="BY75" s="71">
        <v>2125</v>
      </c>
      <c r="BZ75" s="71">
        <v>2445.7</v>
      </c>
      <c r="CA75" s="71">
        <v>2649.5</v>
      </c>
      <c r="CB75" s="71">
        <v>3074.1</v>
      </c>
      <c r="CC75" s="42">
        <v>3355.2</v>
      </c>
      <c r="CD75" s="42">
        <v>3534.8</v>
      </c>
      <c r="CE75" s="43">
        <v>3692.3</v>
      </c>
      <c r="CF75" s="43">
        <v>4010.6</v>
      </c>
      <c r="CG75" s="43">
        <v>4072.9</v>
      </c>
      <c r="CH75" s="119">
        <v>2709.9</v>
      </c>
      <c r="CI75" s="127">
        <v>6551.3</v>
      </c>
      <c r="CJ75" s="71">
        <v>1420.212</v>
      </c>
      <c r="CK75" s="71">
        <v>1405.4110000000003</v>
      </c>
      <c r="CL75" s="122">
        <v>8246.453000000001</v>
      </c>
      <c r="CM75" s="122">
        <v>4021.988</v>
      </c>
      <c r="CN75" s="122">
        <v>10046.651000000002</v>
      </c>
      <c r="CO75" s="122">
        <v>7952.422</v>
      </c>
      <c r="CP75" s="122">
        <v>2904.737</v>
      </c>
      <c r="CQ75" s="122">
        <v>377.2</v>
      </c>
      <c r="CR75" s="122">
        <v>478</v>
      </c>
      <c r="CS75" s="122">
        <v>563.1</v>
      </c>
      <c r="CT75" s="122">
        <v>661.3</v>
      </c>
      <c r="CU75" s="122">
        <v>792.4</v>
      </c>
      <c r="CV75" s="122">
        <v>1937.1</v>
      </c>
      <c r="CW75" s="122">
        <v>2981.1</v>
      </c>
      <c r="CX75" s="122">
        <v>3389.2</v>
      </c>
      <c r="CY75" s="122">
        <v>3568.6</v>
      </c>
      <c r="CZ75" s="122">
        <v>3791</v>
      </c>
      <c r="DA75" s="122">
        <v>3917.7</v>
      </c>
      <c r="DB75" s="122">
        <v>4072.9</v>
      </c>
      <c r="DC75" s="122">
        <v>336.2</v>
      </c>
      <c r="DD75" s="122">
        <v>707.4</v>
      </c>
      <c r="DE75" s="122">
        <v>1051.5</v>
      </c>
      <c r="DF75" s="122">
        <v>1186</v>
      </c>
      <c r="DG75" s="122">
        <v>1521.8</v>
      </c>
      <c r="DH75" s="122">
        <v>1757</v>
      </c>
      <c r="DI75" s="122">
        <v>1951.7</v>
      </c>
      <c r="DJ75" s="122">
        <v>2014.3</v>
      </c>
      <c r="DK75" s="122">
        <v>2161.2</v>
      </c>
      <c r="DL75" s="122">
        <v>2399.9</v>
      </c>
      <c r="DM75" s="122">
        <v>2530.4</v>
      </c>
      <c r="DN75" s="122">
        <v>2709.9</v>
      </c>
      <c r="DO75" s="122">
        <v>262</v>
      </c>
      <c r="DP75" s="122">
        <v>3104.9</v>
      </c>
      <c r="DQ75" s="122">
        <v>3196.7</v>
      </c>
      <c r="DR75" s="122">
        <v>3379.8</v>
      </c>
      <c r="DS75" s="122">
        <v>3459.3</v>
      </c>
      <c r="DT75" s="122">
        <v>3523</v>
      </c>
      <c r="DU75" s="122">
        <v>3625.4</v>
      </c>
      <c r="DV75" s="122">
        <v>3845.2</v>
      </c>
      <c r="DW75" s="122">
        <v>6517.3</v>
      </c>
      <c r="DX75" s="122">
        <v>6529.3</v>
      </c>
      <c r="DY75" s="122">
        <v>6551.3</v>
      </c>
      <c r="DZ75" s="122"/>
      <c r="EA75" s="122">
        <f>DY75+DZ75</f>
        <v>6551.3</v>
      </c>
      <c r="EB75" s="122">
        <f>106-17</f>
        <v>89</v>
      </c>
      <c r="EC75" s="122"/>
      <c r="ED75" s="122">
        <v>124</v>
      </c>
      <c r="EE75" s="122">
        <v>49</v>
      </c>
      <c r="EF75" s="122">
        <f>'[1]Feuil2'!$D$10</f>
        <v>82.088</v>
      </c>
      <c r="EG75" s="122">
        <f>'[2]Feuil3'!$E$8</f>
        <v>80.994</v>
      </c>
      <c r="EH75" s="122">
        <v>91</v>
      </c>
      <c r="EI75" s="122">
        <v>183</v>
      </c>
      <c r="EJ75" s="122">
        <v>164.78</v>
      </c>
      <c r="EK75" s="122">
        <v>217.35</v>
      </c>
      <c r="EL75" s="122">
        <v>159</v>
      </c>
      <c r="EM75" s="122">
        <v>180</v>
      </c>
      <c r="EN75" s="122">
        <f>SUM(EB75:EM75)</f>
        <v>1420.212</v>
      </c>
      <c r="EO75" s="122">
        <v>39</v>
      </c>
      <c r="EP75" s="122">
        <v>112</v>
      </c>
      <c r="EQ75" s="122">
        <v>141</v>
      </c>
      <c r="ER75" s="122">
        <f>'[3]avril pays'!$C$10</f>
        <v>154.205</v>
      </c>
      <c r="ES75" s="122">
        <v>109.8</v>
      </c>
      <c r="ET75" s="122">
        <v>99.3</v>
      </c>
      <c r="EU75" s="122">
        <v>102</v>
      </c>
      <c r="EV75" s="122">
        <v>43.06</v>
      </c>
      <c r="EW75" s="122">
        <v>72.528</v>
      </c>
      <c r="EX75" s="122">
        <v>154.218</v>
      </c>
      <c r="EY75" s="122">
        <v>255.9</v>
      </c>
      <c r="EZ75" s="122">
        <v>122.4</v>
      </c>
      <c r="FA75" s="122">
        <f>SUM(EO75:EZ75)</f>
        <v>1405.4110000000003</v>
      </c>
      <c r="FB75" s="122">
        <v>95.3</v>
      </c>
      <c r="FC75" s="122">
        <v>94.047</v>
      </c>
      <c r="FD75" s="122">
        <f>'[4]IV5-IV6'!$D$12</f>
        <v>141.348</v>
      </c>
      <c r="FE75" s="122">
        <v>2402.6</v>
      </c>
      <c r="FF75" s="122">
        <v>307.065</v>
      </c>
      <c r="FG75" s="122">
        <v>1606.5</v>
      </c>
      <c r="FH75" s="122">
        <v>511.984</v>
      </c>
      <c r="FI75" s="122">
        <v>211.38</v>
      </c>
      <c r="FJ75" s="122">
        <v>101.6</v>
      </c>
      <c r="FK75" s="122">
        <v>216.652</v>
      </c>
      <c r="FL75" s="122">
        <v>414.052</v>
      </c>
      <c r="FM75" s="122">
        <v>2143.925</v>
      </c>
      <c r="FN75" s="122">
        <f>SUM(FB75:FM75)</f>
        <v>8246.453000000001</v>
      </c>
      <c r="FO75" s="122">
        <v>147.898</v>
      </c>
      <c r="FP75" s="122">
        <v>42.864</v>
      </c>
      <c r="FQ75" s="122">
        <v>43.929</v>
      </c>
      <c r="FR75" s="122">
        <f>'[5]IV5-IV6'!$C$24</f>
        <v>30.418</v>
      </c>
      <c r="FS75" s="122">
        <f>'[6]IV5_IV6_Mai'!$D$24</f>
        <v>95.073</v>
      </c>
      <c r="FT75" s="122">
        <v>58.1</v>
      </c>
      <c r="FU75" s="122">
        <v>169.514</v>
      </c>
      <c r="FV75" s="122">
        <v>955.313</v>
      </c>
      <c r="FW75" s="122">
        <v>165.94</v>
      </c>
      <c r="FX75" s="122">
        <v>404.8</v>
      </c>
      <c r="FY75" s="122">
        <v>449.039</v>
      </c>
      <c r="FZ75" s="122">
        <v>1459.1</v>
      </c>
      <c r="GA75" s="122">
        <f>FO75+FP75+FQ75+FR75+FS75+FT75+FU75+FV75+FW75+FX75+FY75+FZ75</f>
        <v>4021.988</v>
      </c>
      <c r="GB75" s="122">
        <v>1559.908</v>
      </c>
      <c r="GC75" s="122">
        <v>1882.047</v>
      </c>
      <c r="GD75" s="122">
        <v>751.038</v>
      </c>
      <c r="GE75" s="122">
        <v>350.406</v>
      </c>
      <c r="GF75" s="122">
        <v>915.855</v>
      </c>
      <c r="GG75" s="122">
        <v>213.701</v>
      </c>
      <c r="GH75" s="122">
        <v>210.734</v>
      </c>
      <c r="GI75" s="122">
        <v>256.275</v>
      </c>
      <c r="GJ75" s="122">
        <v>951.665</v>
      </c>
      <c r="GK75" s="122">
        <v>2537.034</v>
      </c>
      <c r="GL75" s="122">
        <v>201.931</v>
      </c>
      <c r="GM75" s="122">
        <v>216.057</v>
      </c>
      <c r="GN75" s="122">
        <f>SUM(GB75:GM75)</f>
        <v>10046.651000000002</v>
      </c>
      <c r="GO75" s="122">
        <v>272.215</v>
      </c>
      <c r="GP75" s="122">
        <v>1516.894</v>
      </c>
      <c r="GQ75" s="122">
        <v>120.717</v>
      </c>
      <c r="GR75" s="122">
        <v>2122.992</v>
      </c>
      <c r="GS75" s="122">
        <v>376.595</v>
      </c>
      <c r="GT75" s="122">
        <v>412.82</v>
      </c>
      <c r="GU75" s="122">
        <v>2402.248</v>
      </c>
      <c r="GV75" s="122">
        <v>3000.141</v>
      </c>
      <c r="GW75" s="122">
        <v>64.282</v>
      </c>
      <c r="GX75" s="122">
        <v>106.177</v>
      </c>
      <c r="GY75" s="122">
        <v>50.743</v>
      </c>
      <c r="GZ75" s="122">
        <v>32.032</v>
      </c>
      <c r="HA75" s="122">
        <v>73.504</v>
      </c>
      <c r="HB75" s="122">
        <v>4.251</v>
      </c>
      <c r="HC75" s="122">
        <v>55.357</v>
      </c>
      <c r="HD75" s="122">
        <v>95.358</v>
      </c>
      <c r="HE75" s="122">
        <v>115.704</v>
      </c>
      <c r="HF75" s="122">
        <v>82.119</v>
      </c>
      <c r="HG75" s="122">
        <v>57.272</v>
      </c>
      <c r="HH75" s="122">
        <v>2062.803</v>
      </c>
      <c r="HI75" s="122">
        <v>121.505</v>
      </c>
      <c r="HJ75" s="122">
        <v>42.128</v>
      </c>
      <c r="HK75" s="122">
        <v>82.336</v>
      </c>
      <c r="HL75" s="122">
        <v>112.4</v>
      </c>
      <c r="HM75" s="98">
        <v>88.764</v>
      </c>
      <c r="HN75" s="98">
        <v>40.48</v>
      </c>
      <c r="HO75" s="98">
        <v>8.513</v>
      </c>
      <c r="HP75" s="122">
        <v>1064.312</v>
      </c>
      <c r="HQ75" s="98">
        <v>117.08</v>
      </c>
      <c r="HR75" s="122">
        <v>700.674</v>
      </c>
      <c r="HS75" s="122">
        <v>674.548</v>
      </c>
      <c r="HT75" s="122">
        <v>2235.994</v>
      </c>
      <c r="HU75" s="122"/>
      <c r="HV75" s="122"/>
      <c r="HW75" s="122"/>
      <c r="HX75" s="122"/>
      <c r="HY75" s="122">
        <f>HA75+HB75+HC75+HD75+HE75+HF75+HG75+HH75</f>
        <v>2546.368</v>
      </c>
      <c r="HZ75" s="122">
        <f>HM75+HN75+HO75+HP75+HQ75+HR75+HS75+HT75</f>
        <v>4930.365</v>
      </c>
    </row>
    <row r="76" spans="2:234" ht="15.75">
      <c r="B76" s="105" t="s">
        <v>101</v>
      </c>
      <c r="C76" s="71">
        <v>328</v>
      </c>
      <c r="D76" s="42">
        <v>46</v>
      </c>
      <c r="E76" s="72">
        <v>181</v>
      </c>
      <c r="F76" s="42">
        <v>253</v>
      </c>
      <c r="G76" s="42">
        <v>1756.9</v>
      </c>
      <c r="H76" s="42">
        <v>817</v>
      </c>
      <c r="I76" s="43">
        <v>3</v>
      </c>
      <c r="J76" s="42" t="s">
        <v>11</v>
      </c>
      <c r="K76" s="15">
        <v>15</v>
      </c>
      <c r="L76" s="15" t="s">
        <v>16</v>
      </c>
      <c r="M76" s="15">
        <v>1</v>
      </c>
      <c r="N76" s="15" t="s">
        <v>11</v>
      </c>
      <c r="O76" s="15" t="s">
        <v>11</v>
      </c>
      <c r="P76" s="15">
        <v>17</v>
      </c>
      <c r="Q76" s="15">
        <v>1</v>
      </c>
      <c r="R76" s="15">
        <v>5</v>
      </c>
      <c r="S76" s="15" t="s">
        <v>11</v>
      </c>
      <c r="T76" s="15">
        <v>4</v>
      </c>
      <c r="U76" s="42">
        <f>+I76+J76+K76+L76+M76+N76+O76+P76+Q76+R76+S76+T76</f>
        <v>46</v>
      </c>
      <c r="V76" s="56">
        <v>9</v>
      </c>
      <c r="W76" s="42">
        <v>17</v>
      </c>
      <c r="X76" s="15">
        <v>70</v>
      </c>
      <c r="Y76" s="15">
        <v>4</v>
      </c>
      <c r="Z76" s="15">
        <v>24</v>
      </c>
      <c r="AA76" s="15" t="s">
        <v>11</v>
      </c>
      <c r="AB76" s="15">
        <v>9</v>
      </c>
      <c r="AC76" s="15">
        <v>13</v>
      </c>
      <c r="AD76" s="15" t="s">
        <v>11</v>
      </c>
      <c r="AE76" s="15">
        <v>6</v>
      </c>
      <c r="AF76" s="15">
        <v>24</v>
      </c>
      <c r="AG76" s="15">
        <v>5</v>
      </c>
      <c r="AH76" s="71">
        <f>SUM(V76:AG76)</f>
        <v>181</v>
      </c>
      <c r="AI76" s="43">
        <v>17</v>
      </c>
      <c r="AJ76" s="15">
        <v>28</v>
      </c>
      <c r="AK76" s="15" t="s">
        <v>11</v>
      </c>
      <c r="AL76" s="15">
        <v>29</v>
      </c>
      <c r="AM76" s="15">
        <v>5</v>
      </c>
      <c r="AN76" s="15">
        <v>103</v>
      </c>
      <c r="AO76" s="15">
        <v>34</v>
      </c>
      <c r="AP76" s="15">
        <v>3</v>
      </c>
      <c r="AQ76" s="15">
        <v>3</v>
      </c>
      <c r="AR76" s="15">
        <v>6</v>
      </c>
      <c r="AS76" s="15">
        <v>5</v>
      </c>
      <c r="AT76" s="15">
        <v>20</v>
      </c>
      <c r="AU76" s="71">
        <f>AI76+AJ76+AK76+AL76+AM76+AN76+AO76+AP76+AQ76+AR76+AS76+AT76</f>
        <v>253</v>
      </c>
      <c r="AV76" s="42">
        <v>13</v>
      </c>
      <c r="AW76" s="15">
        <v>20</v>
      </c>
      <c r="AX76" s="31" t="s">
        <v>11</v>
      </c>
      <c r="AY76" s="15">
        <f>4+8+1</f>
        <v>13</v>
      </c>
      <c r="AZ76" s="31">
        <f>35</f>
        <v>35</v>
      </c>
      <c r="BA76" s="4">
        <f>21+3</f>
        <v>24</v>
      </c>
      <c r="BB76" s="4">
        <v>787.5</v>
      </c>
      <c r="BC76" s="4">
        <v>146.1</v>
      </c>
      <c r="BD76" s="4">
        <v>24.3</v>
      </c>
      <c r="BE76" s="4">
        <v>283.6</v>
      </c>
      <c r="BF76" s="4">
        <v>131.4</v>
      </c>
      <c r="BG76" s="12">
        <f>277+2</f>
        <v>279</v>
      </c>
      <c r="BH76" s="71">
        <f>SUM(AV76:BG76)</f>
        <v>1756.9</v>
      </c>
      <c r="BI76" s="36">
        <f>15+1</f>
        <v>16</v>
      </c>
      <c r="BJ76" s="15">
        <f>BV76-BI76</f>
        <v>12.899999999999999</v>
      </c>
      <c r="BK76" s="15">
        <f>BW76-BJ76-BI76</f>
        <v>0.10000000000000142</v>
      </c>
      <c r="BL76" s="15">
        <f>BX76-BK76-BJ76-BI76</f>
        <v>30.200000000000003</v>
      </c>
      <c r="BM76" s="15">
        <f>BY76-BL76-BK76-BJ76-BI76</f>
        <v>23.799999999999997</v>
      </c>
      <c r="BN76" s="15">
        <f>BZ76-BM76-BL76-BK76-BJ76-BI76</f>
        <v>78.6</v>
      </c>
      <c r="BO76" s="15">
        <f>CA76-BN76-BM76-BL76-BK76-BJ76-BI76</f>
        <v>10.5</v>
      </c>
      <c r="BP76" s="15">
        <f>CB76-BO76-BN76-BM76-BL76-BK76-BJ76-BI76</f>
        <v>52.30000000000001</v>
      </c>
      <c r="BQ76" s="15">
        <f>CC76-BP76-BO76-BN76-BM76-BL76-BK76-BJ76-BI76</f>
        <v>64.99999999999997</v>
      </c>
      <c r="BR76" s="15">
        <f>CD76-BQ76-BP76-BO76-BN76-BM76-BL76-BK76-BJ76-BI76</f>
        <v>0.9000000000000341</v>
      </c>
      <c r="BS76" s="15">
        <f>CE76-BR76-BQ76-BP76-BO76-BN76-BM76-BL76-BK76-BJ76-BI76</f>
        <v>485.1</v>
      </c>
      <c r="BT76" s="15">
        <f>CF76-BS76-BR76-BQ76-BP76-BO76-BN76-BM76-BL76-BK76-BJ76-BI76</f>
        <v>41.6</v>
      </c>
      <c r="BU76" s="73">
        <f>SUM(BI76:BT76)</f>
        <v>817.0000000000001</v>
      </c>
      <c r="BV76" s="72">
        <v>28.9</v>
      </c>
      <c r="BW76" s="42">
        <v>29</v>
      </c>
      <c r="BX76" s="72">
        <v>59.2</v>
      </c>
      <c r="BY76" s="71">
        <v>83</v>
      </c>
      <c r="BZ76" s="71">
        <v>161.6</v>
      </c>
      <c r="CA76" s="71">
        <v>172.1</v>
      </c>
      <c r="CB76" s="71">
        <v>224.4</v>
      </c>
      <c r="CC76" s="42">
        <v>289.4</v>
      </c>
      <c r="CD76" s="42">
        <v>290.3</v>
      </c>
      <c r="CE76" s="43">
        <v>775.4</v>
      </c>
      <c r="CF76" s="43">
        <v>817</v>
      </c>
      <c r="CG76" s="43">
        <v>107.1</v>
      </c>
      <c r="CH76" s="119">
        <v>60</v>
      </c>
      <c r="CI76" s="127">
        <v>101.1</v>
      </c>
      <c r="CJ76" s="71">
        <v>220.19</v>
      </c>
      <c r="CK76" s="71">
        <v>7221.091</v>
      </c>
      <c r="CL76" s="122">
        <v>5866.65</v>
      </c>
      <c r="CM76" s="122">
        <v>1116.305</v>
      </c>
      <c r="CN76" s="122">
        <v>2233.456</v>
      </c>
      <c r="CO76" s="122">
        <v>386.28200000000106</v>
      </c>
      <c r="CP76" s="122">
        <v>396.632</v>
      </c>
      <c r="CQ76" s="122">
        <v>10.7</v>
      </c>
      <c r="CR76" s="122">
        <v>17.6</v>
      </c>
      <c r="CS76" s="122">
        <v>17.6</v>
      </c>
      <c r="CT76" s="122">
        <v>31.6</v>
      </c>
      <c r="CU76" s="122">
        <v>46.8</v>
      </c>
      <c r="CV76" s="122">
        <v>52.6</v>
      </c>
      <c r="CW76" s="122">
        <v>52.6</v>
      </c>
      <c r="CX76" s="122">
        <v>66.2</v>
      </c>
      <c r="CY76" s="122">
        <v>74</v>
      </c>
      <c r="CZ76" s="122">
        <v>83.4</v>
      </c>
      <c r="DA76" s="122">
        <v>106.9</v>
      </c>
      <c r="DB76" s="122">
        <v>107.1</v>
      </c>
      <c r="DC76" s="122">
        <v>29.4</v>
      </c>
      <c r="DD76" s="122">
        <v>45.2</v>
      </c>
      <c r="DE76" s="122">
        <v>45.8</v>
      </c>
      <c r="DF76" s="122">
        <v>56.3</v>
      </c>
      <c r="DG76" s="122">
        <v>56.3</v>
      </c>
      <c r="DH76" s="122">
        <v>56.8</v>
      </c>
      <c r="DI76" s="122">
        <v>56.8</v>
      </c>
      <c r="DJ76" s="122">
        <v>56.8</v>
      </c>
      <c r="DK76" s="122">
        <v>56.8</v>
      </c>
      <c r="DL76" s="122">
        <v>58.5</v>
      </c>
      <c r="DM76" s="122">
        <v>60</v>
      </c>
      <c r="DN76" s="122">
        <v>60</v>
      </c>
      <c r="DO76" s="122">
        <v>12.9</v>
      </c>
      <c r="DP76" s="122">
        <v>25.8</v>
      </c>
      <c r="DQ76" s="122">
        <v>37.3</v>
      </c>
      <c r="DR76" s="122">
        <v>50.6</v>
      </c>
      <c r="DS76" s="122">
        <v>85</v>
      </c>
      <c r="DT76" s="122">
        <v>94.2</v>
      </c>
      <c r="DU76" s="122">
        <v>95.7</v>
      </c>
      <c r="DV76" s="122">
        <v>96.7</v>
      </c>
      <c r="DW76" s="122">
        <v>98.7</v>
      </c>
      <c r="DX76" s="122">
        <v>99.1</v>
      </c>
      <c r="DY76" s="122">
        <v>99.1</v>
      </c>
      <c r="DZ76" s="122">
        <f>2</f>
        <v>2</v>
      </c>
      <c r="EA76" s="122">
        <f>DY76+DZ76</f>
        <v>101.1</v>
      </c>
      <c r="EB76" s="122">
        <v>44</v>
      </c>
      <c r="EC76" s="122">
        <v>11.3</v>
      </c>
      <c r="ED76" s="122">
        <f>4</f>
        <v>4</v>
      </c>
      <c r="EE76" s="122">
        <f>1+2</f>
        <v>3</v>
      </c>
      <c r="EF76" s="122">
        <v>0</v>
      </c>
      <c r="EG76" s="122">
        <f>'[2]Feuil3'!$E$19</f>
        <v>1</v>
      </c>
      <c r="EH76" s="122">
        <f>0.2</f>
        <v>0.2</v>
      </c>
      <c r="EI76" s="122">
        <v>2</v>
      </c>
      <c r="EJ76" s="122">
        <v>14</v>
      </c>
      <c r="EK76" s="122">
        <v>101.9</v>
      </c>
      <c r="EL76" s="122">
        <f>27+0.79</f>
        <v>27.79</v>
      </c>
      <c r="EM76" s="122">
        <f>11</f>
        <v>11</v>
      </c>
      <c r="EN76" s="122">
        <f>SUM(EB76:EM76)</f>
        <v>220.19</v>
      </c>
      <c r="EO76" s="122">
        <f>0.1+6</f>
        <v>6.1</v>
      </c>
      <c r="EP76" s="122">
        <f>2+15+4+1</f>
        <v>22</v>
      </c>
      <c r="EQ76" s="122">
        <v>0</v>
      </c>
      <c r="ER76" s="122">
        <f>'[3]avril pays'!$C$38+'[3]avril pays'!$C$8</f>
        <v>19.582</v>
      </c>
      <c r="ES76" s="122">
        <f>30+9</f>
        <v>39</v>
      </c>
      <c r="ET76" s="122">
        <f>6.2+13.2</f>
        <v>19.4</v>
      </c>
      <c r="EU76" s="122">
        <f>8.2+0.7</f>
        <v>8.899999999999999</v>
      </c>
      <c r="EV76" s="122">
        <f>3.67</f>
        <v>3.67</v>
      </c>
      <c r="EW76" s="122">
        <v>153.27</v>
      </c>
      <c r="EX76" s="122">
        <v>31.969</v>
      </c>
      <c r="EY76" s="122">
        <v>2674</v>
      </c>
      <c r="EZ76" s="122">
        <f>4210+0.2+3+30</f>
        <v>4243.2</v>
      </c>
      <c r="FA76" s="122">
        <f>SUM(EO76:EZ76)</f>
        <v>7221.091</v>
      </c>
      <c r="FB76" s="122">
        <v>28.1</v>
      </c>
      <c r="FC76" s="122">
        <v>875.316</v>
      </c>
      <c r="FD76" s="122">
        <v>0</v>
      </c>
      <c r="FE76" s="122">
        <f>2881.25+405.62+33.29+0.02+3</f>
        <v>3323.18</v>
      </c>
      <c r="FF76" s="122">
        <f>1247+0.344</f>
        <v>1247.344</v>
      </c>
      <c r="FG76" s="122">
        <f>384.8+0.2</f>
        <v>385</v>
      </c>
      <c r="FH76" s="122">
        <v>1.8659999999999999</v>
      </c>
      <c r="FI76" s="122">
        <v>1.4829999999999999</v>
      </c>
      <c r="FJ76" s="122">
        <f>1.7</f>
        <v>1.7</v>
      </c>
      <c r="FK76" s="122">
        <v>0</v>
      </c>
      <c r="FL76" s="122">
        <v>0.581</v>
      </c>
      <c r="FM76" s="122">
        <v>2.08</v>
      </c>
      <c r="FN76" s="122">
        <f>SUM(FB76:FM76)</f>
        <v>5866.65</v>
      </c>
      <c r="FO76" s="122">
        <v>8.44</v>
      </c>
      <c r="FP76" s="122">
        <v>22.362</v>
      </c>
      <c r="FQ76" s="122">
        <v>3.505</v>
      </c>
      <c r="FR76" s="122">
        <f>'[5]IV5-IV6'!$C$23</f>
        <v>34.004</v>
      </c>
      <c r="FS76" s="122">
        <f>'[6]IV5_IV6_Mai'!$D$23</f>
        <v>3.388</v>
      </c>
      <c r="FT76" s="122">
        <v>32.199999999999996</v>
      </c>
      <c r="FU76" s="122">
        <v>20.118000000000002</v>
      </c>
      <c r="FV76" s="122">
        <v>0</v>
      </c>
      <c r="FW76" s="122">
        <v>6.322000000000003</v>
      </c>
      <c r="FX76" s="122">
        <v>13.4</v>
      </c>
      <c r="FY76" s="122">
        <v>57.565999999999995</v>
      </c>
      <c r="FZ76" s="122">
        <v>915</v>
      </c>
      <c r="GA76" s="122">
        <f>FO76+FP76+FQ76+FR76+FS76+FT76+FU76+FV76+FW76+FX76+FY76+FZ76</f>
        <v>1116.305</v>
      </c>
      <c r="GB76" s="122">
        <v>100.50000000000001</v>
      </c>
      <c r="GC76" s="122">
        <v>2.721</v>
      </c>
      <c r="GD76" s="122">
        <v>326.685</v>
      </c>
      <c r="GE76" s="122">
        <v>701.367</v>
      </c>
      <c r="GF76" s="122">
        <v>504.484</v>
      </c>
      <c r="GG76" s="122">
        <v>505.826</v>
      </c>
      <c r="GH76" s="122">
        <v>2.501</v>
      </c>
      <c r="GI76" s="122">
        <v>34.003</v>
      </c>
      <c r="GJ76" s="122">
        <v>39.253</v>
      </c>
      <c r="GK76" s="122">
        <v>10.977</v>
      </c>
      <c r="GL76" s="122">
        <v>0.21</v>
      </c>
      <c r="GM76" s="122">
        <v>4.929</v>
      </c>
      <c r="GN76" s="122">
        <f>SUM(GB76:GM76)</f>
        <v>2233.456</v>
      </c>
      <c r="GO76" s="122">
        <v>253.714</v>
      </c>
      <c r="GP76" s="122">
        <v>71.007</v>
      </c>
      <c r="GQ76" s="122">
        <v>6.628</v>
      </c>
      <c r="GR76" s="122">
        <v>55.97</v>
      </c>
      <c r="GS76" s="122">
        <v>21.932000000000002</v>
      </c>
      <c r="GT76" s="122">
        <v>0.2</v>
      </c>
      <c r="GU76" s="122">
        <v>0.28099999999999997</v>
      </c>
      <c r="GV76" s="122">
        <v>0.29800000000000004</v>
      </c>
      <c r="GW76" s="122">
        <v>0.12</v>
      </c>
      <c r="GX76" s="122">
        <v>3.15</v>
      </c>
      <c r="GY76" s="122">
        <v>2.03</v>
      </c>
      <c r="GZ76" s="122">
        <v>0.762</v>
      </c>
      <c r="HA76" s="122">
        <v>24.465</v>
      </c>
      <c r="HB76" s="122">
        <v>0.41600000000000004</v>
      </c>
      <c r="HC76" s="122">
        <v>1</v>
      </c>
      <c r="HD76" s="122">
        <v>7.7490000000000006</v>
      </c>
      <c r="HE76" s="122">
        <v>3.02</v>
      </c>
      <c r="HF76" s="122">
        <v>9.514</v>
      </c>
      <c r="HG76" s="122">
        <v>0.581</v>
      </c>
      <c r="HH76" s="122">
        <v>12.211</v>
      </c>
      <c r="HI76" s="122">
        <v>320.453</v>
      </c>
      <c r="HJ76" s="122">
        <v>9.36</v>
      </c>
      <c r="HK76" s="122">
        <v>7.592</v>
      </c>
      <c r="HL76" s="122">
        <v>0.271</v>
      </c>
      <c r="HM76" s="98">
        <v>2000.046</v>
      </c>
      <c r="HN76" s="98">
        <v>28.42</v>
      </c>
      <c r="HO76" s="98">
        <v>1111.737</v>
      </c>
      <c r="HP76" s="122">
        <v>2087.513</v>
      </c>
      <c r="HQ76" s="98">
        <v>15.611</v>
      </c>
      <c r="HR76" s="122">
        <v>5.577000000000001</v>
      </c>
      <c r="HS76" s="122">
        <v>4322.698</v>
      </c>
      <c r="HT76" s="122">
        <v>834.0169999999999</v>
      </c>
      <c r="HU76" s="122"/>
      <c r="HV76" s="122"/>
      <c r="HW76" s="122"/>
      <c r="HX76" s="122"/>
      <c r="HY76" s="122">
        <f>HA76+HB76+HC76+HD76+HE76+HF76+HG76+HH76</f>
        <v>58.956</v>
      </c>
      <c r="HZ76" s="122">
        <f>HM76+HN76+HO76+HP76+HQ76+HR76+HS76+HT76</f>
        <v>10405.619</v>
      </c>
    </row>
    <row r="77" spans="2:234" ht="10.5" customHeight="1">
      <c r="B77" s="105"/>
      <c r="C77" s="71"/>
      <c r="D77" s="42"/>
      <c r="E77" s="72"/>
      <c r="F77" s="42"/>
      <c r="G77" s="42"/>
      <c r="H77" s="42"/>
      <c r="I77" s="43"/>
      <c r="J77" s="43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42"/>
      <c r="V77" s="56"/>
      <c r="W77" s="43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71"/>
      <c r="AI77" s="43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71"/>
      <c r="AV77" s="56"/>
      <c r="AW77" s="4"/>
      <c r="AX77" s="31"/>
      <c r="AY77" s="4"/>
      <c r="AZ77" s="31"/>
      <c r="BA77" s="4"/>
      <c r="BB77" s="4"/>
      <c r="BC77" s="4"/>
      <c r="BD77" s="4"/>
      <c r="BE77" s="4"/>
      <c r="BF77" s="12"/>
      <c r="BG77" s="12"/>
      <c r="BH77" s="71"/>
      <c r="BI77" s="36"/>
      <c r="BJ77" s="4"/>
      <c r="BK77" s="31"/>
      <c r="BL77" s="4"/>
      <c r="BM77" s="31"/>
      <c r="BN77" s="4"/>
      <c r="BO77" s="4"/>
      <c r="BP77" s="4"/>
      <c r="BQ77" s="15">
        <f>CD77-CC77</f>
        <v>0</v>
      </c>
      <c r="BR77" s="4"/>
      <c r="BS77" s="12"/>
      <c r="BT77" s="12"/>
      <c r="BU77" s="73"/>
      <c r="BV77" s="72"/>
      <c r="BW77" s="42"/>
      <c r="BX77" s="72"/>
      <c r="BY77" s="71"/>
      <c r="BZ77" s="71"/>
      <c r="CA77" s="71"/>
      <c r="CB77" s="71"/>
      <c r="CC77" s="71"/>
      <c r="CD77" s="71"/>
      <c r="CE77" s="43"/>
      <c r="CF77" s="43"/>
      <c r="CG77" s="43"/>
      <c r="CH77" s="72"/>
      <c r="CI77" s="42"/>
      <c r="CJ77" s="124"/>
      <c r="CK77" s="124"/>
      <c r="CL77" s="124"/>
      <c r="CM77" s="125"/>
      <c r="CN77" s="125"/>
      <c r="CO77" s="125"/>
      <c r="CP77" s="122"/>
      <c r="CQ77" s="125"/>
      <c r="CR77" s="124"/>
      <c r="CS77" s="124"/>
      <c r="CT77" s="124"/>
      <c r="CU77" s="124"/>
      <c r="CV77" s="125"/>
      <c r="CW77" s="124"/>
      <c r="CX77" s="124"/>
      <c r="CY77" s="124"/>
      <c r="CZ77" s="124"/>
      <c r="DA77" s="124"/>
      <c r="DB77" s="124"/>
      <c r="DC77" s="124"/>
      <c r="DD77" s="124"/>
      <c r="DE77" s="124"/>
      <c r="DF77" s="125"/>
      <c r="DG77" s="124"/>
      <c r="DH77" s="125"/>
      <c r="DI77" s="124"/>
      <c r="DJ77" s="125"/>
      <c r="DK77" s="124"/>
      <c r="DL77" s="124"/>
      <c r="DM77" s="124"/>
      <c r="DN77" s="124"/>
      <c r="DO77" s="124"/>
      <c r="DP77" s="124"/>
      <c r="DQ77" s="124"/>
      <c r="DR77" s="124"/>
      <c r="DS77" s="124"/>
      <c r="DT77" s="124"/>
      <c r="DU77" s="124"/>
      <c r="DV77" s="124"/>
      <c r="DW77" s="124"/>
      <c r="DX77" s="124"/>
      <c r="DY77" s="124"/>
      <c r="DZ77" s="124"/>
      <c r="EA77" s="124"/>
      <c r="EB77" s="124"/>
      <c r="EC77" s="125"/>
      <c r="ED77" s="125"/>
      <c r="EE77" s="125"/>
      <c r="EF77" s="125"/>
      <c r="EG77" s="125"/>
      <c r="EH77" s="125"/>
      <c r="EI77" s="125"/>
      <c r="EJ77" s="124"/>
      <c r="EK77" s="124"/>
      <c r="EL77" s="125"/>
      <c r="EM77" s="125"/>
      <c r="EN77" s="136"/>
      <c r="EO77" s="124"/>
      <c r="EP77" s="124"/>
      <c r="EQ77" s="124"/>
      <c r="ER77" s="124"/>
      <c r="ES77" s="124"/>
      <c r="ET77" s="124"/>
      <c r="EU77" s="124"/>
      <c r="EV77" s="124"/>
      <c r="EW77" s="124"/>
      <c r="EX77" s="124"/>
      <c r="EY77" s="124"/>
      <c r="EZ77" s="124"/>
      <c r="FA77" s="124"/>
      <c r="FB77" s="123"/>
      <c r="FC77" s="123"/>
      <c r="FD77" s="123"/>
      <c r="FE77" s="123"/>
      <c r="FF77" s="128"/>
      <c r="FG77" s="123"/>
      <c r="FH77" s="123"/>
      <c r="FI77" s="123"/>
      <c r="FJ77" s="123"/>
      <c r="FK77" s="123"/>
      <c r="FL77" s="123"/>
      <c r="FM77" s="123"/>
      <c r="FN77" s="123"/>
      <c r="FO77" s="129"/>
      <c r="FP77" s="126"/>
      <c r="FQ77" s="126"/>
      <c r="FR77" s="126"/>
      <c r="FS77" s="126"/>
      <c r="FT77" s="126"/>
      <c r="FU77" s="126"/>
      <c r="FV77" s="124"/>
      <c r="FW77" s="124"/>
      <c r="FX77" s="124"/>
      <c r="FY77" s="124"/>
      <c r="FZ77" s="124"/>
      <c r="GA77" s="123"/>
      <c r="GB77" s="123"/>
      <c r="GC77" s="123"/>
      <c r="GD77" s="123"/>
      <c r="GE77" s="123"/>
      <c r="GF77" s="123"/>
      <c r="GG77" s="123"/>
      <c r="GH77" s="123"/>
      <c r="GI77" s="123"/>
      <c r="GJ77" s="123"/>
      <c r="GK77" s="123"/>
      <c r="GL77" s="123"/>
      <c r="GM77" s="123"/>
      <c r="GN77" s="123"/>
      <c r="GO77" s="123"/>
      <c r="GP77" s="123"/>
      <c r="GQ77" s="123"/>
      <c r="GR77" s="123"/>
      <c r="GS77" s="123"/>
      <c r="GT77" s="123"/>
      <c r="GU77" s="123"/>
      <c r="GV77" s="123"/>
      <c r="GW77" s="123"/>
      <c r="GX77" s="123"/>
      <c r="GY77" s="123"/>
      <c r="GZ77" s="123"/>
      <c r="HA77" s="123"/>
      <c r="HB77" s="123"/>
      <c r="HC77" s="123"/>
      <c r="HD77" s="123"/>
      <c r="HE77" s="123"/>
      <c r="HF77" s="123"/>
      <c r="HG77" s="123"/>
      <c r="HH77" s="123"/>
      <c r="HI77" s="123"/>
      <c r="HJ77" s="123"/>
      <c r="HK77" s="123"/>
      <c r="HL77" s="123"/>
      <c r="HM77" s="123"/>
      <c r="HN77" s="123"/>
      <c r="HO77" s="123"/>
      <c r="HP77" s="123"/>
      <c r="HQ77" s="142"/>
      <c r="HR77" s="123"/>
      <c r="HS77" s="123"/>
      <c r="HT77" s="123"/>
      <c r="HU77" s="123"/>
      <c r="HV77" s="123"/>
      <c r="HW77" s="123"/>
      <c r="HX77" s="123"/>
      <c r="HY77" s="124"/>
      <c r="HZ77" s="124"/>
    </row>
    <row r="78" spans="2:234" ht="15.75">
      <c r="B78" s="107" t="s">
        <v>102</v>
      </c>
      <c r="C78" s="58">
        <f>SUM(C80:C81)</f>
        <v>321</v>
      </c>
      <c r="D78" s="58" t="s">
        <v>11</v>
      </c>
      <c r="E78" s="60" t="s">
        <v>11</v>
      </c>
      <c r="F78" s="58">
        <v>3</v>
      </c>
      <c r="G78" s="58">
        <v>43.5</v>
      </c>
      <c r="H78" s="58">
        <v>214.9</v>
      </c>
      <c r="I78" s="59">
        <f aca="true" t="shared" si="91" ref="I78:T78">SUM(I80)</f>
        <v>0</v>
      </c>
      <c r="J78" s="58">
        <f t="shared" si="91"/>
        <v>0</v>
      </c>
      <c r="K78" s="58">
        <f t="shared" si="91"/>
        <v>0</v>
      </c>
      <c r="L78" s="58">
        <f t="shared" si="91"/>
        <v>0</v>
      </c>
      <c r="M78" s="58">
        <f t="shared" si="91"/>
        <v>0</v>
      </c>
      <c r="N78" s="58">
        <f t="shared" si="91"/>
        <v>0</v>
      </c>
      <c r="O78" s="58">
        <f t="shared" si="91"/>
        <v>0</v>
      </c>
      <c r="P78" s="58">
        <f t="shared" si="91"/>
        <v>0</v>
      </c>
      <c r="Q78" s="58">
        <f t="shared" si="91"/>
        <v>0</v>
      </c>
      <c r="R78" s="58">
        <f t="shared" si="91"/>
        <v>0</v>
      </c>
      <c r="S78" s="58">
        <f t="shared" si="91"/>
        <v>0</v>
      </c>
      <c r="T78" s="58">
        <f t="shared" si="91"/>
        <v>0</v>
      </c>
      <c r="U78" s="58">
        <f aca="true" t="shared" si="92" ref="U78:CF78">SUM(U80:U81)</f>
        <v>0</v>
      </c>
      <c r="V78" s="58">
        <f t="shared" si="92"/>
        <v>0</v>
      </c>
      <c r="W78" s="58">
        <f t="shared" si="92"/>
        <v>0</v>
      </c>
      <c r="X78" s="58">
        <f t="shared" si="92"/>
        <v>0</v>
      </c>
      <c r="Y78" s="58">
        <f t="shared" si="92"/>
        <v>0</v>
      </c>
      <c r="Z78" s="58">
        <f t="shared" si="92"/>
        <v>0</v>
      </c>
      <c r="AA78" s="58">
        <f t="shared" si="92"/>
        <v>0</v>
      </c>
      <c r="AB78" s="58">
        <f t="shared" si="92"/>
        <v>0</v>
      </c>
      <c r="AC78" s="58">
        <f t="shared" si="92"/>
        <v>0</v>
      </c>
      <c r="AD78" s="58">
        <f t="shared" si="92"/>
        <v>0</v>
      </c>
      <c r="AE78" s="58">
        <f t="shared" si="92"/>
        <v>0</v>
      </c>
      <c r="AF78" s="58">
        <f t="shared" si="92"/>
        <v>0</v>
      </c>
      <c r="AG78" s="58">
        <f t="shared" si="92"/>
        <v>0</v>
      </c>
      <c r="AH78" s="58">
        <f t="shared" si="92"/>
        <v>0</v>
      </c>
      <c r="AI78" s="58">
        <f t="shared" si="92"/>
        <v>0</v>
      </c>
      <c r="AJ78" s="58">
        <f t="shared" si="92"/>
        <v>0</v>
      </c>
      <c r="AK78" s="58">
        <f t="shared" si="92"/>
        <v>0</v>
      </c>
      <c r="AL78" s="58">
        <f t="shared" si="92"/>
        <v>0</v>
      </c>
      <c r="AM78" s="58">
        <f t="shared" si="92"/>
        <v>3</v>
      </c>
      <c r="AN78" s="58">
        <f t="shared" si="92"/>
        <v>0</v>
      </c>
      <c r="AO78" s="58">
        <f t="shared" si="92"/>
        <v>0</v>
      </c>
      <c r="AP78" s="58">
        <f t="shared" si="92"/>
        <v>0</v>
      </c>
      <c r="AQ78" s="58">
        <f t="shared" si="92"/>
        <v>0</v>
      </c>
      <c r="AR78" s="58">
        <f t="shared" si="92"/>
        <v>0</v>
      </c>
      <c r="AS78" s="58">
        <f t="shared" si="92"/>
        <v>0</v>
      </c>
      <c r="AT78" s="58">
        <f t="shared" si="92"/>
        <v>0</v>
      </c>
      <c r="AU78" s="58">
        <f t="shared" si="92"/>
        <v>3</v>
      </c>
      <c r="AV78" s="58">
        <f t="shared" si="92"/>
        <v>0</v>
      </c>
      <c r="AW78" s="58">
        <f t="shared" si="92"/>
        <v>0</v>
      </c>
      <c r="AX78" s="58">
        <f t="shared" si="92"/>
        <v>0</v>
      </c>
      <c r="AY78" s="58">
        <f t="shared" si="92"/>
        <v>0</v>
      </c>
      <c r="AZ78" s="58">
        <f t="shared" si="92"/>
        <v>0</v>
      </c>
      <c r="BA78" s="58">
        <f t="shared" si="92"/>
        <v>0</v>
      </c>
      <c r="BB78" s="58">
        <f t="shared" si="92"/>
        <v>23.7</v>
      </c>
      <c r="BC78" s="58">
        <f t="shared" si="92"/>
        <v>0</v>
      </c>
      <c r="BD78" s="58">
        <f t="shared" si="92"/>
        <v>14.1</v>
      </c>
      <c r="BE78" s="58">
        <f t="shared" si="92"/>
        <v>0</v>
      </c>
      <c r="BF78" s="58">
        <f t="shared" si="92"/>
        <v>1.7</v>
      </c>
      <c r="BG78" s="58">
        <f t="shared" si="92"/>
        <v>4</v>
      </c>
      <c r="BH78" s="58">
        <f t="shared" si="92"/>
        <v>43.5</v>
      </c>
      <c r="BI78" s="58">
        <f t="shared" si="92"/>
        <v>0.6</v>
      </c>
      <c r="BJ78" s="58">
        <f t="shared" si="92"/>
        <v>13.6</v>
      </c>
      <c r="BK78" s="58">
        <f t="shared" si="92"/>
        <v>0.4</v>
      </c>
      <c r="BL78" s="58">
        <f t="shared" si="92"/>
        <v>13.500000000000002</v>
      </c>
      <c r="BM78" s="58">
        <f t="shared" si="92"/>
        <v>10.899999999999997</v>
      </c>
      <c r="BN78" s="58">
        <f t="shared" si="92"/>
        <v>71.1</v>
      </c>
      <c r="BO78" s="58">
        <f t="shared" si="92"/>
        <v>3.552713678800501E-15</v>
      </c>
      <c r="BP78" s="58">
        <f t="shared" si="92"/>
        <v>15.700000000000005</v>
      </c>
      <c r="BQ78" s="61">
        <f>CD78-CC78</f>
        <v>0</v>
      </c>
      <c r="BR78" s="58">
        <f t="shared" si="92"/>
        <v>5.995204332975845E-15</v>
      </c>
      <c r="BS78" s="58">
        <f t="shared" si="92"/>
        <v>36.500000000000014</v>
      </c>
      <c r="BT78" s="60">
        <f t="shared" si="92"/>
        <v>36.29999999999999</v>
      </c>
      <c r="BU78" s="58">
        <f>SUM(BU80:BU81)</f>
        <v>215</v>
      </c>
      <c r="BV78" s="58">
        <f>SUM(BV80:BV81)</f>
        <v>14.6</v>
      </c>
      <c r="BW78" s="58">
        <f t="shared" si="92"/>
        <v>14.6</v>
      </c>
      <c r="BX78" s="58">
        <f t="shared" si="92"/>
        <v>28.1</v>
      </c>
      <c r="BY78" s="58">
        <f t="shared" si="92"/>
        <v>39</v>
      </c>
      <c r="BZ78" s="58">
        <f t="shared" si="92"/>
        <v>110.1</v>
      </c>
      <c r="CA78" s="58">
        <f t="shared" si="92"/>
        <v>110.1</v>
      </c>
      <c r="CB78" s="58">
        <f t="shared" si="92"/>
        <v>125.8</v>
      </c>
      <c r="CC78" s="58">
        <f t="shared" si="92"/>
        <v>142.2</v>
      </c>
      <c r="CD78" s="58">
        <f t="shared" si="92"/>
        <v>142.2</v>
      </c>
      <c r="CE78" s="58">
        <f t="shared" si="92"/>
        <v>178.7</v>
      </c>
      <c r="CF78" s="58">
        <f t="shared" si="92"/>
        <v>215</v>
      </c>
      <c r="CG78" s="58">
        <v>111.4</v>
      </c>
      <c r="CH78" s="60">
        <f>SUM(CH80:CH81)</f>
        <v>52</v>
      </c>
      <c r="CI78" s="58">
        <f aca="true" t="shared" si="93" ref="CI78:EW78">SUM(CI80:CI81)</f>
        <v>97.6</v>
      </c>
      <c r="CJ78" s="141">
        <f t="shared" si="93"/>
        <v>637.969</v>
      </c>
      <c r="CK78" s="141">
        <f t="shared" si="93"/>
        <v>1205.2890000000002</v>
      </c>
      <c r="CL78" s="145">
        <f t="shared" si="93"/>
        <v>1671.8500000000001</v>
      </c>
      <c r="CM78" s="145">
        <f t="shared" si="93"/>
        <v>10642.828000000001</v>
      </c>
      <c r="CN78" s="145">
        <f t="shared" si="93"/>
        <v>4290.753</v>
      </c>
      <c r="CO78" s="145">
        <f t="shared" si="93"/>
        <v>2330.5190000000007</v>
      </c>
      <c r="CP78" s="145">
        <f t="shared" si="93"/>
        <v>183.894</v>
      </c>
      <c r="CQ78" s="145">
        <f t="shared" si="93"/>
        <v>39.1</v>
      </c>
      <c r="CR78" s="145">
        <f t="shared" si="93"/>
        <v>39.1</v>
      </c>
      <c r="CS78" s="145">
        <f t="shared" si="93"/>
        <v>39.1</v>
      </c>
      <c r="CT78" s="145">
        <f t="shared" si="93"/>
        <v>39.1</v>
      </c>
      <c r="CU78" s="145">
        <f t="shared" si="93"/>
        <v>62.5</v>
      </c>
      <c r="CV78" s="145">
        <f t="shared" si="93"/>
        <v>83</v>
      </c>
      <c r="CW78" s="145">
        <f t="shared" si="93"/>
        <v>94</v>
      </c>
      <c r="CX78" s="145">
        <f t="shared" si="93"/>
        <v>94</v>
      </c>
      <c r="CY78" s="145">
        <f t="shared" si="93"/>
        <v>94</v>
      </c>
      <c r="CZ78" s="145">
        <f t="shared" si="93"/>
        <v>94.19999999999999</v>
      </c>
      <c r="DA78" s="145">
        <f t="shared" si="93"/>
        <v>94.19999999999999</v>
      </c>
      <c r="DB78" s="145">
        <f t="shared" si="93"/>
        <v>111.4</v>
      </c>
      <c r="DC78" s="145">
        <f t="shared" si="93"/>
        <v>9.2</v>
      </c>
      <c r="DD78" s="145">
        <f t="shared" si="93"/>
        <v>9.2</v>
      </c>
      <c r="DE78" s="145">
        <f t="shared" si="93"/>
        <v>9.2</v>
      </c>
      <c r="DF78" s="145">
        <f t="shared" si="93"/>
        <v>12.2</v>
      </c>
      <c r="DG78" s="145">
        <f t="shared" si="93"/>
        <v>12.2</v>
      </c>
      <c r="DH78" s="145">
        <f t="shared" si="93"/>
        <v>12.7</v>
      </c>
      <c r="DI78" s="145">
        <f t="shared" si="93"/>
        <v>12.7</v>
      </c>
      <c r="DJ78" s="145">
        <f t="shared" si="93"/>
        <v>13.299999999999999</v>
      </c>
      <c r="DK78" s="145">
        <f t="shared" si="93"/>
        <v>36.1</v>
      </c>
      <c r="DL78" s="145">
        <f t="shared" si="93"/>
        <v>49.3</v>
      </c>
      <c r="DM78" s="145">
        <f t="shared" si="93"/>
        <v>52</v>
      </c>
      <c r="DN78" s="145">
        <f t="shared" si="93"/>
        <v>52</v>
      </c>
      <c r="DO78" s="145">
        <f t="shared" si="93"/>
        <v>2.6</v>
      </c>
      <c r="DP78" s="145">
        <f t="shared" si="93"/>
        <v>6.2</v>
      </c>
      <c r="DQ78" s="145">
        <f t="shared" si="93"/>
        <v>25.400000000000002</v>
      </c>
      <c r="DR78" s="145">
        <f t="shared" si="93"/>
        <v>25.6</v>
      </c>
      <c r="DS78" s="145">
        <f t="shared" si="93"/>
        <v>26</v>
      </c>
      <c r="DT78" s="145">
        <f t="shared" si="93"/>
        <v>46.4</v>
      </c>
      <c r="DU78" s="145">
        <f t="shared" si="93"/>
        <v>46.4</v>
      </c>
      <c r="DV78" s="145">
        <f t="shared" si="93"/>
        <v>46.4</v>
      </c>
      <c r="DW78" s="145">
        <f t="shared" si="93"/>
        <v>9.4</v>
      </c>
      <c r="DX78" s="145">
        <f t="shared" si="93"/>
        <v>9.4</v>
      </c>
      <c r="DY78" s="145">
        <f t="shared" si="93"/>
        <v>34.6</v>
      </c>
      <c r="DZ78" s="145">
        <f t="shared" si="93"/>
        <v>63</v>
      </c>
      <c r="EA78" s="145">
        <f t="shared" si="93"/>
        <v>97.6</v>
      </c>
      <c r="EB78" s="145">
        <f t="shared" si="93"/>
        <v>32.4</v>
      </c>
      <c r="EC78" s="145">
        <f t="shared" si="93"/>
        <v>4.4</v>
      </c>
      <c r="ED78" s="145">
        <f t="shared" si="93"/>
        <v>1</v>
      </c>
      <c r="EE78" s="145">
        <f t="shared" si="93"/>
        <v>25</v>
      </c>
      <c r="EF78" s="145">
        <f t="shared" si="93"/>
        <v>20.222</v>
      </c>
      <c r="EG78" s="145">
        <f t="shared" si="93"/>
        <v>49.909</v>
      </c>
      <c r="EH78" s="145">
        <f t="shared" si="93"/>
        <v>52.1</v>
      </c>
      <c r="EI78" s="145">
        <f t="shared" si="93"/>
        <v>52.1</v>
      </c>
      <c r="EJ78" s="145">
        <f t="shared" si="93"/>
        <v>46.981</v>
      </c>
      <c r="EK78" s="145">
        <f t="shared" si="93"/>
        <v>141.657</v>
      </c>
      <c r="EL78" s="145">
        <f t="shared" si="93"/>
        <v>122</v>
      </c>
      <c r="EM78" s="145">
        <f t="shared" si="93"/>
        <v>90.2</v>
      </c>
      <c r="EN78" s="145">
        <f t="shared" si="93"/>
        <v>637.969</v>
      </c>
      <c r="EO78" s="145">
        <f t="shared" si="93"/>
        <v>113</v>
      </c>
      <c r="EP78" s="145">
        <f t="shared" si="93"/>
        <v>21.5</v>
      </c>
      <c r="EQ78" s="145">
        <f t="shared" si="93"/>
        <v>128</v>
      </c>
      <c r="ER78" s="145">
        <f t="shared" si="93"/>
        <v>1.762</v>
      </c>
      <c r="ES78" s="145">
        <f t="shared" si="93"/>
        <v>198.20000000000002</v>
      </c>
      <c r="ET78" s="145">
        <f t="shared" si="93"/>
        <v>180.1</v>
      </c>
      <c r="EU78" s="145">
        <f t="shared" si="93"/>
        <v>53.9</v>
      </c>
      <c r="EV78" s="145">
        <f t="shared" si="93"/>
        <v>181.98</v>
      </c>
      <c r="EW78" s="145">
        <f t="shared" si="93"/>
        <v>103.5</v>
      </c>
      <c r="EX78" s="145">
        <f aca="true" t="shared" si="94" ref="EX78:HK78">SUM(EX80:EX81)</f>
        <v>44.147</v>
      </c>
      <c r="EY78" s="145">
        <f t="shared" si="94"/>
        <v>110.6</v>
      </c>
      <c r="EZ78" s="145">
        <f t="shared" si="94"/>
        <v>68.6</v>
      </c>
      <c r="FA78" s="145">
        <f t="shared" si="94"/>
        <v>1205.2890000000002</v>
      </c>
      <c r="FB78" s="145">
        <f t="shared" si="94"/>
        <v>49.31999999999999</v>
      </c>
      <c r="FC78" s="145">
        <f t="shared" si="94"/>
        <v>32.529</v>
      </c>
      <c r="FD78" s="145">
        <f t="shared" si="94"/>
        <v>127.25200000000001</v>
      </c>
      <c r="FE78" s="145">
        <f t="shared" si="94"/>
        <v>164.11</v>
      </c>
      <c r="FF78" s="145">
        <f t="shared" si="94"/>
        <v>128.6</v>
      </c>
      <c r="FG78" s="145">
        <f t="shared" si="94"/>
        <v>215.1</v>
      </c>
      <c r="FH78" s="145">
        <f t="shared" si="94"/>
        <v>130.502</v>
      </c>
      <c r="FI78" s="145">
        <f t="shared" si="94"/>
        <v>191.702</v>
      </c>
      <c r="FJ78" s="145">
        <f t="shared" si="94"/>
        <v>157.9</v>
      </c>
      <c r="FK78" s="145">
        <f t="shared" si="94"/>
        <v>210.856</v>
      </c>
      <c r="FL78" s="145">
        <f t="shared" si="94"/>
        <v>121.585</v>
      </c>
      <c r="FM78" s="145">
        <f t="shared" si="94"/>
        <v>142.394</v>
      </c>
      <c r="FN78" s="145">
        <f t="shared" si="94"/>
        <v>1671.8500000000001</v>
      </c>
      <c r="FO78" s="145">
        <f t="shared" si="94"/>
        <v>380.573</v>
      </c>
      <c r="FP78" s="145">
        <f t="shared" si="94"/>
        <v>19.64</v>
      </c>
      <c r="FQ78" s="145">
        <f t="shared" si="94"/>
        <v>18.5</v>
      </c>
      <c r="FR78" s="145">
        <f t="shared" si="94"/>
        <v>176.11</v>
      </c>
      <c r="FS78" s="145">
        <f t="shared" si="94"/>
        <v>3577.764</v>
      </c>
      <c r="FT78" s="145">
        <f t="shared" si="94"/>
        <v>154.6</v>
      </c>
      <c r="FU78" s="145">
        <f t="shared" si="94"/>
        <v>2684.4440000000004</v>
      </c>
      <c r="FV78" s="145">
        <f t="shared" si="94"/>
        <v>3230.325</v>
      </c>
      <c r="FW78" s="145">
        <f t="shared" si="94"/>
        <v>98.326</v>
      </c>
      <c r="FX78" s="145">
        <f t="shared" si="94"/>
        <v>136.1</v>
      </c>
      <c r="FY78" s="145">
        <f t="shared" si="94"/>
        <v>92.04599999999999</v>
      </c>
      <c r="FZ78" s="145">
        <f t="shared" si="94"/>
        <v>74.4</v>
      </c>
      <c r="GA78" s="145">
        <f t="shared" si="94"/>
        <v>10642.828000000001</v>
      </c>
      <c r="GB78" s="145">
        <f t="shared" si="94"/>
        <v>0.132</v>
      </c>
      <c r="GC78" s="145">
        <f t="shared" si="94"/>
        <v>14</v>
      </c>
      <c r="GD78" s="145">
        <f t="shared" si="94"/>
        <v>862.425</v>
      </c>
      <c r="GE78" s="145">
        <f t="shared" si="94"/>
        <v>1110</v>
      </c>
      <c r="GF78" s="145">
        <f t="shared" si="94"/>
        <v>105.218</v>
      </c>
      <c r="GG78" s="145">
        <f t="shared" si="94"/>
        <v>367.517</v>
      </c>
      <c r="GH78" s="145">
        <f t="shared" si="94"/>
        <v>704.572</v>
      </c>
      <c r="GI78" s="145">
        <f t="shared" si="94"/>
        <v>0</v>
      </c>
      <c r="GJ78" s="145">
        <f t="shared" si="94"/>
        <v>735.738</v>
      </c>
      <c r="GK78" s="145">
        <f t="shared" si="94"/>
        <v>370.93</v>
      </c>
      <c r="GL78" s="145">
        <f t="shared" si="94"/>
        <v>20</v>
      </c>
      <c r="GM78" s="145">
        <f t="shared" si="94"/>
        <v>0.105</v>
      </c>
      <c r="GN78" s="145">
        <f t="shared" si="94"/>
        <v>4290.637</v>
      </c>
      <c r="GO78" s="145">
        <f t="shared" si="94"/>
        <v>0.122</v>
      </c>
      <c r="GP78" s="145">
        <f t="shared" si="94"/>
        <v>41.063</v>
      </c>
      <c r="GQ78" s="145">
        <f t="shared" si="94"/>
        <v>12.826</v>
      </c>
      <c r="GR78" s="145">
        <f t="shared" si="94"/>
        <v>10.3</v>
      </c>
      <c r="GS78" s="145">
        <f t="shared" si="94"/>
        <v>0.052000000000000005</v>
      </c>
      <c r="GT78" s="145">
        <f t="shared" si="94"/>
        <v>2200.065</v>
      </c>
      <c r="GU78" s="145">
        <f t="shared" si="94"/>
        <v>0.007</v>
      </c>
      <c r="GV78" s="145">
        <f t="shared" si="94"/>
        <v>2212.933</v>
      </c>
      <c r="GW78" s="145">
        <f t="shared" si="94"/>
        <v>7.87</v>
      </c>
      <c r="GX78" s="145">
        <f t="shared" si="94"/>
        <v>0.211</v>
      </c>
      <c r="GY78" s="145">
        <f t="shared" si="94"/>
        <v>19.885</v>
      </c>
      <c r="GZ78" s="145">
        <f t="shared" si="94"/>
        <v>0</v>
      </c>
      <c r="HA78" s="145">
        <f t="shared" si="94"/>
        <v>44.873999999999995</v>
      </c>
      <c r="HB78" s="145">
        <f t="shared" si="94"/>
        <v>7.5</v>
      </c>
      <c r="HC78" s="145">
        <f t="shared" si="94"/>
        <v>0</v>
      </c>
      <c r="HD78" s="145">
        <f t="shared" si="94"/>
        <v>47.753</v>
      </c>
      <c r="HE78" s="145">
        <f t="shared" si="94"/>
        <v>0.183</v>
      </c>
      <c r="HF78" s="145">
        <f t="shared" si="94"/>
        <v>0</v>
      </c>
      <c r="HG78" s="145">
        <f t="shared" si="94"/>
        <v>28.2</v>
      </c>
      <c r="HH78" s="145">
        <f t="shared" si="94"/>
        <v>1.899</v>
      </c>
      <c r="HI78" s="145">
        <f t="shared" si="94"/>
        <v>0.5</v>
      </c>
      <c r="HJ78" s="145">
        <f t="shared" si="94"/>
        <v>30.725</v>
      </c>
      <c r="HK78" s="145">
        <f t="shared" si="94"/>
        <v>0</v>
      </c>
      <c r="HL78" s="145">
        <f aca="true" t="shared" si="95" ref="HL78:HZ78">SUM(HL80:HL81)</f>
        <v>22.26</v>
      </c>
      <c r="HM78" s="145">
        <f t="shared" si="95"/>
        <v>0.266</v>
      </c>
      <c r="HN78" s="145">
        <f t="shared" si="95"/>
        <v>22.493</v>
      </c>
      <c r="HO78" s="145">
        <f t="shared" si="95"/>
        <v>0.363</v>
      </c>
      <c r="HP78" s="145">
        <f t="shared" si="95"/>
        <v>93.243</v>
      </c>
      <c r="HQ78" s="143">
        <f t="shared" si="95"/>
        <v>48.046</v>
      </c>
      <c r="HR78" s="145">
        <f t="shared" si="95"/>
        <v>42.778000000000006</v>
      </c>
      <c r="HS78" s="145">
        <f t="shared" si="95"/>
        <v>10.051</v>
      </c>
      <c r="HT78" s="145">
        <f t="shared" si="95"/>
        <v>0.025</v>
      </c>
      <c r="HU78" s="145">
        <f t="shared" si="95"/>
        <v>0</v>
      </c>
      <c r="HV78" s="145">
        <f t="shared" si="95"/>
        <v>0</v>
      </c>
      <c r="HW78" s="145">
        <f t="shared" si="95"/>
        <v>0</v>
      </c>
      <c r="HX78" s="145">
        <f t="shared" si="95"/>
        <v>0</v>
      </c>
      <c r="HY78" s="145">
        <f t="shared" si="95"/>
        <v>130.409</v>
      </c>
      <c r="HZ78" s="145">
        <f t="shared" si="95"/>
        <v>217.26500000000001</v>
      </c>
    </row>
    <row r="79" spans="2:234" ht="12" customHeight="1">
      <c r="B79" s="107"/>
      <c r="C79" s="71"/>
      <c r="D79" s="42"/>
      <c r="E79" s="72"/>
      <c r="F79" s="42"/>
      <c r="G79" s="42"/>
      <c r="H79" s="42"/>
      <c r="I79" s="43"/>
      <c r="J79" s="43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42"/>
      <c r="V79" s="56"/>
      <c r="W79" s="43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71"/>
      <c r="AI79" s="43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36"/>
      <c r="BJ79" s="71"/>
      <c r="BK79" s="71"/>
      <c r="BL79" s="71"/>
      <c r="BM79" s="71"/>
      <c r="BN79" s="71"/>
      <c r="BO79" s="71"/>
      <c r="BP79" s="71"/>
      <c r="BQ79" s="15">
        <f>CD79-CC79</f>
        <v>0</v>
      </c>
      <c r="BR79" s="71"/>
      <c r="BS79" s="71"/>
      <c r="BT79" s="73"/>
      <c r="BU79" s="73"/>
      <c r="BV79" s="71"/>
      <c r="BW79" s="71"/>
      <c r="BX79" s="71"/>
      <c r="BY79" s="71"/>
      <c r="BZ79" s="71"/>
      <c r="CA79" s="71"/>
      <c r="CB79" s="71"/>
      <c r="CC79" s="71"/>
      <c r="CD79" s="71"/>
      <c r="CE79" s="43"/>
      <c r="CF79" s="43"/>
      <c r="CG79" s="43"/>
      <c r="CH79" s="72"/>
      <c r="CI79" s="42"/>
      <c r="CJ79" s="124"/>
      <c r="CK79" s="124"/>
      <c r="CL79" s="124"/>
      <c r="CM79" s="125"/>
      <c r="CN79" s="125"/>
      <c r="CO79" s="125"/>
      <c r="CP79" s="125"/>
      <c r="CQ79" s="125"/>
      <c r="CR79" s="124"/>
      <c r="CS79" s="124"/>
      <c r="CT79" s="124"/>
      <c r="CU79" s="124"/>
      <c r="CV79" s="125"/>
      <c r="CW79" s="124"/>
      <c r="CX79" s="124"/>
      <c r="CY79" s="124"/>
      <c r="CZ79" s="124"/>
      <c r="DA79" s="124"/>
      <c r="DB79" s="124"/>
      <c r="DC79" s="124"/>
      <c r="DD79" s="124"/>
      <c r="DE79" s="124"/>
      <c r="DF79" s="125"/>
      <c r="DG79" s="124"/>
      <c r="DH79" s="125"/>
      <c r="DI79" s="124"/>
      <c r="DJ79" s="125"/>
      <c r="DK79" s="124"/>
      <c r="DL79" s="124"/>
      <c r="DM79" s="124"/>
      <c r="DN79" s="124"/>
      <c r="DO79" s="124"/>
      <c r="DP79" s="124"/>
      <c r="DQ79" s="124"/>
      <c r="DR79" s="124"/>
      <c r="DS79" s="124"/>
      <c r="DT79" s="124"/>
      <c r="DU79" s="124"/>
      <c r="DV79" s="124"/>
      <c r="DW79" s="124"/>
      <c r="DX79" s="124"/>
      <c r="DY79" s="124"/>
      <c r="DZ79" s="124"/>
      <c r="EA79" s="124"/>
      <c r="EB79" s="124"/>
      <c r="EC79" s="125"/>
      <c r="ED79" s="125"/>
      <c r="EE79" s="125"/>
      <c r="EF79" s="125"/>
      <c r="EG79" s="125"/>
      <c r="EH79" s="125"/>
      <c r="EI79" s="125"/>
      <c r="EJ79" s="124"/>
      <c r="EK79" s="124"/>
      <c r="EL79" s="125"/>
      <c r="EM79" s="125"/>
      <c r="EN79" s="136"/>
      <c r="EO79" s="124"/>
      <c r="EP79" s="124"/>
      <c r="EQ79" s="124"/>
      <c r="ER79" s="124"/>
      <c r="ES79" s="124"/>
      <c r="ET79" s="124"/>
      <c r="EU79" s="124"/>
      <c r="EV79" s="124"/>
      <c r="EW79" s="124"/>
      <c r="EX79" s="124"/>
      <c r="EY79" s="124"/>
      <c r="EZ79" s="124"/>
      <c r="FA79" s="124"/>
      <c r="FB79" s="123"/>
      <c r="FC79" s="123"/>
      <c r="FD79" s="123"/>
      <c r="FE79" s="123"/>
      <c r="FF79" s="128"/>
      <c r="FG79" s="123"/>
      <c r="FH79" s="123"/>
      <c r="FI79" s="123"/>
      <c r="FJ79" s="123"/>
      <c r="FK79" s="123"/>
      <c r="FL79" s="123"/>
      <c r="FM79" s="123"/>
      <c r="FN79" s="123"/>
      <c r="FO79" s="129"/>
      <c r="FP79" s="126"/>
      <c r="FQ79" s="126"/>
      <c r="FR79" s="126"/>
      <c r="FS79" s="126"/>
      <c r="FT79" s="126"/>
      <c r="FU79" s="126"/>
      <c r="FV79" s="124"/>
      <c r="FW79" s="124"/>
      <c r="FX79" s="124"/>
      <c r="FY79" s="124"/>
      <c r="FZ79" s="124"/>
      <c r="GA79" s="123"/>
      <c r="GB79" s="123"/>
      <c r="GC79" s="123"/>
      <c r="GD79" s="123"/>
      <c r="GE79" s="123"/>
      <c r="GF79" s="123"/>
      <c r="GG79" s="123"/>
      <c r="GH79" s="123"/>
      <c r="GI79" s="123"/>
      <c r="GJ79" s="123"/>
      <c r="GK79" s="123"/>
      <c r="GL79" s="123"/>
      <c r="GM79" s="123"/>
      <c r="GN79" s="123"/>
      <c r="GO79" s="123"/>
      <c r="GP79" s="123"/>
      <c r="GQ79" s="123"/>
      <c r="GR79" s="123"/>
      <c r="GS79" s="123"/>
      <c r="GT79" s="123"/>
      <c r="GU79" s="123"/>
      <c r="GV79" s="123"/>
      <c r="GW79" s="123"/>
      <c r="GX79" s="123"/>
      <c r="GY79" s="123"/>
      <c r="GZ79" s="123"/>
      <c r="HA79" s="123"/>
      <c r="HB79" s="123"/>
      <c r="HC79" s="123"/>
      <c r="HD79" s="123"/>
      <c r="HE79" s="123"/>
      <c r="HF79" s="123"/>
      <c r="HG79" s="123"/>
      <c r="HH79" s="123"/>
      <c r="HI79" s="123"/>
      <c r="HJ79" s="123"/>
      <c r="HK79" s="123"/>
      <c r="HL79" s="123"/>
      <c r="HM79" s="123"/>
      <c r="HN79" s="123"/>
      <c r="HO79" s="123"/>
      <c r="HP79" s="123"/>
      <c r="HQ79" s="98"/>
      <c r="HR79" s="123"/>
      <c r="HS79" s="123"/>
      <c r="HT79" s="123"/>
      <c r="HU79" s="123"/>
      <c r="HV79" s="123"/>
      <c r="HW79" s="123"/>
      <c r="HX79" s="123"/>
      <c r="HY79" s="124"/>
      <c r="HZ79" s="124"/>
    </row>
    <row r="80" spans="2:234" ht="15.75">
      <c r="B80" s="105" t="s">
        <v>103</v>
      </c>
      <c r="C80" s="71">
        <v>321</v>
      </c>
      <c r="D80" s="71" t="s">
        <v>11</v>
      </c>
      <c r="E80" s="72" t="s">
        <v>11</v>
      </c>
      <c r="F80" s="42">
        <v>3</v>
      </c>
      <c r="G80" s="42">
        <v>42.5</v>
      </c>
      <c r="H80" s="42">
        <v>79</v>
      </c>
      <c r="I80" s="43" t="s">
        <v>11</v>
      </c>
      <c r="J80" s="42" t="s">
        <v>11</v>
      </c>
      <c r="K80" s="15" t="s">
        <v>11</v>
      </c>
      <c r="L80" s="15" t="s">
        <v>11</v>
      </c>
      <c r="M80" s="15" t="s">
        <v>11</v>
      </c>
      <c r="N80" s="75" t="s">
        <v>13</v>
      </c>
      <c r="O80" s="15" t="s">
        <v>11</v>
      </c>
      <c r="P80" s="71" t="s">
        <v>16</v>
      </c>
      <c r="Q80" s="15" t="s">
        <v>11</v>
      </c>
      <c r="R80" s="15" t="s">
        <v>11</v>
      </c>
      <c r="S80" s="15" t="s">
        <v>11</v>
      </c>
      <c r="T80" s="15" t="s">
        <v>11</v>
      </c>
      <c r="U80" s="71" t="s">
        <v>11</v>
      </c>
      <c r="V80" s="36" t="s">
        <v>11</v>
      </c>
      <c r="W80" s="42" t="s">
        <v>11</v>
      </c>
      <c r="X80" s="15" t="s">
        <v>11</v>
      </c>
      <c r="Y80" s="15" t="s">
        <v>11</v>
      </c>
      <c r="Z80" s="15" t="s">
        <v>11</v>
      </c>
      <c r="AA80" s="75" t="s">
        <v>13</v>
      </c>
      <c r="AB80" s="15" t="s">
        <v>11</v>
      </c>
      <c r="AC80" s="71" t="s">
        <v>16</v>
      </c>
      <c r="AD80" s="15" t="s">
        <v>11</v>
      </c>
      <c r="AE80" s="15" t="s">
        <v>11</v>
      </c>
      <c r="AF80" s="15" t="s">
        <v>11</v>
      </c>
      <c r="AG80" s="15" t="s">
        <v>11</v>
      </c>
      <c r="AH80" s="71" t="s">
        <v>11</v>
      </c>
      <c r="AI80" s="43" t="s">
        <v>11</v>
      </c>
      <c r="AJ80" s="15">
        <v>0</v>
      </c>
      <c r="AK80" s="71" t="s">
        <v>16</v>
      </c>
      <c r="AL80" s="15"/>
      <c r="AM80" s="15">
        <v>3</v>
      </c>
      <c r="AN80" s="15" t="s">
        <v>11</v>
      </c>
      <c r="AO80" s="15" t="s">
        <v>11</v>
      </c>
      <c r="AP80" s="15" t="s">
        <v>11</v>
      </c>
      <c r="AQ80" s="15" t="s">
        <v>11</v>
      </c>
      <c r="AR80" s="15" t="s">
        <v>11</v>
      </c>
      <c r="AS80" s="15" t="s">
        <v>11</v>
      </c>
      <c r="AT80" s="15" t="s">
        <v>11</v>
      </c>
      <c r="AU80" s="71">
        <f>AI80+AJ80+AK80+AL80+AM80+AN80+AO80+AP80+AQ80+AR80+AS80+AT80</f>
        <v>3</v>
      </c>
      <c r="AV80" s="71" t="s">
        <v>11</v>
      </c>
      <c r="AW80" s="71" t="s">
        <v>11</v>
      </c>
      <c r="AX80" s="71" t="s">
        <v>11</v>
      </c>
      <c r="AY80" s="71" t="s">
        <v>11</v>
      </c>
      <c r="AZ80" s="71" t="s">
        <v>11</v>
      </c>
      <c r="BA80" s="71" t="s">
        <v>11</v>
      </c>
      <c r="BB80" s="4">
        <v>23.7</v>
      </c>
      <c r="BC80" s="4">
        <v>0</v>
      </c>
      <c r="BD80" s="4">
        <v>13.1</v>
      </c>
      <c r="BE80" s="4">
        <v>0</v>
      </c>
      <c r="BF80" s="4">
        <v>1.7</v>
      </c>
      <c r="BG80" s="71">
        <v>4</v>
      </c>
      <c r="BH80" s="71">
        <f>SUM(AV80:BG80)</f>
        <v>42.5</v>
      </c>
      <c r="BI80" s="42">
        <v>0.6</v>
      </c>
      <c r="BJ80" s="15" t="s">
        <v>11</v>
      </c>
      <c r="BK80" s="15">
        <f>BW80-BJ80-BI80</f>
        <v>0.4</v>
      </c>
      <c r="BL80" s="15">
        <f>BX80-BK80-BJ80-BI80</f>
        <v>0.30000000000000004</v>
      </c>
      <c r="BM80" s="15">
        <f>BY80-BL80-BK80-BJ80-BI80</f>
        <v>-0.30000000000000004</v>
      </c>
      <c r="BN80" s="15">
        <f>BZ80-BM80-BL80-BK80-BJ80-BI80</f>
        <v>0.30000000000000004</v>
      </c>
      <c r="BO80" s="15">
        <f>CA80-BN80-BM80-BL80-BK80-BJ80-BI80</f>
        <v>0</v>
      </c>
      <c r="BP80" s="15">
        <f>CB80-BO80-BN80-BM80-BL80-BK80-BJ80-BI80</f>
        <v>15.700000000000001</v>
      </c>
      <c r="BQ80" s="15">
        <f>CC80-BP80-BO80-BN80-BM80-BL80-BK80-BJ80-BI80</f>
        <v>16.399999999999995</v>
      </c>
      <c r="BR80" s="15">
        <f>CD80-BQ80-BP80-BO80-BN80-BM80-BL80-BK80-BJ80-BI80</f>
        <v>2.4424906541753444E-15</v>
      </c>
      <c r="BS80" s="15">
        <f>CE80-BR80-BQ80-BP80-BO80-BN80-BM80-BL80-BK80-BJ80-BI80</f>
        <v>36.500000000000014</v>
      </c>
      <c r="BT80" s="15">
        <f>CF80-BS80-BR80-BQ80-BP80-BO80-BN80-BM80-BL80-BK80-BJ80-BI80</f>
        <v>9.099999999999989</v>
      </c>
      <c r="BU80" s="73">
        <f>SUM(BI80:BT80)</f>
        <v>79</v>
      </c>
      <c r="BV80" s="71">
        <v>1</v>
      </c>
      <c r="BW80" s="71">
        <v>1</v>
      </c>
      <c r="BX80" s="71">
        <v>1.3</v>
      </c>
      <c r="BY80" s="71">
        <v>1</v>
      </c>
      <c r="BZ80" s="71">
        <v>1.3</v>
      </c>
      <c r="CA80" s="71">
        <v>1.3</v>
      </c>
      <c r="CB80" s="71">
        <v>17</v>
      </c>
      <c r="CC80" s="42">
        <v>33.4</v>
      </c>
      <c r="CD80" s="42">
        <v>33.4</v>
      </c>
      <c r="CE80" s="43">
        <v>69.9</v>
      </c>
      <c r="CF80" s="43">
        <v>79</v>
      </c>
      <c r="CG80" s="43">
        <v>26.1</v>
      </c>
      <c r="CH80" s="119">
        <v>1.3</v>
      </c>
      <c r="CI80" s="124">
        <v>11</v>
      </c>
      <c r="CJ80" s="71">
        <v>53.522000000000006</v>
      </c>
      <c r="CK80" s="71">
        <v>91.38000000000001</v>
      </c>
      <c r="CL80" s="122">
        <v>246.095</v>
      </c>
      <c r="CM80" s="122">
        <v>9068.268000000002</v>
      </c>
      <c r="CN80" s="122">
        <v>4283.1539999999995</v>
      </c>
      <c r="CO80" s="122">
        <v>2296.996</v>
      </c>
      <c r="CP80" s="122">
        <v>129.84</v>
      </c>
      <c r="CQ80" s="122" t="s">
        <v>11</v>
      </c>
      <c r="CR80" s="122" t="s">
        <v>11</v>
      </c>
      <c r="CS80" s="122" t="s">
        <v>11</v>
      </c>
      <c r="CT80" s="122" t="s">
        <v>11</v>
      </c>
      <c r="CU80" s="122">
        <v>3.4</v>
      </c>
      <c r="CV80" s="122">
        <v>23.9</v>
      </c>
      <c r="CW80" s="122">
        <v>25.9</v>
      </c>
      <c r="CX80" s="122">
        <v>25.9</v>
      </c>
      <c r="CY80" s="122">
        <v>25.9</v>
      </c>
      <c r="CZ80" s="122">
        <v>26.1</v>
      </c>
      <c r="DA80" s="122">
        <v>26.1</v>
      </c>
      <c r="DB80" s="122">
        <v>26.1</v>
      </c>
      <c r="DC80" s="122" t="s">
        <v>11</v>
      </c>
      <c r="DD80" s="122" t="s">
        <v>11</v>
      </c>
      <c r="DE80" s="122" t="s">
        <v>11</v>
      </c>
      <c r="DF80" s="122" t="s">
        <v>11</v>
      </c>
      <c r="DG80" s="122" t="s">
        <v>11</v>
      </c>
      <c r="DH80" s="122">
        <v>0.5</v>
      </c>
      <c r="DI80" s="122">
        <v>0.5</v>
      </c>
      <c r="DJ80" s="122">
        <v>1.1</v>
      </c>
      <c r="DK80" s="122">
        <v>1.1</v>
      </c>
      <c r="DL80" s="122">
        <v>1.3</v>
      </c>
      <c r="DM80" s="122">
        <v>1.3</v>
      </c>
      <c r="DN80" s="122">
        <v>1.3</v>
      </c>
      <c r="DO80" s="122" t="s">
        <v>11</v>
      </c>
      <c r="DP80" s="122">
        <v>1</v>
      </c>
      <c r="DQ80" s="122">
        <v>17.6</v>
      </c>
      <c r="DR80" s="122">
        <v>17.6</v>
      </c>
      <c r="DS80" s="122">
        <v>18</v>
      </c>
      <c r="DT80" s="122">
        <v>38</v>
      </c>
      <c r="DU80" s="122">
        <v>38</v>
      </c>
      <c r="DV80" s="122">
        <v>38</v>
      </c>
      <c r="DW80" s="122">
        <v>1</v>
      </c>
      <c r="DX80" s="122">
        <v>1</v>
      </c>
      <c r="DY80" s="122">
        <v>6</v>
      </c>
      <c r="DZ80" s="122">
        <v>5</v>
      </c>
      <c r="EA80" s="122">
        <f>DY80+DZ80</f>
        <v>11</v>
      </c>
      <c r="EB80" s="122" t="s">
        <v>11</v>
      </c>
      <c r="EC80" s="122"/>
      <c r="ED80" s="122">
        <v>1</v>
      </c>
      <c r="EE80" s="122" t="s">
        <v>16</v>
      </c>
      <c r="EF80" s="122">
        <f>'[1]Feuil2'!$D$38</f>
        <v>20.222</v>
      </c>
      <c r="EG80" s="122">
        <v>0</v>
      </c>
      <c r="EH80" s="122">
        <v>5</v>
      </c>
      <c r="EI80" s="122">
        <v>0.1</v>
      </c>
      <c r="EJ80" s="122">
        <v>0</v>
      </c>
      <c r="EK80" s="122">
        <v>0</v>
      </c>
      <c r="EL80" s="122">
        <v>26</v>
      </c>
      <c r="EM80" s="122">
        <v>1.2</v>
      </c>
      <c r="EN80" s="122">
        <f>SUM(EB80:EM80)</f>
        <v>53.522000000000006</v>
      </c>
      <c r="EO80" s="122">
        <v>16</v>
      </c>
      <c r="EP80" s="122">
        <v>0.5</v>
      </c>
      <c r="EQ80" s="122">
        <v>17</v>
      </c>
      <c r="ER80" s="122">
        <v>0</v>
      </c>
      <c r="ES80" s="122">
        <v>9.9</v>
      </c>
      <c r="ET80" s="122">
        <v>0.1</v>
      </c>
      <c r="EU80" s="122">
        <v>28.2</v>
      </c>
      <c r="EV80" s="122">
        <v>0</v>
      </c>
      <c r="EW80" s="122">
        <v>0</v>
      </c>
      <c r="EX80" s="122">
        <v>1.18</v>
      </c>
      <c r="EY80" s="122">
        <v>2.6</v>
      </c>
      <c r="EZ80" s="122">
        <v>15.9</v>
      </c>
      <c r="FA80" s="122">
        <f>SUM(EO80:EZ80)</f>
        <v>91.38000000000001</v>
      </c>
      <c r="FB80" s="122">
        <v>13.7</v>
      </c>
      <c r="FC80" s="122">
        <v>4.679</v>
      </c>
      <c r="FD80" s="122">
        <f>'[4]IV5-IV6'!$D$9</f>
        <v>16.695</v>
      </c>
      <c r="FE80" s="122"/>
      <c r="FF80" s="122"/>
      <c r="FG80" s="122"/>
      <c r="FH80" s="122"/>
      <c r="FI80" s="122">
        <v>191.702</v>
      </c>
      <c r="FJ80" s="122"/>
      <c r="FK80" s="122">
        <v>3.219</v>
      </c>
      <c r="FL80" s="122">
        <v>0</v>
      </c>
      <c r="FM80" s="122">
        <v>16.1</v>
      </c>
      <c r="FN80" s="122">
        <f>SUM(FB80:FM80)</f>
        <v>246.095</v>
      </c>
      <c r="FO80" s="122">
        <v>108.124</v>
      </c>
      <c r="FP80" s="122">
        <v>6.86</v>
      </c>
      <c r="FQ80" s="122">
        <v>18.5</v>
      </c>
      <c r="FR80" s="122">
        <f>'[5]IV5-IV6'!$C$68</f>
        <v>30.866</v>
      </c>
      <c r="FS80" s="122">
        <f>'[6]IV5_IV6_Mai'!$D$60</f>
        <v>3423.35</v>
      </c>
      <c r="FT80" s="122">
        <v>55.3</v>
      </c>
      <c r="FU80" s="122">
        <v>2231.809</v>
      </c>
      <c r="FV80" s="122">
        <v>3090</v>
      </c>
      <c r="FW80" s="122">
        <v>14.384</v>
      </c>
      <c r="FX80" s="122">
        <v>38.1</v>
      </c>
      <c r="FY80" s="122">
        <v>20.375</v>
      </c>
      <c r="FZ80" s="122">
        <v>30.6</v>
      </c>
      <c r="GA80" s="122">
        <f>FO80+FP80+FQ80+FR80+FS80+FT80+FU80+FV80+FW80+FX80+FY80+FZ80</f>
        <v>9068.268000000002</v>
      </c>
      <c r="GB80" s="122">
        <v>0.03199999999999999</v>
      </c>
      <c r="GC80" s="122">
        <v>14</v>
      </c>
      <c r="GD80" s="122">
        <v>862.425</v>
      </c>
      <c r="GE80" s="122">
        <v>1110</v>
      </c>
      <c r="GF80" s="122">
        <v>105.138</v>
      </c>
      <c r="GG80" s="122">
        <v>360.1</v>
      </c>
      <c r="GH80" s="122">
        <v>704.572</v>
      </c>
      <c r="GI80" s="122"/>
      <c r="GJ80" s="122">
        <v>735.738</v>
      </c>
      <c r="GK80" s="122">
        <v>370.928</v>
      </c>
      <c r="GL80" s="122">
        <v>20</v>
      </c>
      <c r="GM80" s="122">
        <v>0.105</v>
      </c>
      <c r="GN80" s="122">
        <f>SUM(GB80:GM80)</f>
        <v>4283.038</v>
      </c>
      <c r="GO80" s="122">
        <v>0.122</v>
      </c>
      <c r="GP80" s="122">
        <v>41.063</v>
      </c>
      <c r="GQ80" s="122">
        <v>12.808</v>
      </c>
      <c r="GR80" s="122">
        <v>10.3</v>
      </c>
      <c r="GS80" s="122">
        <v>0.012</v>
      </c>
      <c r="GT80" s="122">
        <v>2200.065</v>
      </c>
      <c r="GU80" s="122">
        <v>0.007</v>
      </c>
      <c r="GV80" s="122">
        <v>2212.703</v>
      </c>
      <c r="GW80" s="122"/>
      <c r="GX80" s="122">
        <v>0.031</v>
      </c>
      <c r="GY80" s="122">
        <v>19.885</v>
      </c>
      <c r="GZ80" s="122"/>
      <c r="HA80" s="122">
        <v>26.7</v>
      </c>
      <c r="HB80" s="122">
        <v>0.02</v>
      </c>
      <c r="HC80" s="122"/>
      <c r="HD80" s="122">
        <v>47.753</v>
      </c>
      <c r="HE80" s="122">
        <v>0.183</v>
      </c>
      <c r="HF80" s="122"/>
      <c r="HG80" s="122">
        <v>1.5</v>
      </c>
      <c r="HH80" s="122">
        <v>0.199</v>
      </c>
      <c r="HI80" s="122">
        <v>0.5</v>
      </c>
      <c r="HJ80" s="122">
        <v>30.725</v>
      </c>
      <c r="HK80" s="122"/>
      <c r="HL80" s="122">
        <v>22.26</v>
      </c>
      <c r="HM80" s="98">
        <v>0.264</v>
      </c>
      <c r="HN80" s="98">
        <v>21.31</v>
      </c>
      <c r="HO80" s="98">
        <v>0.363</v>
      </c>
      <c r="HP80" s="122">
        <v>93.148</v>
      </c>
      <c r="HQ80" s="98">
        <v>20.046</v>
      </c>
      <c r="HR80" s="122">
        <v>42.758</v>
      </c>
      <c r="HS80" s="122">
        <v>8.549</v>
      </c>
      <c r="HT80" s="122">
        <v>0.025</v>
      </c>
      <c r="HU80" s="122"/>
      <c r="HV80" s="122"/>
      <c r="HW80" s="122"/>
      <c r="HX80" s="122"/>
      <c r="HY80" s="122">
        <f>HA80+HB80+HC80+HD80+HE80+HF80+HG80+HH80</f>
        <v>76.355</v>
      </c>
      <c r="HZ80" s="122">
        <f>HM80+HN80+HO80+HP80+HQ80+HR80+HS80+HT80</f>
        <v>186.46300000000002</v>
      </c>
    </row>
    <row r="81" spans="2:234" ht="15.75">
      <c r="B81" s="105" t="s">
        <v>111</v>
      </c>
      <c r="C81" s="71"/>
      <c r="D81" s="71"/>
      <c r="E81" s="72"/>
      <c r="F81" s="42"/>
      <c r="G81" s="42">
        <v>1</v>
      </c>
      <c r="H81" s="42">
        <v>136</v>
      </c>
      <c r="I81" s="43"/>
      <c r="J81" s="43"/>
      <c r="K81" s="15"/>
      <c r="L81" s="15"/>
      <c r="M81" s="15"/>
      <c r="N81" s="75"/>
      <c r="O81" s="15"/>
      <c r="P81" s="79"/>
      <c r="Q81" s="15"/>
      <c r="R81" s="15"/>
      <c r="S81" s="15"/>
      <c r="T81" s="15"/>
      <c r="U81" s="71"/>
      <c r="V81" s="36"/>
      <c r="W81" s="43"/>
      <c r="X81" s="15"/>
      <c r="Y81" s="15"/>
      <c r="Z81" s="15"/>
      <c r="AA81" s="75"/>
      <c r="AB81" s="15"/>
      <c r="AC81" s="79"/>
      <c r="AD81" s="15"/>
      <c r="AE81" s="15"/>
      <c r="AF81" s="15"/>
      <c r="AG81" s="15"/>
      <c r="AH81" s="71"/>
      <c r="AI81" s="43"/>
      <c r="AJ81" s="15"/>
      <c r="AK81" s="79"/>
      <c r="AL81" s="15"/>
      <c r="AM81" s="15"/>
      <c r="AN81" s="15"/>
      <c r="AO81" s="15"/>
      <c r="AP81" s="15"/>
      <c r="AQ81" s="15"/>
      <c r="AR81" s="15"/>
      <c r="AS81" s="15"/>
      <c r="AT81" s="15"/>
      <c r="AU81" s="71"/>
      <c r="AV81" s="71"/>
      <c r="AW81" s="71"/>
      <c r="AX81" s="71"/>
      <c r="AY81" s="71"/>
      <c r="AZ81" s="71"/>
      <c r="BA81" s="71"/>
      <c r="BB81" s="4">
        <v>0</v>
      </c>
      <c r="BC81" s="4">
        <v>0</v>
      </c>
      <c r="BD81" s="4">
        <v>1</v>
      </c>
      <c r="BE81" s="4">
        <v>0</v>
      </c>
      <c r="BF81" s="4">
        <v>0</v>
      </c>
      <c r="BG81" s="71"/>
      <c r="BH81" s="71">
        <f>SUM(AV81:BG81)</f>
        <v>1</v>
      </c>
      <c r="BI81" s="36"/>
      <c r="BJ81" s="15">
        <f>BV81-BI81</f>
        <v>13.6</v>
      </c>
      <c r="BK81" s="15">
        <f>BW81-BJ81-BI81</f>
        <v>0</v>
      </c>
      <c r="BL81" s="15">
        <f>BX81-BK81-BJ81-BI81</f>
        <v>13.200000000000001</v>
      </c>
      <c r="BM81" s="15">
        <f>BY81-BL81-BK81-BJ81-BI81</f>
        <v>11.199999999999998</v>
      </c>
      <c r="BN81" s="15">
        <f>BZ81-BM81-BL81-BK81-BJ81-BI81</f>
        <v>70.8</v>
      </c>
      <c r="BO81" s="15">
        <f>CA81-BN81-BM81-BL81-BK81-BJ81-BI81</f>
        <v>3.552713678800501E-15</v>
      </c>
      <c r="BP81" s="15">
        <f>CB81-BO81-BN81-BM81-BL81-BK81-BJ81-BI81</f>
        <v>3.552713678800501E-15</v>
      </c>
      <c r="BQ81" s="15">
        <f>CC81-BP81-BO81-BN81-BM81-BL81-BK81-BJ81-BI81</f>
        <v>3.552713678800501E-15</v>
      </c>
      <c r="BR81" s="15">
        <f>CD81-BQ81-BP81-BO81-BN81-BM81-BL81-BK81-BJ81-BI81</f>
        <v>3.552713678800501E-15</v>
      </c>
      <c r="BS81" s="15">
        <f>CE81-BR81-BQ81-BP81-BO81-BN81-BM81-BL81-BK81-BJ81-BI81</f>
        <v>3.552713678800501E-15</v>
      </c>
      <c r="BT81" s="15">
        <f>CF81-BS81-BR81-BQ81-BP81-BO81-BN81-BM81-BL81-BK81-BJ81-BI81</f>
        <v>27.200000000000003</v>
      </c>
      <c r="BU81" s="73">
        <f>SUM(BI81:BT81)</f>
        <v>136</v>
      </c>
      <c r="BV81" s="71">
        <v>13.6</v>
      </c>
      <c r="BW81" s="71">
        <v>13.6</v>
      </c>
      <c r="BX81" s="71">
        <v>26.8</v>
      </c>
      <c r="BY81" s="71">
        <v>38</v>
      </c>
      <c r="BZ81" s="71">
        <v>108.8</v>
      </c>
      <c r="CA81" s="71">
        <v>108.8</v>
      </c>
      <c r="CB81" s="71">
        <v>108.8</v>
      </c>
      <c r="CC81" s="42">
        <v>108.8</v>
      </c>
      <c r="CD81" s="42">
        <v>108.8</v>
      </c>
      <c r="CE81" s="43">
        <v>108.8</v>
      </c>
      <c r="CF81" s="43">
        <v>136</v>
      </c>
      <c r="CG81" s="43">
        <v>85.3</v>
      </c>
      <c r="CH81" s="119">
        <v>50.7</v>
      </c>
      <c r="CI81" s="124">
        <v>86.6</v>
      </c>
      <c r="CJ81" s="71">
        <v>584.447</v>
      </c>
      <c r="CK81" s="71">
        <v>1113.909</v>
      </c>
      <c r="CL81" s="122">
        <v>1425.755</v>
      </c>
      <c r="CM81" s="122">
        <v>1574.56</v>
      </c>
      <c r="CN81" s="122">
        <v>7.598999999999999</v>
      </c>
      <c r="CO81" s="122">
        <v>33.52300000000059</v>
      </c>
      <c r="CP81" s="122">
        <v>54.054</v>
      </c>
      <c r="CQ81" s="122">
        <v>39.1</v>
      </c>
      <c r="CR81" s="122">
        <v>39.1</v>
      </c>
      <c r="CS81" s="122">
        <v>39.1</v>
      </c>
      <c r="CT81" s="122">
        <v>39.1</v>
      </c>
      <c r="CU81" s="122">
        <v>59.1</v>
      </c>
      <c r="CV81" s="122">
        <v>59.1</v>
      </c>
      <c r="CW81" s="122">
        <v>68.1</v>
      </c>
      <c r="CX81" s="122">
        <v>68.1</v>
      </c>
      <c r="CY81" s="122">
        <v>68.1</v>
      </c>
      <c r="CZ81" s="122">
        <v>68.1</v>
      </c>
      <c r="DA81" s="122">
        <v>68.1</v>
      </c>
      <c r="DB81" s="122">
        <v>85.3</v>
      </c>
      <c r="DC81" s="122">
        <v>9.2</v>
      </c>
      <c r="DD81" s="122">
        <v>9.2</v>
      </c>
      <c r="DE81" s="122">
        <v>9.2</v>
      </c>
      <c r="DF81" s="122">
        <v>12.2</v>
      </c>
      <c r="DG81" s="122">
        <v>12.2</v>
      </c>
      <c r="DH81" s="122">
        <v>12.2</v>
      </c>
      <c r="DI81" s="122">
        <v>12.2</v>
      </c>
      <c r="DJ81" s="122">
        <v>12.2</v>
      </c>
      <c r="DK81" s="122">
        <v>35</v>
      </c>
      <c r="DL81" s="122">
        <v>48</v>
      </c>
      <c r="DM81" s="122">
        <v>50.7</v>
      </c>
      <c r="DN81" s="122">
        <v>50.7</v>
      </c>
      <c r="DO81" s="122">
        <v>2.6</v>
      </c>
      <c r="DP81" s="122">
        <v>5.2</v>
      </c>
      <c r="DQ81" s="122">
        <v>7.8</v>
      </c>
      <c r="DR81" s="122">
        <v>8</v>
      </c>
      <c r="DS81" s="122">
        <v>8</v>
      </c>
      <c r="DT81" s="122">
        <v>8.4</v>
      </c>
      <c r="DU81" s="122">
        <v>8.4</v>
      </c>
      <c r="DV81" s="122">
        <v>8.4</v>
      </c>
      <c r="DW81" s="122">
        <v>8.4</v>
      </c>
      <c r="DX81" s="122">
        <v>8.4</v>
      </c>
      <c r="DY81" s="122">
        <v>28.6</v>
      </c>
      <c r="DZ81" s="122">
        <v>58</v>
      </c>
      <c r="EA81" s="122">
        <f>DY81+DZ81</f>
        <v>86.6</v>
      </c>
      <c r="EB81" s="122">
        <v>32.4</v>
      </c>
      <c r="EC81" s="122">
        <v>4.4</v>
      </c>
      <c r="ED81" s="122"/>
      <c r="EE81" s="122">
        <v>25</v>
      </c>
      <c r="EF81" s="122">
        <v>0</v>
      </c>
      <c r="EG81" s="122">
        <f>'[2]Feuil3'!$E$43</f>
        <v>49.909</v>
      </c>
      <c r="EH81" s="122">
        <f>37+10+0.1</f>
        <v>47.1</v>
      </c>
      <c r="EI81" s="122">
        <f>46+6</f>
        <v>52</v>
      </c>
      <c r="EJ81" s="122">
        <v>46.981</v>
      </c>
      <c r="EK81" s="122">
        <v>141.657</v>
      </c>
      <c r="EL81" s="122">
        <v>96</v>
      </c>
      <c r="EM81" s="122">
        <f>2+87</f>
        <v>89</v>
      </c>
      <c r="EN81" s="122">
        <f>SUM(EB81:EM81)</f>
        <v>584.447</v>
      </c>
      <c r="EO81" s="122">
        <v>97</v>
      </c>
      <c r="EP81" s="122">
        <f>21</f>
        <v>21</v>
      </c>
      <c r="EQ81" s="122">
        <v>111</v>
      </c>
      <c r="ER81" s="122">
        <f>'[3]avril pays'!$C$47</f>
        <v>1.762</v>
      </c>
      <c r="ES81" s="122">
        <f>188.3</f>
        <v>188.3</v>
      </c>
      <c r="ET81" s="122">
        <v>180</v>
      </c>
      <c r="EU81" s="122">
        <v>25.7</v>
      </c>
      <c r="EV81" s="122">
        <v>181.98</v>
      </c>
      <c r="EW81" s="122">
        <v>103.5</v>
      </c>
      <c r="EX81" s="122">
        <v>42.967</v>
      </c>
      <c r="EY81" s="122">
        <v>108</v>
      </c>
      <c r="EZ81" s="122">
        <f>51.4+1.3</f>
        <v>52.699999999999996</v>
      </c>
      <c r="FA81" s="122">
        <f>SUM(EO81:EZ81)</f>
        <v>1113.909</v>
      </c>
      <c r="FB81" s="122">
        <v>35.62</v>
      </c>
      <c r="FC81" s="122">
        <v>27.85</v>
      </c>
      <c r="FD81" s="122">
        <f>'[4]IV5-IV6'!$D$51</f>
        <v>110.557</v>
      </c>
      <c r="FE81" s="122">
        <v>164.11</v>
      </c>
      <c r="FF81" s="122">
        <v>128.6</v>
      </c>
      <c r="FG81" s="122">
        <v>215.1</v>
      </c>
      <c r="FH81" s="122">
        <v>130.502</v>
      </c>
      <c r="FI81" s="122">
        <v>0</v>
      </c>
      <c r="FJ81" s="122">
        <v>157.9</v>
      </c>
      <c r="FK81" s="122">
        <v>207.637</v>
      </c>
      <c r="FL81" s="122">
        <v>121.585</v>
      </c>
      <c r="FM81" s="122">
        <v>126.294</v>
      </c>
      <c r="FN81" s="122">
        <f>SUM(FB81:FM81)</f>
        <v>1425.755</v>
      </c>
      <c r="FO81" s="122">
        <v>272.449</v>
      </c>
      <c r="FP81" s="122">
        <v>12.78</v>
      </c>
      <c r="FQ81" s="122"/>
      <c r="FR81" s="122">
        <f>'[5]IV5-IV6'!$C$69</f>
        <v>145.244</v>
      </c>
      <c r="FS81" s="122">
        <f>'[6]IV5_IV6_Mai'!$D$61</f>
        <v>154.414</v>
      </c>
      <c r="FT81" s="122">
        <v>99.3</v>
      </c>
      <c r="FU81" s="122">
        <v>452.635</v>
      </c>
      <c r="FV81" s="122">
        <v>140.325</v>
      </c>
      <c r="FW81" s="122">
        <v>83.942</v>
      </c>
      <c r="FX81" s="122">
        <v>98</v>
      </c>
      <c r="FY81" s="122">
        <v>71.67099999999999</v>
      </c>
      <c r="FZ81" s="122">
        <v>43.800000000000004</v>
      </c>
      <c r="GA81" s="122">
        <f>FO81+FP81+FQ81+FR81+FS81+FT81+FU81+FV81+FW81+FX81+FY81+FZ81</f>
        <v>1574.56</v>
      </c>
      <c r="GB81" s="122">
        <v>0.1</v>
      </c>
      <c r="GC81" s="122">
        <v>0</v>
      </c>
      <c r="GD81" s="122">
        <v>0</v>
      </c>
      <c r="GE81" s="122"/>
      <c r="GF81" s="122">
        <v>0.08</v>
      </c>
      <c r="GG81" s="122">
        <v>7.417</v>
      </c>
      <c r="GH81" s="122"/>
      <c r="GI81" s="122"/>
      <c r="GJ81" s="122"/>
      <c r="GK81" s="122">
        <v>0.002</v>
      </c>
      <c r="GL81" s="122"/>
      <c r="GM81" s="122"/>
      <c r="GN81" s="122">
        <f>SUM(GB81:GM81)</f>
        <v>7.598999999999999</v>
      </c>
      <c r="GO81" s="122"/>
      <c r="GP81" s="122">
        <v>0</v>
      </c>
      <c r="GQ81" s="122">
        <v>0.018</v>
      </c>
      <c r="GR81" s="122">
        <v>0</v>
      </c>
      <c r="GS81" s="122">
        <v>0.04</v>
      </c>
      <c r="GT81" s="122"/>
      <c r="GU81" s="122"/>
      <c r="GV81" s="122">
        <v>0.23</v>
      </c>
      <c r="GW81" s="122">
        <v>7.87</v>
      </c>
      <c r="GX81" s="122">
        <v>0.18</v>
      </c>
      <c r="GY81" s="122"/>
      <c r="GZ81" s="122">
        <v>0</v>
      </c>
      <c r="HA81" s="122">
        <v>18.174</v>
      </c>
      <c r="HB81" s="122">
        <v>7.48</v>
      </c>
      <c r="HC81" s="122"/>
      <c r="HD81" s="122"/>
      <c r="HE81" s="122"/>
      <c r="HF81" s="122"/>
      <c r="HG81" s="122">
        <v>26.7</v>
      </c>
      <c r="HH81" s="122">
        <v>1.7</v>
      </c>
      <c r="HI81" s="122"/>
      <c r="HJ81" s="122"/>
      <c r="HK81" s="122"/>
      <c r="HL81" s="122"/>
      <c r="HM81" s="98">
        <v>0.002</v>
      </c>
      <c r="HN81" s="98">
        <v>1.183</v>
      </c>
      <c r="HO81" s="98"/>
      <c r="HP81" s="122">
        <v>0.095</v>
      </c>
      <c r="HQ81" s="98">
        <v>28</v>
      </c>
      <c r="HR81" s="122">
        <v>0.02</v>
      </c>
      <c r="HS81" s="122">
        <v>1.502</v>
      </c>
      <c r="HT81" s="122"/>
      <c r="HU81" s="122"/>
      <c r="HV81" s="122"/>
      <c r="HW81" s="122"/>
      <c r="HX81" s="122"/>
      <c r="HY81" s="122">
        <f>HA81+HB81+HC81+HD81+HE81+HF81+HG81+HH81</f>
        <v>54.054</v>
      </c>
      <c r="HZ81" s="122">
        <f>HM81+HN81+HO81+HP81+HQ81+HR81+HS81+HT81</f>
        <v>30.802</v>
      </c>
    </row>
    <row r="82" spans="2:234" ht="12.75" customHeight="1">
      <c r="B82" s="105"/>
      <c r="C82" s="71"/>
      <c r="D82" s="42"/>
      <c r="E82" s="72"/>
      <c r="F82" s="42"/>
      <c r="G82" s="42"/>
      <c r="H82" s="42"/>
      <c r="I82" s="43"/>
      <c r="J82" s="43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42"/>
      <c r="V82" s="56"/>
      <c r="W82" s="43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71"/>
      <c r="AI82" s="43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36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3"/>
      <c r="BU82" s="73"/>
      <c r="BV82" s="71"/>
      <c r="BW82" s="71"/>
      <c r="BX82" s="71"/>
      <c r="BY82" s="71"/>
      <c r="BZ82" s="71"/>
      <c r="CA82" s="71"/>
      <c r="CB82" s="71"/>
      <c r="CC82" s="71"/>
      <c r="CD82" s="71"/>
      <c r="CE82" s="43"/>
      <c r="CF82" s="43"/>
      <c r="CG82" s="43"/>
      <c r="CH82" s="72"/>
      <c r="CI82" s="98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22"/>
      <c r="EU82" s="122"/>
      <c r="EV82" s="122"/>
      <c r="EW82" s="122"/>
      <c r="EX82" s="122"/>
      <c r="EY82" s="122"/>
      <c r="EZ82" s="122"/>
      <c r="FA82" s="122"/>
      <c r="FB82" s="122"/>
      <c r="FC82" s="122"/>
      <c r="FD82" s="122"/>
      <c r="FE82" s="122"/>
      <c r="FF82" s="122"/>
      <c r="FG82" s="122"/>
      <c r="FH82" s="122"/>
      <c r="FI82" s="122"/>
      <c r="FJ82" s="122"/>
      <c r="FK82" s="122"/>
      <c r="FL82" s="122"/>
      <c r="FM82" s="122"/>
      <c r="FN82" s="122"/>
      <c r="FO82" s="122"/>
      <c r="FP82" s="122"/>
      <c r="FQ82" s="122"/>
      <c r="FR82" s="122"/>
      <c r="FS82" s="122"/>
      <c r="FT82" s="122"/>
      <c r="FU82" s="122"/>
      <c r="FV82" s="122"/>
      <c r="FW82" s="122"/>
      <c r="FX82" s="122"/>
      <c r="FY82" s="122"/>
      <c r="FZ82" s="122"/>
      <c r="GA82" s="122"/>
      <c r="GB82" s="122"/>
      <c r="GC82" s="122"/>
      <c r="GD82" s="122"/>
      <c r="GE82" s="122"/>
      <c r="GF82" s="122"/>
      <c r="GG82" s="122"/>
      <c r="GH82" s="122"/>
      <c r="GI82" s="122"/>
      <c r="GJ82" s="122"/>
      <c r="GK82" s="122"/>
      <c r="GL82" s="122"/>
      <c r="GM82" s="122"/>
      <c r="GN82" s="122"/>
      <c r="GO82" s="122"/>
      <c r="GP82" s="122"/>
      <c r="GQ82" s="122"/>
      <c r="GR82" s="122"/>
      <c r="GS82" s="122"/>
      <c r="GT82" s="122"/>
      <c r="GU82" s="122"/>
      <c r="GV82" s="122"/>
      <c r="GW82" s="122"/>
      <c r="GX82" s="122"/>
      <c r="GY82" s="122"/>
      <c r="GZ82" s="122"/>
      <c r="HA82" s="122"/>
      <c r="HB82" s="122"/>
      <c r="HC82" s="122"/>
      <c r="HD82" s="122"/>
      <c r="HE82" s="122"/>
      <c r="HF82" s="122"/>
      <c r="HG82" s="122"/>
      <c r="HH82" s="122"/>
      <c r="HI82" s="122"/>
      <c r="HJ82" s="122"/>
      <c r="HK82" s="122"/>
      <c r="HL82" s="122"/>
      <c r="HM82" s="122"/>
      <c r="HN82" s="122"/>
      <c r="HO82" s="122"/>
      <c r="HP82" s="122"/>
      <c r="HQ82" s="132"/>
      <c r="HR82" s="122"/>
      <c r="HS82" s="122"/>
      <c r="HT82" s="122"/>
      <c r="HU82" s="122"/>
      <c r="HV82" s="122"/>
      <c r="HW82" s="122"/>
      <c r="HX82" s="122"/>
      <c r="HY82" s="122"/>
      <c r="HZ82" s="122"/>
    </row>
    <row r="83" spans="2:234" ht="15.75">
      <c r="B83" s="103" t="s">
        <v>139</v>
      </c>
      <c r="C83" s="58">
        <v>1326</v>
      </c>
      <c r="D83" s="62">
        <v>1400</v>
      </c>
      <c r="E83" s="63">
        <v>852</v>
      </c>
      <c r="F83" s="62">
        <v>449</v>
      </c>
      <c r="G83" s="62">
        <v>1085</v>
      </c>
      <c r="H83" s="62">
        <v>15</v>
      </c>
      <c r="I83" s="64">
        <v>5</v>
      </c>
      <c r="J83" s="64">
        <v>10</v>
      </c>
      <c r="K83" s="64">
        <v>84</v>
      </c>
      <c r="L83" s="64">
        <v>17</v>
      </c>
      <c r="M83" s="64">
        <v>55</v>
      </c>
      <c r="N83" s="64">
        <v>21</v>
      </c>
      <c r="O83" s="64">
        <v>20</v>
      </c>
      <c r="P83" s="58" t="s">
        <v>16</v>
      </c>
      <c r="Q83" s="64">
        <v>106</v>
      </c>
      <c r="R83" s="64">
        <v>435</v>
      </c>
      <c r="S83" s="64">
        <v>96</v>
      </c>
      <c r="T83" s="61">
        <v>590</v>
      </c>
      <c r="U83" s="62">
        <f>+I83+J83+K83+L83+M83+N83+O83+P83+Q83+R83+S83+T83</f>
        <v>1439</v>
      </c>
      <c r="V83" s="65">
        <v>206</v>
      </c>
      <c r="W83" s="64">
        <v>24</v>
      </c>
      <c r="X83" s="64">
        <v>16</v>
      </c>
      <c r="Y83" s="64">
        <v>73</v>
      </c>
      <c r="Z83" s="64">
        <v>43</v>
      </c>
      <c r="AA83" s="64">
        <v>11</v>
      </c>
      <c r="AB83" s="64">
        <v>19</v>
      </c>
      <c r="AC83" s="58">
        <v>6</v>
      </c>
      <c r="AD83" s="64">
        <v>39</v>
      </c>
      <c r="AE83" s="64">
        <v>10</v>
      </c>
      <c r="AF83" s="64">
        <v>21</v>
      </c>
      <c r="AG83" s="61">
        <v>8</v>
      </c>
      <c r="AH83" s="58">
        <f>SUM(V83:AG83)</f>
        <v>476</v>
      </c>
      <c r="AI83" s="64">
        <v>10</v>
      </c>
      <c r="AJ83" s="61">
        <v>4</v>
      </c>
      <c r="AK83" s="61">
        <v>5</v>
      </c>
      <c r="AL83" s="61">
        <v>18</v>
      </c>
      <c r="AM83" s="61">
        <v>10</v>
      </c>
      <c r="AN83" s="61">
        <v>12</v>
      </c>
      <c r="AO83" s="61">
        <v>1</v>
      </c>
      <c r="AP83" s="61">
        <v>9</v>
      </c>
      <c r="AQ83" s="61">
        <v>24</v>
      </c>
      <c r="AR83" s="61">
        <v>320</v>
      </c>
      <c r="AS83" s="61">
        <v>27</v>
      </c>
      <c r="AT83" s="61">
        <v>9</v>
      </c>
      <c r="AU83" s="58">
        <f>AI83+AJ83+AK83+AL83+AM83+AN83+AO83+AP83+AQ83+AR83+AS83+AT83</f>
        <v>449</v>
      </c>
      <c r="AV83" s="62">
        <v>7</v>
      </c>
      <c r="AW83" s="62">
        <v>843</v>
      </c>
      <c r="AX83" s="61">
        <v>162</v>
      </c>
      <c r="AY83" s="66">
        <f>55</f>
        <v>55</v>
      </c>
      <c r="AZ83" s="67">
        <v>6</v>
      </c>
      <c r="BA83" s="61">
        <v>6</v>
      </c>
      <c r="BB83" s="66">
        <v>0</v>
      </c>
      <c r="BC83" s="66">
        <v>0</v>
      </c>
      <c r="BD83" s="66">
        <v>0</v>
      </c>
      <c r="BE83" s="66">
        <v>0</v>
      </c>
      <c r="BF83" s="66">
        <v>1</v>
      </c>
      <c r="BG83" s="68">
        <v>5</v>
      </c>
      <c r="BH83" s="58">
        <f>SUM(AV83:BG83)</f>
        <v>1085</v>
      </c>
      <c r="BI83" s="70" t="s">
        <v>11</v>
      </c>
      <c r="BJ83" s="61" t="s">
        <v>11</v>
      </c>
      <c r="BK83" s="61" t="s">
        <v>11</v>
      </c>
      <c r="BL83" s="67" t="s">
        <v>11</v>
      </c>
      <c r="BM83" s="61">
        <f>BY83-BL83-BK83-BJ83-BI83</f>
        <v>0</v>
      </c>
      <c r="BN83" s="61">
        <f>BZ83-BM83-BL83-BK83-BJ83-BI83</f>
        <v>0</v>
      </c>
      <c r="BO83" s="61">
        <f>CA83-BN83-BM83-BL83-BK83-BJ83-BI83</f>
        <v>0</v>
      </c>
      <c r="BP83" s="61">
        <f>CB83-BO83-BN83-BM83-BL83-BK83-BJ83-BI83</f>
        <v>0</v>
      </c>
      <c r="BQ83" s="61">
        <f>CC83-BP83-BO83-BN83-BM83-BL83-BK83-BJ83-BI83</f>
        <v>14.1</v>
      </c>
      <c r="BR83" s="61">
        <f>CD83-BQ83-BP83-BO83-BN83-BM83-BL83-BK83-BJ83-BI83</f>
        <v>0</v>
      </c>
      <c r="BS83" s="61">
        <f>CE83-BR83-BQ83-BP83-BO83-BN83-BM83-BL83-BK83-BJ83-BI83</f>
        <v>0</v>
      </c>
      <c r="BT83" s="61">
        <f>CF83-BS83-BR83-BQ83-BP83-BO83-BN83-BM83-BL83-BK83-BJ83-BI83</f>
        <v>0.9000000000000004</v>
      </c>
      <c r="BU83" s="60">
        <f>SUM(BI83:BT83)</f>
        <v>15</v>
      </c>
      <c r="BV83" s="62" t="s">
        <v>11</v>
      </c>
      <c r="BW83" s="62" t="s">
        <v>11</v>
      </c>
      <c r="BX83" s="62" t="s">
        <v>11</v>
      </c>
      <c r="BY83" s="58" t="s">
        <v>11</v>
      </c>
      <c r="BZ83" s="58" t="s">
        <v>11</v>
      </c>
      <c r="CA83" s="58" t="s">
        <v>11</v>
      </c>
      <c r="CB83" s="58" t="s">
        <v>16</v>
      </c>
      <c r="CC83" s="62">
        <v>14.1</v>
      </c>
      <c r="CD83" s="62">
        <v>14.1</v>
      </c>
      <c r="CE83" s="64">
        <v>14.1</v>
      </c>
      <c r="CF83" s="64">
        <v>15</v>
      </c>
      <c r="CG83" s="64" t="s">
        <v>11</v>
      </c>
      <c r="CH83" s="63" t="s">
        <v>16</v>
      </c>
      <c r="CI83" s="100" t="s">
        <v>11</v>
      </c>
      <c r="CJ83" s="58" t="s">
        <v>11</v>
      </c>
      <c r="CK83" s="58">
        <v>1.2</v>
      </c>
      <c r="CL83" s="142">
        <v>0</v>
      </c>
      <c r="CM83" s="142">
        <v>0</v>
      </c>
      <c r="CN83" s="142">
        <v>0</v>
      </c>
      <c r="CO83" s="142">
        <v>0</v>
      </c>
      <c r="CP83" s="155">
        <v>0.04</v>
      </c>
      <c r="CQ83" s="142" t="s">
        <v>11</v>
      </c>
      <c r="CR83" s="142" t="s">
        <v>11</v>
      </c>
      <c r="CS83" s="142" t="s">
        <v>11</v>
      </c>
      <c r="CT83" s="142" t="s">
        <v>11</v>
      </c>
      <c r="CU83" s="142" t="s">
        <v>11</v>
      </c>
      <c r="CV83" s="142" t="s">
        <v>11</v>
      </c>
      <c r="CW83" s="142" t="s">
        <v>11</v>
      </c>
      <c r="CX83" s="142" t="s">
        <v>11</v>
      </c>
      <c r="CY83" s="142" t="s">
        <v>11</v>
      </c>
      <c r="CZ83" s="142" t="s">
        <v>11</v>
      </c>
      <c r="DA83" s="142" t="s">
        <v>11</v>
      </c>
      <c r="DB83" s="142" t="s">
        <v>11</v>
      </c>
      <c r="DC83" s="142" t="s">
        <v>11</v>
      </c>
      <c r="DD83" s="142" t="s">
        <v>11</v>
      </c>
      <c r="DE83" s="142" t="s">
        <v>11</v>
      </c>
      <c r="DF83" s="142" t="s">
        <v>11</v>
      </c>
      <c r="DG83" s="142" t="s">
        <v>16</v>
      </c>
      <c r="DH83" s="142" t="s">
        <v>16</v>
      </c>
      <c r="DI83" s="142" t="s">
        <v>16</v>
      </c>
      <c r="DJ83" s="142">
        <v>1</v>
      </c>
      <c r="DK83" s="142" t="s">
        <v>16</v>
      </c>
      <c r="DL83" s="142" t="s">
        <v>16</v>
      </c>
      <c r="DM83" s="142" t="s">
        <v>16</v>
      </c>
      <c r="DN83" s="142" t="s">
        <v>16</v>
      </c>
      <c r="DO83" s="142" t="s">
        <v>11</v>
      </c>
      <c r="DP83" s="142" t="s">
        <v>11</v>
      </c>
      <c r="DQ83" s="142" t="s">
        <v>11</v>
      </c>
      <c r="DR83" s="142">
        <v>17.8</v>
      </c>
      <c r="DS83" s="142">
        <v>17.8</v>
      </c>
      <c r="DT83" s="142" t="s">
        <v>11</v>
      </c>
      <c r="DU83" s="142" t="s">
        <v>11</v>
      </c>
      <c r="DV83" s="142" t="s">
        <v>11</v>
      </c>
      <c r="DW83" s="142" t="s">
        <v>11</v>
      </c>
      <c r="DX83" s="142" t="s">
        <v>11</v>
      </c>
      <c r="DY83" s="142" t="s">
        <v>11</v>
      </c>
      <c r="DZ83" s="142"/>
      <c r="EA83" s="142" t="s">
        <v>11</v>
      </c>
      <c r="EB83" s="142" t="s">
        <v>11</v>
      </c>
      <c r="EC83" s="142"/>
      <c r="ED83" s="142"/>
      <c r="EE83" s="142" t="s">
        <v>11</v>
      </c>
      <c r="EF83" s="142" t="s">
        <v>11</v>
      </c>
      <c r="EG83" s="142"/>
      <c r="EH83" s="142">
        <v>0</v>
      </c>
      <c r="EI83" s="142">
        <v>0</v>
      </c>
      <c r="EJ83" s="142">
        <v>0</v>
      </c>
      <c r="EK83" s="142">
        <v>0</v>
      </c>
      <c r="EL83" s="142"/>
      <c r="EM83" s="142"/>
      <c r="EN83" s="142" t="s">
        <v>11</v>
      </c>
      <c r="EO83" s="142" t="s">
        <v>11</v>
      </c>
      <c r="EP83" s="142" t="s">
        <v>11</v>
      </c>
      <c r="EQ83" s="142" t="s">
        <v>11</v>
      </c>
      <c r="ER83" s="142" t="s">
        <v>11</v>
      </c>
      <c r="ES83" s="142" t="s">
        <v>11</v>
      </c>
      <c r="ET83" s="142" t="s">
        <v>11</v>
      </c>
      <c r="EU83" s="142" t="s">
        <v>11</v>
      </c>
      <c r="EV83" s="142" t="s">
        <v>11</v>
      </c>
      <c r="EW83" s="142" t="s">
        <v>11</v>
      </c>
      <c r="EX83" s="142" t="s">
        <v>11</v>
      </c>
      <c r="EY83" s="142" t="s">
        <v>11</v>
      </c>
      <c r="EZ83" s="142" t="s">
        <v>11</v>
      </c>
      <c r="FA83" s="142" t="s">
        <v>11</v>
      </c>
      <c r="FB83" s="142" t="s">
        <v>11</v>
      </c>
      <c r="FC83" s="142" t="s">
        <v>11</v>
      </c>
      <c r="FD83" s="142"/>
      <c r="FE83" s="142"/>
      <c r="FF83" s="142"/>
      <c r="FG83" s="142"/>
      <c r="FH83" s="142" t="s">
        <v>11</v>
      </c>
      <c r="FI83" s="142">
        <v>0</v>
      </c>
      <c r="FJ83" s="142"/>
      <c r="FK83" s="142"/>
      <c r="FL83" s="142" t="s">
        <v>11</v>
      </c>
      <c r="FM83" s="142"/>
      <c r="FN83" s="142" t="s">
        <v>11</v>
      </c>
      <c r="FO83" s="142"/>
      <c r="FP83" s="142"/>
      <c r="FQ83" s="142"/>
      <c r="FR83" s="142" t="s">
        <v>11</v>
      </c>
      <c r="FS83" s="142" t="s">
        <v>11</v>
      </c>
      <c r="FT83" s="142"/>
      <c r="FU83" s="142">
        <v>0.14</v>
      </c>
      <c r="FV83" s="142" t="s">
        <v>11</v>
      </c>
      <c r="FW83" s="142">
        <v>0</v>
      </c>
      <c r="FX83" s="142"/>
      <c r="FY83" s="142"/>
      <c r="FZ83" s="142"/>
      <c r="GA83" s="142" t="s">
        <v>11</v>
      </c>
      <c r="GB83" s="142" t="s">
        <v>11</v>
      </c>
      <c r="GC83" s="142"/>
      <c r="GD83" s="142"/>
      <c r="GE83" s="142">
        <v>0.085</v>
      </c>
      <c r="GF83" s="142"/>
      <c r="GG83" s="142">
        <v>0</v>
      </c>
      <c r="GH83" s="142">
        <v>0</v>
      </c>
      <c r="GI83" s="142">
        <v>0</v>
      </c>
      <c r="GJ83" s="142">
        <v>0</v>
      </c>
      <c r="GK83" s="142">
        <v>0</v>
      </c>
      <c r="GL83" s="142">
        <v>0</v>
      </c>
      <c r="GM83" s="142">
        <v>0</v>
      </c>
      <c r="GN83" s="142">
        <f>SUM(GB83:GM83)</f>
        <v>0.085</v>
      </c>
      <c r="GO83" s="142">
        <v>0</v>
      </c>
      <c r="GP83" s="142">
        <v>0</v>
      </c>
      <c r="GQ83" s="142"/>
      <c r="GR83" s="142"/>
      <c r="GS83" s="142">
        <v>0</v>
      </c>
      <c r="GT83" s="142"/>
      <c r="GU83" s="142"/>
      <c r="GV83" s="142"/>
      <c r="GW83" s="142"/>
      <c r="GX83" s="142"/>
      <c r="GY83" s="142"/>
      <c r="GZ83" s="142"/>
      <c r="HA83" s="142"/>
      <c r="HB83" s="142"/>
      <c r="HC83" s="142"/>
      <c r="HD83" s="142">
        <v>0</v>
      </c>
      <c r="HE83" s="142">
        <v>0</v>
      </c>
      <c r="HF83" s="142">
        <v>0</v>
      </c>
      <c r="HG83" s="142">
        <v>0</v>
      </c>
      <c r="HH83" s="142">
        <v>0</v>
      </c>
      <c r="HI83" s="142">
        <v>0</v>
      </c>
      <c r="HJ83" s="142">
        <v>0</v>
      </c>
      <c r="HK83" s="142">
        <v>0</v>
      </c>
      <c r="HL83" s="142">
        <v>0</v>
      </c>
      <c r="HM83" s="146">
        <v>0.02</v>
      </c>
      <c r="HN83" s="146"/>
      <c r="HO83" s="146"/>
      <c r="HP83" s="146">
        <v>0.08</v>
      </c>
      <c r="HQ83" s="146"/>
      <c r="HR83" s="146"/>
      <c r="HS83" s="146"/>
      <c r="HT83" s="146"/>
      <c r="HU83" s="142"/>
      <c r="HV83" s="142"/>
      <c r="HW83" s="142"/>
      <c r="HX83" s="142"/>
      <c r="HY83" s="142">
        <f>HA83+HB83+HC83+HD83+HE83+HF83+HG83+HH83</f>
        <v>0</v>
      </c>
      <c r="HZ83" s="146">
        <f>HM83+HN83+HO83+HP83+HQ83+HR83+HS83+HT83</f>
        <v>0.1</v>
      </c>
    </row>
    <row r="84" spans="2:234" ht="15.75">
      <c r="B84" s="39"/>
      <c r="C84" s="47"/>
      <c r="D84" s="47"/>
      <c r="E84" s="83"/>
      <c r="F84" s="47"/>
      <c r="G84" s="47"/>
      <c r="H84" s="47"/>
      <c r="I84" s="28"/>
      <c r="J84" s="43"/>
      <c r="K84" s="15"/>
      <c r="L84" s="15"/>
      <c r="M84" s="15"/>
      <c r="N84" s="15"/>
      <c r="O84" s="14"/>
      <c r="P84" s="15"/>
      <c r="Q84" s="15"/>
      <c r="R84" s="15"/>
      <c r="S84" s="15"/>
      <c r="T84" s="15"/>
      <c r="U84" s="47"/>
      <c r="V84" s="56"/>
      <c r="W84" s="43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82"/>
      <c r="AI84" s="43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82"/>
      <c r="AV84" s="56"/>
      <c r="AW84" s="4"/>
      <c r="AX84" s="31"/>
      <c r="AY84" s="4"/>
      <c r="AZ84" s="31"/>
      <c r="BA84" s="4"/>
      <c r="BB84" s="4"/>
      <c r="BC84" s="4"/>
      <c r="BD84" s="4"/>
      <c r="BE84" s="4"/>
      <c r="BF84" s="12"/>
      <c r="BG84" s="12"/>
      <c r="BH84" s="71"/>
      <c r="BI84" s="46"/>
      <c r="BJ84" s="4"/>
      <c r="BK84" s="31"/>
      <c r="BL84" s="4"/>
      <c r="BM84" s="31"/>
      <c r="BN84" s="4"/>
      <c r="BO84" s="4"/>
      <c r="BP84" s="4"/>
      <c r="BQ84" s="4"/>
      <c r="BR84" s="4"/>
      <c r="BS84" s="12"/>
      <c r="BT84" s="12"/>
      <c r="BU84" s="82"/>
      <c r="BV84" s="47"/>
      <c r="BW84" s="47"/>
      <c r="BX84" s="47"/>
      <c r="BY84" s="82"/>
      <c r="BZ84" s="82"/>
      <c r="CA84" s="82"/>
      <c r="CB84" s="82"/>
      <c r="CC84" s="82"/>
      <c r="CD84" s="82"/>
      <c r="CE84" s="43"/>
      <c r="CF84" s="43"/>
      <c r="CG84" s="43"/>
      <c r="CH84" s="83"/>
      <c r="CI84" s="47"/>
      <c r="CJ84" s="138"/>
      <c r="CK84" s="138"/>
      <c r="CL84" s="138"/>
      <c r="CM84" s="124"/>
      <c r="CN84" s="125"/>
      <c r="CO84" s="125"/>
      <c r="CP84" s="125"/>
      <c r="CQ84" s="125"/>
      <c r="CR84" s="124"/>
      <c r="CS84" s="124"/>
      <c r="CT84" s="124"/>
      <c r="CU84" s="124"/>
      <c r="CV84" s="125"/>
      <c r="CW84" s="124"/>
      <c r="CX84" s="124"/>
      <c r="CY84" s="124"/>
      <c r="CZ84" s="124"/>
      <c r="DA84" s="124"/>
      <c r="DB84" s="125"/>
      <c r="DC84" s="125"/>
      <c r="DD84" s="124"/>
      <c r="DE84" s="124"/>
      <c r="DF84" s="125"/>
      <c r="DG84" s="125"/>
      <c r="DH84" s="125"/>
      <c r="DI84" s="124"/>
      <c r="DJ84" s="124"/>
      <c r="DK84" s="124"/>
      <c r="DL84" s="124"/>
      <c r="DM84" s="124"/>
      <c r="DN84" s="124"/>
      <c r="DO84" s="124"/>
      <c r="DP84" s="124"/>
      <c r="DQ84" s="124"/>
      <c r="DR84" s="124"/>
      <c r="DS84" s="124"/>
      <c r="DT84" s="124"/>
      <c r="DU84" s="124"/>
      <c r="DV84" s="124"/>
      <c r="DW84" s="124"/>
      <c r="DX84" s="124"/>
      <c r="DY84" s="124"/>
      <c r="DZ84" s="124"/>
      <c r="EA84" s="124"/>
      <c r="EB84" s="124"/>
      <c r="EC84" s="125"/>
      <c r="ED84" s="125"/>
      <c r="EE84" s="125"/>
      <c r="EF84" s="125"/>
      <c r="EG84" s="125"/>
      <c r="EH84" s="125"/>
      <c r="EI84" s="125"/>
      <c r="EJ84" s="124"/>
      <c r="EK84" s="124"/>
      <c r="EL84" s="124"/>
      <c r="EM84" s="124"/>
      <c r="EN84" s="136"/>
      <c r="EO84" s="124"/>
      <c r="EP84" s="124"/>
      <c r="EQ84" s="124"/>
      <c r="ER84" s="124"/>
      <c r="ES84" s="124"/>
      <c r="ET84" s="124"/>
      <c r="EU84" s="124"/>
      <c r="EV84" s="124"/>
      <c r="EW84" s="124"/>
      <c r="EX84" s="124"/>
      <c r="EY84" s="124"/>
      <c r="EZ84" s="124"/>
      <c r="FA84" s="124"/>
      <c r="FB84" s="123"/>
      <c r="FC84" s="123"/>
      <c r="FD84" s="123"/>
      <c r="FE84" s="123"/>
      <c r="FF84" s="128"/>
      <c r="FG84" s="123"/>
      <c r="FH84" s="123"/>
      <c r="FI84" s="123"/>
      <c r="FJ84" s="123"/>
      <c r="FK84" s="123"/>
      <c r="FL84" s="123"/>
      <c r="FM84" s="123"/>
      <c r="FN84" s="123"/>
      <c r="FO84" s="123"/>
      <c r="FP84" s="126"/>
      <c r="FQ84" s="126"/>
      <c r="FR84" s="126"/>
      <c r="FS84" s="126"/>
      <c r="FT84" s="126"/>
      <c r="FU84" s="126"/>
      <c r="FV84" s="126"/>
      <c r="FW84" s="124"/>
      <c r="FX84" s="124"/>
      <c r="FY84" s="124"/>
      <c r="FZ84" s="124"/>
      <c r="GA84" s="123"/>
      <c r="GB84" s="123"/>
      <c r="GC84" s="123"/>
      <c r="GD84" s="123"/>
      <c r="GE84" s="123"/>
      <c r="GF84" s="123"/>
      <c r="GG84" s="123"/>
      <c r="GH84" s="123"/>
      <c r="GI84" s="123"/>
      <c r="GJ84" s="123"/>
      <c r="GK84" s="123"/>
      <c r="GL84" s="123"/>
      <c r="GM84" s="123"/>
      <c r="GN84" s="123"/>
      <c r="GO84" s="123"/>
      <c r="GP84" s="123"/>
      <c r="GQ84" s="123"/>
      <c r="GR84" s="123"/>
      <c r="GS84" s="123"/>
      <c r="GT84" s="123"/>
      <c r="GU84" s="123"/>
      <c r="GV84" s="123"/>
      <c r="GW84" s="123"/>
      <c r="GX84" s="123"/>
      <c r="GY84" s="123"/>
      <c r="GZ84" s="123"/>
      <c r="HA84" s="123"/>
      <c r="HB84" s="123"/>
      <c r="HC84" s="123"/>
      <c r="HD84" s="123"/>
      <c r="HE84" s="123"/>
      <c r="HF84" s="123"/>
      <c r="HG84" s="123"/>
      <c r="HH84" s="123"/>
      <c r="HI84" s="123"/>
      <c r="HJ84" s="123"/>
      <c r="HK84" s="123"/>
      <c r="HL84" s="123"/>
      <c r="HM84" s="123"/>
      <c r="HN84" s="123"/>
      <c r="HO84" s="123"/>
      <c r="HP84" s="123"/>
      <c r="HQ84" s="123"/>
      <c r="HR84" s="123"/>
      <c r="HS84" s="123"/>
      <c r="HT84" s="123"/>
      <c r="HU84" s="123"/>
      <c r="HV84" s="123"/>
      <c r="HW84" s="123"/>
      <c r="HX84" s="123"/>
      <c r="HY84" s="122"/>
      <c r="HZ84" s="122"/>
    </row>
    <row r="85" spans="2:234" ht="15.75">
      <c r="B85" s="37"/>
      <c r="C85" s="42"/>
      <c r="D85" s="72"/>
      <c r="E85" s="35"/>
      <c r="F85" s="42"/>
      <c r="G85" s="42"/>
      <c r="H85" s="15"/>
      <c r="I85" s="79"/>
      <c r="J85" s="3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42"/>
      <c r="V85" s="37"/>
      <c r="W85" s="38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71"/>
      <c r="AI85" s="38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71"/>
      <c r="AV85" s="37"/>
      <c r="AW85" s="17"/>
      <c r="AX85" s="21"/>
      <c r="AY85" s="17"/>
      <c r="AZ85" s="21"/>
      <c r="BA85" s="17"/>
      <c r="BB85" s="17"/>
      <c r="BC85" s="17"/>
      <c r="BD85" s="17"/>
      <c r="BE85" s="17"/>
      <c r="BF85" s="19"/>
      <c r="BG85" s="19"/>
      <c r="BH85" s="84"/>
      <c r="BI85" s="36"/>
      <c r="BJ85" s="17"/>
      <c r="BK85" s="21"/>
      <c r="BL85" s="17"/>
      <c r="BM85" s="21"/>
      <c r="BN85" s="17"/>
      <c r="BO85" s="17"/>
      <c r="BP85" s="17"/>
      <c r="BQ85" s="17"/>
      <c r="BR85" s="17"/>
      <c r="BS85" s="19"/>
      <c r="BT85" s="19"/>
      <c r="BU85" s="84"/>
      <c r="BV85" s="43"/>
      <c r="BW85" s="42"/>
      <c r="BX85" s="42"/>
      <c r="BY85" s="71"/>
      <c r="BZ85" s="84"/>
      <c r="CA85" s="84"/>
      <c r="CB85" s="84"/>
      <c r="CC85" s="84"/>
      <c r="CD85" s="84"/>
      <c r="CE85" s="84"/>
      <c r="CF85" s="84"/>
      <c r="CG85" s="84"/>
      <c r="CH85" s="15"/>
      <c r="CI85" s="42"/>
      <c r="CJ85" s="125"/>
      <c r="CK85" s="124"/>
      <c r="CL85" s="135"/>
      <c r="CM85" s="135"/>
      <c r="CN85" s="135"/>
      <c r="CO85" s="135"/>
      <c r="CP85" s="135"/>
      <c r="CQ85" s="139"/>
      <c r="CR85" s="139"/>
      <c r="CS85" s="139"/>
      <c r="CT85" s="139"/>
      <c r="CU85" s="139"/>
      <c r="CV85" s="140"/>
      <c r="CW85" s="140"/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35"/>
      <c r="DV85" s="135"/>
      <c r="DW85" s="135"/>
      <c r="DX85" s="135"/>
      <c r="DY85" s="135"/>
      <c r="DZ85" s="135"/>
      <c r="EA85" s="135"/>
      <c r="EB85" s="135"/>
      <c r="EC85" s="140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  <c r="EN85" s="139"/>
      <c r="EO85" s="135"/>
      <c r="EP85" s="135"/>
      <c r="EQ85" s="135"/>
      <c r="ER85" s="135"/>
      <c r="ES85" s="135"/>
      <c r="ET85" s="135"/>
      <c r="EU85" s="135"/>
      <c r="EV85" s="135"/>
      <c r="EW85" s="135"/>
      <c r="EX85" s="135"/>
      <c r="EY85" s="135"/>
      <c r="EZ85" s="135"/>
      <c r="FA85" s="135"/>
      <c r="FB85" s="130"/>
      <c r="FC85" s="130"/>
      <c r="FD85" s="130"/>
      <c r="FE85" s="130"/>
      <c r="FF85" s="133"/>
      <c r="FG85" s="130"/>
      <c r="FH85" s="130"/>
      <c r="FI85" s="130"/>
      <c r="FJ85" s="130"/>
      <c r="FK85" s="130"/>
      <c r="FL85" s="130"/>
      <c r="FM85" s="130"/>
      <c r="FN85" s="130"/>
      <c r="FO85" s="134"/>
      <c r="FP85" s="135"/>
      <c r="FQ85" s="135"/>
      <c r="FR85" s="135"/>
      <c r="FS85" s="135"/>
      <c r="FT85" s="135"/>
      <c r="FU85" s="135"/>
      <c r="FV85" s="135"/>
      <c r="FW85" s="135"/>
      <c r="FX85" s="135"/>
      <c r="FY85" s="135"/>
      <c r="FZ85" s="135"/>
      <c r="GA85" s="130"/>
      <c r="GB85" s="130"/>
      <c r="GC85" s="130"/>
      <c r="GD85" s="130"/>
      <c r="GE85" s="130"/>
      <c r="GF85" s="130"/>
      <c r="GG85" s="130"/>
      <c r="GH85" s="130"/>
      <c r="GI85" s="130"/>
      <c r="GJ85" s="130"/>
      <c r="GK85" s="130"/>
      <c r="GL85" s="130"/>
      <c r="GM85" s="130"/>
      <c r="GN85" s="130"/>
      <c r="GO85" s="130"/>
      <c r="GP85" s="130"/>
      <c r="GQ85" s="130"/>
      <c r="GR85" s="130"/>
      <c r="GS85" s="130"/>
      <c r="GT85" s="130"/>
      <c r="GU85" s="130"/>
      <c r="GV85" s="130"/>
      <c r="GW85" s="130"/>
      <c r="GX85" s="130"/>
      <c r="GY85" s="130"/>
      <c r="GZ85" s="130"/>
      <c r="HA85" s="130"/>
      <c r="HB85" s="130"/>
      <c r="HC85" s="130"/>
      <c r="HD85" s="130"/>
      <c r="HE85" s="130"/>
      <c r="HF85" s="130"/>
      <c r="HG85" s="130"/>
      <c r="HH85" s="130"/>
      <c r="HI85" s="130"/>
      <c r="HJ85" s="130"/>
      <c r="HK85" s="130"/>
      <c r="HL85" s="130"/>
      <c r="HM85" s="130"/>
      <c r="HN85" s="130"/>
      <c r="HO85" s="130"/>
      <c r="HP85" s="130"/>
      <c r="HQ85" s="130"/>
      <c r="HR85" s="130"/>
      <c r="HS85" s="130"/>
      <c r="HT85" s="130"/>
      <c r="HU85" s="130"/>
      <c r="HV85" s="130"/>
      <c r="HW85" s="130"/>
      <c r="HX85" s="130"/>
      <c r="HY85" s="135"/>
      <c r="HZ85" s="135"/>
    </row>
    <row r="86" spans="2:234" ht="15.75">
      <c r="B86" s="56"/>
      <c r="C86" s="60">
        <f aca="true" t="shared" si="96" ref="C86:T86">SUM(C18,C43,C59,C72,C78,C83)</f>
        <v>177124</v>
      </c>
      <c r="D86" s="60">
        <f t="shared" si="96"/>
        <v>184316</v>
      </c>
      <c r="E86" s="58">
        <f>SUM(E18,E43,E59,E72,E78,E83)</f>
        <v>230290</v>
      </c>
      <c r="F86" s="60">
        <f>SUM(F18,F43,F59,F72,F78,F83)</f>
        <v>228418</v>
      </c>
      <c r="G86" s="60">
        <f>SUM(G18,G43,G59,G72,G78,G83)</f>
        <v>355091.00000000006</v>
      </c>
      <c r="H86" s="60">
        <f>SUM(H18,H43,H59,H72,H78,H83)</f>
        <v>308925.5</v>
      </c>
      <c r="I86" s="58">
        <f t="shared" si="96"/>
        <v>16748</v>
      </c>
      <c r="J86" s="58">
        <f t="shared" si="96"/>
        <v>16199</v>
      </c>
      <c r="K86" s="58">
        <f t="shared" si="96"/>
        <v>12098</v>
      </c>
      <c r="L86" s="58">
        <f t="shared" si="96"/>
        <v>14170</v>
      </c>
      <c r="M86" s="58">
        <f t="shared" si="96"/>
        <v>14837</v>
      </c>
      <c r="N86" s="58">
        <f t="shared" si="96"/>
        <v>14248</v>
      </c>
      <c r="O86" s="58">
        <f t="shared" si="96"/>
        <v>16990</v>
      </c>
      <c r="P86" s="58">
        <f t="shared" si="96"/>
        <v>16532</v>
      </c>
      <c r="Q86" s="58">
        <f t="shared" si="96"/>
        <v>11511</v>
      </c>
      <c r="R86" s="58">
        <f t="shared" si="96"/>
        <v>17224</v>
      </c>
      <c r="S86" s="58">
        <f t="shared" si="96"/>
        <v>15728</v>
      </c>
      <c r="T86" s="58">
        <f t="shared" si="96"/>
        <v>18034</v>
      </c>
      <c r="U86" s="58">
        <f aca="true" t="shared" si="97" ref="U86:CF86">SUM(U18,U43,U59,U72,U78,U83)</f>
        <v>184355</v>
      </c>
      <c r="V86" s="58">
        <f t="shared" si="97"/>
        <v>14626</v>
      </c>
      <c r="W86" s="58">
        <f t="shared" si="97"/>
        <v>15659</v>
      </c>
      <c r="X86" s="58">
        <f t="shared" si="97"/>
        <v>22157</v>
      </c>
      <c r="Y86" s="58">
        <f t="shared" si="97"/>
        <v>16812</v>
      </c>
      <c r="Z86" s="58">
        <f t="shared" si="97"/>
        <v>16105</v>
      </c>
      <c r="AA86" s="58">
        <f t="shared" si="97"/>
        <v>18775</v>
      </c>
      <c r="AB86" s="58">
        <f t="shared" si="97"/>
        <v>20476</v>
      </c>
      <c r="AC86" s="58">
        <f t="shared" si="97"/>
        <v>16881</v>
      </c>
      <c r="AD86" s="58">
        <f t="shared" si="97"/>
        <v>29060</v>
      </c>
      <c r="AE86" s="58">
        <f t="shared" si="97"/>
        <v>16552</v>
      </c>
      <c r="AF86" s="58">
        <f t="shared" si="97"/>
        <v>18494</v>
      </c>
      <c r="AG86" s="58">
        <f t="shared" si="97"/>
        <v>24317</v>
      </c>
      <c r="AH86" s="58">
        <f t="shared" si="97"/>
        <v>229914</v>
      </c>
      <c r="AI86" s="58">
        <f t="shared" si="97"/>
        <v>13344</v>
      </c>
      <c r="AJ86" s="58">
        <f t="shared" si="97"/>
        <v>16491</v>
      </c>
      <c r="AK86" s="58">
        <f t="shared" si="97"/>
        <v>24791</v>
      </c>
      <c r="AL86" s="58">
        <f t="shared" si="97"/>
        <v>18247</v>
      </c>
      <c r="AM86" s="58">
        <f t="shared" si="97"/>
        <v>16947</v>
      </c>
      <c r="AN86" s="58">
        <f t="shared" si="97"/>
        <v>22318</v>
      </c>
      <c r="AO86" s="58">
        <f t="shared" si="97"/>
        <v>18864</v>
      </c>
      <c r="AP86" s="58">
        <f t="shared" si="97"/>
        <v>18418</v>
      </c>
      <c r="AQ86" s="58">
        <f t="shared" si="97"/>
        <v>19587</v>
      </c>
      <c r="AR86" s="58">
        <f t="shared" si="97"/>
        <v>20373</v>
      </c>
      <c r="AS86" s="58">
        <f t="shared" si="97"/>
        <v>17720</v>
      </c>
      <c r="AT86" s="58">
        <f t="shared" si="97"/>
        <v>21318</v>
      </c>
      <c r="AU86" s="58">
        <f t="shared" si="97"/>
        <v>228418</v>
      </c>
      <c r="AV86" s="58">
        <f t="shared" si="97"/>
        <v>14568</v>
      </c>
      <c r="AW86" s="58">
        <f t="shared" si="97"/>
        <v>15608</v>
      </c>
      <c r="AX86" s="58">
        <f t="shared" si="97"/>
        <v>24948</v>
      </c>
      <c r="AY86" s="58">
        <f t="shared" si="97"/>
        <v>25746</v>
      </c>
      <c r="AZ86" s="58">
        <f t="shared" si="97"/>
        <v>20162</v>
      </c>
      <c r="BA86" s="58">
        <f t="shared" si="97"/>
        <v>19244</v>
      </c>
      <c r="BB86" s="58">
        <f t="shared" si="97"/>
        <v>17123.7</v>
      </c>
      <c r="BC86" s="58">
        <f t="shared" si="97"/>
        <v>19916.400000000005</v>
      </c>
      <c r="BD86" s="58">
        <f t="shared" si="97"/>
        <v>22391.999999999996</v>
      </c>
      <c r="BE86" s="58">
        <f t="shared" si="97"/>
        <v>21548.5</v>
      </c>
      <c r="BF86" s="58">
        <f t="shared" si="97"/>
        <v>127836.4</v>
      </c>
      <c r="BG86" s="58">
        <f t="shared" si="97"/>
        <v>25998</v>
      </c>
      <c r="BH86" s="58">
        <f t="shared" si="97"/>
        <v>355091</v>
      </c>
      <c r="BI86" s="58">
        <f t="shared" si="97"/>
        <v>26120.399999999998</v>
      </c>
      <c r="BJ86" s="58">
        <f t="shared" si="97"/>
        <v>26363.6</v>
      </c>
      <c r="BK86" s="58">
        <f t="shared" si="97"/>
        <v>26497.200000000004</v>
      </c>
      <c r="BL86" s="58">
        <f t="shared" si="97"/>
        <v>21778.800000000003</v>
      </c>
      <c r="BM86" s="58">
        <f t="shared" si="97"/>
        <v>21395.300000000003</v>
      </c>
      <c r="BN86" s="58">
        <f t="shared" si="97"/>
        <v>26372.299999999996</v>
      </c>
      <c r="BO86" s="58">
        <f t="shared" si="97"/>
        <v>27116.7</v>
      </c>
      <c r="BP86" s="58">
        <f t="shared" si="97"/>
        <v>35519.69999999999</v>
      </c>
      <c r="BQ86" s="58">
        <f t="shared" si="97"/>
        <v>24366.699999999997</v>
      </c>
      <c r="BR86" s="58">
        <f t="shared" si="97"/>
        <v>24187.00000000002</v>
      </c>
      <c r="BS86" s="58">
        <f t="shared" si="97"/>
        <v>27618.500000000007</v>
      </c>
      <c r="BT86" s="60">
        <f t="shared" si="97"/>
        <v>21572.699999999986</v>
      </c>
      <c r="BU86" s="58">
        <f t="shared" si="97"/>
        <v>308925.3</v>
      </c>
      <c r="BV86" s="59">
        <f>SUM(BV18,BV43,BV59,BV72,BV78,BV83)</f>
        <v>52484.2</v>
      </c>
      <c r="BW86" s="58">
        <f>SUM(BW18,BW43,BW59,BW72,BW78,BW83)</f>
        <v>78981</v>
      </c>
      <c r="BX86" s="58">
        <f>SUM(BX18,BX43,BX59,BX72,BX78,BX83)</f>
        <v>100760.1</v>
      </c>
      <c r="BY86" s="58">
        <f t="shared" si="97"/>
        <v>122151.4</v>
      </c>
      <c r="BZ86" s="58">
        <f t="shared" si="97"/>
        <v>148528.1</v>
      </c>
      <c r="CA86" s="58">
        <f t="shared" si="97"/>
        <v>175643.10000000003</v>
      </c>
      <c r="CB86" s="58">
        <f t="shared" si="97"/>
        <v>211163.89999999997</v>
      </c>
      <c r="CC86" s="58">
        <f t="shared" si="97"/>
        <v>235547.7</v>
      </c>
      <c r="CD86" s="58">
        <f t="shared" si="97"/>
        <v>259505.40000000002</v>
      </c>
      <c r="CE86" s="58">
        <f t="shared" si="97"/>
        <v>287352.5</v>
      </c>
      <c r="CF86" s="58">
        <f t="shared" si="97"/>
        <v>308925.5</v>
      </c>
      <c r="CG86" s="58">
        <v>278286.7</v>
      </c>
      <c r="CH86" s="60">
        <f>SUM(CH18,CH43,CH59,CH72,CH78,CH83)</f>
        <v>307483</v>
      </c>
      <c r="CI86" s="58">
        <f aca="true" t="shared" si="98" ref="CI86:EW86">SUM(CI18,CI43,CI59,CI72,CI78,CI83)</f>
        <v>353738.19999999995</v>
      </c>
      <c r="CJ86" s="58">
        <f t="shared" si="98"/>
        <v>495000.914075067</v>
      </c>
      <c r="CK86" s="141">
        <f t="shared" si="98"/>
        <v>681790.1789999998</v>
      </c>
      <c r="CL86" s="142">
        <f t="shared" si="98"/>
        <v>705347.8269999999</v>
      </c>
      <c r="CM86" s="145">
        <f t="shared" si="98"/>
        <v>809076.9740000002</v>
      </c>
      <c r="CN86" s="142">
        <f t="shared" si="98"/>
        <v>798245.6296180374</v>
      </c>
      <c r="CO86" s="142">
        <f t="shared" si="98"/>
        <v>632337.057</v>
      </c>
      <c r="CP86" s="142">
        <f t="shared" si="98"/>
        <v>708203.3350000001</v>
      </c>
      <c r="CQ86" s="142">
        <f t="shared" si="98"/>
        <v>23659.9</v>
      </c>
      <c r="CR86" s="142">
        <f t="shared" si="98"/>
        <v>42628.8</v>
      </c>
      <c r="CS86" s="145">
        <f t="shared" si="98"/>
        <v>64331</v>
      </c>
      <c r="CT86" s="142">
        <f t="shared" si="98"/>
        <v>83062.00000000001</v>
      </c>
      <c r="CU86" s="145">
        <f t="shared" si="98"/>
        <v>103932</v>
      </c>
      <c r="CV86" s="142">
        <f t="shared" si="98"/>
        <v>127374.29999999999</v>
      </c>
      <c r="CW86" s="145">
        <f t="shared" si="98"/>
        <v>152075</v>
      </c>
      <c r="CX86" s="142">
        <f t="shared" si="98"/>
        <v>193131</v>
      </c>
      <c r="CY86" s="145">
        <f t="shared" si="98"/>
        <v>215678</v>
      </c>
      <c r="CZ86" s="142">
        <f t="shared" si="98"/>
        <v>237929</v>
      </c>
      <c r="DA86" s="145">
        <f t="shared" si="98"/>
        <v>263718.00000000006</v>
      </c>
      <c r="DB86" s="142">
        <f t="shared" si="98"/>
        <v>278286.7</v>
      </c>
      <c r="DC86" s="145">
        <f t="shared" si="98"/>
        <v>18140.9</v>
      </c>
      <c r="DD86" s="142">
        <f t="shared" si="98"/>
        <v>36576.99999999999</v>
      </c>
      <c r="DE86" s="145">
        <f t="shared" si="98"/>
        <v>61694</v>
      </c>
      <c r="DF86" s="142">
        <f t="shared" si="98"/>
        <v>92653.29999999999</v>
      </c>
      <c r="DG86" s="145">
        <f t="shared" si="98"/>
        <v>118634.99999999999</v>
      </c>
      <c r="DH86" s="142">
        <f t="shared" si="98"/>
        <v>141114.90000000002</v>
      </c>
      <c r="DI86" s="145">
        <f t="shared" si="98"/>
        <v>172072.50000000003</v>
      </c>
      <c r="DJ86" s="142">
        <f t="shared" si="98"/>
        <v>197656.9</v>
      </c>
      <c r="DK86" s="145">
        <f t="shared" si="98"/>
        <v>225699.40000000002</v>
      </c>
      <c r="DL86" s="142">
        <f t="shared" si="98"/>
        <v>258986.8</v>
      </c>
      <c r="DM86" s="145">
        <f t="shared" si="98"/>
        <v>280194.00000000006</v>
      </c>
      <c r="DN86" s="142">
        <f t="shared" si="98"/>
        <v>307483</v>
      </c>
      <c r="DO86" s="145">
        <f t="shared" si="98"/>
        <v>25294.100000000002</v>
      </c>
      <c r="DP86" s="142">
        <f t="shared" si="98"/>
        <v>58981.2</v>
      </c>
      <c r="DQ86" s="145">
        <f t="shared" si="98"/>
        <v>91367.09999999998</v>
      </c>
      <c r="DR86" s="142">
        <f t="shared" si="98"/>
        <v>120897.80000000002</v>
      </c>
      <c r="DS86" s="145">
        <f t="shared" si="98"/>
        <v>144380.99999999997</v>
      </c>
      <c r="DT86" s="142">
        <f t="shared" si="98"/>
        <v>174018</v>
      </c>
      <c r="DU86" s="145">
        <f t="shared" si="98"/>
        <v>203585.80000000002</v>
      </c>
      <c r="DV86" s="142">
        <f t="shared" si="98"/>
        <v>238226.33000000005</v>
      </c>
      <c r="DW86" s="145">
        <f t="shared" si="98"/>
        <v>273611</v>
      </c>
      <c r="DX86" s="142">
        <f t="shared" si="98"/>
        <v>298896</v>
      </c>
      <c r="DY86" s="145">
        <f t="shared" si="98"/>
        <v>325656.19999999995</v>
      </c>
      <c r="DZ86" s="142">
        <f t="shared" si="98"/>
        <v>28082</v>
      </c>
      <c r="EA86" s="145">
        <f t="shared" si="98"/>
        <v>353738.19999999995</v>
      </c>
      <c r="EB86" s="142">
        <f t="shared" si="98"/>
        <v>40608.442</v>
      </c>
      <c r="EC86" s="145">
        <f t="shared" si="98"/>
        <v>30680</v>
      </c>
      <c r="ED86" s="142">
        <f t="shared" si="98"/>
        <v>37769.7</v>
      </c>
      <c r="EE86" s="145">
        <f t="shared" si="98"/>
        <v>32649</v>
      </c>
      <c r="EF86" s="142">
        <f t="shared" si="98"/>
        <v>27741.900000000005</v>
      </c>
      <c r="EG86" s="145">
        <f t="shared" si="98"/>
        <v>36335</v>
      </c>
      <c r="EH86" s="142">
        <f t="shared" si="98"/>
        <v>34444.971</v>
      </c>
      <c r="EI86" s="145">
        <f t="shared" si="98"/>
        <v>45372.257000000005</v>
      </c>
      <c r="EJ86" s="142">
        <f t="shared" si="98"/>
        <v>46754.646</v>
      </c>
      <c r="EK86" s="145">
        <f t="shared" si="98"/>
        <v>48732.959999999985</v>
      </c>
      <c r="EL86" s="142">
        <f t="shared" si="98"/>
        <v>52126.31100000001</v>
      </c>
      <c r="EM86" s="145">
        <f t="shared" si="98"/>
        <v>61785.72707506702</v>
      </c>
      <c r="EN86" s="142">
        <f t="shared" si="98"/>
        <v>495000.914075067</v>
      </c>
      <c r="EO86" s="145">
        <f t="shared" si="98"/>
        <v>50446.27499999996</v>
      </c>
      <c r="EP86" s="142">
        <f t="shared" si="98"/>
        <v>52531.713999999985</v>
      </c>
      <c r="EQ86" s="145">
        <f t="shared" si="98"/>
        <v>48665.106</v>
      </c>
      <c r="ER86" s="142">
        <f t="shared" si="98"/>
        <v>50518.33599999998</v>
      </c>
      <c r="ES86" s="145">
        <f t="shared" si="98"/>
        <v>41504.172999999995</v>
      </c>
      <c r="ET86" s="142">
        <f t="shared" si="98"/>
        <v>52823.72000000001</v>
      </c>
      <c r="EU86" s="145">
        <f t="shared" si="98"/>
        <v>49732.068999999974</v>
      </c>
      <c r="EV86" s="142">
        <f t="shared" si="98"/>
        <v>69220.671</v>
      </c>
      <c r="EW86" s="145">
        <f t="shared" si="98"/>
        <v>69252.77799999999</v>
      </c>
      <c r="EX86" s="142">
        <f aca="true" t="shared" si="99" ref="EX86:GC86">SUM(EX18,EX43,EX59,EX72,EX78,EX83)</f>
        <v>57093.47099999999</v>
      </c>
      <c r="EY86" s="145">
        <f t="shared" si="99"/>
        <v>63408.36599999999</v>
      </c>
      <c r="EZ86" s="142">
        <f t="shared" si="99"/>
        <v>76592.2</v>
      </c>
      <c r="FA86" s="145">
        <f t="shared" si="99"/>
        <v>681788.8789999998</v>
      </c>
      <c r="FB86" s="142">
        <f t="shared" si="99"/>
        <v>54920.099</v>
      </c>
      <c r="FC86" s="145">
        <f t="shared" si="99"/>
        <v>54380.556</v>
      </c>
      <c r="FD86" s="142">
        <f t="shared" si="99"/>
        <v>48669.256</v>
      </c>
      <c r="FE86" s="145">
        <f t="shared" si="99"/>
        <v>62562.244</v>
      </c>
      <c r="FF86" s="142">
        <f t="shared" si="99"/>
        <v>56827.799000000006</v>
      </c>
      <c r="FG86" s="145">
        <f t="shared" si="99"/>
        <v>56307.693</v>
      </c>
      <c r="FH86" s="142">
        <f t="shared" si="99"/>
        <v>53583.05299999999</v>
      </c>
      <c r="FI86" s="145">
        <f t="shared" si="99"/>
        <v>59704.09700000001</v>
      </c>
      <c r="FJ86" s="142">
        <f t="shared" si="99"/>
        <v>57138.424999999996</v>
      </c>
      <c r="FK86" s="145">
        <f t="shared" si="99"/>
        <v>62308.905</v>
      </c>
      <c r="FL86" s="142">
        <f t="shared" si="99"/>
        <v>62643.8</v>
      </c>
      <c r="FM86" s="145">
        <f t="shared" si="99"/>
        <v>76302.09999999999</v>
      </c>
      <c r="FN86" s="142">
        <f t="shared" si="99"/>
        <v>705348.0269999999</v>
      </c>
      <c r="FO86" s="145">
        <f t="shared" si="99"/>
        <v>70743.74399999999</v>
      </c>
      <c r="FP86" s="142">
        <f t="shared" si="99"/>
        <v>67452.699</v>
      </c>
      <c r="FQ86" s="145">
        <f t="shared" si="99"/>
        <v>46322.83</v>
      </c>
      <c r="FR86" s="142">
        <f t="shared" si="99"/>
        <v>59342.48499999999</v>
      </c>
      <c r="FS86" s="145">
        <f t="shared" si="99"/>
        <v>55501.755000000005</v>
      </c>
      <c r="FT86" s="142">
        <f t="shared" si="99"/>
        <v>58317.48</v>
      </c>
      <c r="FU86" s="145">
        <f t="shared" si="99"/>
        <v>59402.692</v>
      </c>
      <c r="FV86" s="142">
        <f t="shared" si="99"/>
        <v>70437.768</v>
      </c>
      <c r="FW86" s="145">
        <f t="shared" si="99"/>
        <v>66215.382</v>
      </c>
      <c r="FX86" s="142">
        <f t="shared" si="99"/>
        <v>56960.334000000024</v>
      </c>
      <c r="FY86" s="145">
        <f t="shared" si="99"/>
        <v>67341.545</v>
      </c>
      <c r="FZ86" s="142">
        <f t="shared" si="99"/>
        <v>131038.4</v>
      </c>
      <c r="GA86" s="145">
        <f t="shared" si="99"/>
        <v>809076.9740000002</v>
      </c>
      <c r="GB86" s="142">
        <f t="shared" si="99"/>
        <v>82148.10800000001</v>
      </c>
      <c r="GC86" s="145">
        <f t="shared" si="99"/>
        <v>77890.236</v>
      </c>
      <c r="GD86" s="142">
        <f aca="true" t="shared" si="100" ref="GD86:HI86">SUM(GD18,GD43,GD59,GD72,GD78,GD83)</f>
        <v>71488.30000000002</v>
      </c>
      <c r="GE86" s="145">
        <f t="shared" si="100"/>
        <v>46978.432</v>
      </c>
      <c r="GF86" s="142">
        <f t="shared" si="100"/>
        <v>52236.312</v>
      </c>
      <c r="GG86" s="145">
        <f t="shared" si="100"/>
        <v>66449.99761803732</v>
      </c>
      <c r="GH86" s="142">
        <f t="shared" si="100"/>
        <v>59709.57000000001</v>
      </c>
      <c r="GI86" s="145">
        <f t="shared" si="100"/>
        <v>71497.358</v>
      </c>
      <c r="GJ86" s="142">
        <f t="shared" si="100"/>
        <v>78063.86499999999</v>
      </c>
      <c r="GK86" s="145">
        <f t="shared" si="100"/>
        <v>63509.992000000006</v>
      </c>
      <c r="GL86" s="142">
        <f t="shared" si="100"/>
        <v>63766.422000000006</v>
      </c>
      <c r="GM86" s="145">
        <f t="shared" si="100"/>
        <v>64499.986000000004</v>
      </c>
      <c r="GN86" s="142">
        <f t="shared" si="100"/>
        <v>798238.5786180373</v>
      </c>
      <c r="GO86" s="145">
        <f t="shared" si="100"/>
        <v>68018.792</v>
      </c>
      <c r="GP86" s="142">
        <f t="shared" si="100"/>
        <v>68550.466</v>
      </c>
      <c r="GQ86" s="145">
        <f t="shared" si="100"/>
        <v>65338.278999999995</v>
      </c>
      <c r="GR86" s="142">
        <f t="shared" si="100"/>
        <v>60011.649</v>
      </c>
      <c r="GS86" s="145">
        <f t="shared" si="100"/>
        <v>42471.098000000005</v>
      </c>
      <c r="GT86" s="142">
        <f t="shared" si="100"/>
        <v>61234.983</v>
      </c>
      <c r="GU86" s="145">
        <f t="shared" si="100"/>
        <v>59575.641</v>
      </c>
      <c r="GV86" s="142">
        <f t="shared" si="100"/>
        <v>69012.68800000001</v>
      </c>
      <c r="GW86" s="145">
        <f t="shared" si="100"/>
        <v>77787.108</v>
      </c>
      <c r="GX86" s="142">
        <f t="shared" si="100"/>
        <v>71549.307</v>
      </c>
      <c r="GY86" s="145">
        <f t="shared" si="100"/>
        <v>66191.06279560548</v>
      </c>
      <c r="GZ86" s="142">
        <f t="shared" si="100"/>
        <v>69488.914</v>
      </c>
      <c r="HA86" s="142">
        <f t="shared" si="100"/>
        <v>45575.280000000006</v>
      </c>
      <c r="HB86" s="142">
        <f t="shared" si="100"/>
        <v>67356.48599999999</v>
      </c>
      <c r="HC86" s="142">
        <f t="shared" si="100"/>
        <v>59488.03800000001</v>
      </c>
      <c r="HD86" s="142">
        <f t="shared" si="100"/>
        <v>55035.819</v>
      </c>
      <c r="HE86" s="142">
        <f t="shared" si="100"/>
        <v>48141.75399999999</v>
      </c>
      <c r="HF86" s="142">
        <f t="shared" si="100"/>
        <v>65812.992</v>
      </c>
      <c r="HG86" s="142">
        <f t="shared" si="100"/>
        <v>54841.128</v>
      </c>
      <c r="HH86" s="142">
        <f t="shared" si="100"/>
        <v>73409.318</v>
      </c>
      <c r="HI86" s="142">
        <f t="shared" si="100"/>
        <v>71031.351</v>
      </c>
      <c r="HJ86" s="142">
        <f aca="true" t="shared" si="101" ref="HJ86:HZ86">SUM(HJ18,HJ43,HJ59,HJ72,HJ78,HJ83)</f>
        <v>55392.475000000006</v>
      </c>
      <c r="HK86" s="142">
        <f t="shared" si="101"/>
        <v>50194.849</v>
      </c>
      <c r="HL86" s="142">
        <f t="shared" si="101"/>
        <v>61923.805</v>
      </c>
      <c r="HM86" s="142">
        <f t="shared" si="101"/>
        <v>59913.166000000005</v>
      </c>
      <c r="HN86" s="142">
        <f t="shared" si="101"/>
        <v>47694.817</v>
      </c>
      <c r="HO86" s="142">
        <f t="shared" si="101"/>
        <v>56726.691</v>
      </c>
      <c r="HP86" s="142">
        <f t="shared" si="101"/>
        <v>46920.175</v>
      </c>
      <c r="HQ86" s="142">
        <f t="shared" si="101"/>
        <v>60611.861000000004</v>
      </c>
      <c r="HR86" s="142">
        <f t="shared" si="101"/>
        <v>57706.60100000001</v>
      </c>
      <c r="HS86" s="142">
        <f t="shared" si="101"/>
        <v>68031.478</v>
      </c>
      <c r="HT86" s="142">
        <f t="shared" si="101"/>
        <v>85281.81405999999</v>
      </c>
      <c r="HU86" s="142">
        <f t="shared" si="101"/>
        <v>0</v>
      </c>
      <c r="HV86" s="142">
        <f t="shared" si="101"/>
        <v>0</v>
      </c>
      <c r="HW86" s="142">
        <f t="shared" si="101"/>
        <v>0</v>
      </c>
      <c r="HX86" s="142">
        <f t="shared" si="101"/>
        <v>0</v>
      </c>
      <c r="HY86" s="142">
        <f t="shared" si="101"/>
        <v>469660.81499999994</v>
      </c>
      <c r="HZ86" s="142">
        <f t="shared" si="101"/>
        <v>482886.60306</v>
      </c>
    </row>
    <row r="87" spans="2:234" ht="15" customHeight="1">
      <c r="B87" s="56"/>
      <c r="C87" s="42"/>
      <c r="D87" s="72"/>
      <c r="E87" s="42"/>
      <c r="F87" s="42"/>
      <c r="G87" s="42"/>
      <c r="H87" s="15"/>
      <c r="I87" s="15"/>
      <c r="J87" s="42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42"/>
      <c r="V87" s="42"/>
      <c r="W87" s="43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42"/>
      <c r="AI87" s="43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71"/>
      <c r="AV87" s="56"/>
      <c r="AW87" s="4"/>
      <c r="AX87" s="31"/>
      <c r="AY87" s="4"/>
      <c r="AZ87" s="31"/>
      <c r="BA87" s="4"/>
      <c r="BB87" s="4"/>
      <c r="BC87" s="4"/>
      <c r="BD87" s="4"/>
      <c r="BE87" s="4"/>
      <c r="BF87" s="4"/>
      <c r="BG87" s="4"/>
      <c r="BH87" s="71"/>
      <c r="BI87" s="71"/>
      <c r="BJ87" s="4"/>
      <c r="BK87" s="31"/>
      <c r="BL87" s="4"/>
      <c r="BM87" s="31"/>
      <c r="BN87" s="4"/>
      <c r="BO87" s="4"/>
      <c r="BP87" s="4"/>
      <c r="BQ87" s="4"/>
      <c r="BR87" s="4"/>
      <c r="BS87" s="4"/>
      <c r="BT87" s="4"/>
      <c r="BU87" s="71"/>
      <c r="BV87" s="43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72"/>
      <c r="CI87" s="42"/>
      <c r="CJ87" s="42"/>
      <c r="CK87" s="42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148"/>
      <c r="CW87" s="148"/>
      <c r="CX87" s="148"/>
      <c r="CY87" s="148"/>
      <c r="CZ87" s="148"/>
      <c r="DA87" s="14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  <c r="DT87" s="98"/>
      <c r="DU87" s="98"/>
      <c r="DV87" s="98"/>
      <c r="DW87" s="98"/>
      <c r="DX87" s="98"/>
      <c r="DY87" s="98"/>
      <c r="DZ87" s="98"/>
      <c r="EA87" s="98"/>
      <c r="EB87" s="98"/>
      <c r="EC87" s="148"/>
      <c r="ED87" s="148"/>
      <c r="EE87" s="148"/>
      <c r="EF87" s="148"/>
      <c r="EG87" s="148"/>
      <c r="EH87" s="148"/>
      <c r="EI87" s="148"/>
      <c r="EJ87" s="148"/>
      <c r="EK87" s="149"/>
      <c r="EL87" s="98"/>
      <c r="EM87" s="98"/>
      <c r="EN87" s="122"/>
      <c r="EO87" s="98"/>
      <c r="EP87" s="98"/>
      <c r="EQ87" s="98"/>
      <c r="ER87" s="98"/>
      <c r="ES87" s="98"/>
      <c r="ET87" s="98"/>
      <c r="EU87" s="98"/>
      <c r="EV87" s="98"/>
      <c r="EW87" s="98"/>
      <c r="EX87" s="98"/>
      <c r="EY87" s="98"/>
      <c r="EZ87" s="98"/>
      <c r="FA87" s="98"/>
      <c r="FB87" s="123"/>
      <c r="FC87" s="123"/>
      <c r="FD87" s="123"/>
      <c r="FE87" s="123"/>
      <c r="FF87" s="128"/>
      <c r="FG87" s="123"/>
      <c r="FH87" s="123"/>
      <c r="FI87" s="123"/>
      <c r="FJ87" s="123"/>
      <c r="FK87" s="123"/>
      <c r="FL87" s="123"/>
      <c r="FM87" s="123"/>
      <c r="FN87" s="123"/>
      <c r="FO87" s="129"/>
      <c r="FP87" s="124"/>
      <c r="FQ87" s="124"/>
      <c r="FR87" s="124"/>
      <c r="FS87" s="124"/>
      <c r="FT87" s="124"/>
      <c r="FU87" s="124"/>
      <c r="FV87" s="124"/>
      <c r="FW87" s="124"/>
      <c r="FX87" s="124"/>
      <c r="FY87" s="124"/>
      <c r="FZ87" s="124"/>
      <c r="GA87" s="123"/>
      <c r="GB87" s="126"/>
      <c r="GC87" s="126"/>
      <c r="GD87" s="126"/>
      <c r="GE87" s="126"/>
      <c r="GF87" s="126"/>
      <c r="GG87" s="126"/>
      <c r="GH87" s="126"/>
      <c r="GI87" s="126"/>
      <c r="GJ87" s="126"/>
      <c r="GK87" s="126"/>
      <c r="GL87" s="126"/>
      <c r="GM87" s="126"/>
      <c r="GN87" s="126"/>
      <c r="GO87" s="126"/>
      <c r="GP87" s="126"/>
      <c r="GQ87" s="126"/>
      <c r="GR87" s="126"/>
      <c r="GS87" s="126"/>
      <c r="GT87" s="126"/>
      <c r="GU87" s="126"/>
      <c r="GV87" s="126"/>
      <c r="GW87" s="126"/>
      <c r="GX87" s="126"/>
      <c r="GY87" s="126"/>
      <c r="GZ87" s="126"/>
      <c r="HA87" s="126"/>
      <c r="HB87" s="126"/>
      <c r="HC87" s="126"/>
      <c r="HD87" s="126"/>
      <c r="HE87" s="126"/>
      <c r="HF87" s="126"/>
      <c r="HG87" s="126"/>
      <c r="HH87" s="126"/>
      <c r="HI87" s="126"/>
      <c r="HJ87" s="126"/>
      <c r="HK87" s="126"/>
      <c r="HL87" s="126"/>
      <c r="HM87" s="126"/>
      <c r="HN87" s="126"/>
      <c r="HO87" s="126"/>
      <c r="HP87" s="126"/>
      <c r="HQ87" s="126"/>
      <c r="HR87" s="126"/>
      <c r="HS87" s="126"/>
      <c r="HT87" s="126"/>
      <c r="HU87" s="126"/>
      <c r="HV87" s="126"/>
      <c r="HW87" s="126"/>
      <c r="HX87" s="126"/>
      <c r="HY87" s="124"/>
      <c r="HZ87" s="124"/>
    </row>
    <row r="88" spans="2:234" ht="15.75">
      <c r="B88" s="150" t="s">
        <v>104</v>
      </c>
      <c r="C88" s="109"/>
      <c r="D88" s="109"/>
      <c r="E88" s="109"/>
      <c r="F88" s="109"/>
      <c r="G88" s="109"/>
      <c r="H88" s="10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22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9"/>
      <c r="AV88" s="17"/>
      <c r="AW88" s="17"/>
      <c r="AX88" s="21"/>
      <c r="AY88" s="17"/>
      <c r="AZ88" s="21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21"/>
      <c r="BL88" s="17"/>
      <c r="BM88" s="21"/>
      <c r="BN88" s="17"/>
      <c r="BO88" s="17"/>
      <c r="BP88" s="17"/>
      <c r="BQ88" s="17"/>
      <c r="BR88" s="17"/>
      <c r="BS88" s="17"/>
      <c r="BT88" s="17"/>
      <c r="BU88" s="17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90"/>
      <c r="FC88" s="90"/>
      <c r="FD88" s="90"/>
      <c r="FE88" s="90"/>
      <c r="FF88" s="90"/>
      <c r="FG88" s="90"/>
      <c r="FH88" s="90"/>
      <c r="FI88" s="90"/>
      <c r="FJ88" s="90"/>
      <c r="FK88" s="90"/>
      <c r="FL88" s="90"/>
      <c r="FM88" s="101"/>
      <c r="FN88" s="90"/>
      <c r="FO88" s="90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90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20"/>
    </row>
    <row r="89" spans="2:234" ht="15.75">
      <c r="B89" s="151" t="s">
        <v>137</v>
      </c>
      <c r="C89" s="10"/>
      <c r="D89" s="10"/>
      <c r="E89" s="10"/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4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1"/>
      <c r="AV89" s="13"/>
      <c r="AW89" s="13"/>
      <c r="AX89" s="27"/>
      <c r="AY89" s="13"/>
      <c r="AZ89" s="27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27"/>
      <c r="BL89" s="13"/>
      <c r="BM89" s="27"/>
      <c r="BN89" s="13"/>
      <c r="BO89" s="13"/>
      <c r="BP89" s="13"/>
      <c r="BQ89" s="13"/>
      <c r="BR89" s="13"/>
      <c r="BS89" s="13"/>
      <c r="BT89" s="13"/>
      <c r="BU89" s="13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52"/>
      <c r="EC89" s="152"/>
      <c r="ED89" s="152"/>
      <c r="EE89" s="152"/>
      <c r="EF89" s="152"/>
      <c r="EG89" s="152"/>
      <c r="EH89" s="152"/>
      <c r="EI89" s="152"/>
      <c r="EJ89" s="152"/>
      <c r="EK89" s="152"/>
      <c r="EL89" s="152"/>
      <c r="EM89" s="152"/>
      <c r="EN89" s="152"/>
      <c r="EO89" s="152"/>
      <c r="EP89" s="152"/>
      <c r="EQ89" s="152"/>
      <c r="ER89" s="152"/>
      <c r="ES89" s="152"/>
      <c r="ET89" s="152"/>
      <c r="EU89" s="152"/>
      <c r="EV89" s="152"/>
      <c r="EW89" s="152"/>
      <c r="EX89" s="152"/>
      <c r="EY89" s="152"/>
      <c r="EZ89" s="152"/>
      <c r="FA89" s="14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96"/>
      <c r="FN89" s="89"/>
      <c r="FO89" s="89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89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26"/>
    </row>
    <row r="90" spans="23:183" ht="15.75">
      <c r="W90" s="4"/>
      <c r="X90" s="4"/>
      <c r="FN90" s="23"/>
      <c r="GA90" s="23"/>
    </row>
    <row r="91" spans="3:157" ht="15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AH91" s="1"/>
      <c r="AU91" s="1"/>
      <c r="AX91" s="1"/>
      <c r="AZ91" s="1"/>
      <c r="BK91" s="1"/>
      <c r="BM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5"/>
      <c r="EM91" s="5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</row>
    <row r="92" spans="3:168" ht="15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AH92" s="1"/>
      <c r="AU92" s="1"/>
      <c r="AX92" s="1"/>
      <c r="AZ92" s="1"/>
      <c r="BK92" s="1"/>
      <c r="BM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94"/>
      <c r="FC92" s="94"/>
      <c r="FD92" s="94"/>
      <c r="FE92" s="94"/>
      <c r="FF92" s="94"/>
      <c r="FG92" s="94"/>
      <c r="FH92" s="94"/>
      <c r="FI92" s="94"/>
      <c r="FJ92" s="91"/>
      <c r="FK92" s="94"/>
      <c r="FL92" s="91"/>
    </row>
    <row r="93" spans="3:183" ht="15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AH93" s="1"/>
      <c r="AU93" s="1"/>
      <c r="AX93" s="1"/>
      <c r="AZ93" s="1"/>
      <c r="BK93" s="1"/>
      <c r="BM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N93" s="92"/>
      <c r="GA93" s="92"/>
    </row>
    <row r="94" spans="3:182" ht="15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AH94" s="1"/>
      <c r="AU94" s="1"/>
      <c r="AX94" s="1"/>
      <c r="AZ94" s="1"/>
      <c r="BK94" s="1"/>
      <c r="BM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85"/>
      <c r="EC94" s="85"/>
      <c r="ED94" s="85"/>
      <c r="EE94" s="85"/>
      <c r="EF94" s="85"/>
      <c r="EG94" s="85"/>
      <c r="EH94" s="85"/>
      <c r="EI94" s="85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O94" s="113"/>
      <c r="FP94" s="113"/>
      <c r="FQ94" s="113"/>
      <c r="FR94" s="113"/>
      <c r="FS94" s="113"/>
      <c r="FT94" s="113"/>
      <c r="FU94" s="113"/>
      <c r="FV94" s="113"/>
      <c r="FW94" s="113"/>
      <c r="FX94" s="113"/>
      <c r="FY94" s="113"/>
      <c r="FZ94" s="113"/>
    </row>
    <row r="95" spans="3:182" ht="15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AH95" s="1"/>
      <c r="AU95" s="1"/>
      <c r="AX95" s="1"/>
      <c r="AZ95" s="1"/>
      <c r="BK95" s="1"/>
      <c r="BM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92"/>
      <c r="FC95" s="92"/>
      <c r="FD95" s="92"/>
      <c r="FE95" s="92"/>
      <c r="FF95" s="92"/>
      <c r="FG95" s="92"/>
      <c r="FH95" s="92"/>
      <c r="FI95" s="92"/>
      <c r="FO95" s="112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</row>
    <row r="96" spans="3:172" ht="15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AH96" s="1"/>
      <c r="AU96" s="1"/>
      <c r="AX96" s="1"/>
      <c r="AZ96" s="1"/>
      <c r="BK96" s="1"/>
      <c r="BM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92"/>
      <c r="FC96" s="93"/>
      <c r="FD96" s="93"/>
      <c r="FE96" s="93"/>
      <c r="FF96" s="93"/>
      <c r="FG96" s="93"/>
      <c r="FH96" s="93"/>
      <c r="FI96" s="93"/>
      <c r="FJ96" s="93"/>
      <c r="FK96" s="93"/>
      <c r="FL96" s="93"/>
      <c r="FP96" s="102"/>
    </row>
    <row r="97" spans="3:157" ht="15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AH97" s="1"/>
      <c r="AU97" s="1"/>
      <c r="AX97" s="1"/>
      <c r="AZ97" s="1"/>
      <c r="BK97" s="1"/>
      <c r="BM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</row>
    <row r="98" spans="3:157" ht="15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AH98" s="1"/>
      <c r="AU98" s="1"/>
      <c r="AX98" s="1"/>
      <c r="AZ98" s="1"/>
      <c r="BK98" s="1"/>
      <c r="BM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</row>
    <row r="99" spans="171:172" ht="15.75">
      <c r="FO99" s="94"/>
      <c r="FP99" s="94"/>
    </row>
    <row r="100" ht="15.75">
      <c r="DV100" s="86"/>
    </row>
  </sheetData>
  <sheetProtection/>
  <mergeCells count="4">
    <mergeCell ref="C10:FA10"/>
    <mergeCell ref="C11:FA11"/>
    <mergeCell ref="B6:GA6"/>
    <mergeCell ref="B7:GA7"/>
  </mergeCells>
  <printOptions/>
  <pageMargins left="1.1811023622047245" right="0.15748031496062992" top="1.1811023622047245" bottom="0.35433070866141736" header="0.1968503937007874" footer="0.35433070866141736"/>
  <pageSetup fitToHeight="0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ETD-JCLAUDE</dc:creator>
  <cp:keywords/>
  <dc:description/>
  <cp:lastModifiedBy>NGENDAKURIYO Mathias</cp:lastModifiedBy>
  <cp:lastPrinted>2017-11-15T09:44:34Z</cp:lastPrinted>
  <dcterms:created xsi:type="dcterms:W3CDTF">2000-07-14T07:15:53Z</dcterms:created>
  <dcterms:modified xsi:type="dcterms:W3CDTF">2017-11-15T09:55:00Z</dcterms:modified>
  <cp:category/>
  <cp:version/>
  <cp:contentType/>
  <cp:contentStatus/>
</cp:coreProperties>
</file>