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V5 Français" sheetId="1" r:id="rId1"/>
  </sheets>
  <definedNames>
    <definedName name="_xlnm.Print_Area" localSheetId="0">'V5 Français'!$A$1:$F$223</definedName>
    <definedName name="Zone_impres_MI">'V5 Français'!$A$1:$F$222</definedName>
  </definedNames>
  <calcPr fullCalcOnLoad="1"/>
</workbook>
</file>

<file path=xl/sharedStrings.xml><?xml version="1.0" encoding="utf-8"?>
<sst xmlns="http://schemas.openxmlformats.org/spreadsheetml/2006/main" count="198" uniqueCount="57">
  <si>
    <t xml:space="preserve"> </t>
  </si>
  <si>
    <t xml:space="preserve"> Essence </t>
  </si>
  <si>
    <t xml:space="preserve"> Pétrole</t>
  </si>
  <si>
    <t xml:space="preserve"> Gas oil</t>
  </si>
  <si>
    <t xml:space="preserve"> Fuel oil</t>
  </si>
  <si>
    <t xml:space="preserve">  J.P.1</t>
  </si>
  <si>
    <t xml:space="preserve">  super</t>
  </si>
  <si>
    <t>1995</t>
  </si>
  <si>
    <t>1996</t>
  </si>
  <si>
    <t>1997</t>
  </si>
  <si>
    <t>1998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</si>
  <si>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</si>
  <si>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</si>
  <si>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</si>
  <si>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</si>
  <si>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</si>
  <si>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</si>
  <si>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</si>
  <si>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</si>
  <si>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</si>
  <si>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</si>
  <si>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Décembre</t>
  </si>
  <si>
    <t xml:space="preserve">  Janvier</t>
  </si>
  <si>
    <t xml:space="preserve">  Février</t>
  </si>
  <si>
    <t xml:space="preserve">  Mars</t>
  </si>
  <si>
    <t>Période</t>
  </si>
  <si>
    <t xml:space="preserve">                     -</t>
  </si>
  <si>
    <t>1999(2)</t>
  </si>
  <si>
    <t>Source: S.E.P.</t>
  </si>
  <si>
    <t>2004</t>
  </si>
  <si>
    <t xml:space="preserve">                   Produit</t>
  </si>
  <si>
    <t xml:space="preserve"> (1): Quantité réceptionnée par la S.E.P. Bujumbura </t>
  </si>
  <si>
    <t xml:space="preserve">                              CONSOMMATION DES PRINCIPAUX PRODUITS PETROLIERS (1)</t>
  </si>
  <si>
    <t>2005</t>
  </si>
  <si>
    <t xml:space="preserve">  Octobre</t>
  </si>
  <si>
    <t xml:space="preserve">  Novembre </t>
  </si>
  <si>
    <t xml:space="preserve"> (*): Non compris les données de la S.E.P. Gitega à partir de l'année 2003</t>
  </si>
  <si>
    <t>2006</t>
  </si>
  <si>
    <t>V.5</t>
  </si>
  <si>
    <t>2007</t>
  </si>
  <si>
    <t xml:space="preserve"> (2): y compris les données de la S.E.P. Gitega </t>
  </si>
  <si>
    <t>2008</t>
  </si>
  <si>
    <t xml:space="preserve">                                   (en milliers de litres)</t>
  </si>
  <si>
    <t>2009</t>
  </si>
  <si>
    <t xml:space="preserve">  Septembre</t>
  </si>
  <si>
    <t xml:space="preserve">  Novembre</t>
  </si>
  <si>
    <t>2010</t>
  </si>
  <si>
    <t>2011</t>
  </si>
  <si>
    <t>2012</t>
  </si>
  <si>
    <t>2013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</si>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</sst>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#,##0.0"/>
    <numFmt numFmtId="190" formatCode="#,##0.00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8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7" fillId="0" borderId="11" xfId="0" applyFont="1" applyBorder="1" applyAlignment="1">
      <alignment/>
    </xf>
    <xf numFmtId="37" fontId="7" fillId="0" borderId="12" xfId="0" applyFont="1" applyBorder="1" applyAlignment="1">
      <alignment/>
    </xf>
    <xf numFmtId="37" fontId="7" fillId="0" borderId="13" xfId="0" applyFont="1" applyBorder="1" applyAlignment="1">
      <alignment/>
    </xf>
    <xf numFmtId="37" fontId="7" fillId="0" borderId="10" xfId="0" applyFont="1" applyBorder="1" applyAlignment="1">
      <alignment/>
    </xf>
    <xf numFmtId="37" fontId="7" fillId="0" borderId="0" xfId="0" applyFont="1" applyBorder="1" applyAlignment="1">
      <alignment/>
    </xf>
    <xf numFmtId="37" fontId="25" fillId="0" borderId="14" xfId="0" applyFont="1" applyBorder="1" applyAlignment="1">
      <alignment horizontal="right"/>
    </xf>
    <xf numFmtId="37" fontId="7" fillId="0" borderId="14" xfId="0" applyFont="1" applyBorder="1" applyAlignment="1">
      <alignment/>
    </xf>
    <xf numFmtId="37" fontId="25" fillId="0" borderId="15" xfId="0" applyFont="1" applyBorder="1" applyAlignment="1">
      <alignment/>
    </xf>
    <xf numFmtId="37" fontId="7" fillId="0" borderId="16" xfId="0" applyFont="1" applyBorder="1" applyAlignment="1">
      <alignment/>
    </xf>
    <xf numFmtId="37" fontId="7" fillId="0" borderId="17" xfId="0" applyFont="1" applyBorder="1" applyAlignment="1">
      <alignment/>
    </xf>
    <xf numFmtId="37" fontId="7" fillId="0" borderId="18" xfId="0" applyFont="1" applyBorder="1" applyAlignment="1">
      <alignment/>
    </xf>
    <xf numFmtId="37" fontId="7" fillId="0" borderId="0" xfId="0" applyFont="1" applyBorder="1" applyAlignment="1">
      <alignment horizontal="center"/>
    </xf>
    <xf numFmtId="37" fontId="7" fillId="0" borderId="18" xfId="0" applyFont="1" applyBorder="1" applyAlignment="1">
      <alignment horizontal="center"/>
    </xf>
    <xf numFmtId="37" fontId="7" fillId="0" borderId="13" xfId="0" applyFont="1" applyBorder="1" applyAlignment="1">
      <alignment horizontal="center"/>
    </xf>
    <xf numFmtId="37" fontId="7" fillId="0" borderId="19" xfId="0" applyFont="1" applyBorder="1" applyAlignment="1">
      <alignment/>
    </xf>
    <xf numFmtId="37" fontId="7" fillId="0" borderId="20" xfId="0" applyFont="1" applyBorder="1" applyAlignment="1">
      <alignment horizontal="center"/>
    </xf>
    <xf numFmtId="37" fontId="7" fillId="0" borderId="0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7" fontId="7" fillId="0" borderId="18" xfId="0" applyFont="1" applyBorder="1" applyAlignment="1">
      <alignment horizontal="left"/>
    </xf>
    <xf numFmtId="1" fontId="7" fillId="0" borderId="18" xfId="0" applyNumberFormat="1" applyFont="1" applyBorder="1" applyAlignment="1">
      <alignment horizontal="left"/>
    </xf>
    <xf numFmtId="37" fontId="7" fillId="0" borderId="18" xfId="0" applyFont="1" applyBorder="1" applyAlignment="1" quotePrefix="1">
      <alignment horizontal="left"/>
    </xf>
    <xf numFmtId="3" fontId="7" fillId="0" borderId="0" xfId="0" applyNumberFormat="1" applyFont="1" applyFill="1" applyBorder="1" applyAlignment="1">
      <alignment horizontal="center"/>
    </xf>
    <xf numFmtId="37" fontId="7" fillId="0" borderId="18" xfId="0" applyFont="1" applyBorder="1" applyAlignment="1" quotePrefix="1">
      <alignment/>
    </xf>
    <xf numFmtId="3" fontId="25" fillId="0" borderId="0" xfId="0" applyNumberFormat="1" applyFont="1" applyFill="1" applyBorder="1" applyAlignment="1">
      <alignment horizontal="center"/>
    </xf>
    <xf numFmtId="3" fontId="25" fillId="0" borderId="18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3" fontId="25" fillId="0" borderId="18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7" fontId="7" fillId="0" borderId="18" xfId="0" applyFont="1" applyBorder="1" applyAlignment="1">
      <alignment/>
    </xf>
    <xf numFmtId="37" fontId="7" fillId="0" borderId="0" xfId="0" applyFont="1" applyAlignment="1">
      <alignment/>
    </xf>
    <xf numFmtId="37" fontId="7" fillId="0" borderId="14" xfId="0" applyFont="1" applyBorder="1" applyAlignment="1">
      <alignment/>
    </xf>
    <xf numFmtId="37" fontId="25" fillId="0" borderId="15" xfId="0" applyFont="1" applyFill="1" applyBorder="1" applyAlignment="1">
      <alignment horizontal="center"/>
    </xf>
    <xf numFmtId="37" fontId="7" fillId="0" borderId="12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7" fillId="0" borderId="10" xfId="0" applyFont="1" applyFill="1" applyBorder="1" applyAlignment="1">
      <alignment/>
    </xf>
    <xf numFmtId="37" fontId="7" fillId="0" borderId="15" xfId="0" applyFont="1" applyBorder="1" applyAlignment="1">
      <alignment/>
    </xf>
    <xf numFmtId="188" fontId="7" fillId="0" borderId="16" xfId="0" applyNumberFormat="1" applyFon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8" xfId="0" applyFont="1" applyBorder="1" applyAlignment="1">
      <alignment horizontal="left" indent="1"/>
    </xf>
    <xf numFmtId="37" fontId="25" fillId="0" borderId="18" xfId="0" applyFont="1" applyBorder="1" applyAlignment="1">
      <alignment/>
    </xf>
    <xf numFmtId="37" fontId="25" fillId="0" borderId="19" xfId="0" applyFont="1" applyBorder="1" applyAlignment="1">
      <alignment/>
    </xf>
    <xf numFmtId="37" fontId="25" fillId="0" borderId="10" xfId="0" applyFont="1" applyBorder="1" applyAlignment="1">
      <alignment/>
    </xf>
    <xf numFmtId="37" fontId="25" fillId="0" borderId="10" xfId="0" applyFont="1" applyBorder="1" applyAlignment="1">
      <alignment horizontal="center"/>
    </xf>
    <xf numFmtId="37" fontId="7" fillId="0" borderId="0" xfId="0" applyFont="1" applyBorder="1" applyAlignment="1">
      <alignment horizontal="center"/>
    </xf>
    <xf numFmtId="37" fontId="7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225"/>
  <sheetViews>
    <sheetView showGridLines="0" tabSelected="1" zoomScalePageLayoutView="0" workbookViewId="0" topLeftCell="A1">
      <pane xSplit="1" ySplit="9" topLeftCell="B3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31" sqref="B31"/>
    </sheetView>
  </sheetViews>
  <sheetFormatPr defaultColWidth="12.6640625" defaultRowHeight="15.75"/>
  <cols>
    <col min="1" max="1" width="15.77734375" style="0" customWidth="1"/>
    <col min="2" max="2" width="22.21484375" style="0" customWidth="1"/>
    <col min="3" max="3" width="20.3359375" style="0" customWidth="1"/>
    <col min="4" max="4" width="21.99609375" style="0" customWidth="1"/>
    <col min="5" max="5" width="17.3359375" style="0" hidden="1" customWidth="1"/>
    <col min="6" max="6" width="23.77734375" style="0" customWidth="1"/>
  </cols>
  <sheetData>
    <row r="1" spans="1:6" ht="15.75">
      <c r="A1" s="6"/>
      <c r="B1" s="7"/>
      <c r="C1" s="7"/>
      <c r="D1" s="7"/>
      <c r="E1" s="7"/>
      <c r="F1" s="8"/>
    </row>
    <row r="2" spans="1:6" ht="15.75">
      <c r="A2" s="9" t="s">
        <v>0</v>
      </c>
      <c r="B2" s="10"/>
      <c r="C2" s="10"/>
      <c r="D2" s="10"/>
      <c r="E2" s="10"/>
      <c r="F2" s="11" t="s">
        <v>38</v>
      </c>
    </row>
    <row r="3" spans="1:6" ht="15.75">
      <c r="A3" s="9"/>
      <c r="B3" s="10"/>
      <c r="C3" s="10"/>
      <c r="D3" s="10"/>
      <c r="E3" s="10"/>
      <c r="F3" s="12"/>
    </row>
    <row r="4" spans="1:6" ht="15.75">
      <c r="A4" s="55" t="s">
        <v>32</v>
      </c>
      <c r="B4" s="56"/>
      <c r="C4" s="56"/>
      <c r="D4" s="56"/>
      <c r="E4" s="56"/>
      <c r="F4" s="57"/>
    </row>
    <row r="5" spans="1:6" ht="15.75">
      <c r="A5" s="55" t="s">
        <v>42</v>
      </c>
      <c r="B5" s="56"/>
      <c r="C5" s="56"/>
      <c r="D5" s="56"/>
      <c r="E5" s="56"/>
      <c r="F5" s="57"/>
    </row>
    <row r="6" spans="1:6" ht="15.75">
      <c r="A6" s="13"/>
      <c r="B6" s="14"/>
      <c r="C6" s="14"/>
      <c r="D6" s="14"/>
      <c r="E6" s="14"/>
      <c r="F6" s="15"/>
    </row>
    <row r="7" spans="1:6" ht="15.75">
      <c r="A7" s="52" t="s">
        <v>30</v>
      </c>
      <c r="B7" s="17" t="s">
        <v>1</v>
      </c>
      <c r="C7" s="18" t="s">
        <v>2</v>
      </c>
      <c r="D7" s="18" t="s">
        <v>3</v>
      </c>
      <c r="E7" s="10" t="s">
        <v>4</v>
      </c>
      <c r="F7" s="19" t="s">
        <v>5</v>
      </c>
    </row>
    <row r="8" spans="1:6" ht="15.75">
      <c r="A8" s="16"/>
      <c r="B8" s="17" t="s">
        <v>6</v>
      </c>
      <c r="C8" s="16"/>
      <c r="D8" s="16"/>
      <c r="E8" s="10"/>
      <c r="F8" s="12"/>
    </row>
    <row r="9" spans="1:6" ht="15.75">
      <c r="A9" s="53" t="s">
        <v>25</v>
      </c>
      <c r="B9" s="14"/>
      <c r="C9" s="20"/>
      <c r="D9" s="20"/>
      <c r="E9" s="14"/>
      <c r="F9" s="15"/>
    </row>
    <row r="10" spans="1:6" ht="15.75">
      <c r="A10" s="16"/>
      <c r="B10" s="17"/>
      <c r="C10" s="18"/>
      <c r="D10" s="18"/>
      <c r="E10" s="17"/>
      <c r="F10" s="21"/>
    </row>
    <row r="11" spans="1:6" ht="15.75" hidden="1">
      <c r="A11" s="16" t="s">
        <v>7</v>
      </c>
      <c r="B11" s="22">
        <v>24737</v>
      </c>
      <c r="C11" s="23">
        <v>5403</v>
      </c>
      <c r="D11" s="23">
        <v>32479</v>
      </c>
      <c r="E11" s="22">
        <v>1899</v>
      </c>
      <c r="F11" s="23">
        <v>5600</v>
      </c>
    </row>
    <row r="12" spans="1:6" ht="15.75" hidden="1">
      <c r="A12" s="16" t="s">
        <v>8</v>
      </c>
      <c r="B12" s="17">
        <v>16894</v>
      </c>
      <c r="C12" s="18">
        <v>2014</v>
      </c>
      <c r="D12" s="18">
        <v>26317</v>
      </c>
      <c r="E12" s="17" t="s">
        <v>26</v>
      </c>
      <c r="F12" s="18">
        <v>2972</v>
      </c>
    </row>
    <row r="13" spans="1:6" ht="15.75" hidden="1">
      <c r="A13" s="16" t="s">
        <v>9</v>
      </c>
      <c r="B13" s="24">
        <v>14573</v>
      </c>
      <c r="C13" s="25">
        <v>531</v>
      </c>
      <c r="D13" s="25">
        <v>21770</v>
      </c>
      <c r="E13" s="24" t="s">
        <v>26</v>
      </c>
      <c r="F13" s="25">
        <v>2862</v>
      </c>
    </row>
    <row r="14" spans="1:6" ht="15.75" hidden="1">
      <c r="A14" s="16" t="s">
        <v>10</v>
      </c>
      <c r="B14" s="24">
        <v>23556</v>
      </c>
      <c r="C14" s="25">
        <v>2096</v>
      </c>
      <c r="D14" s="25">
        <v>23608</v>
      </c>
      <c r="E14" s="24" t="s">
        <v>26</v>
      </c>
      <c r="F14" s="25">
        <v>2593</v>
      </c>
    </row>
    <row r="15" spans="1:6" ht="15.75" hidden="1">
      <c r="A15" s="26" t="s">
        <v>27</v>
      </c>
      <c r="B15" s="24">
        <v>29221</v>
      </c>
      <c r="C15" s="25">
        <v>1648</v>
      </c>
      <c r="D15" s="25">
        <v>30336</v>
      </c>
      <c r="E15" s="24" t="s">
        <v>26</v>
      </c>
      <c r="F15" s="25">
        <v>2260</v>
      </c>
    </row>
    <row r="16" spans="1:6" ht="18" hidden="1">
      <c r="A16" s="26" t="s">
        <v>50</v>
      </c>
      <c r="B16" s="24">
        <v>29684</v>
      </c>
      <c r="C16" s="25">
        <v>2401</v>
      </c>
      <c r="D16" s="25">
        <v>31711</v>
      </c>
      <c r="E16" s="24" t="s">
        <v>26</v>
      </c>
      <c r="F16" s="25">
        <v>1729</v>
      </c>
    </row>
    <row r="17" spans="1:6" ht="18" hidden="1">
      <c r="A17" s="26" t="s">
        <v>51</v>
      </c>
      <c r="B17" s="25">
        <v>29538</v>
      </c>
      <c r="C17" s="25">
        <v>2020</v>
      </c>
      <c r="D17" s="25">
        <v>32777</v>
      </c>
      <c r="E17" s="24">
        <v>0</v>
      </c>
      <c r="F17" s="25">
        <v>2450</v>
      </c>
    </row>
    <row r="18" spans="1:6" ht="18" hidden="1">
      <c r="A18" s="27" t="s">
        <v>52</v>
      </c>
      <c r="B18" s="25">
        <v>32089</v>
      </c>
      <c r="C18" s="25">
        <v>2203</v>
      </c>
      <c r="D18" s="25">
        <v>35212</v>
      </c>
      <c r="E18" s="24"/>
      <c r="F18" s="25">
        <v>4622</v>
      </c>
    </row>
    <row r="19" spans="1:7" ht="15.75" hidden="1">
      <c r="A19" s="28" t="s">
        <v>29</v>
      </c>
      <c r="B19" s="24">
        <v>22910</v>
      </c>
      <c r="C19" s="25">
        <v>615</v>
      </c>
      <c r="D19" s="25">
        <v>23220</v>
      </c>
      <c r="E19" s="24"/>
      <c r="F19" s="25">
        <v>7931</v>
      </c>
      <c r="G19" s="3"/>
    </row>
    <row r="20" spans="1:6" ht="15.75" hidden="1">
      <c r="A20" s="30" t="s">
        <v>33</v>
      </c>
      <c r="B20" s="29">
        <v>24798</v>
      </c>
      <c r="C20" s="25">
        <v>1136</v>
      </c>
      <c r="D20" s="25">
        <v>28538</v>
      </c>
      <c r="E20" s="24"/>
      <c r="F20" s="25">
        <v>8370</v>
      </c>
    </row>
    <row r="21" spans="1:6" ht="15.75" hidden="1">
      <c r="A21" s="30" t="s">
        <v>37</v>
      </c>
      <c r="B21" s="29">
        <v>28668</v>
      </c>
      <c r="C21" s="25">
        <v>1127</v>
      </c>
      <c r="D21" s="25">
        <v>33472</v>
      </c>
      <c r="E21" s="24"/>
      <c r="F21" s="25">
        <v>8108</v>
      </c>
    </row>
    <row r="22" spans="1:6" ht="15.75" hidden="1">
      <c r="A22" s="30" t="s">
        <v>39</v>
      </c>
      <c r="B22" s="29">
        <v>29440</v>
      </c>
      <c r="C22" s="25">
        <v>1355</v>
      </c>
      <c r="D22" s="25">
        <v>34212</v>
      </c>
      <c r="E22" s="24"/>
      <c r="F22" s="25">
        <v>7335</v>
      </c>
    </row>
    <row r="23" spans="1:6" ht="15.75" hidden="1">
      <c r="A23" s="30" t="s">
        <v>41</v>
      </c>
      <c r="B23" s="29">
        <v>28702</v>
      </c>
      <c r="C23" s="25">
        <v>1445</v>
      </c>
      <c r="D23" s="25">
        <v>33793</v>
      </c>
      <c r="E23" s="24"/>
      <c r="F23" s="25">
        <v>6988</v>
      </c>
    </row>
    <row r="24" spans="1:6" ht="15.75" hidden="1">
      <c r="A24" s="27">
        <v>2009</v>
      </c>
      <c r="B24" s="29">
        <v>30736</v>
      </c>
      <c r="C24" s="25">
        <v>1710</v>
      </c>
      <c r="D24" s="25">
        <v>32262</v>
      </c>
      <c r="E24" s="24">
        <v>0</v>
      </c>
      <c r="F24" s="25">
        <v>7256</v>
      </c>
    </row>
    <row r="25" spans="1:6" ht="15.75" hidden="1">
      <c r="A25" s="27">
        <v>2010</v>
      </c>
      <c r="B25" s="34">
        <f>SUM(B114:B125)</f>
        <v>32848</v>
      </c>
      <c r="C25" s="34">
        <f>SUM(C114:C125)</f>
        <v>3414</v>
      </c>
      <c r="D25" s="34">
        <f>SUM(D114:D125)</f>
        <v>31001</v>
      </c>
      <c r="E25" s="29">
        <f>SUM(E114:E125)</f>
        <v>0</v>
      </c>
      <c r="F25" s="35">
        <f>SUM(F114:F125)</f>
        <v>5612</v>
      </c>
    </row>
    <row r="26" spans="1:6" ht="15.75" hidden="1">
      <c r="A26" s="27">
        <v>2011</v>
      </c>
      <c r="B26" s="34">
        <f>B61+B62+B63+B64</f>
        <v>36561</v>
      </c>
      <c r="C26" s="34">
        <f>C61+C62+C63+C64</f>
        <v>3359</v>
      </c>
      <c r="D26" s="34">
        <f>D61+D62+D63+D64</f>
        <v>35427</v>
      </c>
      <c r="E26" s="29">
        <f>E61+E62+E63+E64</f>
        <v>0</v>
      </c>
      <c r="F26" s="35">
        <f>F61+F62+F63+F64</f>
        <v>5406</v>
      </c>
    </row>
    <row r="27" spans="1:6" ht="15.75">
      <c r="A27" s="27">
        <v>2012</v>
      </c>
      <c r="B27" s="34">
        <f>B67+B68+B69+B70</f>
        <v>43616</v>
      </c>
      <c r="C27" s="34">
        <f>C67+C68+C69+C70</f>
        <v>2934</v>
      </c>
      <c r="D27" s="34">
        <f>D67+D68+D69+D70</f>
        <v>36000</v>
      </c>
      <c r="E27" s="29">
        <f>E67+E68+E69+E70</f>
        <v>0</v>
      </c>
      <c r="F27" s="35">
        <f>F67+F68+F69+F70</f>
        <v>4822</v>
      </c>
    </row>
    <row r="28" spans="1:6" ht="15.75">
      <c r="A28" s="27">
        <v>2013</v>
      </c>
      <c r="B28" s="34">
        <f>B73+B74+B75+B76</f>
        <v>38855</v>
      </c>
      <c r="C28" s="34">
        <f>C73+C74+C75+C76</f>
        <v>3644</v>
      </c>
      <c r="D28" s="34">
        <f>D73+D74+D75+D76</f>
        <v>31755</v>
      </c>
      <c r="E28" s="34">
        <f>E73+E74+E75+E76</f>
        <v>0</v>
      </c>
      <c r="F28" s="34">
        <f>F73+F74+F75+F76</f>
        <v>5291</v>
      </c>
    </row>
    <row r="29" spans="1:6" ht="15.75">
      <c r="A29" s="27">
        <v>2014</v>
      </c>
      <c r="B29" s="34">
        <f>B79+B80+B81+B82</f>
        <v>37313</v>
      </c>
      <c r="C29" s="34">
        <f>C79+C80+C81+C82</f>
        <v>1566.8799999999999</v>
      </c>
      <c r="D29" s="34">
        <f>D79+D80+D81+D82</f>
        <v>30845.2</v>
      </c>
      <c r="E29" s="34">
        <f>E79+E80+E81+E82</f>
        <v>0</v>
      </c>
      <c r="F29" s="34">
        <f>F79+F80+F81+F82</f>
        <v>5246.25</v>
      </c>
    </row>
    <row r="30" spans="1:6" ht="15.75">
      <c r="A30" s="27">
        <v>2015</v>
      </c>
      <c r="B30" s="34">
        <f>B85+B86+B87+B88</f>
        <v>31537</v>
      </c>
      <c r="C30" s="34">
        <f>C85+C86+C87+C88</f>
        <v>510</v>
      </c>
      <c r="D30" s="34">
        <f>D85+D86+D87+D88</f>
        <v>23122</v>
      </c>
      <c r="E30" s="34">
        <f>E85+E86+E87+E88</f>
        <v>0</v>
      </c>
      <c r="F30" s="34">
        <f>F85+F86+F87+F88</f>
        <v>3488</v>
      </c>
    </row>
    <row r="31" spans="1:6" ht="15.75">
      <c r="A31" s="27">
        <v>2016</v>
      </c>
      <c r="B31" s="34">
        <f>B91+B92+B93+B94</f>
        <v>23342</v>
      </c>
      <c r="C31" s="34">
        <f>C91+C92+C93+C94</f>
        <v>336</v>
      </c>
      <c r="D31" s="34">
        <f>D91+D92+D93+D94</f>
        <v>19483</v>
      </c>
      <c r="E31" s="34">
        <f>E91+E92+E93+E94</f>
        <v>0</v>
      </c>
      <c r="F31" s="34">
        <f>F91+F92+F93+F94</f>
        <v>1966</v>
      </c>
    </row>
    <row r="32" spans="1:6" ht="15.75">
      <c r="A32" s="16"/>
      <c r="B32" s="29"/>
      <c r="C32" s="25"/>
      <c r="D32" s="25"/>
      <c r="E32" s="24"/>
      <c r="F32" s="25"/>
    </row>
    <row r="33" spans="1:6" ht="15.75" hidden="1">
      <c r="A33" s="16"/>
      <c r="B33" s="29"/>
      <c r="C33" s="25"/>
      <c r="D33" s="25"/>
      <c r="E33" s="24"/>
      <c r="F33" s="25"/>
    </row>
    <row r="34" spans="1:6" ht="15.75" hidden="1">
      <c r="A34" s="30" t="s">
        <v>43</v>
      </c>
      <c r="B34" s="29"/>
      <c r="C34" s="25"/>
      <c r="D34" s="25"/>
      <c r="E34" s="24"/>
      <c r="F34" s="25"/>
    </row>
    <row r="35" spans="1:6" ht="15.75" hidden="1">
      <c r="A35" s="16" t="s">
        <v>11</v>
      </c>
      <c r="B35" s="29">
        <v>6632</v>
      </c>
      <c r="C35" s="25">
        <v>191</v>
      </c>
      <c r="D35" s="25">
        <v>7106</v>
      </c>
      <c r="E35" s="24"/>
      <c r="F35" s="25">
        <v>1589</v>
      </c>
    </row>
    <row r="36" spans="1:6" ht="15.75" hidden="1">
      <c r="A36" s="16" t="s">
        <v>12</v>
      </c>
      <c r="B36" s="29">
        <v>7616</v>
      </c>
      <c r="C36" s="25">
        <v>339</v>
      </c>
      <c r="D36" s="25">
        <v>8421</v>
      </c>
      <c r="E36" s="24"/>
      <c r="F36" s="25">
        <v>1608</v>
      </c>
    </row>
    <row r="37" spans="1:6" ht="15.75" hidden="1">
      <c r="A37" s="16" t="s">
        <v>13</v>
      </c>
      <c r="B37" s="29">
        <v>8506</v>
      </c>
      <c r="C37" s="25">
        <v>421</v>
      </c>
      <c r="D37" s="25">
        <v>8240</v>
      </c>
      <c r="E37" s="24"/>
      <c r="F37" s="25">
        <v>2196</v>
      </c>
    </row>
    <row r="38" spans="1:6" ht="15.75" hidden="1">
      <c r="A38" s="16" t="s">
        <v>14</v>
      </c>
      <c r="B38" s="29">
        <v>7982</v>
      </c>
      <c r="C38" s="25">
        <v>759</v>
      </c>
      <c r="D38" s="25">
        <v>8495</v>
      </c>
      <c r="E38" s="24">
        <v>0</v>
      </c>
      <c r="F38" s="25">
        <v>1863</v>
      </c>
    </row>
    <row r="39" spans="1:6" ht="15.75" hidden="1">
      <c r="A39" s="16"/>
      <c r="B39" s="31"/>
      <c r="C39" s="36"/>
      <c r="D39" s="36"/>
      <c r="E39" s="31"/>
      <c r="F39" s="37"/>
    </row>
    <row r="40" spans="1:6" ht="15.75" hidden="1">
      <c r="A40" s="30" t="s">
        <v>39</v>
      </c>
      <c r="B40" s="29"/>
      <c r="C40" s="25"/>
      <c r="D40" s="25"/>
      <c r="E40" s="24"/>
      <c r="F40" s="25"/>
    </row>
    <row r="41" spans="1:6" ht="15.75" hidden="1">
      <c r="A41" s="16" t="s">
        <v>22</v>
      </c>
      <c r="B41" s="29">
        <v>2366</v>
      </c>
      <c r="C41" s="25">
        <v>117</v>
      </c>
      <c r="D41" s="25">
        <v>2679</v>
      </c>
      <c r="E41" s="24"/>
      <c r="F41" s="25">
        <v>395</v>
      </c>
    </row>
    <row r="42" spans="1:6" ht="15.75" hidden="1">
      <c r="A42" s="16" t="s">
        <v>23</v>
      </c>
      <c r="B42" s="29">
        <v>2126</v>
      </c>
      <c r="C42" s="25">
        <v>36</v>
      </c>
      <c r="D42" s="25">
        <v>2416</v>
      </c>
      <c r="E42" s="24"/>
      <c r="F42" s="25">
        <v>658</v>
      </c>
    </row>
    <row r="43" spans="1:6" ht="15.75" hidden="1">
      <c r="A43" s="16" t="s">
        <v>24</v>
      </c>
      <c r="B43" s="29">
        <v>2355</v>
      </c>
      <c r="C43" s="25">
        <v>64</v>
      </c>
      <c r="D43" s="25">
        <v>2800</v>
      </c>
      <c r="E43" s="24"/>
      <c r="F43" s="25">
        <v>600</v>
      </c>
    </row>
    <row r="44" spans="1:6" ht="15.75" hidden="1">
      <c r="A44" s="16" t="s">
        <v>15</v>
      </c>
      <c r="B44" s="29">
        <v>2521</v>
      </c>
      <c r="C44" s="25">
        <v>95</v>
      </c>
      <c r="D44" s="25">
        <v>2723</v>
      </c>
      <c r="E44" s="24"/>
      <c r="F44" s="25">
        <v>995</v>
      </c>
    </row>
    <row r="45" spans="1:6" ht="15.75" hidden="1">
      <c r="A45" s="16" t="s">
        <v>16</v>
      </c>
      <c r="B45" s="29">
        <v>2286</v>
      </c>
      <c r="C45" s="25">
        <v>131</v>
      </c>
      <c r="D45" s="25">
        <v>2769</v>
      </c>
      <c r="E45" s="24"/>
      <c r="F45" s="25">
        <v>806</v>
      </c>
    </row>
    <row r="46" spans="1:6" ht="15.75" hidden="1">
      <c r="A46" s="16" t="s">
        <v>17</v>
      </c>
      <c r="B46" s="29">
        <v>1763</v>
      </c>
      <c r="C46" s="25">
        <v>127</v>
      </c>
      <c r="D46" s="25">
        <v>2248</v>
      </c>
      <c r="E46" s="24"/>
      <c r="F46" s="25">
        <v>413</v>
      </c>
    </row>
    <row r="47" spans="1:6" ht="15.75" hidden="1">
      <c r="A47" s="16" t="s">
        <v>18</v>
      </c>
      <c r="B47" s="29">
        <v>2031</v>
      </c>
      <c r="C47" s="25">
        <v>180</v>
      </c>
      <c r="D47" s="25">
        <v>2812</v>
      </c>
      <c r="E47" s="24"/>
      <c r="F47" s="25">
        <v>516</v>
      </c>
    </row>
    <row r="48" spans="1:6" ht="15.75" hidden="1">
      <c r="A48" s="16" t="s">
        <v>19</v>
      </c>
      <c r="B48" s="29">
        <v>3110</v>
      </c>
      <c r="C48" s="25">
        <v>158</v>
      </c>
      <c r="D48" s="25">
        <v>3437</v>
      </c>
      <c r="E48" s="24"/>
      <c r="F48" s="25">
        <v>560</v>
      </c>
    </row>
    <row r="49" spans="1:6" ht="15.75" hidden="1">
      <c r="A49" s="16" t="s">
        <v>20</v>
      </c>
      <c r="B49" s="29">
        <v>2945</v>
      </c>
      <c r="C49" s="25">
        <v>148</v>
      </c>
      <c r="D49" s="25">
        <v>3493</v>
      </c>
      <c r="E49" s="24"/>
      <c r="F49" s="25">
        <v>627</v>
      </c>
    </row>
    <row r="50" spans="1:6" ht="15.75" hidden="1">
      <c r="A50" s="16" t="s">
        <v>34</v>
      </c>
      <c r="B50" s="29">
        <v>2967</v>
      </c>
      <c r="C50" s="25">
        <v>103</v>
      </c>
      <c r="D50" s="25">
        <v>3478</v>
      </c>
      <c r="E50" s="24"/>
      <c r="F50" s="25">
        <v>491</v>
      </c>
    </row>
    <row r="51" spans="1:6" ht="15.75" hidden="1">
      <c r="A51" s="16" t="s">
        <v>35</v>
      </c>
      <c r="B51" s="29">
        <v>2572</v>
      </c>
      <c r="C51" s="25">
        <v>140</v>
      </c>
      <c r="D51" s="25">
        <v>2876</v>
      </c>
      <c r="E51" s="24"/>
      <c r="F51" s="25">
        <v>647</v>
      </c>
    </row>
    <row r="52" spans="1:6" ht="15.75" hidden="1">
      <c r="A52" s="16" t="s">
        <v>21</v>
      </c>
      <c r="B52" s="29">
        <v>2398</v>
      </c>
      <c r="C52" s="25">
        <v>56</v>
      </c>
      <c r="D52" s="25">
        <v>2481</v>
      </c>
      <c r="E52" s="24"/>
      <c r="F52" s="25">
        <v>627</v>
      </c>
    </row>
    <row r="53" spans="1:6" ht="15.75" hidden="1">
      <c r="A53" s="16"/>
      <c r="B53" s="29"/>
      <c r="C53" s="25"/>
      <c r="D53" s="25"/>
      <c r="E53" s="24"/>
      <c r="F53" s="25"/>
    </row>
    <row r="54" spans="1:6" ht="15.75" hidden="1">
      <c r="A54" s="28" t="s">
        <v>46</v>
      </c>
      <c r="B54" s="29"/>
      <c r="C54" s="25"/>
      <c r="D54" s="25"/>
      <c r="E54" s="24"/>
      <c r="F54" s="25"/>
    </row>
    <row r="55" spans="1:6" ht="15.75" hidden="1">
      <c r="A55" s="16" t="s">
        <v>11</v>
      </c>
      <c r="B55" s="34">
        <f>SUM(B114:B116)</f>
        <v>7569</v>
      </c>
      <c r="C55" s="34">
        <f>SUM(C114:C116)</f>
        <v>731</v>
      </c>
      <c r="D55" s="34">
        <f>SUM(D114:D116)</f>
        <v>7245</v>
      </c>
      <c r="E55" s="29">
        <f>SUM(E114:E116)</f>
        <v>0</v>
      </c>
      <c r="F55" s="34">
        <f>SUM(F114:F116)</f>
        <v>1491</v>
      </c>
    </row>
    <row r="56" spans="1:7" ht="15.75" hidden="1">
      <c r="A56" s="16" t="s">
        <v>12</v>
      </c>
      <c r="B56" s="29">
        <f>B117+B118+B119</f>
        <v>7918</v>
      </c>
      <c r="C56" s="38">
        <f>C117+C118+C119</f>
        <v>866</v>
      </c>
      <c r="D56" s="38">
        <f>D117+D118+D119</f>
        <v>7121</v>
      </c>
      <c r="E56" s="29">
        <f>E117+E118+E119</f>
        <v>0</v>
      </c>
      <c r="F56" s="34">
        <f>F117+F118+F119</f>
        <v>1293</v>
      </c>
      <c r="G56" s="4"/>
    </row>
    <row r="57" spans="1:7" ht="15.75" hidden="1">
      <c r="A57" s="16" t="s">
        <v>13</v>
      </c>
      <c r="B57" s="34">
        <f>B120+B121+B122</f>
        <v>8933</v>
      </c>
      <c r="C57" s="34">
        <f>C120+C121+C122</f>
        <v>1008</v>
      </c>
      <c r="D57" s="34">
        <f>D120+D121+D122</f>
        <v>8246</v>
      </c>
      <c r="E57" s="29">
        <f>E120+E121+E122</f>
        <v>0</v>
      </c>
      <c r="F57" s="35">
        <f>F120+F121+F122</f>
        <v>1318</v>
      </c>
      <c r="G57" s="5"/>
    </row>
    <row r="58" spans="1:7" ht="15.75" hidden="1">
      <c r="A58" s="16" t="s">
        <v>14</v>
      </c>
      <c r="B58" s="29">
        <f>B123+B124+B125</f>
        <v>8428</v>
      </c>
      <c r="C58" s="38">
        <f>C123+C124+C125</f>
        <v>809</v>
      </c>
      <c r="D58" s="38">
        <f>D123+D124+D125</f>
        <v>8389</v>
      </c>
      <c r="E58" s="29">
        <f>E123+E124+E125</f>
        <v>0</v>
      </c>
      <c r="F58" s="34">
        <f>F123+F124+F125</f>
        <v>1510</v>
      </c>
      <c r="G58" s="4"/>
    </row>
    <row r="59" spans="1:7" ht="15.75" hidden="1">
      <c r="A59" s="16"/>
      <c r="B59" s="39"/>
      <c r="C59" s="39"/>
      <c r="D59" s="39"/>
      <c r="E59" s="40"/>
      <c r="F59" s="41"/>
      <c r="G59" s="5"/>
    </row>
    <row r="60" spans="1:7" ht="15.75" hidden="1">
      <c r="A60" s="28" t="s">
        <v>47</v>
      </c>
      <c r="B60" s="29"/>
      <c r="C60" s="38"/>
      <c r="D60" s="38"/>
      <c r="E60" s="29"/>
      <c r="F60" s="34"/>
      <c r="G60" s="5"/>
    </row>
    <row r="61" spans="1:6" ht="15.75" hidden="1">
      <c r="A61" s="16" t="s">
        <v>11</v>
      </c>
      <c r="B61" s="34">
        <f>SUM(B128:B130)</f>
        <v>7275</v>
      </c>
      <c r="C61" s="34">
        <f>SUM(C128:C130)</f>
        <v>641</v>
      </c>
      <c r="D61" s="34">
        <f>SUM(D128:D130)</f>
        <v>8067</v>
      </c>
      <c r="E61" s="29">
        <f>SUM(E128:E130)</f>
        <v>0</v>
      </c>
      <c r="F61" s="35">
        <f>SUM(F128:F130)</f>
        <v>1343</v>
      </c>
    </row>
    <row r="62" spans="1:6" ht="15.75" hidden="1">
      <c r="A62" s="16" t="s">
        <v>12</v>
      </c>
      <c r="B62" s="34">
        <f>SUM(B131:B133)</f>
        <v>9086</v>
      </c>
      <c r="C62" s="34">
        <f>SUM(C131:C133)</f>
        <v>847</v>
      </c>
      <c r="D62" s="34">
        <f>SUM(D131:D133)</f>
        <v>8459</v>
      </c>
      <c r="E62" s="29">
        <f>SUM(E131:E133)</f>
        <v>0</v>
      </c>
      <c r="F62" s="35">
        <f>SUM(F131:F133)</f>
        <v>1513</v>
      </c>
    </row>
    <row r="63" spans="1:6" ht="15.75" hidden="1">
      <c r="A63" s="16" t="s">
        <v>13</v>
      </c>
      <c r="B63" s="34">
        <f>SUM(B134:B136)</f>
        <v>9471</v>
      </c>
      <c r="C63" s="34">
        <f>SUM(C134:C136)</f>
        <v>872</v>
      </c>
      <c r="D63" s="34">
        <f>SUM(D134:D136)</f>
        <v>9326</v>
      </c>
      <c r="E63" s="29">
        <f>SUM(E134:E136)</f>
        <v>0</v>
      </c>
      <c r="F63" s="35">
        <f>SUM(F134:F136)</f>
        <v>1371</v>
      </c>
    </row>
    <row r="64" spans="1:6" ht="15.75" hidden="1">
      <c r="A64" s="16" t="s">
        <v>14</v>
      </c>
      <c r="B64" s="34">
        <f>SUM(B137:B139)</f>
        <v>10729</v>
      </c>
      <c r="C64" s="34">
        <f>SUM(C137:C139)</f>
        <v>999</v>
      </c>
      <c r="D64" s="34">
        <f>SUM(D137:D139)</f>
        <v>9575</v>
      </c>
      <c r="E64" s="29">
        <f>SUM(E137:E139)</f>
        <v>0</v>
      </c>
      <c r="F64" s="35">
        <f>SUM(F137:F139)</f>
        <v>1179</v>
      </c>
    </row>
    <row r="65" spans="1:6" ht="15.75" hidden="1">
      <c r="A65" s="16"/>
      <c r="B65" s="29"/>
      <c r="C65" s="38"/>
      <c r="D65" s="34"/>
      <c r="E65" s="29"/>
      <c r="F65" s="35"/>
    </row>
    <row r="66" spans="1:7" ht="15.75" hidden="1">
      <c r="A66" s="28" t="s">
        <v>48</v>
      </c>
      <c r="B66" s="29"/>
      <c r="C66" s="38"/>
      <c r="D66" s="38"/>
      <c r="E66" s="29"/>
      <c r="F66" s="34"/>
      <c r="G66" s="5"/>
    </row>
    <row r="67" spans="1:6" ht="15.75" hidden="1">
      <c r="A67" s="16" t="s">
        <v>11</v>
      </c>
      <c r="B67" s="34">
        <f>SUM(B142:B144)</f>
        <v>10401</v>
      </c>
      <c r="C67" s="34">
        <f>SUM(C142:C144)</f>
        <v>632</v>
      </c>
      <c r="D67" s="34">
        <f>SUM(D142:D144)</f>
        <v>8778</v>
      </c>
      <c r="E67" s="34">
        <f>SUM(E142:E144)</f>
        <v>0</v>
      </c>
      <c r="F67" s="34">
        <f>SUM(F142:F144)</f>
        <v>1225</v>
      </c>
    </row>
    <row r="68" spans="1:6" ht="15.75" hidden="1">
      <c r="A68" s="16" t="s">
        <v>12</v>
      </c>
      <c r="B68" s="34">
        <f>SUM(B145:B147)</f>
        <v>11948</v>
      </c>
      <c r="C68" s="34">
        <f>SUM(C145:C147)</f>
        <v>590</v>
      </c>
      <c r="D68" s="34">
        <f>SUM(D145:D147)</f>
        <v>9393</v>
      </c>
      <c r="E68" s="29">
        <f>SUM(E145:E147)</f>
        <v>0</v>
      </c>
      <c r="F68" s="35">
        <f>SUM(F145:F147)</f>
        <v>1136</v>
      </c>
    </row>
    <row r="69" spans="1:6" ht="15.75" hidden="1">
      <c r="A69" s="16" t="s">
        <v>13</v>
      </c>
      <c r="B69" s="34">
        <f>SUM(B148:B150)</f>
        <v>12576</v>
      </c>
      <c r="C69" s="34">
        <f>SUM(C148:C150)</f>
        <v>878</v>
      </c>
      <c r="D69" s="34">
        <f>SUM(D148:D150)</f>
        <v>10247</v>
      </c>
      <c r="E69" s="29">
        <f>SUM(E148:E150)</f>
        <v>0</v>
      </c>
      <c r="F69" s="35">
        <f>SUM(F148:F150)</f>
        <v>1215</v>
      </c>
    </row>
    <row r="70" spans="1:6" ht="15.75" hidden="1">
      <c r="A70" s="16" t="s">
        <v>14</v>
      </c>
      <c r="B70" s="34">
        <f>SUM(B151:B153)</f>
        <v>8691</v>
      </c>
      <c r="C70" s="34">
        <f>SUM(C151:C153)</f>
        <v>834</v>
      </c>
      <c r="D70" s="34">
        <f>SUM(D151:D153)</f>
        <v>7582</v>
      </c>
      <c r="E70" s="29">
        <f>SUM(E151:E153)</f>
        <v>0</v>
      </c>
      <c r="F70" s="35">
        <f>SUM(F151:F153)</f>
        <v>1246</v>
      </c>
    </row>
    <row r="71" spans="1:6" ht="15.75" hidden="1">
      <c r="A71" s="16"/>
      <c r="B71" s="29"/>
      <c r="C71" s="34"/>
      <c r="D71" s="34"/>
      <c r="E71" s="29"/>
      <c r="F71" s="35"/>
    </row>
    <row r="72" spans="1:6" ht="15.75" hidden="1">
      <c r="A72" s="28" t="s">
        <v>49</v>
      </c>
      <c r="B72" s="29"/>
      <c r="C72" s="34"/>
      <c r="D72" s="34"/>
      <c r="E72" s="29"/>
      <c r="F72" s="35"/>
    </row>
    <row r="73" spans="1:6" ht="15.75" hidden="1">
      <c r="A73" s="51" t="s">
        <v>11</v>
      </c>
      <c r="B73" s="34">
        <f>SUM(B156:B158)</f>
        <v>7349</v>
      </c>
      <c r="C73" s="34">
        <f>SUM(C156:C158)</f>
        <v>853</v>
      </c>
      <c r="D73" s="34">
        <f>SUM(D156:D158)</f>
        <v>7714</v>
      </c>
      <c r="E73" s="34">
        <f>SUM(E156:E158)</f>
        <v>0</v>
      </c>
      <c r="F73" s="34">
        <f>SUM(F156:F158)</f>
        <v>1180</v>
      </c>
    </row>
    <row r="74" spans="1:6" ht="15.75" hidden="1">
      <c r="A74" s="51" t="s">
        <v>12</v>
      </c>
      <c r="B74" s="34">
        <f>SUM(B159:B161)</f>
        <v>8987</v>
      </c>
      <c r="C74" s="34">
        <f>SUM(C159:C161)</f>
        <v>769</v>
      </c>
      <c r="D74" s="34">
        <f>SUM(D159:D161)</f>
        <v>7704</v>
      </c>
      <c r="E74" s="34">
        <f>SUM(E159:E161)</f>
        <v>0</v>
      </c>
      <c r="F74" s="34">
        <f>SUM(F159:F161)</f>
        <v>1537</v>
      </c>
    </row>
    <row r="75" spans="1:6" ht="15.75" hidden="1">
      <c r="A75" s="51" t="s">
        <v>13</v>
      </c>
      <c r="B75" s="34">
        <f>SUM(B162:B164)</f>
        <v>13031</v>
      </c>
      <c r="C75" s="34">
        <f>SUM(C162:C164)</f>
        <v>968</v>
      </c>
      <c r="D75" s="34">
        <f>SUM(D162:D164)</f>
        <v>10091</v>
      </c>
      <c r="E75" s="34">
        <f>SUM(E162:E164)</f>
        <v>0</v>
      </c>
      <c r="F75" s="34">
        <f>SUM(F162:F164)</f>
        <v>1259</v>
      </c>
    </row>
    <row r="76" spans="1:6" ht="15.75" hidden="1">
      <c r="A76" s="51" t="s">
        <v>14</v>
      </c>
      <c r="B76" s="34">
        <f>B165+B166+B167</f>
        <v>9488</v>
      </c>
      <c r="C76" s="34">
        <f>C165+C166+C167</f>
        <v>1054</v>
      </c>
      <c r="D76" s="34">
        <f>D165+D166+D167</f>
        <v>6246</v>
      </c>
      <c r="E76" s="29">
        <f>E165+E166+E167</f>
        <v>0</v>
      </c>
      <c r="F76" s="35">
        <f>F165+F166+F167</f>
        <v>1315</v>
      </c>
    </row>
    <row r="77" spans="1:6" ht="15.75" hidden="1">
      <c r="A77" s="16"/>
      <c r="B77" s="29"/>
      <c r="C77" s="34"/>
      <c r="D77" s="34"/>
      <c r="E77" s="29"/>
      <c r="F77" s="35"/>
    </row>
    <row r="78" spans="1:6" ht="15.75">
      <c r="A78" s="28" t="s">
        <v>53</v>
      </c>
      <c r="B78" s="29"/>
      <c r="C78" s="34"/>
      <c r="D78" s="34"/>
      <c r="E78" s="29"/>
      <c r="F78" s="35"/>
    </row>
    <row r="79" spans="1:6" ht="15.75">
      <c r="A79" s="51" t="s">
        <v>11</v>
      </c>
      <c r="B79" s="34">
        <f>B170+B171+B172</f>
        <v>8951</v>
      </c>
      <c r="C79" s="34">
        <f>C170+C171+C172</f>
        <v>765</v>
      </c>
      <c r="D79" s="34">
        <f>D170+D171+D172</f>
        <v>6733</v>
      </c>
      <c r="E79" s="29">
        <f>E170+E171+E172</f>
        <v>0</v>
      </c>
      <c r="F79" s="35">
        <f>F170+F171+F172</f>
        <v>875</v>
      </c>
    </row>
    <row r="80" spans="1:6" ht="15.75">
      <c r="A80" s="51" t="s">
        <v>12</v>
      </c>
      <c r="B80" s="34">
        <f>SUM(B173:B175)</f>
        <v>9175</v>
      </c>
      <c r="C80" s="34">
        <f>SUM(C173:C175)</f>
        <v>438.58</v>
      </c>
      <c r="D80" s="34">
        <f>SUM(D173:D175)</f>
        <v>8303</v>
      </c>
      <c r="E80" s="34">
        <f>SUM(E173:E175)</f>
        <v>0</v>
      </c>
      <c r="F80" s="34">
        <f>SUM(F173:F175)</f>
        <v>1464.25</v>
      </c>
    </row>
    <row r="81" spans="1:6" ht="15.75">
      <c r="A81" s="51" t="s">
        <v>13</v>
      </c>
      <c r="B81" s="34">
        <f>B176+B177+B178</f>
        <v>9512</v>
      </c>
      <c r="C81" s="34">
        <f>C176+C177+C178</f>
        <v>262.5</v>
      </c>
      <c r="D81" s="34">
        <f>D176+D177+D178</f>
        <v>8006.2</v>
      </c>
      <c r="E81" s="34">
        <f>E176+E177+E178</f>
        <v>0</v>
      </c>
      <c r="F81" s="34">
        <f>F176+F177+F178</f>
        <v>1883</v>
      </c>
    </row>
    <row r="82" spans="1:6" ht="15.75">
      <c r="A82" s="51" t="s">
        <v>14</v>
      </c>
      <c r="B82" s="34">
        <f>B179+B180+B181</f>
        <v>9675</v>
      </c>
      <c r="C82" s="34">
        <f>C179+C180+C181</f>
        <v>100.80000000000001</v>
      </c>
      <c r="D82" s="34">
        <f>D179+D180+D181</f>
        <v>7803</v>
      </c>
      <c r="E82" s="34">
        <f>E179+E180+E181</f>
        <v>0</v>
      </c>
      <c r="F82" s="34">
        <f>F179+F180+F181</f>
        <v>1024</v>
      </c>
    </row>
    <row r="83" spans="1:6" ht="15.75">
      <c r="A83" s="16"/>
      <c r="B83" s="29"/>
      <c r="C83" s="34"/>
      <c r="D83" s="34"/>
      <c r="E83" s="29"/>
      <c r="F83" s="34"/>
    </row>
    <row r="84" spans="1:6" ht="15.75">
      <c r="A84" s="28" t="s">
        <v>54</v>
      </c>
      <c r="B84" s="29"/>
      <c r="C84" s="34"/>
      <c r="D84" s="34"/>
      <c r="E84" s="29"/>
      <c r="F84" s="34"/>
    </row>
    <row r="85" spans="1:6" ht="15.75">
      <c r="A85" s="51" t="s">
        <v>11</v>
      </c>
      <c r="B85" s="34">
        <f>B184+B185+B186</f>
        <v>7878</v>
      </c>
      <c r="C85" s="34">
        <f>C184+C185+C186</f>
        <v>90</v>
      </c>
      <c r="D85" s="34">
        <f>D184+D185+D186</f>
        <v>6588</v>
      </c>
      <c r="E85" s="34">
        <f>E184+E185+E186</f>
        <v>0</v>
      </c>
      <c r="F85" s="34">
        <f>F184+F185+F186</f>
        <v>1256</v>
      </c>
    </row>
    <row r="86" spans="1:6" ht="15.75">
      <c r="A86" s="51" t="s">
        <v>12</v>
      </c>
      <c r="B86" s="34">
        <f>SUM(B187:B189)</f>
        <v>6305</v>
      </c>
      <c r="C86" s="34">
        <f>SUM(C187:C189)</f>
        <v>74</v>
      </c>
      <c r="D86" s="34">
        <f>SUM(D187:D189)</f>
        <v>5043</v>
      </c>
      <c r="E86" s="34">
        <f>SUM(E187:E189)</f>
        <v>0</v>
      </c>
      <c r="F86" s="34">
        <f>SUM(F187:F189)</f>
        <v>1034</v>
      </c>
    </row>
    <row r="87" spans="1:6" ht="15.75">
      <c r="A87" s="51" t="s">
        <v>13</v>
      </c>
      <c r="B87" s="34">
        <f>B190+B191+B192</f>
        <v>8073</v>
      </c>
      <c r="C87" s="34">
        <f>C190+C191+C192</f>
        <v>154</v>
      </c>
      <c r="D87" s="34">
        <f>D190+D191+D192</f>
        <v>5504</v>
      </c>
      <c r="E87" s="34">
        <f>E190+E191+E192</f>
        <v>0</v>
      </c>
      <c r="F87" s="34">
        <f>F190+F191+F192</f>
        <v>666</v>
      </c>
    </row>
    <row r="88" spans="1:6" ht="15.75">
      <c r="A88" s="51" t="s">
        <v>14</v>
      </c>
      <c r="B88" s="34">
        <f>B193+B194+B195</f>
        <v>9281</v>
      </c>
      <c r="C88" s="34">
        <f>C193+C194+C195</f>
        <v>192</v>
      </c>
      <c r="D88" s="34">
        <f>D193+D194+D195</f>
        <v>5987</v>
      </c>
      <c r="E88" s="34">
        <f>E193+E194+E195</f>
        <v>0</v>
      </c>
      <c r="F88" s="34">
        <f>F193+F194+F195</f>
        <v>532</v>
      </c>
    </row>
    <row r="89" spans="1:6" ht="15.75">
      <c r="A89" s="16"/>
      <c r="B89" s="29"/>
      <c r="C89" s="34"/>
      <c r="D89" s="34"/>
      <c r="E89" s="29"/>
      <c r="F89" s="34"/>
    </row>
    <row r="90" spans="1:6" ht="15.75">
      <c r="A90" s="28" t="s">
        <v>55</v>
      </c>
      <c r="B90" s="29"/>
      <c r="C90" s="34"/>
      <c r="D90" s="34"/>
      <c r="E90" s="29"/>
      <c r="F90" s="34"/>
    </row>
    <row r="91" spans="1:6" ht="15.75">
      <c r="A91" s="51" t="s">
        <v>11</v>
      </c>
      <c r="B91" s="34">
        <f>B198+B199+B200</f>
        <v>6893</v>
      </c>
      <c r="C91" s="34">
        <f>C198+C199+C200</f>
        <v>78</v>
      </c>
      <c r="D91" s="34">
        <f>D198+D199+D200</f>
        <v>5020</v>
      </c>
      <c r="E91" s="34">
        <f>E198+E199+E200</f>
        <v>0</v>
      </c>
      <c r="F91" s="34">
        <f>F198+F199+F200</f>
        <v>558</v>
      </c>
    </row>
    <row r="92" spans="1:6" ht="15.75">
      <c r="A92" s="51" t="s">
        <v>12</v>
      </c>
      <c r="B92" s="34">
        <f>B201+B202+B203</f>
        <v>2661</v>
      </c>
      <c r="C92" s="34">
        <f>C201+C202+C203</f>
        <v>121</v>
      </c>
      <c r="D92" s="34">
        <f>D201+D202+D203</f>
        <v>2498</v>
      </c>
      <c r="E92" s="34">
        <f>E201+E202+E203</f>
        <v>0</v>
      </c>
      <c r="F92" s="34">
        <f>F201+F202+F203</f>
        <v>600</v>
      </c>
    </row>
    <row r="93" spans="1:6" ht="15.75">
      <c r="A93" s="51" t="s">
        <v>13</v>
      </c>
      <c r="B93" s="34">
        <f>B204+B205+B206</f>
        <v>6579</v>
      </c>
      <c r="C93" s="34">
        <f>C204+C205+C206</f>
        <v>59</v>
      </c>
      <c r="D93" s="34">
        <f>D204+D205+D206</f>
        <v>5740</v>
      </c>
      <c r="E93" s="34">
        <f>E204+E205+E206</f>
        <v>0</v>
      </c>
      <c r="F93" s="34">
        <f>F204+F205+F206</f>
        <v>509</v>
      </c>
    </row>
    <row r="94" spans="1:6" ht="15.75">
      <c r="A94" s="51" t="s">
        <v>14</v>
      </c>
      <c r="B94" s="34">
        <f>B207+B208+B209</f>
        <v>7209</v>
      </c>
      <c r="C94" s="34">
        <f>C207+C208+C209</f>
        <v>78</v>
      </c>
      <c r="D94" s="34">
        <f>D207+D208+D209</f>
        <v>6225</v>
      </c>
      <c r="E94" s="34">
        <f>E207+E208+E209</f>
        <v>0</v>
      </c>
      <c r="F94" s="34">
        <f>F207+F208+F209</f>
        <v>299</v>
      </c>
    </row>
    <row r="95" spans="1:6" ht="15.75">
      <c r="A95" s="51"/>
      <c r="B95" s="29"/>
      <c r="C95" s="34"/>
      <c r="D95" s="34"/>
      <c r="E95" s="29"/>
      <c r="F95" s="34"/>
    </row>
    <row r="96" spans="1:6" ht="15.75">
      <c r="A96" s="28" t="s">
        <v>56</v>
      </c>
      <c r="B96" s="29"/>
      <c r="C96" s="34"/>
      <c r="D96" s="34"/>
      <c r="E96" s="29"/>
      <c r="F96" s="34"/>
    </row>
    <row r="97" spans="1:6" ht="15.75">
      <c r="A97" s="51" t="s">
        <v>11</v>
      </c>
      <c r="B97" s="34">
        <f>B212+B213+B214</f>
        <v>7591</v>
      </c>
      <c r="C97" s="34">
        <f>C212+C213+C214</f>
        <v>73</v>
      </c>
      <c r="D97" s="34">
        <f>D212+D213+D214</f>
        <v>6078</v>
      </c>
      <c r="E97" s="34">
        <f>E212+E213+E214</f>
        <v>0</v>
      </c>
      <c r="F97" s="34">
        <f>F212+F213+F214</f>
        <v>454</v>
      </c>
    </row>
    <row r="98" spans="1:6" ht="15.75">
      <c r="A98" s="16"/>
      <c r="B98" s="31"/>
      <c r="C98" s="32"/>
      <c r="D98" s="32"/>
      <c r="E98" s="33"/>
      <c r="F98" s="32"/>
    </row>
    <row r="99" spans="1:6" ht="15.75" hidden="1">
      <c r="A99" s="30" t="s">
        <v>43</v>
      </c>
      <c r="B99" s="29"/>
      <c r="C99" s="25"/>
      <c r="D99" s="25"/>
      <c r="E99" s="24"/>
      <c r="F99" s="25"/>
    </row>
    <row r="100" spans="1:6" ht="15.75" hidden="1">
      <c r="A100" s="16" t="s">
        <v>22</v>
      </c>
      <c r="B100" s="29">
        <v>2199</v>
      </c>
      <c r="C100" s="25">
        <v>69</v>
      </c>
      <c r="D100" s="25">
        <v>2525</v>
      </c>
      <c r="E100" s="24"/>
      <c r="F100" s="25">
        <v>266</v>
      </c>
    </row>
    <row r="101" spans="1:6" ht="15.75" hidden="1">
      <c r="A101" s="16" t="s">
        <v>23</v>
      </c>
      <c r="B101" s="29">
        <v>2105</v>
      </c>
      <c r="C101" s="25">
        <v>22</v>
      </c>
      <c r="D101" s="25">
        <v>1951</v>
      </c>
      <c r="E101" s="24"/>
      <c r="F101" s="25">
        <v>495</v>
      </c>
    </row>
    <row r="102" spans="1:6" ht="15.75" hidden="1">
      <c r="A102" s="16" t="s">
        <v>24</v>
      </c>
      <c r="B102" s="29">
        <v>2328</v>
      </c>
      <c r="C102" s="25">
        <v>100</v>
      </c>
      <c r="D102" s="25">
        <v>2630</v>
      </c>
      <c r="E102" s="24"/>
      <c r="F102" s="25">
        <v>828</v>
      </c>
    </row>
    <row r="103" spans="1:6" ht="15.75" hidden="1">
      <c r="A103" s="16" t="s">
        <v>15</v>
      </c>
      <c r="B103" s="29">
        <v>2617</v>
      </c>
      <c r="C103" s="25">
        <v>92</v>
      </c>
      <c r="D103" s="25">
        <v>2846</v>
      </c>
      <c r="E103" s="24"/>
      <c r="F103" s="25">
        <v>588</v>
      </c>
    </row>
    <row r="104" spans="1:6" ht="15.75" hidden="1">
      <c r="A104" s="16" t="s">
        <v>16</v>
      </c>
      <c r="B104" s="29">
        <v>2306</v>
      </c>
      <c r="C104" s="25">
        <v>117</v>
      </c>
      <c r="D104" s="25">
        <v>2534</v>
      </c>
      <c r="E104" s="24"/>
      <c r="F104" s="25">
        <v>250</v>
      </c>
    </row>
    <row r="105" spans="1:6" ht="15.75" hidden="1">
      <c r="A105" s="16" t="s">
        <v>17</v>
      </c>
      <c r="B105" s="29">
        <v>2693</v>
      </c>
      <c r="C105" s="25">
        <v>130</v>
      </c>
      <c r="D105" s="25">
        <v>3041</v>
      </c>
      <c r="E105" s="24"/>
      <c r="F105" s="25">
        <v>770</v>
      </c>
    </row>
    <row r="106" spans="1:6" ht="15.75" hidden="1">
      <c r="A106" s="16" t="s">
        <v>18</v>
      </c>
      <c r="B106" s="29">
        <v>2913</v>
      </c>
      <c r="C106" s="25">
        <v>184</v>
      </c>
      <c r="D106" s="25">
        <v>2599</v>
      </c>
      <c r="E106" s="24"/>
      <c r="F106" s="25">
        <v>855</v>
      </c>
    </row>
    <row r="107" spans="1:6" ht="15.75" hidden="1">
      <c r="A107" s="16" t="s">
        <v>19</v>
      </c>
      <c r="B107" s="29">
        <v>2776</v>
      </c>
      <c r="C107" s="25">
        <v>146</v>
      </c>
      <c r="D107" s="25">
        <v>2869</v>
      </c>
      <c r="E107" s="24"/>
      <c r="F107" s="25">
        <v>755</v>
      </c>
    </row>
    <row r="108" spans="1:6" ht="15.75" hidden="1">
      <c r="A108" s="16" t="s">
        <v>20</v>
      </c>
      <c r="B108" s="29">
        <v>2817</v>
      </c>
      <c r="C108" s="25">
        <v>91</v>
      </c>
      <c r="D108" s="25">
        <v>2772</v>
      </c>
      <c r="E108" s="24"/>
      <c r="F108" s="25">
        <v>586</v>
      </c>
    </row>
    <row r="109" spans="1:6" ht="15.75" hidden="1">
      <c r="A109" s="16" t="s">
        <v>34</v>
      </c>
      <c r="B109" s="29">
        <v>2670</v>
      </c>
      <c r="C109" s="25">
        <v>328</v>
      </c>
      <c r="D109" s="25">
        <v>2706</v>
      </c>
      <c r="E109" s="24"/>
      <c r="F109" s="25">
        <v>847</v>
      </c>
    </row>
    <row r="110" spans="1:6" ht="15.75" hidden="1">
      <c r="A110" s="16" t="s">
        <v>35</v>
      </c>
      <c r="B110" s="29">
        <v>2330</v>
      </c>
      <c r="C110" s="25">
        <v>246</v>
      </c>
      <c r="D110" s="25">
        <v>2987</v>
      </c>
      <c r="E110" s="24"/>
      <c r="F110" s="25">
        <v>597</v>
      </c>
    </row>
    <row r="111" spans="1:7" ht="15.75" hidden="1">
      <c r="A111" s="16" t="s">
        <v>21</v>
      </c>
      <c r="B111" s="29">
        <v>2982</v>
      </c>
      <c r="C111" s="25">
        <v>185</v>
      </c>
      <c r="D111" s="25">
        <v>2802</v>
      </c>
      <c r="E111" s="24"/>
      <c r="F111" s="25">
        <v>419</v>
      </c>
      <c r="G111" s="4"/>
    </row>
    <row r="112" spans="1:7" ht="15.75" hidden="1">
      <c r="A112" s="16"/>
      <c r="B112" s="29"/>
      <c r="C112" s="25"/>
      <c r="D112" s="25"/>
      <c r="E112" s="24"/>
      <c r="F112" s="25"/>
      <c r="G112" s="4"/>
    </row>
    <row r="113" spans="1:7" ht="15.75" hidden="1">
      <c r="A113" s="28" t="s">
        <v>46</v>
      </c>
      <c r="B113" s="29"/>
      <c r="C113" s="25"/>
      <c r="D113" s="25"/>
      <c r="E113" s="24"/>
      <c r="F113" s="25"/>
      <c r="G113" s="4"/>
    </row>
    <row r="114" spans="1:7" ht="15.75" hidden="1">
      <c r="A114" s="16" t="s">
        <v>22</v>
      </c>
      <c r="B114" s="29">
        <v>2430</v>
      </c>
      <c r="C114" s="25">
        <v>239</v>
      </c>
      <c r="D114" s="25">
        <v>2321</v>
      </c>
      <c r="E114" s="24"/>
      <c r="F114" s="25">
        <v>596</v>
      </c>
      <c r="G114" s="4"/>
    </row>
    <row r="115" spans="1:7" ht="15.75" hidden="1">
      <c r="A115" s="16" t="s">
        <v>23</v>
      </c>
      <c r="B115" s="29">
        <v>2321</v>
      </c>
      <c r="C115" s="25">
        <v>243</v>
      </c>
      <c r="D115" s="25">
        <v>2325</v>
      </c>
      <c r="E115" s="24"/>
      <c r="F115" s="25">
        <v>443</v>
      </c>
      <c r="G115" s="4"/>
    </row>
    <row r="116" spans="1:7" ht="15.75" hidden="1">
      <c r="A116" s="16" t="s">
        <v>24</v>
      </c>
      <c r="B116" s="29">
        <v>2818</v>
      </c>
      <c r="C116" s="25">
        <v>249</v>
      </c>
      <c r="D116" s="25">
        <v>2599</v>
      </c>
      <c r="E116" s="24"/>
      <c r="F116" s="25">
        <v>452</v>
      </c>
      <c r="G116" s="4"/>
    </row>
    <row r="117" spans="1:7" ht="15.75" hidden="1">
      <c r="A117" s="16" t="s">
        <v>15</v>
      </c>
      <c r="B117" s="29">
        <v>2746</v>
      </c>
      <c r="C117" s="25">
        <v>229</v>
      </c>
      <c r="D117" s="25">
        <v>2731</v>
      </c>
      <c r="E117" s="24"/>
      <c r="F117" s="25">
        <v>426</v>
      </c>
      <c r="G117" s="4"/>
    </row>
    <row r="118" spans="1:7" ht="15.75" hidden="1">
      <c r="A118" s="16" t="s">
        <v>16</v>
      </c>
      <c r="B118" s="29">
        <f>2275+11</f>
        <v>2286</v>
      </c>
      <c r="C118" s="25">
        <v>183</v>
      </c>
      <c r="D118" s="25">
        <v>1931</v>
      </c>
      <c r="E118" s="24"/>
      <c r="F118" s="25">
        <f>565+1</f>
        <v>566</v>
      </c>
      <c r="G118" s="4"/>
    </row>
    <row r="119" spans="1:7" ht="15.75" hidden="1">
      <c r="A119" s="16" t="s">
        <v>17</v>
      </c>
      <c r="B119" s="29">
        <f>2870+16</f>
        <v>2886</v>
      </c>
      <c r="C119" s="25">
        <v>454</v>
      </c>
      <c r="D119" s="25">
        <v>2459</v>
      </c>
      <c r="E119" s="24"/>
      <c r="F119" s="25">
        <v>301</v>
      </c>
      <c r="G119" s="4"/>
    </row>
    <row r="120" spans="1:7" ht="15.75" hidden="1">
      <c r="A120" s="16" t="s">
        <v>18</v>
      </c>
      <c r="B120" s="29">
        <f>2815+18</f>
        <v>2833</v>
      </c>
      <c r="C120" s="25">
        <v>231</v>
      </c>
      <c r="D120" s="25">
        <v>2704</v>
      </c>
      <c r="E120" s="24"/>
      <c r="F120" s="25">
        <v>517</v>
      </c>
      <c r="G120" s="4"/>
    </row>
    <row r="121" spans="1:7" ht="15.75" hidden="1">
      <c r="A121" s="16" t="s">
        <v>19</v>
      </c>
      <c r="B121" s="29">
        <f>2934+15</f>
        <v>2949</v>
      </c>
      <c r="C121" s="38">
        <v>452</v>
      </c>
      <c r="D121" s="38">
        <v>2985</v>
      </c>
      <c r="E121" s="29"/>
      <c r="F121" s="34">
        <v>535</v>
      </c>
      <c r="G121" s="4"/>
    </row>
    <row r="122" spans="1:7" ht="15.75" hidden="1">
      <c r="A122" s="16" t="s">
        <v>20</v>
      </c>
      <c r="B122" s="29">
        <f>3149+2</f>
        <v>3151</v>
      </c>
      <c r="C122" s="38">
        <f>323+2</f>
        <v>325</v>
      </c>
      <c r="D122" s="38">
        <v>2557</v>
      </c>
      <c r="E122" s="29"/>
      <c r="F122" s="34">
        <f>264+2</f>
        <v>266</v>
      </c>
      <c r="G122" s="4"/>
    </row>
    <row r="123" spans="1:7" ht="15.75" hidden="1">
      <c r="A123" s="16" t="s">
        <v>34</v>
      </c>
      <c r="B123" s="29">
        <f>2329+6</f>
        <v>2335</v>
      </c>
      <c r="C123" s="38">
        <f>261+1</f>
        <v>262</v>
      </c>
      <c r="D123" s="38">
        <v>2303</v>
      </c>
      <c r="E123" s="29"/>
      <c r="F123" s="34">
        <f>410+1</f>
        <v>411</v>
      </c>
      <c r="G123" s="4"/>
    </row>
    <row r="124" spans="1:7" ht="15.75" hidden="1">
      <c r="A124" s="16" t="s">
        <v>35</v>
      </c>
      <c r="B124" s="29">
        <f>2641+21</f>
        <v>2662</v>
      </c>
      <c r="C124" s="38">
        <f>258+5</f>
        <v>263</v>
      </c>
      <c r="D124" s="38">
        <f>2453+39</f>
        <v>2492</v>
      </c>
      <c r="E124" s="29"/>
      <c r="F124" s="34">
        <f>603+3</f>
        <v>606</v>
      </c>
      <c r="G124" s="4"/>
    </row>
    <row r="125" spans="1:7" ht="15.75" hidden="1">
      <c r="A125" s="16" t="s">
        <v>21</v>
      </c>
      <c r="B125" s="29">
        <f>3398+33</f>
        <v>3431</v>
      </c>
      <c r="C125" s="38">
        <f>280+4</f>
        <v>284</v>
      </c>
      <c r="D125" s="38">
        <f>3541+53</f>
        <v>3594</v>
      </c>
      <c r="E125" s="29"/>
      <c r="F125" s="34">
        <f>490+3</f>
        <v>493</v>
      </c>
      <c r="G125" s="4"/>
    </row>
    <row r="126" spans="1:7" ht="15.75" hidden="1">
      <c r="A126" s="16"/>
      <c r="B126" s="29"/>
      <c r="C126" s="38"/>
      <c r="D126" s="38"/>
      <c r="E126" s="29"/>
      <c r="F126" s="34"/>
      <c r="G126" s="4"/>
    </row>
    <row r="127" spans="1:7" ht="15.75" hidden="1">
      <c r="A127" s="28" t="s">
        <v>47</v>
      </c>
      <c r="B127" s="29"/>
      <c r="C127" s="25"/>
      <c r="D127" s="25"/>
      <c r="E127" s="24"/>
      <c r="F127" s="25"/>
      <c r="G127" s="4"/>
    </row>
    <row r="128" spans="1:7" ht="15.75" hidden="1">
      <c r="A128" s="16" t="s">
        <v>22</v>
      </c>
      <c r="B128" s="29">
        <f>2191+27</f>
        <v>2218</v>
      </c>
      <c r="C128" s="25">
        <v>245</v>
      </c>
      <c r="D128" s="25">
        <v>2493</v>
      </c>
      <c r="E128" s="24"/>
      <c r="F128" s="25">
        <v>525</v>
      </c>
      <c r="G128" s="4"/>
    </row>
    <row r="129" spans="1:7" ht="15.75" hidden="1">
      <c r="A129" s="16" t="s">
        <v>23</v>
      </c>
      <c r="B129" s="29">
        <f>2219+1</f>
        <v>2220</v>
      </c>
      <c r="C129" s="25">
        <v>186</v>
      </c>
      <c r="D129" s="25">
        <f>2651+2</f>
        <v>2653</v>
      </c>
      <c r="E129" s="24"/>
      <c r="F129" s="25">
        <v>435</v>
      </c>
      <c r="G129" s="4"/>
    </row>
    <row r="130" spans="1:7" ht="15.75" hidden="1">
      <c r="A130" s="16" t="s">
        <v>24</v>
      </c>
      <c r="B130" s="29">
        <v>2837</v>
      </c>
      <c r="C130" s="25">
        <v>210</v>
      </c>
      <c r="D130" s="25">
        <v>2921</v>
      </c>
      <c r="E130" s="24"/>
      <c r="F130" s="25">
        <f>379+4</f>
        <v>383</v>
      </c>
      <c r="G130" s="4"/>
    </row>
    <row r="131" spans="1:7" ht="15.75" hidden="1">
      <c r="A131" s="16" t="s">
        <v>15</v>
      </c>
      <c r="B131" s="29">
        <f>2970+9</f>
        <v>2979</v>
      </c>
      <c r="C131" s="25">
        <f>267+4</f>
        <v>271</v>
      </c>
      <c r="D131" s="25">
        <v>2776</v>
      </c>
      <c r="E131" s="24"/>
      <c r="F131" s="25">
        <f>444+5</f>
        <v>449</v>
      </c>
      <c r="G131" s="4"/>
    </row>
    <row r="132" spans="1:7" ht="15.75" hidden="1">
      <c r="A132" s="16" t="s">
        <v>16</v>
      </c>
      <c r="B132" s="29">
        <f>2560+26</f>
        <v>2586</v>
      </c>
      <c r="C132" s="25">
        <f>282+4</f>
        <v>286</v>
      </c>
      <c r="D132" s="25">
        <v>2756</v>
      </c>
      <c r="E132" s="24"/>
      <c r="F132" s="25">
        <f>456+8</f>
        <v>464</v>
      </c>
      <c r="G132" s="4"/>
    </row>
    <row r="133" spans="1:7" ht="15.75" hidden="1">
      <c r="A133" s="16" t="s">
        <v>17</v>
      </c>
      <c r="B133" s="29">
        <f>3491+30</f>
        <v>3521</v>
      </c>
      <c r="C133" s="25">
        <f>288+2</f>
        <v>290</v>
      </c>
      <c r="D133" s="25">
        <f>2922+5</f>
        <v>2927</v>
      </c>
      <c r="E133" s="24"/>
      <c r="F133" s="25">
        <v>600</v>
      </c>
      <c r="G133" s="4"/>
    </row>
    <row r="134" spans="1:7" ht="16.5" customHeight="1" hidden="1">
      <c r="A134" s="16" t="s">
        <v>18</v>
      </c>
      <c r="B134" s="29">
        <f>3098+8</f>
        <v>3106</v>
      </c>
      <c r="C134" s="25">
        <v>304</v>
      </c>
      <c r="D134" s="25">
        <f>2911+13</f>
        <v>2924</v>
      </c>
      <c r="E134" s="24"/>
      <c r="F134" s="25">
        <f>382+1</f>
        <v>383</v>
      </c>
      <c r="G134" s="4"/>
    </row>
    <row r="135" spans="1:7" ht="15.75" hidden="1">
      <c r="A135" s="16" t="s">
        <v>19</v>
      </c>
      <c r="B135" s="29">
        <v>2595</v>
      </c>
      <c r="C135" s="25">
        <v>294</v>
      </c>
      <c r="D135" s="25">
        <v>3122</v>
      </c>
      <c r="E135" s="24"/>
      <c r="F135" s="25">
        <v>646</v>
      </c>
      <c r="G135" s="4"/>
    </row>
    <row r="136" spans="1:7" ht="15.75" hidden="1">
      <c r="A136" s="16" t="s">
        <v>44</v>
      </c>
      <c r="B136" s="29">
        <v>3770</v>
      </c>
      <c r="C136" s="25">
        <v>274</v>
      </c>
      <c r="D136" s="25">
        <v>3280</v>
      </c>
      <c r="E136" s="24"/>
      <c r="F136" s="25">
        <v>342</v>
      </c>
      <c r="G136" s="4"/>
    </row>
    <row r="137" spans="1:7" ht="15.75" hidden="1">
      <c r="A137" s="16" t="s">
        <v>34</v>
      </c>
      <c r="B137" s="29">
        <v>3407</v>
      </c>
      <c r="C137" s="25">
        <v>274</v>
      </c>
      <c r="D137" s="25">
        <v>3260</v>
      </c>
      <c r="E137" s="24"/>
      <c r="F137" s="25">
        <v>264</v>
      </c>
      <c r="G137" s="4"/>
    </row>
    <row r="138" spans="1:7" ht="15.75" hidden="1">
      <c r="A138" s="16" t="s">
        <v>45</v>
      </c>
      <c r="B138" s="29">
        <v>3542</v>
      </c>
      <c r="C138" s="25">
        <v>361</v>
      </c>
      <c r="D138" s="25">
        <v>3161</v>
      </c>
      <c r="E138" s="24"/>
      <c r="F138" s="25">
        <v>567</v>
      </c>
      <c r="G138" s="4"/>
    </row>
    <row r="139" spans="1:7" ht="15.75" hidden="1">
      <c r="A139" s="16" t="s">
        <v>21</v>
      </c>
      <c r="B139" s="29">
        <v>3780</v>
      </c>
      <c r="C139" s="25">
        <v>364</v>
      </c>
      <c r="D139" s="25">
        <v>3154</v>
      </c>
      <c r="E139" s="24"/>
      <c r="F139" s="25">
        <v>348</v>
      </c>
      <c r="G139" s="4"/>
    </row>
    <row r="140" spans="1:7" ht="15.75" hidden="1">
      <c r="A140" s="16"/>
      <c r="B140" s="29"/>
      <c r="C140" s="25"/>
      <c r="D140" s="25"/>
      <c r="E140" s="24"/>
      <c r="F140" s="25"/>
      <c r="G140" s="4"/>
    </row>
    <row r="141" spans="1:7" ht="15.75" hidden="1">
      <c r="A141" s="28" t="s">
        <v>48</v>
      </c>
      <c r="B141" s="29"/>
      <c r="C141" s="25"/>
      <c r="D141" s="25"/>
      <c r="E141" s="24"/>
      <c r="F141" s="25"/>
      <c r="G141" s="4"/>
    </row>
    <row r="142" spans="1:7" ht="15.75" hidden="1">
      <c r="A142" s="16" t="s">
        <v>22</v>
      </c>
      <c r="B142" s="29">
        <v>3619</v>
      </c>
      <c r="C142" s="25">
        <v>341</v>
      </c>
      <c r="D142" s="25">
        <v>2939</v>
      </c>
      <c r="E142" s="24"/>
      <c r="F142" s="25">
        <f>251+55</f>
        <v>306</v>
      </c>
      <c r="G142" s="4"/>
    </row>
    <row r="143" spans="1:7" ht="15.75" hidden="1">
      <c r="A143" s="16" t="s">
        <v>23</v>
      </c>
      <c r="B143" s="29">
        <v>3312</v>
      </c>
      <c r="C143" s="25">
        <v>254</v>
      </c>
      <c r="D143" s="25">
        <v>2803</v>
      </c>
      <c r="E143" s="24"/>
      <c r="F143" s="25">
        <f>366+133</f>
        <v>499</v>
      </c>
      <c r="G143" s="4"/>
    </row>
    <row r="144" spans="1:7" ht="15.75" hidden="1">
      <c r="A144" s="16" t="s">
        <v>24</v>
      </c>
      <c r="B144" s="29">
        <f>3460+10</f>
        <v>3470</v>
      </c>
      <c r="C144" s="34">
        <v>37</v>
      </c>
      <c r="D144" s="25">
        <f>3026+10</f>
        <v>3036</v>
      </c>
      <c r="E144" s="24"/>
      <c r="F144" s="25">
        <f>419+1</f>
        <v>420</v>
      </c>
      <c r="G144" s="4"/>
    </row>
    <row r="145" spans="1:7" ht="15.75" hidden="1">
      <c r="A145" s="16" t="s">
        <v>15</v>
      </c>
      <c r="B145" s="29">
        <f>3922+12</f>
        <v>3934</v>
      </c>
      <c r="C145" s="34">
        <v>249</v>
      </c>
      <c r="D145" s="25">
        <f>3091+9</f>
        <v>3100</v>
      </c>
      <c r="E145" s="24"/>
      <c r="F145" s="25">
        <v>387</v>
      </c>
      <c r="G145" s="4"/>
    </row>
    <row r="146" spans="1:7" ht="15.75" hidden="1">
      <c r="A146" s="16" t="s">
        <v>16</v>
      </c>
      <c r="B146" s="29">
        <f>3601+22</f>
        <v>3623</v>
      </c>
      <c r="C146" s="34">
        <v>32</v>
      </c>
      <c r="D146" s="25">
        <f>3093+8</f>
        <v>3101</v>
      </c>
      <c r="E146" s="24"/>
      <c r="F146" s="25">
        <v>319</v>
      </c>
      <c r="G146" s="4"/>
    </row>
    <row r="147" spans="1:7" ht="15.75" hidden="1">
      <c r="A147" s="16" t="s">
        <v>17</v>
      </c>
      <c r="B147" s="29">
        <f>4369+22</f>
        <v>4391</v>
      </c>
      <c r="C147" s="34">
        <f>305+4</f>
        <v>309</v>
      </c>
      <c r="D147" s="25">
        <f>3188+4</f>
        <v>3192</v>
      </c>
      <c r="E147" s="24"/>
      <c r="F147" s="25">
        <f>426+4</f>
        <v>430</v>
      </c>
      <c r="G147" s="4"/>
    </row>
    <row r="148" spans="1:7" ht="15.75" hidden="1">
      <c r="A148" s="16" t="s">
        <v>18</v>
      </c>
      <c r="B148" s="29">
        <f>4159</f>
        <v>4159</v>
      </c>
      <c r="C148" s="34">
        <v>358</v>
      </c>
      <c r="D148" s="25">
        <v>3322</v>
      </c>
      <c r="E148" s="24"/>
      <c r="F148" s="25">
        <f>341+2</f>
        <v>343</v>
      </c>
      <c r="G148" s="4"/>
    </row>
    <row r="149" spans="1:7" ht="15.75" hidden="1">
      <c r="A149" s="16" t="s">
        <v>19</v>
      </c>
      <c r="B149" s="29">
        <f>4712+20</f>
        <v>4732</v>
      </c>
      <c r="C149" s="34">
        <v>245</v>
      </c>
      <c r="D149" s="25">
        <f>3785+19</f>
        <v>3804</v>
      </c>
      <c r="E149" s="24"/>
      <c r="F149" s="25">
        <f>522+8</f>
        <v>530</v>
      </c>
      <c r="G149" s="4"/>
    </row>
    <row r="150" spans="1:7" ht="15.75" hidden="1">
      <c r="A150" s="16" t="s">
        <v>44</v>
      </c>
      <c r="B150" s="29">
        <v>3685</v>
      </c>
      <c r="C150" s="34">
        <v>275</v>
      </c>
      <c r="D150" s="25">
        <v>3121</v>
      </c>
      <c r="E150" s="24"/>
      <c r="F150" s="25">
        <v>342</v>
      </c>
      <c r="G150" s="4"/>
    </row>
    <row r="151" spans="1:7" ht="15.75" hidden="1">
      <c r="A151" s="16" t="s">
        <v>34</v>
      </c>
      <c r="B151" s="29">
        <v>3161</v>
      </c>
      <c r="C151" s="34">
        <v>304</v>
      </c>
      <c r="D151" s="25">
        <v>2757</v>
      </c>
      <c r="E151" s="24"/>
      <c r="F151" s="25">
        <v>296</v>
      </c>
      <c r="G151" s="4"/>
    </row>
    <row r="152" spans="1:7" ht="15.75" hidden="1">
      <c r="A152" s="16" t="s">
        <v>45</v>
      </c>
      <c r="B152" s="29">
        <v>2848</v>
      </c>
      <c r="C152" s="34">
        <v>300</v>
      </c>
      <c r="D152" s="25">
        <v>2696</v>
      </c>
      <c r="E152" s="24"/>
      <c r="F152" s="25">
        <v>380</v>
      </c>
      <c r="G152" s="4"/>
    </row>
    <row r="153" spans="1:7" ht="15.75" hidden="1">
      <c r="A153" s="16" t="s">
        <v>21</v>
      </c>
      <c r="B153" s="29">
        <v>2682</v>
      </c>
      <c r="C153" s="34">
        <v>230</v>
      </c>
      <c r="D153" s="25">
        <v>2129</v>
      </c>
      <c r="E153" s="24"/>
      <c r="F153" s="25">
        <v>570</v>
      </c>
      <c r="G153" s="4"/>
    </row>
    <row r="154" spans="1:7" ht="15.75" hidden="1">
      <c r="A154" s="16"/>
      <c r="B154" s="29"/>
      <c r="C154" s="34"/>
      <c r="D154" s="25"/>
      <c r="E154" s="24"/>
      <c r="F154" s="25"/>
      <c r="G154" s="4"/>
    </row>
    <row r="155" spans="1:7" ht="15.75" hidden="1">
      <c r="A155" s="28" t="s">
        <v>49</v>
      </c>
      <c r="B155" s="29"/>
      <c r="C155" s="34"/>
      <c r="D155" s="25"/>
      <c r="E155" s="24"/>
      <c r="F155" s="25"/>
      <c r="G155" s="4"/>
    </row>
    <row r="156" spans="1:7" ht="15.75" hidden="1">
      <c r="A156" s="16" t="s">
        <v>22</v>
      </c>
      <c r="B156" s="29">
        <f>2712+13</f>
        <v>2725</v>
      </c>
      <c r="C156" s="34">
        <v>258</v>
      </c>
      <c r="D156" s="25">
        <f>2352+7</f>
        <v>2359</v>
      </c>
      <c r="E156" s="24"/>
      <c r="F156" s="25">
        <f>342+1</f>
        <v>343</v>
      </c>
      <c r="G156" s="4"/>
    </row>
    <row r="157" spans="1:7" ht="15.75" hidden="1">
      <c r="A157" s="16" t="s">
        <v>23</v>
      </c>
      <c r="B157" s="29">
        <f>2257+11</f>
        <v>2268</v>
      </c>
      <c r="C157" s="34">
        <v>234</v>
      </c>
      <c r="D157" s="25">
        <f>2437+7</f>
        <v>2444</v>
      </c>
      <c r="E157" s="24"/>
      <c r="F157" s="25">
        <f>455+1</f>
        <v>456</v>
      </c>
      <c r="G157" s="4"/>
    </row>
    <row r="158" spans="1:7" ht="15.75" hidden="1">
      <c r="A158" s="16" t="s">
        <v>24</v>
      </c>
      <c r="B158" s="29">
        <f>2344+12</f>
        <v>2356</v>
      </c>
      <c r="C158" s="34">
        <f>360+1</f>
        <v>361</v>
      </c>
      <c r="D158" s="25">
        <f>2902+9</f>
        <v>2911</v>
      </c>
      <c r="E158" s="24"/>
      <c r="F158" s="25">
        <f>380+1</f>
        <v>381</v>
      </c>
      <c r="G158" s="4"/>
    </row>
    <row r="159" spans="1:7" ht="15.75" hidden="1">
      <c r="A159" s="16" t="s">
        <v>15</v>
      </c>
      <c r="B159" s="29">
        <f>2912+11</f>
        <v>2923</v>
      </c>
      <c r="C159" s="34">
        <v>280</v>
      </c>
      <c r="D159" s="25">
        <f>2504+8</f>
        <v>2512</v>
      </c>
      <c r="E159" s="24"/>
      <c r="F159" s="25">
        <f>493+1</f>
        <v>494</v>
      </c>
      <c r="G159" s="4"/>
    </row>
    <row r="160" spans="1:7" ht="15.75" hidden="1">
      <c r="A160" s="16" t="s">
        <v>16</v>
      </c>
      <c r="B160" s="29">
        <v>3066</v>
      </c>
      <c r="C160" s="34">
        <v>233</v>
      </c>
      <c r="D160" s="25">
        <v>2583</v>
      </c>
      <c r="E160" s="24"/>
      <c r="F160" s="25">
        <v>438</v>
      </c>
      <c r="G160" s="4"/>
    </row>
    <row r="161" spans="1:7" ht="15.75" hidden="1">
      <c r="A161" s="16" t="s">
        <v>17</v>
      </c>
      <c r="B161" s="29">
        <f>3023-25</f>
        <v>2998</v>
      </c>
      <c r="C161" s="34">
        <f>277-21</f>
        <v>256</v>
      </c>
      <c r="D161" s="25">
        <f>2657-48</f>
        <v>2609</v>
      </c>
      <c r="E161" s="24"/>
      <c r="F161" s="25">
        <f>620-15</f>
        <v>605</v>
      </c>
      <c r="G161" s="4"/>
    </row>
    <row r="162" spans="1:7" ht="15.75" hidden="1">
      <c r="A162" s="16" t="s">
        <v>18</v>
      </c>
      <c r="B162" s="29">
        <f>3844+19</f>
        <v>3863</v>
      </c>
      <c r="C162" s="34">
        <f>324+2</f>
        <v>326</v>
      </c>
      <c r="D162" s="25">
        <f>3186+3</f>
        <v>3189</v>
      </c>
      <c r="E162" s="24"/>
      <c r="F162" s="25">
        <v>395</v>
      </c>
      <c r="G162" s="4"/>
    </row>
    <row r="163" spans="1:7" ht="15.75" hidden="1">
      <c r="A163" s="16" t="s">
        <v>19</v>
      </c>
      <c r="B163" s="29">
        <f>5783+29</f>
        <v>5812</v>
      </c>
      <c r="C163" s="34">
        <f>351+1</f>
        <v>352</v>
      </c>
      <c r="D163" s="34">
        <v>4450</v>
      </c>
      <c r="E163" s="24"/>
      <c r="F163" s="25">
        <f>633+3</f>
        <v>636</v>
      </c>
      <c r="G163" s="4"/>
    </row>
    <row r="164" spans="1:7" ht="15.75" hidden="1">
      <c r="A164" s="16" t="s">
        <v>44</v>
      </c>
      <c r="B164" s="29">
        <f>3340+16</f>
        <v>3356</v>
      </c>
      <c r="C164" s="34">
        <f>288+2</f>
        <v>290</v>
      </c>
      <c r="D164" s="34">
        <f>2440+12</f>
        <v>2452</v>
      </c>
      <c r="E164" s="24"/>
      <c r="F164" s="25">
        <v>228</v>
      </c>
      <c r="G164" s="4"/>
    </row>
    <row r="165" spans="1:7" ht="15.75" hidden="1">
      <c r="A165" s="16" t="s">
        <v>34</v>
      </c>
      <c r="B165" s="29">
        <f>3352+16</f>
        <v>3368</v>
      </c>
      <c r="C165" s="34">
        <f>330+2+86</f>
        <v>418</v>
      </c>
      <c r="D165" s="34">
        <f>2262+11</f>
        <v>2273</v>
      </c>
      <c r="E165" s="24"/>
      <c r="F165" s="25">
        <f>304+2+86</f>
        <v>392</v>
      </c>
      <c r="G165" s="4"/>
    </row>
    <row r="166" spans="1:7" ht="15.75" hidden="1">
      <c r="A166" s="16" t="s">
        <v>45</v>
      </c>
      <c r="B166" s="29">
        <v>2556</v>
      </c>
      <c r="C166" s="34">
        <v>313</v>
      </c>
      <c r="D166" s="34">
        <v>1777</v>
      </c>
      <c r="E166" s="24"/>
      <c r="F166" s="25">
        <v>490</v>
      </c>
      <c r="G166" s="4"/>
    </row>
    <row r="167" spans="1:7" ht="15.75" hidden="1">
      <c r="A167" s="16" t="s">
        <v>21</v>
      </c>
      <c r="B167" s="29">
        <f>3538+26</f>
        <v>3564</v>
      </c>
      <c r="C167" s="34">
        <f>319+4</f>
        <v>323</v>
      </c>
      <c r="D167" s="34">
        <f>2185+11</f>
        <v>2196</v>
      </c>
      <c r="E167" s="24"/>
      <c r="F167" s="25">
        <f>428+1+4</f>
        <v>433</v>
      </c>
      <c r="G167" s="4"/>
    </row>
    <row r="168" spans="1:7" ht="15.75" hidden="1">
      <c r="A168" s="16"/>
      <c r="B168" s="29"/>
      <c r="C168" s="34"/>
      <c r="D168" s="34"/>
      <c r="E168" s="24"/>
      <c r="F168" s="25"/>
      <c r="G168" s="4"/>
    </row>
    <row r="169" spans="1:7" ht="15.75" hidden="1">
      <c r="A169" s="28" t="s">
        <v>53</v>
      </c>
      <c r="B169" s="29"/>
      <c r="C169" s="34"/>
      <c r="D169" s="34"/>
      <c r="E169" s="24"/>
      <c r="F169" s="25"/>
      <c r="G169" s="4"/>
    </row>
    <row r="170" spans="1:7" ht="15.75" hidden="1">
      <c r="A170" s="16" t="s">
        <v>22</v>
      </c>
      <c r="B170" s="29">
        <f>3136+16</f>
        <v>3152</v>
      </c>
      <c r="C170" s="34">
        <v>278</v>
      </c>
      <c r="D170" s="34">
        <f>2045+1</f>
        <v>2046</v>
      </c>
      <c r="E170" s="24"/>
      <c r="F170" s="25">
        <f>341+1</f>
        <v>342</v>
      </c>
      <c r="G170" s="4"/>
    </row>
    <row r="171" spans="1:7" ht="15.75" hidden="1">
      <c r="A171" s="16" t="s">
        <v>23</v>
      </c>
      <c r="B171" s="29">
        <f>2870+18</f>
        <v>2888</v>
      </c>
      <c r="C171" s="34">
        <f>275+3</f>
        <v>278</v>
      </c>
      <c r="D171" s="34">
        <f>2272-3</f>
        <v>2269</v>
      </c>
      <c r="E171" s="24"/>
      <c r="F171" s="25">
        <f>264-2</f>
        <v>262</v>
      </c>
      <c r="G171" s="4"/>
    </row>
    <row r="172" spans="1:7" ht="15.75" hidden="1">
      <c r="A172" s="16" t="s">
        <v>24</v>
      </c>
      <c r="B172" s="29">
        <f>2890+21</f>
        <v>2911</v>
      </c>
      <c r="C172" s="34">
        <f>208+1</f>
        <v>209</v>
      </c>
      <c r="D172" s="34">
        <f>2409+9</f>
        <v>2418</v>
      </c>
      <c r="E172" s="24"/>
      <c r="F172" s="25">
        <f>263+8</f>
        <v>271</v>
      </c>
      <c r="G172" s="4"/>
    </row>
    <row r="173" spans="1:7" ht="15.75" hidden="1">
      <c r="A173" s="16" t="s">
        <v>15</v>
      </c>
      <c r="B173" s="29">
        <f>3073+10</f>
        <v>3083</v>
      </c>
      <c r="C173" s="34">
        <f>214+0.03</f>
        <v>214.03</v>
      </c>
      <c r="D173" s="34">
        <f>2782+6</f>
        <v>2788</v>
      </c>
      <c r="E173" s="24"/>
      <c r="F173" s="25">
        <f>339+1</f>
        <v>340</v>
      </c>
      <c r="G173" s="4"/>
    </row>
    <row r="174" spans="1:7" ht="15.75" hidden="1">
      <c r="A174" s="16" t="s">
        <v>16</v>
      </c>
      <c r="B174" s="29">
        <f>2973+7</f>
        <v>2980</v>
      </c>
      <c r="C174" s="34">
        <f>135+2+0.25</f>
        <v>137.25</v>
      </c>
      <c r="D174" s="34">
        <f>3140+10</f>
        <v>3150</v>
      </c>
      <c r="E174" s="24"/>
      <c r="F174" s="25">
        <f>631+0.25</f>
        <v>631.25</v>
      </c>
      <c r="G174" s="4"/>
    </row>
    <row r="175" spans="1:7" ht="15.75" hidden="1">
      <c r="A175" s="51" t="s">
        <v>17</v>
      </c>
      <c r="B175" s="29">
        <f>3103+9</f>
        <v>3112</v>
      </c>
      <c r="C175" s="34">
        <f>87+0.3</f>
        <v>87.3</v>
      </c>
      <c r="D175" s="34">
        <f>2361+4</f>
        <v>2365</v>
      </c>
      <c r="E175" s="24"/>
      <c r="F175" s="25">
        <v>493</v>
      </c>
      <c r="G175" s="4"/>
    </row>
    <row r="176" spans="1:7" ht="15.75" hidden="1">
      <c r="A176" s="51" t="s">
        <v>18</v>
      </c>
      <c r="B176" s="34">
        <f>2945+7</f>
        <v>2952</v>
      </c>
      <c r="C176" s="34">
        <f>106+1</f>
        <v>107</v>
      </c>
      <c r="D176" s="34">
        <f>2586+0.2</f>
        <v>2586.2</v>
      </c>
      <c r="E176" s="24"/>
      <c r="F176" s="25">
        <f>688+1</f>
        <v>689</v>
      </c>
      <c r="G176" s="4"/>
    </row>
    <row r="177" spans="1:7" ht="15.75" hidden="1">
      <c r="A177" s="51" t="s">
        <v>19</v>
      </c>
      <c r="B177" s="29">
        <f>3259+3</f>
        <v>3262</v>
      </c>
      <c r="C177" s="34">
        <f>67+0.5</f>
        <v>67.5</v>
      </c>
      <c r="D177" s="34">
        <f>2738+2</f>
        <v>2740</v>
      </c>
      <c r="E177" s="24"/>
      <c r="F177" s="25">
        <f>706+6</f>
        <v>712</v>
      </c>
      <c r="G177" s="4"/>
    </row>
    <row r="178" spans="1:7" ht="15.75" hidden="1">
      <c r="A178" s="51" t="s">
        <v>44</v>
      </c>
      <c r="B178" s="29">
        <f>3293+5</f>
        <v>3298</v>
      </c>
      <c r="C178" s="34">
        <f>87+1</f>
        <v>88</v>
      </c>
      <c r="D178" s="34">
        <f>2677+11-8</f>
        <v>2680</v>
      </c>
      <c r="E178" s="24"/>
      <c r="F178" s="25">
        <v>482</v>
      </c>
      <c r="G178" s="4"/>
    </row>
    <row r="179" spans="1:7" ht="15.75" hidden="1">
      <c r="A179" s="51" t="s">
        <v>34</v>
      </c>
      <c r="B179" s="29">
        <f>3315+7-58</f>
        <v>3264</v>
      </c>
      <c r="C179" s="34">
        <f>60+0.6-6</f>
        <v>54.6</v>
      </c>
      <c r="D179" s="34">
        <f>3089+7-143</f>
        <v>2953</v>
      </c>
      <c r="E179" s="24"/>
      <c r="F179" s="25">
        <f>315+0-11</f>
        <v>304</v>
      </c>
      <c r="G179" s="4"/>
    </row>
    <row r="180" spans="1:7" ht="15.75" hidden="1">
      <c r="A180" s="51" t="s">
        <v>45</v>
      </c>
      <c r="B180" s="29">
        <f>2803+4-55</f>
        <v>2752</v>
      </c>
      <c r="C180" s="34">
        <f>8.4-0.1-1</f>
        <v>7.300000000000001</v>
      </c>
      <c r="D180" s="34">
        <v>2290</v>
      </c>
      <c r="E180" s="24"/>
      <c r="F180" s="25">
        <f>304+2+2</f>
        <v>308</v>
      </c>
      <c r="G180" s="4"/>
    </row>
    <row r="181" spans="1:7" ht="15.75" hidden="1">
      <c r="A181" s="51" t="s">
        <v>21</v>
      </c>
      <c r="B181" s="29">
        <f>3728+3-72</f>
        <v>3659</v>
      </c>
      <c r="C181" s="34">
        <f>38+0.9</f>
        <v>38.9</v>
      </c>
      <c r="D181" s="34">
        <f>2612-52</f>
        <v>2560</v>
      </c>
      <c r="E181" s="24"/>
      <c r="F181" s="25">
        <v>412</v>
      </c>
      <c r="G181" s="4"/>
    </row>
    <row r="182" spans="1:7" ht="15.75" hidden="1">
      <c r="A182" s="16"/>
      <c r="B182" s="29"/>
      <c r="C182" s="34"/>
      <c r="D182" s="34"/>
      <c r="E182" s="24"/>
      <c r="F182" s="25"/>
      <c r="G182" s="4"/>
    </row>
    <row r="183" spans="1:7" ht="15.75">
      <c r="A183" s="28" t="s">
        <v>54</v>
      </c>
      <c r="B183" s="29"/>
      <c r="C183" s="34"/>
      <c r="D183" s="34"/>
      <c r="E183" s="24"/>
      <c r="F183" s="25"/>
      <c r="G183" s="4"/>
    </row>
    <row r="184" spans="1:7" ht="15.75" hidden="1">
      <c r="A184" s="51" t="s">
        <v>22</v>
      </c>
      <c r="B184" s="29">
        <f>2755+1</f>
        <v>2756</v>
      </c>
      <c r="C184" s="34">
        <v>0</v>
      </c>
      <c r="D184" s="34">
        <f>2264+5</f>
        <v>2269</v>
      </c>
      <c r="E184" s="24"/>
      <c r="F184" s="25">
        <f>550+1</f>
        <v>551</v>
      </c>
      <c r="G184" s="4"/>
    </row>
    <row r="185" spans="1:7" ht="15.75" hidden="1">
      <c r="A185" s="51" t="s">
        <v>23</v>
      </c>
      <c r="B185" s="29">
        <f>2716+5-78</f>
        <v>2643</v>
      </c>
      <c r="C185" s="34">
        <f>34-3</f>
        <v>31</v>
      </c>
      <c r="D185" s="34">
        <f>2139+5-38</f>
        <v>2106</v>
      </c>
      <c r="E185" s="24"/>
      <c r="F185" s="25">
        <f>400+3</f>
        <v>403</v>
      </c>
      <c r="G185" s="4"/>
    </row>
    <row r="186" spans="1:7" ht="15.75" hidden="1">
      <c r="A186" s="51" t="s">
        <v>24</v>
      </c>
      <c r="B186" s="29">
        <f>2473+6</f>
        <v>2479</v>
      </c>
      <c r="C186" s="34">
        <v>59</v>
      </c>
      <c r="D186" s="34">
        <f>2209+4</f>
        <v>2213</v>
      </c>
      <c r="E186" s="24"/>
      <c r="F186" s="25">
        <v>302</v>
      </c>
      <c r="G186" s="4"/>
    </row>
    <row r="187" spans="1:7" ht="15.75">
      <c r="A187" s="51" t="s">
        <v>15</v>
      </c>
      <c r="B187" s="29">
        <v>1964</v>
      </c>
      <c r="C187" s="34">
        <v>20</v>
      </c>
      <c r="D187" s="34">
        <f>1884</f>
        <v>1884</v>
      </c>
      <c r="E187" s="24"/>
      <c r="F187" s="25">
        <v>377</v>
      </c>
      <c r="G187" s="4"/>
    </row>
    <row r="188" spans="1:7" ht="15.75">
      <c r="A188" s="51" t="s">
        <v>16</v>
      </c>
      <c r="B188" s="29">
        <v>1517</v>
      </c>
      <c r="C188" s="34">
        <v>26</v>
      </c>
      <c r="D188" s="34">
        <v>1322</v>
      </c>
      <c r="E188" s="24"/>
      <c r="F188" s="25">
        <v>293</v>
      </c>
      <c r="G188" s="4"/>
    </row>
    <row r="189" spans="1:7" ht="15.75">
      <c r="A189" s="51" t="s">
        <v>17</v>
      </c>
      <c r="B189" s="29">
        <f>2823+1</f>
        <v>2824</v>
      </c>
      <c r="C189" s="34">
        <v>28</v>
      </c>
      <c r="D189" s="34">
        <f>1840-3</f>
        <v>1837</v>
      </c>
      <c r="E189" s="24"/>
      <c r="F189" s="25">
        <f>361+3</f>
        <v>364</v>
      </c>
      <c r="G189" s="4"/>
    </row>
    <row r="190" spans="1:7" ht="15.75">
      <c r="A190" s="51" t="s">
        <v>18</v>
      </c>
      <c r="B190" s="29">
        <f>2403+2</f>
        <v>2405</v>
      </c>
      <c r="C190" s="34">
        <v>34</v>
      </c>
      <c r="D190" s="34">
        <f>1751-3</f>
        <v>1748</v>
      </c>
      <c r="E190" s="24"/>
      <c r="F190" s="25">
        <f>216-1</f>
        <v>215</v>
      </c>
      <c r="G190" s="4"/>
    </row>
    <row r="191" spans="1:7" ht="15.75">
      <c r="A191" s="51" t="s">
        <v>19</v>
      </c>
      <c r="B191" s="29">
        <f>2721+1</f>
        <v>2722</v>
      </c>
      <c r="C191" s="34">
        <v>40</v>
      </c>
      <c r="D191" s="34">
        <f>1601+4</f>
        <v>1605</v>
      </c>
      <c r="E191" s="24"/>
      <c r="F191" s="25">
        <v>188</v>
      </c>
      <c r="G191" s="4"/>
    </row>
    <row r="192" spans="1:7" ht="15.75">
      <c r="A192" s="51" t="s">
        <v>44</v>
      </c>
      <c r="B192" s="34">
        <f>2945+1</f>
        <v>2946</v>
      </c>
      <c r="C192" s="34">
        <v>80</v>
      </c>
      <c r="D192" s="34">
        <f>2147+4</f>
        <v>2151</v>
      </c>
      <c r="E192" s="24"/>
      <c r="F192" s="25">
        <v>263</v>
      </c>
      <c r="G192" s="4"/>
    </row>
    <row r="193" spans="1:7" ht="15.75">
      <c r="A193" s="51" t="s">
        <v>34</v>
      </c>
      <c r="B193" s="29">
        <f>2884+4</f>
        <v>2888</v>
      </c>
      <c r="C193" s="34">
        <v>67</v>
      </c>
      <c r="D193" s="34">
        <f>1932+4</f>
        <v>1936</v>
      </c>
      <c r="E193" s="24"/>
      <c r="F193" s="25">
        <f>227+2</f>
        <v>229</v>
      </c>
      <c r="G193" s="4"/>
    </row>
    <row r="194" spans="1:7" ht="15.75">
      <c r="A194" s="51" t="s">
        <v>45</v>
      </c>
      <c r="B194" s="29">
        <f>3295+6</f>
        <v>3301</v>
      </c>
      <c r="C194" s="34">
        <v>58</v>
      </c>
      <c r="D194" s="34">
        <f>1996+3</f>
        <v>1999</v>
      </c>
      <c r="E194" s="24"/>
      <c r="F194" s="25">
        <v>227</v>
      </c>
      <c r="G194" s="4"/>
    </row>
    <row r="195" spans="1:7" ht="15.75">
      <c r="A195" s="51" t="s">
        <v>21</v>
      </c>
      <c r="B195" s="29">
        <f>3124+3-35</f>
        <v>3092</v>
      </c>
      <c r="C195" s="34">
        <v>67</v>
      </c>
      <c r="D195" s="34">
        <f>2057-5</f>
        <v>2052</v>
      </c>
      <c r="E195" s="24"/>
      <c r="F195" s="25">
        <v>76</v>
      </c>
      <c r="G195" s="4"/>
    </row>
    <row r="196" spans="1:7" ht="15.75">
      <c r="A196" s="16"/>
      <c r="B196" s="29"/>
      <c r="C196" s="34"/>
      <c r="D196" s="34"/>
      <c r="E196" s="24"/>
      <c r="F196" s="25"/>
      <c r="G196" s="4"/>
    </row>
    <row r="197" spans="1:7" ht="15.75">
      <c r="A197" s="28" t="s">
        <v>55</v>
      </c>
      <c r="B197" s="29"/>
      <c r="C197" s="34"/>
      <c r="D197" s="34"/>
      <c r="E197" s="24"/>
      <c r="F197" s="25"/>
      <c r="G197" s="4"/>
    </row>
    <row r="198" spans="1:7" ht="15.75">
      <c r="A198" s="51" t="s">
        <v>22</v>
      </c>
      <c r="B198" s="29">
        <f>2763+5</f>
        <v>2768</v>
      </c>
      <c r="C198" s="34">
        <v>30</v>
      </c>
      <c r="D198" s="34">
        <v>1207</v>
      </c>
      <c r="E198" s="24"/>
      <c r="F198" s="25">
        <v>189</v>
      </c>
      <c r="G198" s="4"/>
    </row>
    <row r="199" spans="1:7" ht="15.75">
      <c r="A199" s="51" t="s">
        <v>23</v>
      </c>
      <c r="B199" s="29">
        <f>1613+5</f>
        <v>1618</v>
      </c>
      <c r="C199" s="34">
        <v>48</v>
      </c>
      <c r="D199" s="34">
        <v>1657</v>
      </c>
      <c r="E199" s="24"/>
      <c r="F199" s="25">
        <v>190</v>
      </c>
      <c r="G199" s="4"/>
    </row>
    <row r="200" spans="1:7" ht="15.75">
      <c r="A200" s="51" t="s">
        <v>24</v>
      </c>
      <c r="B200" s="29">
        <f>2504+3</f>
        <v>2507</v>
      </c>
      <c r="C200" s="34">
        <v>0</v>
      </c>
      <c r="D200" s="34">
        <v>2156</v>
      </c>
      <c r="E200" s="24"/>
      <c r="F200" s="25">
        <v>179</v>
      </c>
      <c r="G200" s="4"/>
    </row>
    <row r="201" spans="1:7" ht="15.75">
      <c r="A201" s="51" t="s">
        <v>15</v>
      </c>
      <c r="B201" s="29">
        <f>1166+10</f>
        <v>1176</v>
      </c>
      <c r="C201" s="34">
        <v>55</v>
      </c>
      <c r="D201" s="34">
        <v>1037</v>
      </c>
      <c r="E201" s="24"/>
      <c r="F201" s="25">
        <f>301+2</f>
        <v>303</v>
      </c>
      <c r="G201" s="4"/>
    </row>
    <row r="202" spans="1:7" ht="15.75">
      <c r="A202" s="51" t="s">
        <v>16</v>
      </c>
      <c r="B202" s="29">
        <f>432+7</f>
        <v>439</v>
      </c>
      <c r="C202" s="34">
        <v>27</v>
      </c>
      <c r="D202" s="34">
        <v>716</v>
      </c>
      <c r="E202" s="24"/>
      <c r="F202" s="25">
        <v>108</v>
      </c>
      <c r="G202" s="4"/>
    </row>
    <row r="203" spans="1:7" ht="15.75">
      <c r="A203" s="51" t="s">
        <v>17</v>
      </c>
      <c r="B203" s="29">
        <f>1044+2</f>
        <v>1046</v>
      </c>
      <c r="C203" s="34">
        <v>39</v>
      </c>
      <c r="D203" s="34">
        <f>743+2</f>
        <v>745</v>
      </c>
      <c r="E203" s="24"/>
      <c r="F203" s="25">
        <v>189</v>
      </c>
      <c r="G203" s="4"/>
    </row>
    <row r="204" spans="1:7" ht="15.75">
      <c r="A204" s="51" t="s">
        <v>18</v>
      </c>
      <c r="B204" s="29">
        <f>1498+2</f>
        <v>1500</v>
      </c>
      <c r="C204" s="34">
        <v>16</v>
      </c>
      <c r="D204" s="34">
        <f>1288-2</f>
        <v>1286</v>
      </c>
      <c r="E204" s="24"/>
      <c r="F204" s="25">
        <v>229</v>
      </c>
      <c r="G204" s="4"/>
    </row>
    <row r="205" spans="1:7" ht="15.75">
      <c r="A205" s="51" t="s">
        <v>19</v>
      </c>
      <c r="B205" s="29">
        <f>2283+7</f>
        <v>2290</v>
      </c>
      <c r="C205" s="34">
        <v>40</v>
      </c>
      <c r="D205" s="34">
        <f>1998-5</f>
        <v>1993</v>
      </c>
      <c r="E205" s="24"/>
      <c r="F205" s="25">
        <v>102</v>
      </c>
      <c r="G205" s="4"/>
    </row>
    <row r="206" spans="1:7" ht="15.75">
      <c r="A206" s="51" t="s">
        <v>44</v>
      </c>
      <c r="B206" s="29">
        <f>2790-1</f>
        <v>2789</v>
      </c>
      <c r="C206" s="34">
        <v>3</v>
      </c>
      <c r="D206" s="34">
        <f>2466-5</f>
        <v>2461</v>
      </c>
      <c r="E206" s="24"/>
      <c r="F206" s="25">
        <f>179-1</f>
        <v>178</v>
      </c>
      <c r="G206" s="4"/>
    </row>
    <row r="207" spans="1:7" ht="15.75">
      <c r="A207" s="51" t="s">
        <v>34</v>
      </c>
      <c r="B207" s="29">
        <f>1915+9</f>
        <v>1924</v>
      </c>
      <c r="C207" s="34">
        <v>28</v>
      </c>
      <c r="D207" s="34">
        <f>1695-4</f>
        <v>1691</v>
      </c>
      <c r="E207" s="24"/>
      <c r="F207" s="25">
        <v>113</v>
      </c>
      <c r="G207" s="4"/>
    </row>
    <row r="208" spans="1:7" ht="15.75">
      <c r="A208" s="51" t="s">
        <v>45</v>
      </c>
      <c r="B208" s="29">
        <f>2823+8</f>
        <v>2831</v>
      </c>
      <c r="C208" s="34">
        <v>5</v>
      </c>
      <c r="D208" s="34">
        <f>2180-4</f>
        <v>2176</v>
      </c>
      <c r="E208" s="24"/>
      <c r="F208" s="25">
        <v>110</v>
      </c>
      <c r="G208" s="4"/>
    </row>
    <row r="209" spans="1:7" ht="15.75">
      <c r="A209" s="51" t="s">
        <v>21</v>
      </c>
      <c r="B209" s="29">
        <f>2446+8</f>
        <v>2454</v>
      </c>
      <c r="C209" s="34">
        <v>45</v>
      </c>
      <c r="D209" s="34">
        <f>2360-2</f>
        <v>2358</v>
      </c>
      <c r="E209" s="24"/>
      <c r="F209" s="25">
        <v>76</v>
      </c>
      <c r="G209" s="4"/>
    </row>
    <row r="210" spans="1:7" ht="15.75">
      <c r="A210" s="51"/>
      <c r="B210" s="29"/>
      <c r="C210" s="34"/>
      <c r="D210" s="34"/>
      <c r="E210" s="24"/>
      <c r="F210" s="25"/>
      <c r="G210" s="4"/>
    </row>
    <row r="211" spans="1:7" ht="15.75">
      <c r="A211" s="28" t="s">
        <v>56</v>
      </c>
      <c r="B211" s="29"/>
      <c r="C211" s="34"/>
      <c r="D211" s="34"/>
      <c r="E211" s="24"/>
      <c r="F211" s="25"/>
      <c r="G211" s="4"/>
    </row>
    <row r="212" spans="1:7" ht="15.75">
      <c r="A212" s="51" t="s">
        <v>22</v>
      </c>
      <c r="B212" s="29">
        <f>2441+11-40</f>
        <v>2412</v>
      </c>
      <c r="C212" s="34">
        <f>19+1</f>
        <v>20</v>
      </c>
      <c r="D212" s="34">
        <f>1881-3</f>
        <v>1878</v>
      </c>
      <c r="E212" s="24"/>
      <c r="F212" s="25">
        <f>113+1</f>
        <v>114</v>
      </c>
      <c r="G212" s="4"/>
    </row>
    <row r="213" spans="1:7" ht="15.75">
      <c r="A213" s="51" t="s">
        <v>23</v>
      </c>
      <c r="B213" s="29">
        <f>1924+14</f>
        <v>1938</v>
      </c>
      <c r="C213" s="34">
        <f>17+1</f>
        <v>18</v>
      </c>
      <c r="D213" s="34">
        <v>1527</v>
      </c>
      <c r="E213" s="24"/>
      <c r="F213" s="25">
        <v>186</v>
      </c>
      <c r="G213" s="4"/>
    </row>
    <row r="214" spans="1:7" ht="15.75">
      <c r="A214" s="51" t="s">
        <v>24</v>
      </c>
      <c r="B214" s="29">
        <f>3226+15</f>
        <v>3241</v>
      </c>
      <c r="C214" s="34">
        <f>34+1</f>
        <v>35</v>
      </c>
      <c r="D214" s="34">
        <v>2673</v>
      </c>
      <c r="E214" s="24"/>
      <c r="F214" s="25">
        <f>151+3</f>
        <v>154</v>
      </c>
      <c r="G214" s="4"/>
    </row>
    <row r="215" spans="1:7" ht="15.75">
      <c r="A215" s="51" t="s">
        <v>15</v>
      </c>
      <c r="B215" s="29">
        <f>3180+13</f>
        <v>3193</v>
      </c>
      <c r="C215" s="34">
        <f>42-2</f>
        <v>40</v>
      </c>
      <c r="D215" s="34">
        <f>3540-4</f>
        <v>3536</v>
      </c>
      <c r="E215" s="24"/>
      <c r="F215" s="25">
        <f>75-3</f>
        <v>72</v>
      </c>
      <c r="G215" s="4"/>
    </row>
    <row r="216" spans="1:7" ht="15.75">
      <c r="A216" s="16"/>
      <c r="B216" s="29"/>
      <c r="C216" s="34"/>
      <c r="D216" s="34"/>
      <c r="E216" s="42"/>
      <c r="F216" s="25"/>
      <c r="G216" s="4"/>
    </row>
    <row r="217" spans="1:6" ht="15.75">
      <c r="A217" s="6"/>
      <c r="B217" s="7"/>
      <c r="C217" s="7"/>
      <c r="D217" s="7"/>
      <c r="E217" s="43"/>
      <c r="F217" s="44"/>
    </row>
    <row r="218" spans="1:6" ht="15.75">
      <c r="A218" s="9" t="s">
        <v>31</v>
      </c>
      <c r="B218" s="10"/>
      <c r="C218" s="10"/>
      <c r="D218" s="10"/>
      <c r="E218" s="10"/>
      <c r="F218" s="45"/>
    </row>
    <row r="219" spans="1:6" ht="15.75" hidden="1">
      <c r="A219" s="46" t="s">
        <v>40</v>
      </c>
      <c r="B219" s="10"/>
      <c r="C219" s="10"/>
      <c r="D219" s="10"/>
      <c r="E219" s="10"/>
      <c r="F219" s="12"/>
    </row>
    <row r="220" spans="1:6" ht="15.75" hidden="1">
      <c r="A220" s="46" t="s">
        <v>36</v>
      </c>
      <c r="B220" s="10"/>
      <c r="C220" s="10"/>
      <c r="D220" s="10"/>
      <c r="E220" s="10"/>
      <c r="F220" s="12"/>
    </row>
    <row r="221" spans="1:6" ht="15.75">
      <c r="A221" s="9"/>
      <c r="B221" s="10"/>
      <c r="C221" s="10"/>
      <c r="D221" s="10"/>
      <c r="E221" s="10"/>
      <c r="F221" s="12"/>
    </row>
    <row r="222" spans="1:6" ht="15.75">
      <c r="A222" s="54" t="s">
        <v>28</v>
      </c>
      <c r="B222" s="10"/>
      <c r="C222" s="10"/>
      <c r="D222" s="10"/>
      <c r="E222" s="10"/>
      <c r="F222" s="12"/>
    </row>
    <row r="223" spans="1:6" ht="15.75">
      <c r="A223" s="47"/>
      <c r="B223" s="48"/>
      <c r="C223" s="48"/>
      <c r="D223" s="14"/>
      <c r="E223" s="49"/>
      <c r="F223" s="50"/>
    </row>
    <row r="224" spans="2:6" ht="15.75">
      <c r="B224" s="2"/>
      <c r="C224" s="2"/>
      <c r="E224" s="1"/>
      <c r="F224" s="1"/>
    </row>
    <row r="225" spans="5:6" ht="15.75">
      <c r="E225" s="1"/>
      <c r="F225" s="1"/>
    </row>
  </sheetData>
  <sheetProtection/>
  <mergeCells count="2">
    <mergeCell ref="A4:F4"/>
    <mergeCell ref="A5:F5"/>
  </mergeCells>
  <printOptions/>
  <pageMargins left="1.220472440944882" right="0.5118110236220472" top="1.220472440944882" bottom="0.5118110236220472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NKUNZIMANA Léonard</cp:lastModifiedBy>
  <cp:lastPrinted>2014-05-27T09:18:33Z</cp:lastPrinted>
  <dcterms:created xsi:type="dcterms:W3CDTF">2000-08-22T08:22:46Z</dcterms:created>
  <dcterms:modified xsi:type="dcterms:W3CDTF">2017-07-11T14:21:36Z</dcterms:modified>
  <cp:category/>
  <cp:version/>
  <cp:contentType/>
  <cp:contentStatus/>
</cp:coreProperties>
</file>