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549\Desktop\DOCUMENTS AUTRES\DOCSTATBRB\KCB 2022 ET SWIFT\REAL DATA\FEBRUARY 2024 SECTEUR REEL BULL ANGLAIS\"/>
    </mc:Choice>
  </mc:AlternateContent>
  <bookViews>
    <workbookView xWindow="0" yWindow="0" windowWidth="19200" windowHeight="6350"/>
  </bookViews>
  <sheets>
    <sheet name="V,5 Engl" sheetId="4" r:id="rId1"/>
  </sheets>
  <definedNames>
    <definedName name="_xlnm.Print_Area" localSheetId="0">'V,5 Engl'!$A$1:$E$515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C436" i="4" l="1"/>
  <c r="D436" i="4"/>
  <c r="E436" i="4"/>
  <c r="B436" i="4"/>
  <c r="C434" i="4" l="1"/>
  <c r="D434" i="4"/>
  <c r="E434" i="4"/>
  <c r="C435" i="4"/>
  <c r="D435" i="4"/>
  <c r="E435" i="4"/>
  <c r="B435" i="4"/>
  <c r="B434" i="4"/>
  <c r="C432" i="4" l="1"/>
  <c r="D432" i="4"/>
  <c r="E432" i="4"/>
  <c r="B432" i="4"/>
  <c r="E311" i="4"/>
  <c r="D311" i="4"/>
  <c r="C311" i="4"/>
  <c r="B311" i="4"/>
  <c r="E431" i="4" l="1"/>
  <c r="D431" i="4"/>
  <c r="C431" i="4"/>
  <c r="B431" i="4"/>
  <c r="C429" i="4" l="1"/>
  <c r="D429" i="4"/>
  <c r="E429" i="4"/>
  <c r="B429" i="4"/>
  <c r="E426" i="4" l="1"/>
  <c r="D426" i="4"/>
  <c r="C426" i="4"/>
  <c r="B426" i="4"/>
  <c r="E424" i="4" l="1"/>
  <c r="D424" i="4"/>
  <c r="C424" i="4"/>
  <c r="B424" i="4"/>
  <c r="E423" i="4" l="1"/>
  <c r="E304" i="4" s="1"/>
  <c r="D423" i="4"/>
  <c r="D304" i="4" s="1"/>
  <c r="C423" i="4"/>
  <c r="C304" i="4" s="1"/>
  <c r="B423" i="4"/>
  <c r="B304" i="4" s="1"/>
  <c r="B197" i="4" l="1"/>
  <c r="B198" i="4"/>
  <c r="B199" i="4"/>
  <c r="B200" i="4"/>
  <c r="B201" i="4"/>
  <c r="B202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92" i="4"/>
  <c r="B293" i="4"/>
  <c r="B294" i="4"/>
  <c r="B295" i="4"/>
  <c r="B296" i="4"/>
  <c r="C420" i="4" l="1"/>
  <c r="D420" i="4"/>
  <c r="E420" i="4"/>
  <c r="B420" i="4"/>
  <c r="B291" i="4" s="1"/>
  <c r="C419" i="4" l="1"/>
  <c r="D419" i="4"/>
  <c r="E419" i="4"/>
  <c r="B419" i="4"/>
  <c r="B290" i="4" s="1"/>
  <c r="C418" i="4" l="1"/>
  <c r="C297" i="4" s="1"/>
  <c r="D418" i="4"/>
  <c r="D297" i="4" s="1"/>
  <c r="E418" i="4"/>
  <c r="E297" i="4" s="1"/>
  <c r="B418" i="4"/>
  <c r="C287" i="4"/>
  <c r="D287" i="4"/>
  <c r="E287" i="4"/>
  <c r="C288" i="4"/>
  <c r="D288" i="4"/>
  <c r="E288" i="4"/>
  <c r="C289" i="4"/>
  <c r="D289" i="4"/>
  <c r="E289" i="4"/>
  <c r="C290" i="4"/>
  <c r="D290" i="4"/>
  <c r="E290" i="4"/>
  <c r="C315" i="4"/>
  <c r="D315" i="4"/>
  <c r="E315" i="4"/>
  <c r="B315" i="4"/>
  <c r="C314" i="4"/>
  <c r="D314" i="4"/>
  <c r="E314" i="4"/>
  <c r="B314" i="4"/>
  <c r="B317" i="4"/>
  <c r="B316" i="4"/>
  <c r="C282" i="4"/>
  <c r="D282" i="4"/>
  <c r="E282" i="4"/>
  <c r="C275" i="4"/>
  <c r="D275" i="4"/>
  <c r="E275" i="4"/>
  <c r="C276" i="4"/>
  <c r="D276" i="4"/>
  <c r="E276" i="4"/>
  <c r="C277" i="4"/>
  <c r="D277" i="4"/>
  <c r="E277" i="4"/>
  <c r="C278" i="4"/>
  <c r="D278" i="4"/>
  <c r="E278" i="4"/>
  <c r="C317" i="4"/>
  <c r="D317" i="4"/>
  <c r="E317" i="4"/>
  <c r="C316" i="4"/>
  <c r="D316" i="4"/>
  <c r="E316" i="4"/>
  <c r="E295" i="4"/>
  <c r="D295" i="4"/>
  <c r="D294" i="4"/>
  <c r="E294" i="4"/>
  <c r="D284" i="4"/>
  <c r="E284" i="4"/>
  <c r="C284" i="4"/>
  <c r="D283" i="4"/>
  <c r="C283" i="4"/>
  <c r="E281" i="4"/>
  <c r="C281" i="4"/>
  <c r="D281" i="4"/>
  <c r="E340" i="4"/>
  <c r="D340" i="4"/>
  <c r="D243" i="4" s="1"/>
  <c r="B340" i="4"/>
  <c r="B211" i="4" s="1"/>
  <c r="E339" i="4"/>
  <c r="B339" i="4"/>
  <c r="E338" i="4"/>
  <c r="E242" i="4" s="1"/>
  <c r="D338" i="4"/>
  <c r="C338" i="4"/>
  <c r="C242" i="4" s="1"/>
  <c r="B338" i="4"/>
  <c r="D337" i="4"/>
  <c r="B337" i="4"/>
  <c r="D336" i="4"/>
  <c r="B336" i="4"/>
  <c r="E335" i="4"/>
  <c r="D335" i="4"/>
  <c r="D241" i="4" s="1"/>
  <c r="B335" i="4"/>
  <c r="E334" i="4"/>
  <c r="E333" i="4"/>
  <c r="E325" i="4"/>
  <c r="E237" i="4" s="1"/>
  <c r="D325" i="4"/>
  <c r="D237" i="4" s="1"/>
  <c r="B325" i="4"/>
  <c r="B196" i="4" s="1"/>
  <c r="D324" i="4"/>
  <c r="D236" i="4" s="1"/>
  <c r="C324" i="4"/>
  <c r="B324" i="4"/>
  <c r="E323" i="4"/>
  <c r="C323" i="4"/>
  <c r="B323" i="4"/>
  <c r="E322" i="4"/>
  <c r="C322" i="4"/>
  <c r="B322" i="4"/>
  <c r="E321" i="4"/>
  <c r="E235" i="4" s="1"/>
  <c r="D320" i="4"/>
  <c r="D235" i="4" s="1"/>
  <c r="B320" i="4"/>
  <c r="B319" i="4"/>
  <c r="E296" i="4"/>
  <c r="C296" i="4"/>
  <c r="C295" i="4"/>
  <c r="C294" i="4"/>
  <c r="E293" i="4"/>
  <c r="D293" i="4"/>
  <c r="C293" i="4"/>
  <c r="E283" i="4"/>
  <c r="E272" i="4"/>
  <c r="D272" i="4"/>
  <c r="C272" i="4"/>
  <c r="E271" i="4"/>
  <c r="D271" i="4"/>
  <c r="C271" i="4"/>
  <c r="E270" i="4"/>
  <c r="C270" i="4"/>
  <c r="E269" i="4"/>
  <c r="E231" i="4" s="1"/>
  <c r="C269" i="4"/>
  <c r="C231" i="4" s="1"/>
  <c r="E265" i="4"/>
  <c r="E230" i="4" s="1"/>
  <c r="E244" i="4"/>
  <c r="D244" i="4"/>
  <c r="C244" i="4"/>
  <c r="C243" i="4"/>
  <c r="C241" i="4"/>
  <c r="E238" i="4"/>
  <c r="D238" i="4"/>
  <c r="C238" i="4"/>
  <c r="C237" i="4"/>
  <c r="C235" i="4"/>
  <c r="D231" i="4"/>
  <c r="D230" i="4"/>
  <c r="C230" i="4"/>
  <c r="E229" i="4"/>
  <c r="D229" i="4"/>
  <c r="C229" i="4"/>
  <c r="D128" i="4"/>
  <c r="B128" i="4"/>
  <c r="E127" i="4"/>
  <c r="D127" i="4"/>
  <c r="B127" i="4"/>
  <c r="D126" i="4"/>
  <c r="B126" i="4"/>
  <c r="D125" i="4"/>
  <c r="B125" i="4"/>
  <c r="D124" i="4"/>
  <c r="C124" i="4"/>
  <c r="B124" i="4"/>
  <c r="D123" i="4"/>
  <c r="B123" i="4"/>
  <c r="D122" i="4"/>
  <c r="B122" i="4"/>
  <c r="D121" i="4"/>
  <c r="B121" i="4"/>
  <c r="D120" i="4"/>
  <c r="B120" i="4"/>
  <c r="D119" i="4"/>
  <c r="B119" i="4"/>
  <c r="D118" i="4"/>
  <c r="B118" i="4"/>
  <c r="D117" i="4"/>
  <c r="B117" i="4"/>
  <c r="E97" i="4"/>
  <c r="D97" i="4"/>
  <c r="B97" i="4"/>
  <c r="D96" i="4"/>
  <c r="B96" i="4"/>
  <c r="D95" i="4"/>
  <c r="B95" i="4"/>
  <c r="D94" i="4"/>
  <c r="B94" i="4"/>
  <c r="D93" i="4"/>
  <c r="B93" i="4"/>
  <c r="E92" i="4"/>
  <c r="D92" i="4"/>
  <c r="B92" i="4"/>
  <c r="D91" i="4"/>
  <c r="B91" i="4"/>
  <c r="D90" i="4"/>
  <c r="B90" i="4"/>
  <c r="D89" i="4"/>
  <c r="B89" i="4"/>
  <c r="D88" i="4"/>
  <c r="B88" i="4"/>
  <c r="D87" i="4"/>
  <c r="B87" i="4"/>
  <c r="D86" i="4"/>
  <c r="B86" i="4"/>
  <c r="G84" i="4"/>
  <c r="C84" i="4"/>
  <c r="D80" i="4"/>
  <c r="B80" i="4"/>
  <c r="D79" i="4"/>
  <c r="B79" i="4"/>
  <c r="D78" i="4"/>
  <c r="B78" i="4"/>
  <c r="D77" i="4"/>
  <c r="B77" i="4"/>
  <c r="D76" i="4"/>
  <c r="B76" i="4"/>
  <c r="D75" i="4"/>
  <c r="B75" i="4"/>
  <c r="D74" i="4"/>
  <c r="B74" i="4"/>
  <c r="D73" i="4"/>
  <c r="B73" i="4"/>
  <c r="D72" i="4"/>
  <c r="B72" i="4"/>
  <c r="D71" i="4"/>
  <c r="B71" i="4"/>
  <c r="D70" i="4"/>
  <c r="B70" i="4"/>
  <c r="D69" i="4"/>
  <c r="B69" i="4"/>
  <c r="D66" i="4"/>
  <c r="B66" i="4"/>
  <c r="D65" i="4"/>
  <c r="B65" i="4"/>
  <c r="D64" i="4"/>
  <c r="B64" i="4"/>
  <c r="D63" i="4"/>
  <c r="B63" i="4"/>
  <c r="D44" i="4"/>
  <c r="B44" i="4"/>
  <c r="D43" i="4"/>
  <c r="B43" i="4"/>
  <c r="D42" i="4"/>
  <c r="B42" i="4"/>
  <c r="D41" i="4"/>
  <c r="B41" i="4"/>
  <c r="D38" i="4"/>
  <c r="B38" i="4"/>
  <c r="D37" i="4"/>
  <c r="B37" i="4"/>
  <c r="D36" i="4"/>
  <c r="B36" i="4"/>
  <c r="D35" i="4"/>
  <c r="B35" i="4"/>
  <c r="B179" i="4"/>
  <c r="D296" i="4"/>
  <c r="B207" i="4" l="1"/>
  <c r="B210" i="4"/>
  <c r="E236" i="4"/>
  <c r="E177" i="4" s="1"/>
  <c r="E243" i="4"/>
  <c r="B187" i="4"/>
  <c r="E232" i="4"/>
  <c r="B188" i="4"/>
  <c r="B194" i="4"/>
  <c r="D242" i="4"/>
  <c r="D178" i="4" s="1"/>
  <c r="C179" i="4"/>
  <c r="B189" i="4"/>
  <c r="B190" i="4"/>
  <c r="C236" i="4"/>
  <c r="C177" i="4" s="1"/>
  <c r="B208" i="4"/>
  <c r="B191" i="4"/>
  <c r="B195" i="4"/>
  <c r="B209" i="4"/>
  <c r="E179" i="4"/>
  <c r="B203" i="4"/>
  <c r="B205" i="4"/>
  <c r="B204" i="4"/>
  <c r="B206" i="4"/>
  <c r="B186" i="4"/>
  <c r="B297" i="4"/>
  <c r="B286" i="4"/>
  <c r="B287" i="4"/>
  <c r="B288" i="4"/>
  <c r="B289" i="4"/>
  <c r="B193" i="4"/>
  <c r="B192" i="4"/>
  <c r="D180" i="4"/>
  <c r="B176" i="4"/>
  <c r="B177" i="4"/>
  <c r="B178" i="4"/>
  <c r="E185" i="4"/>
  <c r="D179" i="4"/>
  <c r="B185" i="4"/>
  <c r="B180" i="4"/>
  <c r="C178" i="4"/>
  <c r="C232" i="4"/>
  <c r="E180" i="4"/>
  <c r="D176" i="4"/>
  <c r="C180" i="4"/>
  <c r="B84" i="4"/>
  <c r="E241" i="4"/>
  <c r="D185" i="4"/>
  <c r="D84" i="4"/>
  <c r="C185" i="4"/>
  <c r="D177" i="4"/>
  <c r="C176" i="4"/>
  <c r="E176" i="4"/>
  <c r="D232" i="4"/>
  <c r="E178" i="4" l="1"/>
</calcChain>
</file>

<file path=xl/sharedStrings.xml><?xml version="1.0" encoding="utf-8"?>
<sst xmlns="http://schemas.openxmlformats.org/spreadsheetml/2006/main" count="421" uniqueCount="102">
  <si>
    <t xml:space="preserve"> </t>
  </si>
  <si>
    <t xml:space="preserve">  J.P.1</t>
  </si>
  <si>
    <t>1995</t>
  </si>
  <si>
    <t>1996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</si>
  <si>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</si>
  <si>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</si>
  <si>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</si>
  <si>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</si>
  <si>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</si>
  <si>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</si>
  <si>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</si>
  <si>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</si>
  <si>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</si>
  <si>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</si>
  <si>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</si>
  <si>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</si>
  <si>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</si>
  <si>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</si>
  <si>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</si>
  <si>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</si>
  <si>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</si>
  <si>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</si>
  <si>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>2000</t>
  </si>
  <si>
    <t xml:space="preserve">  Janvier</t>
  </si>
  <si>
    <t xml:space="preserve">  Février</t>
  </si>
  <si>
    <t xml:space="preserve">  Mars</t>
  </si>
  <si>
    <t>2001</t>
  </si>
  <si>
    <t>2002</t>
  </si>
  <si>
    <t>1999(2)</t>
  </si>
  <si>
    <t>Source: S.E.P.</t>
  </si>
  <si>
    <t xml:space="preserve">  Janvier*</t>
  </si>
  <si>
    <t xml:space="preserve">  Février*</t>
  </si>
  <si>
    <t xml:space="preserve">  Mars*</t>
  </si>
  <si>
    <t>2003</t>
  </si>
  <si>
    <t xml:space="preserve">  Avril*</t>
  </si>
  <si>
    <t xml:space="preserve">  Mai*</t>
  </si>
  <si>
    <t xml:space="preserve">  Juin*</t>
  </si>
  <si>
    <t xml:space="preserve">  Juillet*</t>
  </si>
  <si>
    <t xml:space="preserve">  Août*</t>
  </si>
  <si>
    <t xml:space="preserve">  Septembre *</t>
  </si>
  <si>
    <t xml:space="preserve">  Octobre*  </t>
  </si>
  <si>
    <t xml:space="preserve">  Novembre*  </t>
  </si>
  <si>
    <t xml:space="preserve">  Décembre*</t>
  </si>
  <si>
    <t>2003*</t>
  </si>
  <si>
    <t>2004</t>
  </si>
  <si>
    <t>2005</t>
  </si>
  <si>
    <t xml:space="preserve">  Octobre</t>
  </si>
  <si>
    <t xml:space="preserve">  Novembre </t>
  </si>
  <si>
    <t>2006</t>
  </si>
  <si>
    <t>V.5</t>
  </si>
  <si>
    <t>2007</t>
  </si>
  <si>
    <t>2008</t>
  </si>
  <si>
    <t>2009</t>
  </si>
  <si>
    <t>Fuel</t>
  </si>
  <si>
    <t>Period</t>
  </si>
  <si>
    <t xml:space="preserve">                   Product</t>
  </si>
  <si>
    <t>Premium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</si>
  <si>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</si>
  <si>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</si>
  <si>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</si>
  <si>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</si>
  <si>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</si>
  <si>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</si>
  <si>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</si>
  <si>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</si>
  <si>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</si>
  <si>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</si>
  <si>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</si>
  <si>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</si>
  <si>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</si>
  <si>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</si>
  <si>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</si>
  <si>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</si>
  <si>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                            (in thousands of  liter)</t>
  </si>
  <si>
    <t>2010</t>
  </si>
  <si>
    <t>2011</t>
  </si>
  <si>
    <t>2012</t>
  </si>
  <si>
    <t>2013</t>
  </si>
  <si>
    <t>Petroleum Oil</t>
  </si>
  <si>
    <t xml:space="preserve">  Fuel oil</t>
  </si>
  <si>
    <t>for lamps</t>
  </si>
  <si>
    <r>
      <t>2000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</si>
  <si>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2001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</si>
  <si>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</si>
  <si>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</si>
  <si>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</si>
  <si>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</si>
  <si>
    <t>2017</t>
  </si>
  <si>
    <t xml:space="preserve">                              CONSUMPTION OF MAIN PETROLEUM PRODUCTS  (1)</t>
  </si>
  <si>
    <t xml:space="preserve"> (1): Quantity received by S.E.P. Bujumbura </t>
  </si>
  <si>
    <t xml:space="preserve"> (2): y compris les données de la S.E.P. Gitega </t>
  </si>
  <si>
    <t xml:space="preserve"> (*): Non compris les données de la S.E.P. Gitega à partir de l'année 2003</t>
  </si>
  <si>
    <t>2018</t>
  </si>
  <si>
    <t>2019</t>
  </si>
  <si>
    <r>
      <t xml:space="preserve">  1</t>
    </r>
    <r>
      <rPr>
        <vertAlign val="superscript"/>
        <sz val="12"/>
        <rFont val="Helv"/>
      </rPr>
      <t>st</t>
    </r>
    <r>
      <rPr>
        <sz val="12"/>
        <rFont val="Helv"/>
      </rPr>
      <t xml:space="preserve">  Quarter.</t>
    </r>
  </si>
  <si>
    <r>
      <t xml:space="preserve">  2</t>
    </r>
    <r>
      <rPr>
        <vertAlign val="superscript"/>
        <sz val="12"/>
        <rFont val="Helv"/>
      </rPr>
      <t>nd</t>
    </r>
    <r>
      <rPr>
        <sz val="12"/>
        <rFont val="Helv"/>
      </rPr>
      <t xml:space="preserve"> Quarter.</t>
    </r>
  </si>
  <si>
    <r>
      <t xml:space="preserve">  3</t>
    </r>
    <r>
      <rPr>
        <vertAlign val="superscript"/>
        <sz val="12"/>
        <rFont val="Helv"/>
      </rPr>
      <t>rd</t>
    </r>
    <r>
      <rPr>
        <sz val="12"/>
        <rFont val="Helv"/>
      </rPr>
      <t xml:space="preserve"> Quarter.</t>
    </r>
  </si>
  <si>
    <r>
      <t xml:space="preserve">  4</t>
    </r>
    <r>
      <rPr>
        <vertAlign val="superscript"/>
        <sz val="12"/>
        <rFont val="Helv"/>
      </rPr>
      <t>th</t>
    </r>
    <r>
      <rPr>
        <sz val="12"/>
        <rFont val="Helv"/>
      </rPr>
      <t xml:space="preserve"> Quarter.</t>
    </r>
  </si>
  <si>
    <t xml:space="preserve">  1st  Quarter.</t>
  </si>
  <si>
    <t xml:space="preserve">  3rd Quarter.</t>
  </si>
  <si>
    <t xml:space="preserve">November </t>
  </si>
  <si>
    <r>
      <t xml:space="preserve">  3r</t>
    </r>
    <r>
      <rPr>
        <vertAlign val="superscript"/>
        <sz val="12"/>
        <rFont val="Helv"/>
      </rPr>
      <t>d</t>
    </r>
    <r>
      <rPr>
        <sz val="12"/>
        <rFont val="Helv"/>
      </rPr>
      <t xml:space="preserve"> Quarter.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</si>
</sst>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8" x14ac:knownFonts="1">
    <font>
      <sz val="12"/>
      <name val="Helv"/>
    </font>
    <font>
      <sz val="11"/>
      <color theme="1"/>
      <name val="Calibri"/>
      <family val="2"/>
      <scheme val="minor"/>
    </font>
    <font>
      <sz val="12"/>
      <name val="Calibri"/>
      <family val="2"/>
    </font>
    <font>
      <vertAlign val="superscript"/>
      <sz val="12"/>
      <name val="Calibri"/>
      <family val="2"/>
    </font>
    <font>
      <vertAlign val="superscript"/>
      <sz val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37" fontId="0" fillId="0" borderId="0"/>
    <xf numFmtId="0" fontId="1" fillId="0" borderId="0"/>
    <xf numFmtId="37" fontId="7" fillId="0" borderId="0"/>
  </cellStyleXfs>
  <cellXfs count="64">
    <xf numFmtId="37" fontId="0" fillId="0" borderId="0" xfId="0"/>
    <xf numFmtId="37" fontId="0" fillId="0" borderId="0" xfId="0" applyNumberFormat="1" applyProtection="1"/>
    <xf numFmtId="164" fontId="0" fillId="0" borderId="0" xfId="0" applyNumberFormat="1" applyProtection="1"/>
    <xf numFmtId="37" fontId="0" fillId="0" borderId="1" xfId="0" applyBorder="1"/>
    <xf numFmtId="37" fontId="5" fillId="0" borderId="2" xfId="0" applyFont="1" applyBorder="1" applyAlignment="1"/>
    <xf numFmtId="37" fontId="5" fillId="0" borderId="3" xfId="0" applyFont="1" applyBorder="1" applyAlignment="1"/>
    <xf numFmtId="37" fontId="5" fillId="0" borderId="4" xfId="0" applyFont="1" applyBorder="1" applyAlignment="1"/>
    <xf numFmtId="37" fontId="5" fillId="0" borderId="5" xfId="0" applyFont="1" applyBorder="1" applyAlignment="1"/>
    <xf numFmtId="37" fontId="5" fillId="0" borderId="0" xfId="0" applyFont="1" applyBorder="1" applyAlignment="1"/>
    <xf numFmtId="37" fontId="6" fillId="0" borderId="6" xfId="0" applyFont="1" applyBorder="1" applyAlignment="1">
      <alignment horizontal="right"/>
    </xf>
    <xf numFmtId="37" fontId="5" fillId="0" borderId="6" xfId="0" applyFont="1" applyBorder="1" applyAlignment="1"/>
    <xf numFmtId="37" fontId="6" fillId="0" borderId="7" xfId="0" applyFont="1" applyBorder="1" applyAlignment="1"/>
    <xf numFmtId="37" fontId="5" fillId="0" borderId="8" xfId="0" applyFont="1" applyBorder="1" applyAlignment="1"/>
    <xf numFmtId="37" fontId="5" fillId="0" borderId="9" xfId="0" applyFont="1" applyBorder="1" applyAlignment="1"/>
    <xf numFmtId="37" fontId="5" fillId="0" borderId="1" xfId="0" applyFont="1" applyBorder="1" applyAlignment="1"/>
    <xf numFmtId="37" fontId="5" fillId="0" borderId="1" xfId="0" applyFont="1" applyBorder="1" applyAlignment="1">
      <alignment horizontal="center"/>
    </xf>
    <xf numFmtId="37" fontId="5" fillId="0" borderId="10" xfId="0" applyFont="1" applyBorder="1" applyAlignment="1"/>
    <xf numFmtId="37" fontId="5" fillId="0" borderId="11" xfId="0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</xf>
    <xf numFmtId="37" fontId="5" fillId="0" borderId="1" xfId="0" applyNumberFormat="1" applyFont="1" applyBorder="1" applyAlignment="1" applyProtection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7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37" fontId="5" fillId="0" borderId="1" xfId="0" quotePrefix="1" applyFont="1" applyBorder="1" applyAlignment="1">
      <alignment horizontal="left"/>
    </xf>
    <xf numFmtId="3" fontId="5" fillId="0" borderId="6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7" fontId="5" fillId="0" borderId="1" xfId="0" quotePrefix="1" applyFont="1" applyBorder="1" applyAlignment="1"/>
    <xf numFmtId="3" fontId="6" fillId="0" borderId="0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7" fontId="5" fillId="0" borderId="1" xfId="0" applyFont="1" applyBorder="1"/>
    <xf numFmtId="37" fontId="5" fillId="0" borderId="6" xfId="0" applyFont="1" applyBorder="1"/>
    <xf numFmtId="37" fontId="6" fillId="0" borderId="0" xfId="0" applyFont="1" applyBorder="1" applyAlignment="1">
      <alignment horizontal="center"/>
    </xf>
    <xf numFmtId="37" fontId="6" fillId="0" borderId="10" xfId="0" applyFont="1" applyFill="1" applyBorder="1" applyAlignment="1">
      <alignment horizontal="center"/>
    </xf>
    <xf numFmtId="37" fontId="5" fillId="0" borderId="4" xfId="0" applyNumberFormat="1" applyFont="1" applyBorder="1" applyAlignment="1" applyProtection="1"/>
    <xf numFmtId="37" fontId="5" fillId="0" borderId="7" xfId="0" applyFont="1" applyBorder="1" applyAlignment="1"/>
    <xf numFmtId="164" fontId="5" fillId="0" borderId="8" xfId="0" applyNumberFormat="1" applyFont="1" applyBorder="1" applyAlignment="1" applyProtection="1"/>
    <xf numFmtId="37" fontId="5" fillId="0" borderId="9" xfId="0" applyNumberFormat="1" applyFont="1" applyBorder="1" applyAlignment="1" applyProtection="1"/>
    <xf numFmtId="37" fontId="5" fillId="0" borderId="0" xfId="0" applyNumberFormat="1" applyFont="1" applyBorder="1" applyAlignment="1">
      <alignment horizontal="center"/>
    </xf>
    <xf numFmtId="37" fontId="5" fillId="0" borderId="1" xfId="0" applyNumberFormat="1" applyFont="1" applyBorder="1" applyAlignment="1">
      <alignment horizontal="center"/>
    </xf>
    <xf numFmtId="37" fontId="5" fillId="0" borderId="11" xfId="0" applyFont="1" applyBorder="1" applyAlignment="1"/>
    <xf numFmtId="37" fontId="5" fillId="0" borderId="1" xfId="0" applyFont="1" applyBorder="1" applyAlignment="1">
      <alignment horizontal="left" indent="1"/>
    </xf>
    <xf numFmtId="37" fontId="5" fillId="0" borderId="1" xfId="0" applyFont="1" applyBorder="1" applyAlignment="1">
      <alignment horizontal="left" indent="2"/>
    </xf>
    <xf numFmtId="37" fontId="6" fillId="0" borderId="1" xfId="0" applyFont="1" applyBorder="1" applyAlignment="1"/>
    <xf numFmtId="37" fontId="6" fillId="0" borderId="10" xfId="0" applyFont="1" applyBorder="1" applyAlignment="1"/>
    <xf numFmtId="37" fontId="6" fillId="0" borderId="5" xfId="0" applyFont="1" applyBorder="1" applyAlignment="1"/>
    <xf numFmtId="37" fontId="0" fillId="0" borderId="0" xfId="0" applyFill="1" applyBorder="1"/>
    <xf numFmtId="37" fontId="0" fillId="0" borderId="5" xfId="0" applyBorder="1"/>
    <xf numFmtId="37" fontId="0" fillId="0" borderId="0" xfId="0" applyBorder="1"/>
    <xf numFmtId="3" fontId="0" fillId="0" borderId="0" xfId="0" applyNumberFormat="1" applyFill="1" applyBorder="1" applyAlignment="1">
      <alignment horizontal="center"/>
    </xf>
    <xf numFmtId="37" fontId="5" fillId="0" borderId="6" xfId="0" applyNumberFormat="1" applyFont="1" applyBorder="1" applyAlignment="1" applyProtection="1"/>
    <xf numFmtId="37" fontId="5" fillId="0" borderId="5" xfId="0" applyFont="1" applyFill="1" applyBorder="1" applyAlignment="1"/>
    <xf numFmtId="37" fontId="0" fillId="0" borderId="0" xfId="0" applyBorder="1" applyAlignment="1">
      <alignment horizontal="left"/>
    </xf>
    <xf numFmtId="37" fontId="0" fillId="0" borderId="6" xfId="0" applyBorder="1"/>
    <xf numFmtId="37" fontId="5" fillId="0" borderId="0" xfId="0" applyFont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37" fontId="6" fillId="0" borderId="5" xfId="0" applyFont="1" applyBorder="1" applyAlignment="1">
      <alignment horizontal="center"/>
    </xf>
    <xf numFmtId="37" fontId="5" fillId="0" borderId="0" xfId="0" applyFont="1" applyBorder="1" applyAlignment="1">
      <alignment horizontal="center"/>
    </xf>
    <xf numFmtId="37" fontId="5" fillId="0" borderId="6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8987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8988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8989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8990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8991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8992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8993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8994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8995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8996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8997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8998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8999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9000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9001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9002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9003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9004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9005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9006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9007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9008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9009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9010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9011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9012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9013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9014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9015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9016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9017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9018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9019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9020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9021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9022" name="Line 2"/>
        <xdr:cNvSpPr>
          <a:spLocks noChangeShapeType="1"/>
        </xdr:cNvSpPr>
      </xdr:nvSpPr>
      <xdr:spPr bwMode="auto">
        <a:xfrm>
          <a:off x="9525" y="1209675"/>
          <a:ext cx="13430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7"/>
  <sheetViews>
    <sheetView showGridLines="0" tabSelected="1" zoomScaleNormal="100" workbookViewId="0">
      <pane xSplit="1" ySplit="182" topLeftCell="B504" activePane="bottomRight" state="frozen"/>
      <selection pane="topRight" activeCell="B1" sqref="B1"/>
      <selection pane="bottomLeft" activeCell="A183" sqref="A183"/>
      <selection pane="bottomRight" activeCell="G498" sqref="G498"/>
    </sheetView>
  </sheetViews>
  <sheetFormatPr baseColWidth="10" defaultColWidth="12.69140625" defaultRowHeight="15.5" x14ac:dyDescent="0.35"/>
  <cols>
    <col min="1" max="1" width="15.765625" customWidth="1"/>
    <col min="2" max="2" width="22.23046875" customWidth="1"/>
    <col min="3" max="3" width="20.3046875" customWidth="1"/>
    <col min="4" max="4" width="22" customWidth="1"/>
    <col min="5" max="5" width="23.765625" customWidth="1"/>
  </cols>
  <sheetData>
    <row r="1" spans="1:5" x14ac:dyDescent="0.35">
      <c r="A1" s="4"/>
      <c r="B1" s="5"/>
      <c r="C1" s="5"/>
      <c r="D1" s="5"/>
      <c r="E1" s="6"/>
    </row>
    <row r="2" spans="1:5" x14ac:dyDescent="0.35">
      <c r="A2" s="7" t="s">
        <v>0</v>
      </c>
      <c r="B2" s="8"/>
      <c r="C2" s="8"/>
      <c r="D2" s="8"/>
      <c r="E2" s="9" t="s">
        <v>49</v>
      </c>
    </row>
    <row r="3" spans="1:5" x14ac:dyDescent="0.35">
      <c r="A3" s="7"/>
      <c r="B3" s="8"/>
      <c r="C3" s="8"/>
      <c r="D3" s="8"/>
      <c r="E3" s="10"/>
    </row>
    <row r="4" spans="1:5" x14ac:dyDescent="0.35">
      <c r="A4" s="61" t="s">
        <v>88</v>
      </c>
      <c r="B4" s="62"/>
      <c r="C4" s="62"/>
      <c r="D4" s="62"/>
      <c r="E4" s="63"/>
    </row>
    <row r="5" spans="1:5" x14ac:dyDescent="0.35">
      <c r="A5" s="61" t="s">
        <v>73</v>
      </c>
      <c r="B5" s="62"/>
      <c r="C5" s="62"/>
      <c r="D5" s="62"/>
      <c r="E5" s="63"/>
    </row>
    <row r="6" spans="1:5" x14ac:dyDescent="0.35">
      <c r="A6" s="11"/>
      <c r="B6" s="12"/>
      <c r="C6" s="12"/>
      <c r="D6" s="12"/>
      <c r="E6" s="13"/>
    </row>
    <row r="7" spans="1:5" x14ac:dyDescent="0.35">
      <c r="A7" s="48" t="s">
        <v>55</v>
      </c>
      <c r="B7" s="43" t="s">
        <v>56</v>
      </c>
      <c r="C7" s="44" t="s">
        <v>78</v>
      </c>
      <c r="D7" s="44" t="s">
        <v>79</v>
      </c>
      <c r="E7" s="44" t="s">
        <v>1</v>
      </c>
    </row>
    <row r="8" spans="1:5" x14ac:dyDescent="0.35">
      <c r="A8" s="14"/>
      <c r="B8" s="43" t="s">
        <v>53</v>
      </c>
      <c r="C8" s="44" t="s">
        <v>80</v>
      </c>
      <c r="D8" s="44"/>
      <c r="E8" s="44"/>
    </row>
    <row r="9" spans="1:5" x14ac:dyDescent="0.35">
      <c r="A9" s="49" t="s">
        <v>54</v>
      </c>
      <c r="B9" s="12"/>
      <c r="C9" s="16"/>
      <c r="D9" s="16"/>
      <c r="E9" s="13"/>
    </row>
    <row r="10" spans="1:5" hidden="1" x14ac:dyDescent="0.35">
      <c r="A10" s="45"/>
      <c r="B10" s="59"/>
      <c r="C10" s="15"/>
      <c r="D10" s="15"/>
      <c r="E10" s="17"/>
    </row>
    <row r="11" spans="1:5" hidden="1" x14ac:dyDescent="0.35">
      <c r="A11" s="14" t="s">
        <v>2</v>
      </c>
      <c r="B11" s="18">
        <v>24737</v>
      </c>
      <c r="C11" s="19">
        <v>5403</v>
      </c>
      <c r="D11" s="19">
        <v>32479</v>
      </c>
      <c r="E11" s="19">
        <v>5600</v>
      </c>
    </row>
    <row r="12" spans="1:5" hidden="1" x14ac:dyDescent="0.35">
      <c r="A12" s="14" t="s">
        <v>3</v>
      </c>
      <c r="B12" s="59">
        <v>16894</v>
      </c>
      <c r="C12" s="15">
        <v>2014</v>
      </c>
      <c r="D12" s="15">
        <v>26317</v>
      </c>
      <c r="E12" s="15">
        <v>2972</v>
      </c>
    </row>
    <row r="13" spans="1:5" hidden="1" x14ac:dyDescent="0.35">
      <c r="A13" s="14" t="s">
        <v>4</v>
      </c>
      <c r="B13" s="20">
        <v>14573</v>
      </c>
      <c r="C13" s="21">
        <v>531</v>
      </c>
      <c r="D13" s="21">
        <v>21770</v>
      </c>
      <c r="E13" s="21">
        <v>2862</v>
      </c>
    </row>
    <row r="14" spans="1:5" hidden="1" x14ac:dyDescent="0.35">
      <c r="A14" s="14" t="s">
        <v>5</v>
      </c>
      <c r="B14" s="20">
        <v>23556</v>
      </c>
      <c r="C14" s="21">
        <v>2096</v>
      </c>
      <c r="D14" s="21">
        <v>23608</v>
      </c>
      <c r="E14" s="21">
        <v>2593</v>
      </c>
    </row>
    <row r="15" spans="1:5" hidden="1" x14ac:dyDescent="0.35">
      <c r="A15" s="22" t="s">
        <v>28</v>
      </c>
      <c r="B15" s="20">
        <v>29221</v>
      </c>
      <c r="C15" s="21">
        <v>1648</v>
      </c>
      <c r="D15" s="21">
        <v>30336</v>
      </c>
      <c r="E15" s="21">
        <v>2260</v>
      </c>
    </row>
    <row r="16" spans="1:5" ht="17.5" hidden="1" x14ac:dyDescent="0.35">
      <c r="A16" s="22" t="s">
        <v>81</v>
      </c>
      <c r="B16" s="20">
        <v>29684</v>
      </c>
      <c r="C16" s="21">
        <v>2401</v>
      </c>
      <c r="D16" s="21">
        <v>31711</v>
      </c>
      <c r="E16" s="21">
        <v>1729</v>
      </c>
    </row>
    <row r="17" spans="1:5" ht="17.5" hidden="1" x14ac:dyDescent="0.35">
      <c r="A17" s="22" t="s">
        <v>82</v>
      </c>
      <c r="B17" s="21">
        <v>29538</v>
      </c>
      <c r="C17" s="21">
        <v>2020</v>
      </c>
      <c r="D17" s="21">
        <v>32777</v>
      </c>
      <c r="E17" s="21">
        <v>2450</v>
      </c>
    </row>
    <row r="18" spans="1:5" ht="17.5" hidden="1" x14ac:dyDescent="0.35">
      <c r="A18" s="23" t="s">
        <v>83</v>
      </c>
      <c r="B18" s="21">
        <v>32089</v>
      </c>
      <c r="C18" s="21">
        <v>2203</v>
      </c>
      <c r="D18" s="21">
        <v>35212</v>
      </c>
      <c r="E18" s="21">
        <v>4622</v>
      </c>
    </row>
    <row r="19" spans="1:5" hidden="1" x14ac:dyDescent="0.35">
      <c r="A19" s="23"/>
      <c r="B19" s="21"/>
      <c r="C19" s="21"/>
      <c r="D19" s="21"/>
      <c r="E19" s="21"/>
    </row>
    <row r="20" spans="1:5" hidden="1" x14ac:dyDescent="0.35">
      <c r="A20" s="22"/>
      <c r="B20" s="21"/>
      <c r="C20" s="21"/>
      <c r="D20" s="21"/>
      <c r="E20" s="21"/>
    </row>
    <row r="21" spans="1:5" hidden="1" x14ac:dyDescent="0.35">
      <c r="A21" s="22"/>
      <c r="B21" s="20"/>
      <c r="C21" s="21"/>
      <c r="D21" s="21"/>
      <c r="E21" s="21"/>
    </row>
    <row r="22" spans="1:5" hidden="1" x14ac:dyDescent="0.35">
      <c r="A22" s="22" t="s">
        <v>7</v>
      </c>
      <c r="B22" s="20"/>
      <c r="C22" s="21"/>
      <c r="D22" s="21"/>
      <c r="E22" s="21"/>
    </row>
    <row r="23" spans="1:5" hidden="1" x14ac:dyDescent="0.35">
      <c r="A23" s="22" t="s">
        <v>8</v>
      </c>
      <c r="B23" s="20">
        <v>5753</v>
      </c>
      <c r="C23" s="21">
        <v>502</v>
      </c>
      <c r="D23" s="21">
        <v>5091</v>
      </c>
      <c r="E23" s="21">
        <v>869</v>
      </c>
    </row>
    <row r="24" spans="1:5" hidden="1" x14ac:dyDescent="0.35">
      <c r="A24" s="22" t="s">
        <v>9</v>
      </c>
      <c r="B24" s="20">
        <v>6028</v>
      </c>
      <c r="C24" s="21">
        <v>494</v>
      </c>
      <c r="D24" s="21">
        <v>5633</v>
      </c>
      <c r="E24" s="21">
        <v>613</v>
      </c>
    </row>
    <row r="25" spans="1:5" hidden="1" x14ac:dyDescent="0.35">
      <c r="A25" s="22" t="s">
        <v>10</v>
      </c>
      <c r="B25" s="20">
        <v>5906</v>
      </c>
      <c r="C25" s="21">
        <v>506</v>
      </c>
      <c r="D25" s="21">
        <v>6714</v>
      </c>
      <c r="E25" s="21">
        <v>724</v>
      </c>
    </row>
    <row r="26" spans="1:5" hidden="1" x14ac:dyDescent="0.35">
      <c r="A26" s="22" t="s">
        <v>11</v>
      </c>
      <c r="B26" s="20">
        <v>5869</v>
      </c>
      <c r="C26" s="21">
        <v>594</v>
      </c>
      <c r="D26" s="21">
        <v>6170</v>
      </c>
      <c r="E26" s="21">
        <v>387</v>
      </c>
    </row>
    <row r="27" spans="1:5" hidden="1" x14ac:dyDescent="0.35">
      <c r="A27" s="22"/>
      <c r="B27" s="20"/>
      <c r="C27" s="21"/>
      <c r="D27" s="21"/>
      <c r="E27" s="21"/>
    </row>
    <row r="28" spans="1:5" hidden="1" x14ac:dyDescent="0.35">
      <c r="A28" s="22" t="s">
        <v>12</v>
      </c>
      <c r="B28" s="20"/>
      <c r="C28" s="21"/>
      <c r="D28" s="21"/>
      <c r="E28" s="21"/>
    </row>
    <row r="29" spans="1:5" hidden="1" x14ac:dyDescent="0.35">
      <c r="A29" s="22" t="s">
        <v>8</v>
      </c>
      <c r="B29" s="20">
        <v>6614</v>
      </c>
      <c r="C29" s="21">
        <v>522</v>
      </c>
      <c r="D29" s="21">
        <v>7121</v>
      </c>
      <c r="E29" s="21">
        <v>485</v>
      </c>
    </row>
    <row r="30" spans="1:5" hidden="1" x14ac:dyDescent="0.35">
      <c r="A30" s="22" t="s">
        <v>9</v>
      </c>
      <c r="B30" s="20">
        <v>7636</v>
      </c>
      <c r="C30" s="21">
        <v>619</v>
      </c>
      <c r="D30" s="21">
        <v>7698</v>
      </c>
      <c r="E30" s="21">
        <v>482</v>
      </c>
    </row>
    <row r="31" spans="1:5" hidden="1" x14ac:dyDescent="0.35">
      <c r="A31" s="22" t="s">
        <v>10</v>
      </c>
      <c r="B31" s="20">
        <v>6633</v>
      </c>
      <c r="C31" s="21">
        <v>333</v>
      </c>
      <c r="D31" s="21">
        <v>6302</v>
      </c>
      <c r="E31" s="21">
        <v>614</v>
      </c>
    </row>
    <row r="32" spans="1:5" hidden="1" x14ac:dyDescent="0.35">
      <c r="A32" s="22" t="s">
        <v>11</v>
      </c>
      <c r="B32" s="20">
        <v>7157</v>
      </c>
      <c r="C32" s="21">
        <v>174</v>
      </c>
      <c r="D32" s="21">
        <v>7757</v>
      </c>
      <c r="E32" s="21">
        <v>679</v>
      </c>
    </row>
    <row r="33" spans="1:6" hidden="1" x14ac:dyDescent="0.35">
      <c r="A33" s="24" t="s">
        <v>43</v>
      </c>
      <c r="B33" s="20">
        <v>26436</v>
      </c>
      <c r="C33" s="21">
        <v>1672</v>
      </c>
      <c r="D33" s="21">
        <v>25609</v>
      </c>
      <c r="E33" s="21">
        <v>4990</v>
      </c>
    </row>
    <row r="34" spans="1:6" hidden="1" x14ac:dyDescent="0.35">
      <c r="A34" s="24" t="s">
        <v>43</v>
      </c>
      <c r="B34" s="20"/>
      <c r="C34" s="21"/>
      <c r="D34" s="21"/>
      <c r="E34" s="21"/>
    </row>
    <row r="35" spans="1:6" hidden="1" x14ac:dyDescent="0.35">
      <c r="A35" s="24" t="s">
        <v>43</v>
      </c>
      <c r="B35" s="20">
        <f>6360+167+46+81</f>
        <v>6654</v>
      </c>
      <c r="C35" s="21">
        <v>564</v>
      </c>
      <c r="D35" s="21">
        <f>7016+142+162+146</f>
        <v>7466</v>
      </c>
      <c r="E35" s="21">
        <v>296</v>
      </c>
    </row>
    <row r="36" spans="1:6" hidden="1" x14ac:dyDescent="0.35">
      <c r="A36" s="24" t="s">
        <v>43</v>
      </c>
      <c r="B36" s="20">
        <f>6250+6+289+919</f>
        <v>7464</v>
      </c>
      <c r="C36" s="21">
        <v>665</v>
      </c>
      <c r="D36" s="21">
        <f>7670+7+104+527</f>
        <v>8308</v>
      </c>
      <c r="E36" s="21">
        <v>600</v>
      </c>
    </row>
    <row r="37" spans="1:6" hidden="1" x14ac:dyDescent="0.35">
      <c r="A37" s="24" t="s">
        <v>43</v>
      </c>
      <c r="B37" s="20">
        <f>5508+1147+916+514</f>
        <v>8085</v>
      </c>
      <c r="C37" s="21">
        <v>687</v>
      </c>
      <c r="D37" s="21">
        <f>6093+680+757+522</f>
        <v>8052</v>
      </c>
      <c r="E37" s="21">
        <v>496</v>
      </c>
    </row>
    <row r="38" spans="1:6" hidden="1" x14ac:dyDescent="0.35">
      <c r="A38" s="24" t="s">
        <v>43</v>
      </c>
      <c r="B38" s="20">
        <f>5525+509+752+695</f>
        <v>7481</v>
      </c>
      <c r="C38" s="21">
        <v>485</v>
      </c>
      <c r="D38" s="21">
        <f>6472+521+363+529</f>
        <v>7885</v>
      </c>
      <c r="E38" s="21">
        <v>337</v>
      </c>
    </row>
    <row r="39" spans="1:6" hidden="1" x14ac:dyDescent="0.35">
      <c r="A39" s="24" t="s">
        <v>43</v>
      </c>
      <c r="B39" s="20"/>
      <c r="C39" s="21"/>
      <c r="D39" s="21"/>
      <c r="E39" s="21"/>
    </row>
    <row r="40" spans="1:6" hidden="1" x14ac:dyDescent="0.35">
      <c r="A40" s="24" t="s">
        <v>43</v>
      </c>
      <c r="B40" s="20"/>
      <c r="C40" s="21"/>
      <c r="D40" s="21"/>
      <c r="E40" s="21"/>
    </row>
    <row r="41" spans="1:6" hidden="1" x14ac:dyDescent="0.35">
      <c r="A41" s="24" t="s">
        <v>43</v>
      </c>
      <c r="B41" s="20">
        <f>5951+228+416+648</f>
        <v>7243</v>
      </c>
      <c r="C41" s="21">
        <v>463</v>
      </c>
      <c r="D41" s="21">
        <f>6249+256+365+455</f>
        <v>7325</v>
      </c>
      <c r="E41" s="21">
        <v>343</v>
      </c>
    </row>
    <row r="42" spans="1:6" hidden="1" x14ac:dyDescent="0.35">
      <c r="A42" s="24" t="s">
        <v>43</v>
      </c>
      <c r="B42" s="21">
        <f>4955+658+965+612</f>
        <v>7190</v>
      </c>
      <c r="C42" s="21">
        <v>474</v>
      </c>
      <c r="D42" s="25">
        <f>6352+642+502+624</f>
        <v>8120</v>
      </c>
      <c r="E42" s="21">
        <v>343</v>
      </c>
    </row>
    <row r="43" spans="1:6" hidden="1" x14ac:dyDescent="0.35">
      <c r="A43" s="24" t="s">
        <v>43</v>
      </c>
      <c r="B43" s="20">
        <f>6600+372+437+341</f>
        <v>7750</v>
      </c>
      <c r="C43" s="21">
        <v>565</v>
      </c>
      <c r="D43" s="21">
        <f>7474+505+605+493</f>
        <v>9077</v>
      </c>
      <c r="E43" s="21">
        <v>814</v>
      </c>
    </row>
    <row r="44" spans="1:6" hidden="1" x14ac:dyDescent="0.35">
      <c r="A44" s="24" t="s">
        <v>43</v>
      </c>
      <c r="B44" s="21">
        <f>6068+417+428+442</f>
        <v>7355</v>
      </c>
      <c r="C44" s="21">
        <v>518</v>
      </c>
      <c r="D44" s="21">
        <f>6612+634+501+508</f>
        <v>8255</v>
      </c>
      <c r="E44" s="21">
        <v>950</v>
      </c>
      <c r="F44" s="51"/>
    </row>
    <row r="45" spans="1:6" hidden="1" x14ac:dyDescent="0.35">
      <c r="A45" s="24" t="s">
        <v>44</v>
      </c>
      <c r="B45" s="20">
        <v>22910</v>
      </c>
      <c r="C45" s="21">
        <v>615</v>
      </c>
      <c r="D45" s="21">
        <v>23220</v>
      </c>
      <c r="E45" s="21">
        <v>7931</v>
      </c>
      <c r="F45" s="51"/>
    </row>
    <row r="46" spans="1:6" hidden="1" x14ac:dyDescent="0.35">
      <c r="A46" s="14"/>
      <c r="B46" s="20"/>
      <c r="C46" s="21"/>
      <c r="D46" s="21"/>
      <c r="E46" s="21"/>
      <c r="F46" s="51"/>
    </row>
    <row r="47" spans="1:6" hidden="1" x14ac:dyDescent="0.35">
      <c r="A47" s="14"/>
      <c r="B47" s="20"/>
      <c r="C47" s="21"/>
      <c r="D47" s="21"/>
      <c r="E47" s="21"/>
    </row>
    <row r="48" spans="1:6" hidden="1" x14ac:dyDescent="0.35">
      <c r="A48" s="14" t="s">
        <v>6</v>
      </c>
      <c r="B48" s="20"/>
      <c r="C48" s="21"/>
      <c r="D48" s="21"/>
      <c r="E48" s="21"/>
    </row>
    <row r="49" spans="1:5" hidden="1" x14ac:dyDescent="0.35">
      <c r="A49" s="14" t="s">
        <v>8</v>
      </c>
      <c r="B49" s="26">
        <v>6614</v>
      </c>
      <c r="C49" s="21">
        <v>522</v>
      </c>
      <c r="D49" s="21">
        <v>7121</v>
      </c>
      <c r="E49" s="21">
        <v>485</v>
      </c>
    </row>
    <row r="50" spans="1:5" hidden="1" x14ac:dyDescent="0.35">
      <c r="A50" s="14" t="s">
        <v>9</v>
      </c>
      <c r="B50" s="26">
        <v>7636</v>
      </c>
      <c r="C50" s="21">
        <v>619</v>
      </c>
      <c r="D50" s="21">
        <v>7698</v>
      </c>
      <c r="E50" s="21">
        <v>482</v>
      </c>
    </row>
    <row r="51" spans="1:5" hidden="1" x14ac:dyDescent="0.35">
      <c r="A51" s="14" t="s">
        <v>10</v>
      </c>
      <c r="B51" s="26">
        <v>6873</v>
      </c>
      <c r="C51" s="21">
        <v>333</v>
      </c>
      <c r="D51" s="21">
        <v>6746</v>
      </c>
      <c r="E51" s="21">
        <v>614</v>
      </c>
    </row>
    <row r="52" spans="1:5" hidden="1" x14ac:dyDescent="0.35">
      <c r="A52" s="14" t="s">
        <v>11</v>
      </c>
      <c r="B52" s="26">
        <v>8098</v>
      </c>
      <c r="C52" s="21">
        <v>174</v>
      </c>
      <c r="D52" s="21">
        <v>8771</v>
      </c>
      <c r="E52" s="21">
        <v>679</v>
      </c>
    </row>
    <row r="53" spans="1:5" hidden="1" x14ac:dyDescent="0.35">
      <c r="A53" s="27" t="s">
        <v>27</v>
      </c>
      <c r="B53" s="20"/>
      <c r="C53" s="21"/>
      <c r="D53" s="21"/>
      <c r="E53" s="21"/>
    </row>
    <row r="54" spans="1:5" hidden="1" x14ac:dyDescent="0.35">
      <c r="A54" s="14" t="s">
        <v>6</v>
      </c>
      <c r="B54" s="20"/>
      <c r="C54" s="21"/>
      <c r="D54" s="21"/>
      <c r="E54" s="21"/>
    </row>
    <row r="55" spans="1:5" hidden="1" x14ac:dyDescent="0.35">
      <c r="A55" s="14" t="s">
        <v>23</v>
      </c>
      <c r="B55" s="20">
        <v>2121</v>
      </c>
      <c r="C55" s="21">
        <v>191</v>
      </c>
      <c r="D55" s="21">
        <v>2446</v>
      </c>
      <c r="E55" s="21">
        <v>242</v>
      </c>
    </row>
    <row r="56" spans="1:5" hidden="1" x14ac:dyDescent="0.35">
      <c r="A56" s="14" t="s">
        <v>24</v>
      </c>
      <c r="B56" s="20">
        <v>2197</v>
      </c>
      <c r="C56" s="21">
        <v>152</v>
      </c>
      <c r="D56" s="21">
        <v>1914</v>
      </c>
      <c r="E56" s="21">
        <v>126</v>
      </c>
    </row>
    <row r="57" spans="1:5" hidden="1" x14ac:dyDescent="0.35">
      <c r="A57" s="14" t="s">
        <v>25</v>
      </c>
      <c r="B57" s="20">
        <v>2296</v>
      </c>
      <c r="C57" s="21">
        <v>179</v>
      </c>
      <c r="D57" s="21">
        <v>2761</v>
      </c>
      <c r="E57" s="21">
        <v>117</v>
      </c>
    </row>
    <row r="58" spans="1:5" hidden="1" x14ac:dyDescent="0.35">
      <c r="A58" s="14" t="s">
        <v>13</v>
      </c>
      <c r="B58" s="20">
        <v>2395</v>
      </c>
      <c r="C58" s="21">
        <v>154</v>
      </c>
      <c r="D58" s="21">
        <v>2507</v>
      </c>
      <c r="E58" s="21">
        <v>23</v>
      </c>
    </row>
    <row r="59" spans="1:5" hidden="1" x14ac:dyDescent="0.35">
      <c r="A59" s="14" t="s">
        <v>14</v>
      </c>
      <c r="B59" s="20">
        <v>2243</v>
      </c>
      <c r="C59" s="21">
        <v>181</v>
      </c>
      <c r="D59" s="21">
        <v>2574</v>
      </c>
      <c r="E59" s="21">
        <v>199</v>
      </c>
    </row>
    <row r="60" spans="1:5" hidden="1" x14ac:dyDescent="0.35">
      <c r="A60" s="14" t="s">
        <v>15</v>
      </c>
      <c r="B60" s="20">
        <v>2998</v>
      </c>
      <c r="C60" s="21">
        <v>284</v>
      </c>
      <c r="D60" s="21">
        <v>2617</v>
      </c>
      <c r="E60" s="21">
        <v>260</v>
      </c>
    </row>
    <row r="61" spans="1:5" hidden="1" x14ac:dyDescent="0.35">
      <c r="A61" s="14" t="s">
        <v>16</v>
      </c>
      <c r="B61" s="20">
        <v>2236</v>
      </c>
      <c r="C61" s="21">
        <v>199</v>
      </c>
      <c r="D61" s="21">
        <v>2337</v>
      </c>
      <c r="E61" s="21">
        <v>237</v>
      </c>
    </row>
    <row r="62" spans="1:5" hidden="1" x14ac:dyDescent="0.35">
      <c r="A62" s="14" t="s">
        <v>17</v>
      </c>
      <c r="B62" s="20">
        <v>1827</v>
      </c>
      <c r="C62" s="21">
        <v>85</v>
      </c>
      <c r="D62" s="21">
        <v>1670</v>
      </c>
      <c r="E62" s="21">
        <v>123</v>
      </c>
    </row>
    <row r="63" spans="1:5" hidden="1" x14ac:dyDescent="0.35">
      <c r="A63" s="14" t="s">
        <v>18</v>
      </c>
      <c r="B63" s="20">
        <f>2570+240</f>
        <v>2810</v>
      </c>
      <c r="C63" s="21">
        <v>49</v>
      </c>
      <c r="D63" s="21">
        <f>2295+444</f>
        <v>2739</v>
      </c>
      <c r="E63" s="21">
        <v>254</v>
      </c>
    </row>
    <row r="64" spans="1:5" hidden="1" x14ac:dyDescent="0.35">
      <c r="A64" s="14" t="s">
        <v>19</v>
      </c>
      <c r="B64" s="20">
        <f>1978+582</f>
        <v>2560</v>
      </c>
      <c r="C64" s="21">
        <v>28</v>
      </c>
      <c r="D64" s="21">
        <f>2627+640</f>
        <v>3267</v>
      </c>
      <c r="E64" s="21">
        <v>288</v>
      </c>
    </row>
    <row r="65" spans="1:7" hidden="1" x14ac:dyDescent="0.35">
      <c r="A65" s="14" t="s">
        <v>20</v>
      </c>
      <c r="B65" s="20">
        <f>2323+296</f>
        <v>2619</v>
      </c>
      <c r="C65" s="21">
        <v>52</v>
      </c>
      <c r="D65" s="21">
        <f>2780+292</f>
        <v>3072</v>
      </c>
      <c r="E65" s="21">
        <v>202</v>
      </c>
    </row>
    <row r="66" spans="1:7" hidden="1" x14ac:dyDescent="0.35">
      <c r="A66" s="14" t="s">
        <v>21</v>
      </c>
      <c r="B66" s="20">
        <f>2856+63</f>
        <v>2919</v>
      </c>
      <c r="C66" s="21">
        <v>94</v>
      </c>
      <c r="D66" s="21">
        <f>2350+82</f>
        <v>2432</v>
      </c>
      <c r="E66" s="21">
        <v>189</v>
      </c>
    </row>
    <row r="67" spans="1:7" hidden="1" x14ac:dyDescent="0.35">
      <c r="A67" s="14" t="s">
        <v>8</v>
      </c>
      <c r="B67" s="20">
        <v>7235</v>
      </c>
      <c r="C67" s="21">
        <v>564</v>
      </c>
      <c r="D67" s="21">
        <v>8325</v>
      </c>
      <c r="E67" s="21">
        <v>1576</v>
      </c>
    </row>
    <row r="68" spans="1:7" hidden="1" x14ac:dyDescent="0.35">
      <c r="A68" s="14" t="s">
        <v>22</v>
      </c>
      <c r="B68" s="20"/>
      <c r="C68" s="21"/>
      <c r="D68" s="21"/>
      <c r="E68" s="21"/>
    </row>
    <row r="69" spans="1:7" hidden="1" x14ac:dyDescent="0.35">
      <c r="A69" s="14" t="s">
        <v>23</v>
      </c>
      <c r="B69" s="20">
        <f>2452+167</f>
        <v>2619</v>
      </c>
      <c r="C69" s="21">
        <v>231</v>
      </c>
      <c r="D69" s="21">
        <f>1494+142</f>
        <v>1636</v>
      </c>
      <c r="E69" s="21">
        <v>170</v>
      </c>
    </row>
    <row r="70" spans="1:7" hidden="1" x14ac:dyDescent="0.35">
      <c r="A70" s="14" t="s">
        <v>24</v>
      </c>
      <c r="B70" s="20">
        <f>2283+46</f>
        <v>2329</v>
      </c>
      <c r="C70" s="21">
        <v>99</v>
      </c>
      <c r="D70" s="21">
        <f>2779+162</f>
        <v>2941</v>
      </c>
      <c r="E70" s="21">
        <v>115</v>
      </c>
    </row>
    <row r="71" spans="1:7" hidden="1" x14ac:dyDescent="0.35">
      <c r="A71" s="14" t="s">
        <v>25</v>
      </c>
      <c r="B71" s="20">
        <f>1625+81</f>
        <v>1706</v>
      </c>
      <c r="C71" s="21">
        <v>234</v>
      </c>
      <c r="D71" s="21">
        <f>2743+146</f>
        <v>2889</v>
      </c>
      <c r="E71" s="21">
        <v>11</v>
      </c>
    </row>
    <row r="72" spans="1:7" hidden="1" x14ac:dyDescent="0.35">
      <c r="A72" s="14" t="s">
        <v>13</v>
      </c>
      <c r="B72" s="20">
        <f>2140+6</f>
        <v>2146</v>
      </c>
      <c r="C72" s="21">
        <v>140</v>
      </c>
      <c r="D72" s="21">
        <f>2368+7</f>
        <v>2375</v>
      </c>
      <c r="E72" s="21">
        <v>57</v>
      </c>
    </row>
    <row r="73" spans="1:7" hidden="1" x14ac:dyDescent="0.35">
      <c r="A73" s="14" t="s">
        <v>14</v>
      </c>
      <c r="B73" s="20">
        <f>2359+289</f>
        <v>2648</v>
      </c>
      <c r="C73" s="21">
        <v>267</v>
      </c>
      <c r="D73" s="21">
        <f>2853+104</f>
        <v>2957</v>
      </c>
      <c r="E73" s="21">
        <v>281</v>
      </c>
    </row>
    <row r="74" spans="1:7" hidden="1" x14ac:dyDescent="0.35">
      <c r="A74" s="14" t="s">
        <v>15</v>
      </c>
      <c r="B74" s="20">
        <f>1735+16+919</f>
        <v>2670</v>
      </c>
      <c r="C74" s="21">
        <v>258</v>
      </c>
      <c r="D74" s="21">
        <f>2449+527</f>
        <v>2976</v>
      </c>
      <c r="E74" s="21">
        <v>262</v>
      </c>
    </row>
    <row r="75" spans="1:7" hidden="1" x14ac:dyDescent="0.35">
      <c r="A75" s="14" t="s">
        <v>16</v>
      </c>
      <c r="B75" s="26">
        <f>1551+1147</f>
        <v>2698</v>
      </c>
      <c r="C75" s="21">
        <v>223</v>
      </c>
      <c r="D75" s="21">
        <f>1763+680</f>
        <v>2443</v>
      </c>
      <c r="E75" s="21">
        <v>96</v>
      </c>
      <c r="G75" s="57"/>
    </row>
    <row r="76" spans="1:7" hidden="1" x14ac:dyDescent="0.35">
      <c r="A76" s="14" t="s">
        <v>17</v>
      </c>
      <c r="B76" s="20">
        <f>1856+916</f>
        <v>2772</v>
      </c>
      <c r="C76" s="21">
        <v>253</v>
      </c>
      <c r="D76" s="21">
        <f>1996+757</f>
        <v>2753</v>
      </c>
      <c r="E76" s="21">
        <v>277</v>
      </c>
    </row>
    <row r="77" spans="1:7" hidden="1" x14ac:dyDescent="0.35">
      <c r="A77" s="14" t="s">
        <v>18</v>
      </c>
      <c r="B77" s="20">
        <f>2087+14+514</f>
        <v>2615</v>
      </c>
      <c r="C77" s="21">
        <v>211</v>
      </c>
      <c r="D77" s="21">
        <f>2334+522</f>
        <v>2856</v>
      </c>
      <c r="E77" s="21">
        <v>123</v>
      </c>
    </row>
    <row r="78" spans="1:7" hidden="1" x14ac:dyDescent="0.35">
      <c r="A78" s="14" t="s">
        <v>19</v>
      </c>
      <c r="B78" s="20">
        <f>2051+509</f>
        <v>2560</v>
      </c>
      <c r="C78" s="21">
        <v>179</v>
      </c>
      <c r="D78" s="21">
        <f>2469+521</f>
        <v>2990</v>
      </c>
      <c r="E78" s="21">
        <v>162</v>
      </c>
    </row>
    <row r="79" spans="1:7" hidden="1" x14ac:dyDescent="0.35">
      <c r="A79" s="14" t="s">
        <v>20</v>
      </c>
      <c r="B79" s="20">
        <f>1665+752</f>
        <v>2417</v>
      </c>
      <c r="C79" s="21">
        <v>153</v>
      </c>
      <c r="D79" s="21">
        <f>1829+363</f>
        <v>2192</v>
      </c>
      <c r="E79" s="21">
        <v>14</v>
      </c>
    </row>
    <row r="80" spans="1:7" hidden="1" x14ac:dyDescent="0.35">
      <c r="A80" s="14" t="s">
        <v>21</v>
      </c>
      <c r="B80" s="20">
        <f>1809+695</f>
        <v>2504</v>
      </c>
      <c r="C80" s="21">
        <v>153</v>
      </c>
      <c r="D80" s="21">
        <f>2174+529</f>
        <v>2703</v>
      </c>
      <c r="E80" s="21">
        <v>161</v>
      </c>
    </row>
    <row r="81" spans="1:7" hidden="1" x14ac:dyDescent="0.35">
      <c r="A81" s="14" t="s">
        <v>9</v>
      </c>
      <c r="B81" s="20">
        <v>8037</v>
      </c>
      <c r="C81" s="21">
        <v>506</v>
      </c>
      <c r="D81" s="21">
        <v>9762</v>
      </c>
      <c r="E81" s="21">
        <v>1122</v>
      </c>
    </row>
    <row r="82" spans="1:7" hidden="1" x14ac:dyDescent="0.35">
      <c r="A82" s="14" t="s">
        <v>10</v>
      </c>
      <c r="B82" s="20">
        <v>8576</v>
      </c>
      <c r="C82" s="21">
        <v>507</v>
      </c>
      <c r="D82" s="21">
        <v>8941</v>
      </c>
      <c r="E82" s="21">
        <v>895</v>
      </c>
    </row>
    <row r="83" spans="1:7" hidden="1" x14ac:dyDescent="0.35">
      <c r="A83" s="14" t="s">
        <v>11</v>
      </c>
      <c r="B83" s="20">
        <v>8241</v>
      </c>
      <c r="C83" s="21">
        <v>626</v>
      </c>
      <c r="D83" s="21">
        <v>8184</v>
      </c>
      <c r="E83" s="21">
        <v>1029</v>
      </c>
    </row>
    <row r="84" spans="1:7" hidden="1" x14ac:dyDescent="0.35">
      <c r="A84" s="14"/>
      <c r="B84" s="20">
        <f>SUM(B67:B83)</f>
        <v>61773</v>
      </c>
      <c r="C84" s="21">
        <f>SUM(C67:C83)</f>
        <v>4604</v>
      </c>
      <c r="D84" s="21">
        <f>SUM(D67:D83)</f>
        <v>66923</v>
      </c>
      <c r="E84" s="21"/>
      <c r="G84">
        <f>1576+1122+895+1029</f>
        <v>4622</v>
      </c>
    </row>
    <row r="85" spans="1:7" hidden="1" x14ac:dyDescent="0.35">
      <c r="A85" s="27" t="s">
        <v>26</v>
      </c>
      <c r="B85" s="20"/>
      <c r="C85" s="21"/>
      <c r="D85" s="21"/>
      <c r="E85" s="21"/>
    </row>
    <row r="86" spans="1:7" hidden="1" x14ac:dyDescent="0.35">
      <c r="A86" s="14" t="s">
        <v>23</v>
      </c>
      <c r="B86" s="20">
        <f>2253+228</f>
        <v>2481</v>
      </c>
      <c r="C86" s="21">
        <v>160</v>
      </c>
      <c r="D86" s="21">
        <f>2535+256</f>
        <v>2791</v>
      </c>
      <c r="E86" s="21">
        <v>49</v>
      </c>
    </row>
    <row r="87" spans="1:7" hidden="1" x14ac:dyDescent="0.35">
      <c r="A87" s="14" t="s">
        <v>24</v>
      </c>
      <c r="B87" s="20">
        <f>1913+416</f>
        <v>2329</v>
      </c>
      <c r="C87" s="21">
        <v>118</v>
      </c>
      <c r="D87" s="21">
        <f>1906+365</f>
        <v>2271</v>
      </c>
      <c r="E87" s="21">
        <v>57</v>
      </c>
    </row>
    <row r="88" spans="1:7" hidden="1" x14ac:dyDescent="0.35">
      <c r="A88" s="14" t="s">
        <v>25</v>
      </c>
      <c r="B88" s="26">
        <f>1785+648</f>
        <v>2433</v>
      </c>
      <c r="C88" s="21">
        <v>185</v>
      </c>
      <c r="D88" s="21">
        <f>1808+455</f>
        <v>2263</v>
      </c>
      <c r="E88" s="21">
        <v>237</v>
      </c>
    </row>
    <row r="89" spans="1:7" hidden="1" x14ac:dyDescent="0.35">
      <c r="A89" s="14" t="s">
        <v>13</v>
      </c>
      <c r="B89" s="26">
        <f>1649+658</f>
        <v>2307</v>
      </c>
      <c r="C89" s="21">
        <v>145</v>
      </c>
      <c r="D89" s="21">
        <f>2028+642</f>
        <v>2670</v>
      </c>
      <c r="E89" s="21">
        <v>57</v>
      </c>
    </row>
    <row r="90" spans="1:7" hidden="1" x14ac:dyDescent="0.35">
      <c r="A90" s="14" t="s">
        <v>14</v>
      </c>
      <c r="B90" s="26">
        <f>1495+14+965</f>
        <v>2474</v>
      </c>
      <c r="C90" s="21">
        <v>156</v>
      </c>
      <c r="D90" s="21">
        <f>2118+9+502</f>
        <v>2629</v>
      </c>
      <c r="E90" s="21">
        <v>190</v>
      </c>
    </row>
    <row r="91" spans="1:7" hidden="1" x14ac:dyDescent="0.35">
      <c r="A91" s="14" t="s">
        <v>15</v>
      </c>
      <c r="B91" s="26">
        <f>1797+612</f>
        <v>2409</v>
      </c>
      <c r="C91" s="21">
        <v>173</v>
      </c>
      <c r="D91" s="21">
        <f>2197+624</f>
        <v>2821</v>
      </c>
      <c r="E91" s="21">
        <v>96</v>
      </c>
    </row>
    <row r="92" spans="1:7" hidden="1" x14ac:dyDescent="0.35">
      <c r="A92" s="14" t="s">
        <v>16</v>
      </c>
      <c r="B92" s="26">
        <f>2093+372</f>
        <v>2465</v>
      </c>
      <c r="C92" s="21">
        <v>167</v>
      </c>
      <c r="D92" s="21">
        <f>2757+505</f>
        <v>3262</v>
      </c>
      <c r="E92" s="21">
        <f>116+427</f>
        <v>543</v>
      </c>
    </row>
    <row r="93" spans="1:7" hidden="1" x14ac:dyDescent="0.35">
      <c r="A93" s="14" t="s">
        <v>17</v>
      </c>
      <c r="B93" s="26">
        <f>2591+437</f>
        <v>3028</v>
      </c>
      <c r="C93" s="21">
        <v>242</v>
      </c>
      <c r="D93" s="21">
        <f>2527+605</f>
        <v>3132</v>
      </c>
      <c r="E93" s="21">
        <v>163</v>
      </c>
    </row>
    <row r="94" spans="1:7" hidden="1" x14ac:dyDescent="0.35">
      <c r="A94" s="14" t="s">
        <v>18</v>
      </c>
      <c r="B94" s="26">
        <f>1916+341</f>
        <v>2257</v>
      </c>
      <c r="C94" s="21">
        <v>156</v>
      </c>
      <c r="D94" s="21">
        <f>2190+493</f>
        <v>2683</v>
      </c>
      <c r="E94" s="21">
        <v>108</v>
      </c>
    </row>
    <row r="95" spans="1:7" hidden="1" x14ac:dyDescent="0.35">
      <c r="A95" s="14" t="s">
        <v>19</v>
      </c>
      <c r="B95" s="26">
        <f>2246+417</f>
        <v>2663</v>
      </c>
      <c r="C95" s="21">
        <v>176</v>
      </c>
      <c r="D95" s="21">
        <f>2425+634</f>
        <v>3059</v>
      </c>
      <c r="E95" s="21">
        <v>454</v>
      </c>
    </row>
    <row r="96" spans="1:7" hidden="1" x14ac:dyDescent="0.35">
      <c r="A96" s="14" t="s">
        <v>20</v>
      </c>
      <c r="B96" s="26">
        <f>1932+428</f>
        <v>2360</v>
      </c>
      <c r="C96" s="21">
        <v>180</v>
      </c>
      <c r="D96" s="21">
        <f>2441+501</f>
        <v>2942</v>
      </c>
      <c r="E96" s="21">
        <v>268</v>
      </c>
    </row>
    <row r="97" spans="1:5" hidden="1" x14ac:dyDescent="0.35">
      <c r="A97" s="14" t="s">
        <v>21</v>
      </c>
      <c r="B97" s="26">
        <f>1872+18+442</f>
        <v>2332</v>
      </c>
      <c r="C97" s="21">
        <v>162</v>
      </c>
      <c r="D97" s="21">
        <f>1745+1+508</f>
        <v>2254</v>
      </c>
      <c r="E97" s="21">
        <f>227+1</f>
        <v>228</v>
      </c>
    </row>
    <row r="98" spans="1:5" hidden="1" x14ac:dyDescent="0.35">
      <c r="A98" s="14"/>
      <c r="B98" s="26"/>
      <c r="C98" s="21"/>
      <c r="D98" s="21"/>
      <c r="E98" s="21"/>
    </row>
    <row r="99" spans="1:5" hidden="1" x14ac:dyDescent="0.35">
      <c r="A99" s="27" t="s">
        <v>45</v>
      </c>
      <c r="B99" s="26">
        <v>24798</v>
      </c>
      <c r="C99" s="21">
        <v>1136</v>
      </c>
      <c r="D99" s="21">
        <v>28538</v>
      </c>
      <c r="E99" s="21">
        <v>8370</v>
      </c>
    </row>
    <row r="100" spans="1:5" hidden="1" x14ac:dyDescent="0.35">
      <c r="A100" s="27" t="s">
        <v>48</v>
      </c>
      <c r="B100" s="26">
        <v>28668</v>
      </c>
      <c r="C100" s="21">
        <v>1127</v>
      </c>
      <c r="D100" s="21">
        <v>33472</v>
      </c>
      <c r="E100" s="21">
        <v>8108</v>
      </c>
    </row>
    <row r="101" spans="1:5" hidden="1" x14ac:dyDescent="0.35">
      <c r="A101" s="14"/>
      <c r="B101" s="26"/>
      <c r="C101" s="21"/>
      <c r="D101" s="21"/>
      <c r="E101" s="21"/>
    </row>
    <row r="102" spans="1:5" hidden="1" x14ac:dyDescent="0.35">
      <c r="A102" s="27" t="s">
        <v>33</v>
      </c>
      <c r="B102" s="26"/>
      <c r="C102" s="21"/>
      <c r="D102" s="21"/>
      <c r="E102" s="21"/>
    </row>
    <row r="103" spans="1:5" hidden="1" x14ac:dyDescent="0.35">
      <c r="A103" s="14" t="s">
        <v>8</v>
      </c>
      <c r="B103" s="26">
        <v>7142</v>
      </c>
      <c r="C103" s="21">
        <v>544</v>
      </c>
      <c r="D103" s="21">
        <v>7514</v>
      </c>
      <c r="E103" s="21">
        <v>906</v>
      </c>
    </row>
    <row r="104" spans="1:5" hidden="1" x14ac:dyDescent="0.35">
      <c r="A104" s="14" t="s">
        <v>9</v>
      </c>
      <c r="B104" s="26">
        <v>6452</v>
      </c>
      <c r="C104" s="21">
        <v>382</v>
      </c>
      <c r="D104" s="21">
        <v>6791</v>
      </c>
      <c r="E104" s="21">
        <v>843</v>
      </c>
    </row>
    <row r="105" spans="1:5" hidden="1" x14ac:dyDescent="0.35">
      <c r="A105" s="14" t="s">
        <v>10</v>
      </c>
      <c r="B105" s="26">
        <v>6654</v>
      </c>
      <c r="C105" s="21">
        <v>517</v>
      </c>
      <c r="D105" s="21">
        <v>6133</v>
      </c>
      <c r="E105" s="21">
        <v>1401</v>
      </c>
    </row>
    <row r="106" spans="1:5" hidden="1" x14ac:dyDescent="0.35">
      <c r="A106" s="14" t="s">
        <v>11</v>
      </c>
      <c r="B106" s="26">
        <v>6188</v>
      </c>
      <c r="C106" s="21">
        <v>229</v>
      </c>
      <c r="D106" s="21">
        <v>5171</v>
      </c>
      <c r="E106" s="21">
        <v>1840</v>
      </c>
    </row>
    <row r="107" spans="1:5" hidden="1" x14ac:dyDescent="0.35">
      <c r="A107" s="14"/>
      <c r="B107" s="26"/>
      <c r="C107" s="21"/>
      <c r="D107" s="21"/>
      <c r="E107" s="21"/>
    </row>
    <row r="108" spans="1:5" hidden="1" x14ac:dyDescent="0.35">
      <c r="A108" s="14"/>
      <c r="B108" s="28"/>
      <c r="C108" s="29"/>
      <c r="D108" s="29"/>
      <c r="E108" s="29"/>
    </row>
    <row r="109" spans="1:5" hidden="1" x14ac:dyDescent="0.35">
      <c r="A109" s="27"/>
      <c r="B109" s="26"/>
      <c r="C109" s="21"/>
      <c r="D109" s="21"/>
      <c r="E109" s="21"/>
    </row>
    <row r="110" spans="1:5" hidden="1" x14ac:dyDescent="0.35">
      <c r="A110" s="27" t="s">
        <v>44</v>
      </c>
      <c r="B110" s="26"/>
      <c r="C110" s="21"/>
      <c r="D110" s="21"/>
      <c r="E110" s="21"/>
    </row>
    <row r="111" spans="1:5" hidden="1" x14ac:dyDescent="0.35">
      <c r="A111" s="14" t="s">
        <v>8</v>
      </c>
      <c r="B111" s="26">
        <v>6191</v>
      </c>
      <c r="C111" s="21">
        <v>160</v>
      </c>
      <c r="D111" s="21">
        <v>4999</v>
      </c>
      <c r="E111" s="21">
        <v>1589</v>
      </c>
    </row>
    <row r="112" spans="1:5" hidden="1" x14ac:dyDescent="0.35">
      <c r="A112" s="14" t="s">
        <v>9</v>
      </c>
      <c r="B112" s="26">
        <v>5112</v>
      </c>
      <c r="C112" s="21">
        <v>195</v>
      </c>
      <c r="D112" s="21">
        <v>5596</v>
      </c>
      <c r="E112" s="21">
        <v>2041</v>
      </c>
    </row>
    <row r="113" spans="1:5" hidden="1" x14ac:dyDescent="0.35">
      <c r="A113" s="14" t="s">
        <v>10</v>
      </c>
      <c r="B113" s="26">
        <v>6096</v>
      </c>
      <c r="C113" s="21">
        <v>151</v>
      </c>
      <c r="D113" s="21">
        <v>6256</v>
      </c>
      <c r="E113" s="21">
        <v>1870</v>
      </c>
    </row>
    <row r="114" spans="1:5" hidden="1" x14ac:dyDescent="0.35">
      <c r="A114" s="14" t="s">
        <v>11</v>
      </c>
      <c r="B114" s="26">
        <v>5511</v>
      </c>
      <c r="C114" s="21">
        <v>109</v>
      </c>
      <c r="D114" s="21">
        <v>6369</v>
      </c>
      <c r="E114" s="21">
        <v>2431</v>
      </c>
    </row>
    <row r="115" spans="1:5" hidden="1" x14ac:dyDescent="0.35">
      <c r="A115" s="14"/>
      <c r="B115" s="28"/>
      <c r="C115" s="29"/>
      <c r="D115" s="29"/>
      <c r="E115" s="29"/>
    </row>
    <row r="116" spans="1:5" hidden="1" x14ac:dyDescent="0.35">
      <c r="A116" s="27" t="s">
        <v>27</v>
      </c>
      <c r="B116" s="26"/>
      <c r="C116" s="21"/>
      <c r="D116" s="21"/>
      <c r="E116" s="21"/>
    </row>
    <row r="117" spans="1:5" hidden="1" x14ac:dyDescent="0.35">
      <c r="A117" s="14" t="s">
        <v>23</v>
      </c>
      <c r="B117" s="26">
        <f>2094+464</f>
        <v>2558</v>
      </c>
      <c r="C117" s="21">
        <v>216</v>
      </c>
      <c r="D117" s="21">
        <f>2455+368</f>
        <v>2823</v>
      </c>
      <c r="E117" s="21">
        <v>210</v>
      </c>
    </row>
    <row r="118" spans="1:5" hidden="1" x14ac:dyDescent="0.35">
      <c r="A118" s="14" t="s">
        <v>24</v>
      </c>
      <c r="B118" s="26">
        <f>1983+335</f>
        <v>2318</v>
      </c>
      <c r="C118" s="21">
        <v>176</v>
      </c>
      <c r="D118" s="21">
        <f>2119+451</f>
        <v>2570</v>
      </c>
      <c r="E118" s="21">
        <v>870</v>
      </c>
    </row>
    <row r="119" spans="1:5" hidden="1" x14ac:dyDescent="0.35">
      <c r="A119" s="14" t="s">
        <v>25</v>
      </c>
      <c r="B119" s="26">
        <f>1844+515</f>
        <v>2359</v>
      </c>
      <c r="C119" s="21">
        <v>172</v>
      </c>
      <c r="D119" s="21">
        <f>2107+825</f>
        <v>2932</v>
      </c>
      <c r="E119" s="21">
        <v>496</v>
      </c>
    </row>
    <row r="120" spans="1:5" hidden="1" x14ac:dyDescent="0.35">
      <c r="A120" s="14" t="s">
        <v>13</v>
      </c>
      <c r="B120" s="26">
        <f>1873+787</f>
        <v>2660</v>
      </c>
      <c r="C120" s="21">
        <v>126</v>
      </c>
      <c r="D120" s="21">
        <f>2580+789</f>
        <v>3369</v>
      </c>
      <c r="E120" s="21">
        <v>392</v>
      </c>
    </row>
    <row r="121" spans="1:5" hidden="1" x14ac:dyDescent="0.35">
      <c r="A121" s="14" t="s">
        <v>14</v>
      </c>
      <c r="B121" s="26">
        <f>2108+869</f>
        <v>2977</v>
      </c>
      <c r="C121" s="21">
        <v>177</v>
      </c>
      <c r="D121" s="21">
        <f>2394+991</f>
        <v>3385</v>
      </c>
      <c r="E121" s="21">
        <v>434</v>
      </c>
    </row>
    <row r="122" spans="1:5" hidden="1" x14ac:dyDescent="0.35">
      <c r="A122" s="14" t="s">
        <v>15</v>
      </c>
      <c r="B122" s="26">
        <f>1926+8+452+14</f>
        <v>2400</v>
      </c>
      <c r="C122" s="21">
        <v>203</v>
      </c>
      <c r="D122" s="21">
        <f>2460+543+5</f>
        <v>3008</v>
      </c>
      <c r="E122" s="21">
        <v>296</v>
      </c>
    </row>
    <row r="123" spans="1:5" hidden="1" x14ac:dyDescent="0.35">
      <c r="A123" s="14" t="s">
        <v>16</v>
      </c>
      <c r="B123" s="26">
        <f>2680+404</f>
        <v>3084</v>
      </c>
      <c r="C123" s="21">
        <v>205</v>
      </c>
      <c r="D123" s="21">
        <f>2754+337</f>
        <v>3091</v>
      </c>
      <c r="E123" s="21">
        <v>415</v>
      </c>
    </row>
    <row r="124" spans="1:5" hidden="1" x14ac:dyDescent="0.35">
      <c r="A124" s="14" t="s">
        <v>17</v>
      </c>
      <c r="B124" s="26">
        <f>2548+297</f>
        <v>2845</v>
      </c>
      <c r="C124" s="21">
        <f>207</f>
        <v>207</v>
      </c>
      <c r="D124" s="21">
        <f>2827+347</f>
        <v>3174</v>
      </c>
      <c r="E124" s="21">
        <v>206</v>
      </c>
    </row>
    <row r="125" spans="1:5" hidden="1" x14ac:dyDescent="0.35">
      <c r="A125" s="14" t="s">
        <v>18</v>
      </c>
      <c r="B125" s="26">
        <f>2633+14</f>
        <v>2647</v>
      </c>
      <c r="C125" s="21">
        <v>95</v>
      </c>
      <c r="D125" s="21">
        <f>2649+27</f>
        <v>2676</v>
      </c>
      <c r="E125" s="21">
        <v>274</v>
      </c>
    </row>
    <row r="126" spans="1:5" hidden="1" x14ac:dyDescent="0.35">
      <c r="A126" s="14" t="s">
        <v>19</v>
      </c>
      <c r="B126" s="26">
        <f>2945+85</f>
        <v>3030</v>
      </c>
      <c r="C126" s="21">
        <v>210</v>
      </c>
      <c r="D126" s="21">
        <f>3224+1</f>
        <v>3225</v>
      </c>
      <c r="E126" s="21">
        <v>401</v>
      </c>
    </row>
    <row r="127" spans="1:5" hidden="1" x14ac:dyDescent="0.35">
      <c r="A127" s="14" t="s">
        <v>20</v>
      </c>
      <c r="B127" s="26">
        <f>2366+23</f>
        <v>2389</v>
      </c>
      <c r="C127" s="21">
        <v>238</v>
      </c>
      <c r="D127" s="21">
        <f>2614+6</f>
        <v>2620</v>
      </c>
      <c r="E127" s="21">
        <f>302+24</f>
        <v>326</v>
      </c>
    </row>
    <row r="128" spans="1:5" hidden="1" x14ac:dyDescent="0.35">
      <c r="A128" s="14" t="s">
        <v>21</v>
      </c>
      <c r="B128" s="26">
        <f>2810+12</f>
        <v>2822</v>
      </c>
      <c r="C128" s="21">
        <v>178</v>
      </c>
      <c r="D128" s="21">
        <f>2338+1</f>
        <v>2339</v>
      </c>
      <c r="E128" s="21">
        <v>302</v>
      </c>
    </row>
    <row r="129" spans="1:5" hidden="1" x14ac:dyDescent="0.35">
      <c r="A129" s="14"/>
      <c r="B129" s="26"/>
      <c r="C129" s="21"/>
      <c r="D129" s="21"/>
      <c r="E129" s="21"/>
    </row>
    <row r="130" spans="1:5" hidden="1" x14ac:dyDescent="0.35">
      <c r="A130" s="27" t="s">
        <v>33</v>
      </c>
      <c r="B130" s="26"/>
      <c r="C130" s="21"/>
      <c r="D130" s="21"/>
      <c r="E130" s="21"/>
    </row>
    <row r="131" spans="1:5" hidden="1" x14ac:dyDescent="0.35">
      <c r="A131" s="14" t="s">
        <v>30</v>
      </c>
      <c r="B131" s="26">
        <v>2387</v>
      </c>
      <c r="C131" s="21">
        <v>191</v>
      </c>
      <c r="D131" s="21">
        <v>2599</v>
      </c>
      <c r="E131" s="21">
        <v>250</v>
      </c>
    </row>
    <row r="132" spans="1:5" hidden="1" x14ac:dyDescent="0.35">
      <c r="A132" s="14" t="s">
        <v>31</v>
      </c>
      <c r="B132" s="26">
        <v>2236</v>
      </c>
      <c r="C132" s="21">
        <v>192</v>
      </c>
      <c r="D132" s="21">
        <v>2243</v>
      </c>
      <c r="E132" s="21">
        <v>390</v>
      </c>
    </row>
    <row r="133" spans="1:5" hidden="1" x14ac:dyDescent="0.35">
      <c r="A133" s="14" t="s">
        <v>32</v>
      </c>
      <c r="B133" s="26">
        <v>2519</v>
      </c>
      <c r="C133" s="21">
        <v>161</v>
      </c>
      <c r="D133" s="21">
        <v>2672</v>
      </c>
      <c r="E133" s="21">
        <v>266</v>
      </c>
    </row>
    <row r="134" spans="1:5" hidden="1" x14ac:dyDescent="0.35">
      <c r="A134" s="14" t="s">
        <v>34</v>
      </c>
      <c r="B134" s="26">
        <v>2180</v>
      </c>
      <c r="C134" s="21">
        <v>88</v>
      </c>
      <c r="D134" s="21">
        <v>2747</v>
      </c>
      <c r="E134" s="21">
        <v>244</v>
      </c>
    </row>
    <row r="135" spans="1:5" hidden="1" x14ac:dyDescent="0.35">
      <c r="A135" s="14" t="s">
        <v>35</v>
      </c>
      <c r="B135" s="26">
        <v>1937</v>
      </c>
      <c r="C135" s="21">
        <v>84</v>
      </c>
      <c r="D135" s="21">
        <v>1778</v>
      </c>
      <c r="E135" s="21">
        <v>199</v>
      </c>
    </row>
    <row r="136" spans="1:5" hidden="1" x14ac:dyDescent="0.35">
      <c r="A136" s="14" t="s">
        <v>36</v>
      </c>
      <c r="B136" s="26">
        <v>2335</v>
      </c>
      <c r="C136" s="21">
        <v>210</v>
      </c>
      <c r="D136" s="21">
        <v>2266</v>
      </c>
      <c r="E136" s="21">
        <v>400</v>
      </c>
    </row>
    <row r="137" spans="1:5" hidden="1" x14ac:dyDescent="0.35">
      <c r="A137" s="14" t="s">
        <v>37</v>
      </c>
      <c r="B137" s="26">
        <v>2307</v>
      </c>
      <c r="C137" s="21">
        <v>176</v>
      </c>
      <c r="D137" s="21">
        <v>2086</v>
      </c>
      <c r="E137" s="21">
        <v>531</v>
      </c>
    </row>
    <row r="138" spans="1:5" hidden="1" x14ac:dyDescent="0.35">
      <c r="A138" s="14" t="s">
        <v>38</v>
      </c>
      <c r="B138" s="26">
        <v>2280</v>
      </c>
      <c r="C138" s="21">
        <v>172</v>
      </c>
      <c r="D138" s="21">
        <v>1880</v>
      </c>
      <c r="E138" s="21">
        <v>436</v>
      </c>
    </row>
    <row r="139" spans="1:5" hidden="1" x14ac:dyDescent="0.35">
      <c r="A139" s="14" t="s">
        <v>39</v>
      </c>
      <c r="B139" s="26">
        <v>2067</v>
      </c>
      <c r="C139" s="21">
        <v>169</v>
      </c>
      <c r="D139" s="21">
        <v>2167</v>
      </c>
      <c r="E139" s="21">
        <v>434</v>
      </c>
    </row>
    <row r="140" spans="1:5" hidden="1" x14ac:dyDescent="0.35">
      <c r="A140" s="14" t="s">
        <v>40</v>
      </c>
      <c r="B140" s="26">
        <v>2176</v>
      </c>
      <c r="C140" s="21">
        <v>103</v>
      </c>
      <c r="D140" s="21">
        <v>2072</v>
      </c>
      <c r="E140" s="21">
        <v>690</v>
      </c>
    </row>
    <row r="141" spans="1:5" hidden="1" x14ac:dyDescent="0.35">
      <c r="A141" s="14" t="s">
        <v>41</v>
      </c>
      <c r="B141" s="26">
        <v>1833</v>
      </c>
      <c r="C141" s="21">
        <v>47</v>
      </c>
      <c r="D141" s="21">
        <v>1513</v>
      </c>
      <c r="E141" s="21">
        <v>471</v>
      </c>
    </row>
    <row r="142" spans="1:5" hidden="1" x14ac:dyDescent="0.35">
      <c r="A142" s="14" t="s">
        <v>42</v>
      </c>
      <c r="B142" s="26">
        <v>2179</v>
      </c>
      <c r="C142" s="21">
        <v>79</v>
      </c>
      <c r="D142" s="21">
        <v>1586</v>
      </c>
      <c r="E142" s="21">
        <v>679</v>
      </c>
    </row>
    <row r="143" spans="1:5" hidden="1" x14ac:dyDescent="0.35">
      <c r="A143" s="14"/>
      <c r="B143" s="28"/>
      <c r="C143" s="29"/>
      <c r="D143" s="29"/>
      <c r="E143" s="29"/>
    </row>
    <row r="144" spans="1:5" hidden="1" x14ac:dyDescent="0.35">
      <c r="A144" s="27" t="s">
        <v>50</v>
      </c>
      <c r="B144" s="26">
        <v>29440</v>
      </c>
      <c r="C144" s="21">
        <v>1355</v>
      </c>
      <c r="D144" s="21">
        <v>34212</v>
      </c>
      <c r="E144" s="21">
        <v>7335</v>
      </c>
    </row>
    <row r="145" spans="1:5" hidden="1" x14ac:dyDescent="0.35">
      <c r="A145" s="14"/>
      <c r="B145" s="28"/>
      <c r="C145" s="29"/>
      <c r="D145" s="29"/>
      <c r="E145" s="29"/>
    </row>
    <row r="146" spans="1:5" hidden="1" x14ac:dyDescent="0.35">
      <c r="A146" s="27"/>
      <c r="B146" s="28"/>
      <c r="C146" s="29"/>
      <c r="D146" s="29"/>
      <c r="E146" s="29"/>
    </row>
    <row r="147" spans="1:5" hidden="1" x14ac:dyDescent="0.35">
      <c r="A147" s="27" t="s">
        <v>45</v>
      </c>
      <c r="B147" s="28"/>
      <c r="C147" s="29"/>
      <c r="D147" s="29"/>
      <c r="E147" s="29"/>
    </row>
    <row r="148" spans="1:5" hidden="1" x14ac:dyDescent="0.35">
      <c r="A148" s="14" t="s">
        <v>8</v>
      </c>
      <c r="B148" s="26">
        <v>5898</v>
      </c>
      <c r="C148" s="21">
        <v>106</v>
      </c>
      <c r="D148" s="21">
        <v>6372</v>
      </c>
      <c r="E148" s="21">
        <v>2469</v>
      </c>
    </row>
    <row r="149" spans="1:5" hidden="1" x14ac:dyDescent="0.35">
      <c r="A149" s="14" t="s">
        <v>9</v>
      </c>
      <c r="B149" s="26">
        <v>5698</v>
      </c>
      <c r="C149" s="21">
        <v>343</v>
      </c>
      <c r="D149" s="21">
        <v>7250</v>
      </c>
      <c r="E149" s="21">
        <v>1532</v>
      </c>
    </row>
    <row r="150" spans="1:5" hidden="1" x14ac:dyDescent="0.35">
      <c r="A150" s="14" t="s">
        <v>10</v>
      </c>
      <c r="B150" s="26">
        <v>6886</v>
      </c>
      <c r="C150" s="21">
        <v>262</v>
      </c>
      <c r="D150" s="21">
        <v>7211</v>
      </c>
      <c r="E150" s="21">
        <v>1810</v>
      </c>
    </row>
    <row r="151" spans="1:5" hidden="1" x14ac:dyDescent="0.35">
      <c r="A151" s="14" t="s">
        <v>11</v>
      </c>
      <c r="B151" s="26">
        <v>6316</v>
      </c>
      <c r="C151" s="21">
        <v>425</v>
      </c>
      <c r="D151" s="21">
        <v>7705</v>
      </c>
      <c r="E151" s="21">
        <v>2559</v>
      </c>
    </row>
    <row r="152" spans="1:5" hidden="1" x14ac:dyDescent="0.35">
      <c r="A152" s="27" t="s">
        <v>51</v>
      </c>
      <c r="B152" s="26">
        <v>28702</v>
      </c>
      <c r="C152" s="21">
        <v>1445</v>
      </c>
      <c r="D152" s="21">
        <v>33793</v>
      </c>
      <c r="E152" s="21">
        <v>6988</v>
      </c>
    </row>
    <row r="153" spans="1:5" hidden="1" x14ac:dyDescent="0.35">
      <c r="A153" s="14"/>
      <c r="B153" s="26"/>
      <c r="C153" s="21"/>
      <c r="D153" s="21"/>
      <c r="E153" s="21"/>
    </row>
    <row r="154" spans="1:5" hidden="1" x14ac:dyDescent="0.35">
      <c r="A154" s="23">
        <v>2009</v>
      </c>
      <c r="B154" s="26">
        <v>30736</v>
      </c>
      <c r="C154" s="21">
        <v>1710</v>
      </c>
      <c r="D154" s="21">
        <v>32262</v>
      </c>
      <c r="E154" s="21">
        <v>7256</v>
      </c>
    </row>
    <row r="155" spans="1:5" hidden="1" x14ac:dyDescent="0.35">
      <c r="A155" s="23">
        <v>2009</v>
      </c>
      <c r="B155" s="26"/>
      <c r="C155" s="21"/>
      <c r="D155" s="21"/>
      <c r="E155" s="21"/>
    </row>
    <row r="156" spans="1:5" hidden="1" x14ac:dyDescent="0.35">
      <c r="A156" s="23">
        <v>2009</v>
      </c>
      <c r="B156" s="26"/>
      <c r="C156" s="21"/>
      <c r="D156" s="21"/>
      <c r="E156" s="21"/>
    </row>
    <row r="157" spans="1:5" hidden="1" x14ac:dyDescent="0.35">
      <c r="A157" s="23">
        <v>2009</v>
      </c>
      <c r="B157" s="26">
        <v>7164</v>
      </c>
      <c r="C157" s="21">
        <v>308</v>
      </c>
      <c r="D157" s="21">
        <v>8285</v>
      </c>
      <c r="E157" s="21">
        <v>2153</v>
      </c>
    </row>
    <row r="158" spans="1:5" hidden="1" x14ac:dyDescent="0.35">
      <c r="A158" s="23">
        <v>2009</v>
      </c>
      <c r="B158" s="26">
        <v>7057</v>
      </c>
      <c r="C158" s="21">
        <v>318</v>
      </c>
      <c r="D158" s="21">
        <v>8004</v>
      </c>
      <c r="E158" s="21">
        <v>2450</v>
      </c>
    </row>
    <row r="159" spans="1:5" hidden="1" x14ac:dyDescent="0.35">
      <c r="A159" s="23">
        <v>2009</v>
      </c>
      <c r="B159" s="26">
        <v>7306</v>
      </c>
      <c r="C159" s="21">
        <v>297</v>
      </c>
      <c r="D159" s="21">
        <v>8842</v>
      </c>
      <c r="E159" s="21">
        <v>2011</v>
      </c>
    </row>
    <row r="160" spans="1:5" hidden="1" x14ac:dyDescent="0.35">
      <c r="A160" s="23">
        <v>2009</v>
      </c>
      <c r="B160" s="26">
        <v>7141</v>
      </c>
      <c r="C160" s="21">
        <v>204</v>
      </c>
      <c r="D160" s="21">
        <v>8341</v>
      </c>
      <c r="E160" s="21">
        <v>1494</v>
      </c>
    </row>
    <row r="161" spans="1:5" hidden="1" x14ac:dyDescent="0.35">
      <c r="A161" s="23">
        <v>2009</v>
      </c>
      <c r="B161" s="28"/>
      <c r="C161" s="29"/>
      <c r="D161" s="29"/>
      <c r="E161" s="29"/>
    </row>
    <row r="162" spans="1:5" hidden="1" x14ac:dyDescent="0.35">
      <c r="A162" s="23">
        <v>2009</v>
      </c>
      <c r="B162" s="26"/>
      <c r="C162" s="21"/>
      <c r="D162" s="21"/>
      <c r="E162" s="21"/>
    </row>
    <row r="163" spans="1:5" hidden="1" x14ac:dyDescent="0.35">
      <c r="A163" s="23">
        <v>2009</v>
      </c>
      <c r="B163" s="26">
        <v>2080</v>
      </c>
      <c r="C163" s="21">
        <v>57</v>
      </c>
      <c r="D163" s="21">
        <v>1466</v>
      </c>
      <c r="E163" s="21">
        <v>565</v>
      </c>
    </row>
    <row r="164" spans="1:5" hidden="1" x14ac:dyDescent="0.35">
      <c r="A164" s="23">
        <v>2009</v>
      </c>
      <c r="B164" s="26">
        <v>1922</v>
      </c>
      <c r="C164" s="21">
        <v>57</v>
      </c>
      <c r="D164" s="21">
        <v>1714</v>
      </c>
      <c r="E164" s="21">
        <v>626</v>
      </c>
    </row>
    <row r="165" spans="1:5" hidden="1" x14ac:dyDescent="0.35">
      <c r="A165" s="23">
        <v>2009</v>
      </c>
      <c r="B165" s="26">
        <v>2189</v>
      </c>
      <c r="C165" s="21">
        <v>46</v>
      </c>
      <c r="D165" s="21">
        <v>1819</v>
      </c>
      <c r="E165" s="21">
        <v>398</v>
      </c>
    </row>
    <row r="166" spans="1:5" hidden="1" x14ac:dyDescent="0.35">
      <c r="A166" s="23">
        <v>2009</v>
      </c>
      <c r="B166" s="26">
        <v>1878</v>
      </c>
      <c r="C166" s="21">
        <v>68</v>
      </c>
      <c r="D166" s="21">
        <v>1477</v>
      </c>
      <c r="E166" s="21">
        <v>517</v>
      </c>
    </row>
    <row r="167" spans="1:5" hidden="1" x14ac:dyDescent="0.35">
      <c r="A167" s="23">
        <v>2009</v>
      </c>
      <c r="B167" s="26"/>
      <c r="C167" s="21"/>
      <c r="D167" s="21"/>
      <c r="E167" s="21"/>
    </row>
    <row r="168" spans="1:5" hidden="1" x14ac:dyDescent="0.35">
      <c r="A168" s="23">
        <v>2009</v>
      </c>
      <c r="B168" s="26">
        <v>1452</v>
      </c>
      <c r="C168" s="21">
        <v>77</v>
      </c>
      <c r="D168" s="21">
        <v>2188</v>
      </c>
      <c r="E168" s="21">
        <v>729</v>
      </c>
    </row>
    <row r="169" spans="1:5" hidden="1" x14ac:dyDescent="0.35">
      <c r="A169" s="23">
        <v>2009</v>
      </c>
      <c r="B169" s="26">
        <v>1782</v>
      </c>
      <c r="C169" s="21">
        <v>50</v>
      </c>
      <c r="D169" s="21">
        <v>1931</v>
      </c>
      <c r="E169" s="21">
        <v>795</v>
      </c>
    </row>
    <row r="170" spans="1:5" hidden="1" x14ac:dyDescent="0.35">
      <c r="A170" s="23">
        <v>2009</v>
      </c>
      <c r="B170" s="26">
        <v>1910</v>
      </c>
      <c r="C170" s="21">
        <v>37</v>
      </c>
      <c r="D170" s="21">
        <v>1937</v>
      </c>
      <c r="E170" s="21">
        <v>729</v>
      </c>
    </row>
    <row r="171" spans="1:5" hidden="1" x14ac:dyDescent="0.35">
      <c r="A171" s="23">
        <v>2009</v>
      </c>
      <c r="B171" s="26">
        <v>2180</v>
      </c>
      <c r="C171" s="21">
        <v>38</v>
      </c>
      <c r="D171" s="21">
        <v>1598</v>
      </c>
      <c r="E171" s="21">
        <v>562</v>
      </c>
    </row>
    <row r="172" spans="1:5" hidden="1" x14ac:dyDescent="0.35">
      <c r="A172" s="23">
        <v>2009</v>
      </c>
      <c r="B172" s="26">
        <v>2006</v>
      </c>
      <c r="C172" s="21">
        <v>76</v>
      </c>
      <c r="D172" s="21">
        <v>2721</v>
      </c>
      <c r="E172" s="21">
        <v>579</v>
      </c>
    </row>
    <row r="173" spans="1:5" hidden="1" x14ac:dyDescent="0.35">
      <c r="A173" s="23">
        <v>2009</v>
      </c>
      <c r="B173" s="26">
        <v>1669</v>
      </c>
      <c r="C173" s="21">
        <v>35</v>
      </c>
      <c r="D173" s="21">
        <v>1938</v>
      </c>
      <c r="E173" s="21">
        <v>930</v>
      </c>
    </row>
    <row r="174" spans="1:5" hidden="1" x14ac:dyDescent="0.35">
      <c r="A174" s="23">
        <v>2009</v>
      </c>
      <c r="B174" s="26">
        <v>1810</v>
      </c>
      <c r="C174" s="21">
        <v>9</v>
      </c>
      <c r="D174" s="21">
        <v>2173</v>
      </c>
      <c r="E174" s="21">
        <v>708</v>
      </c>
    </row>
    <row r="175" spans="1:5" hidden="1" x14ac:dyDescent="0.35">
      <c r="A175" s="23">
        <v>2009</v>
      </c>
      <c r="B175" s="26">
        <v>2032</v>
      </c>
      <c r="C175" s="21">
        <v>65</v>
      </c>
      <c r="D175" s="21">
        <v>2258</v>
      </c>
      <c r="E175" s="21">
        <v>793</v>
      </c>
    </row>
    <row r="176" spans="1:5" hidden="1" x14ac:dyDescent="0.35">
      <c r="A176" s="23">
        <v>2010</v>
      </c>
      <c r="B176" s="30">
        <f>SUM(B261:B272)</f>
        <v>72734</v>
      </c>
      <c r="C176" s="30">
        <f>SUM(C261:C272)</f>
        <v>3414</v>
      </c>
      <c r="D176" s="30">
        <f>SUM(D261:D272)</f>
        <v>31001</v>
      </c>
      <c r="E176" s="31">
        <f>SUM(E261:E272)</f>
        <v>5612</v>
      </c>
    </row>
    <row r="177" spans="1:6" hidden="1" x14ac:dyDescent="0.35">
      <c r="A177" s="23">
        <v>2011</v>
      </c>
      <c r="B177" s="30">
        <f>B235+B236+B237+B238</f>
        <v>50362</v>
      </c>
      <c r="C177" s="30">
        <f>C235+C236+C237+C238</f>
        <v>3359</v>
      </c>
      <c r="D177" s="30">
        <f>D235+D236+D237+D238</f>
        <v>35427</v>
      </c>
      <c r="E177" s="31">
        <f>E235+E236+E237+E238</f>
        <v>5406</v>
      </c>
    </row>
    <row r="178" spans="1:6" hidden="1" x14ac:dyDescent="0.35">
      <c r="A178" s="23">
        <v>2012</v>
      </c>
      <c r="B178" s="30">
        <f>B241+B242+B243+B244</f>
        <v>26429</v>
      </c>
      <c r="C178" s="30">
        <f>C241+C242+C243+C244</f>
        <v>2934</v>
      </c>
      <c r="D178" s="30">
        <f>D241+D242+D243+D244</f>
        <v>36000</v>
      </c>
      <c r="E178" s="31">
        <f>E241+E242+E243+E244</f>
        <v>4822</v>
      </c>
    </row>
    <row r="179" spans="1:6" hidden="1" x14ac:dyDescent="0.35">
      <c r="A179" s="23">
        <v>2013</v>
      </c>
      <c r="B179" s="30">
        <f>SUM(B275:B278)</f>
        <v>49427</v>
      </c>
      <c r="C179" s="30">
        <f>SUM(C275:C278)</f>
        <v>3567</v>
      </c>
      <c r="D179" s="30">
        <f>SUM(D275:D278)</f>
        <v>31735</v>
      </c>
      <c r="E179" s="30">
        <f>SUM(E275:E278)</f>
        <v>5206</v>
      </c>
    </row>
    <row r="180" spans="1:6" hidden="1" x14ac:dyDescent="0.35">
      <c r="A180" s="23">
        <v>2014</v>
      </c>
      <c r="B180" s="31">
        <f>B281+B282+B283+B284</f>
        <v>46645</v>
      </c>
      <c r="C180" s="31">
        <f>C281+C282+C283+C284</f>
        <v>1639</v>
      </c>
      <c r="D180" s="31">
        <f>D281+D282+D283+D284</f>
        <v>31001</v>
      </c>
      <c r="E180" s="31">
        <f>E281+E282+E283+E284</f>
        <v>5238</v>
      </c>
      <c r="F180" s="31"/>
    </row>
    <row r="181" spans="1:6" hidden="1" x14ac:dyDescent="0.35">
      <c r="A181" s="23">
        <v>2015</v>
      </c>
      <c r="B181" s="31">
        <v>86549</v>
      </c>
      <c r="C181" s="31">
        <v>513</v>
      </c>
      <c r="D181" s="31">
        <v>23151</v>
      </c>
      <c r="E181" s="31">
        <v>3480</v>
      </c>
    </row>
    <row r="182" spans="1:6" hidden="1" x14ac:dyDescent="0.35">
      <c r="A182" s="23">
        <v>2016</v>
      </c>
      <c r="B182" s="60">
        <v>23277</v>
      </c>
      <c r="C182" s="60">
        <v>336</v>
      </c>
      <c r="D182" s="60">
        <v>19503</v>
      </c>
      <c r="E182" s="60">
        <v>1965</v>
      </c>
    </row>
    <row r="183" spans="1:6" hidden="1" x14ac:dyDescent="0.35">
      <c r="A183" s="23">
        <v>2017</v>
      </c>
      <c r="B183" s="31">
        <v>37646</v>
      </c>
      <c r="C183" s="31">
        <v>349</v>
      </c>
      <c r="D183" s="31">
        <v>47203</v>
      </c>
      <c r="E183" s="31">
        <v>3645</v>
      </c>
    </row>
    <row r="184" spans="1:6" x14ac:dyDescent="0.35">
      <c r="A184" s="23">
        <v>2018</v>
      </c>
      <c r="B184" s="31">
        <v>53262</v>
      </c>
      <c r="C184" s="31">
        <v>286</v>
      </c>
      <c r="D184" s="31">
        <v>69743</v>
      </c>
      <c r="E184" s="31">
        <v>4756</v>
      </c>
    </row>
    <row r="185" spans="1:6" x14ac:dyDescent="0.35">
      <c r="A185" s="23">
        <v>2019</v>
      </c>
      <c r="B185" s="31">
        <f>B314+B315+B316+B317</f>
        <v>53921</v>
      </c>
      <c r="C185" s="31">
        <f>C314+C315+C316+C317</f>
        <v>303</v>
      </c>
      <c r="D185" s="31">
        <f>D314+D315+D316+D317</f>
        <v>73237</v>
      </c>
      <c r="E185" s="31">
        <f>E314+E315+E316+E317</f>
        <v>4403</v>
      </c>
    </row>
    <row r="186" spans="1:6" hidden="1" x14ac:dyDescent="0.35">
      <c r="A186" s="3"/>
      <c r="B186" s="31">
        <f t="shared" ref="B186:B249" si="0">B315+B316+B317+B318</f>
        <v>40692</v>
      </c>
      <c r="C186" s="58"/>
      <c r="D186" s="58"/>
      <c r="E186" s="58"/>
    </row>
    <row r="187" spans="1:6" hidden="1" x14ac:dyDescent="0.35">
      <c r="A187" s="27" t="s">
        <v>51</v>
      </c>
      <c r="B187" s="31">
        <f t="shared" si="0"/>
        <v>29836</v>
      </c>
      <c r="C187" s="21"/>
      <c r="D187" s="21"/>
      <c r="E187" s="21"/>
    </row>
    <row r="188" spans="1:6" hidden="1" x14ac:dyDescent="0.35">
      <c r="A188" s="14" t="s">
        <v>8</v>
      </c>
      <c r="B188" s="31">
        <f t="shared" si="0"/>
        <v>18141</v>
      </c>
      <c r="C188" s="21">
        <v>284</v>
      </c>
      <c r="D188" s="21">
        <v>8019</v>
      </c>
      <c r="E188" s="21">
        <v>1852</v>
      </c>
    </row>
    <row r="189" spans="1:6" hidden="1" x14ac:dyDescent="0.35">
      <c r="A189" s="14" t="s">
        <v>9</v>
      </c>
      <c r="B189" s="31">
        <f t="shared" si="0"/>
        <v>7275</v>
      </c>
      <c r="C189" s="21">
        <v>422</v>
      </c>
      <c r="D189" s="21">
        <v>9248</v>
      </c>
      <c r="E189" s="21">
        <v>1909</v>
      </c>
    </row>
    <row r="190" spans="1:6" hidden="1" x14ac:dyDescent="0.35">
      <c r="A190" s="14" t="s">
        <v>10</v>
      </c>
      <c r="B190" s="31">
        <f t="shared" si="0"/>
        <v>10254</v>
      </c>
      <c r="C190" s="21">
        <v>337</v>
      </c>
      <c r="D190" s="21">
        <v>9407</v>
      </c>
      <c r="E190" s="21">
        <v>1513</v>
      </c>
    </row>
    <row r="191" spans="1:6" hidden="1" x14ac:dyDescent="0.35">
      <c r="A191" s="14" t="s">
        <v>11</v>
      </c>
      <c r="B191" s="31">
        <f t="shared" si="0"/>
        <v>10622</v>
      </c>
      <c r="C191" s="21">
        <v>402</v>
      </c>
      <c r="D191" s="21">
        <v>7119</v>
      </c>
      <c r="E191" s="21">
        <v>1714</v>
      </c>
    </row>
    <row r="192" spans="1:6" hidden="1" x14ac:dyDescent="0.35">
      <c r="A192" s="14"/>
      <c r="B192" s="31">
        <f t="shared" si="0"/>
        <v>11923</v>
      </c>
      <c r="C192" s="29"/>
      <c r="D192" s="29"/>
      <c r="E192" s="29"/>
    </row>
    <row r="193" spans="1:5" hidden="1" x14ac:dyDescent="0.35">
      <c r="A193" s="27"/>
      <c r="B193" s="31">
        <f t="shared" si="0"/>
        <v>12192</v>
      </c>
      <c r="C193" s="21"/>
      <c r="D193" s="21"/>
      <c r="E193" s="21"/>
    </row>
    <row r="194" spans="1:5" hidden="1" x14ac:dyDescent="0.35">
      <c r="A194" s="27" t="s">
        <v>48</v>
      </c>
      <c r="B194" s="31">
        <f t="shared" si="0"/>
        <v>11808</v>
      </c>
      <c r="C194" s="21"/>
      <c r="D194" s="21"/>
      <c r="E194" s="21"/>
    </row>
    <row r="195" spans="1:5" hidden="1" x14ac:dyDescent="0.35">
      <c r="A195" s="14" t="s">
        <v>23</v>
      </c>
      <c r="B195" s="31">
        <f t="shared" si="0"/>
        <v>12992</v>
      </c>
      <c r="C195" s="21">
        <v>160</v>
      </c>
      <c r="D195" s="21">
        <v>2780</v>
      </c>
      <c r="E195" s="21">
        <v>641</v>
      </c>
    </row>
    <row r="196" spans="1:5" hidden="1" x14ac:dyDescent="0.35">
      <c r="A196" s="14" t="s">
        <v>24</v>
      </c>
      <c r="B196" s="31">
        <f t="shared" si="0"/>
        <v>12878</v>
      </c>
      <c r="C196" s="21">
        <v>122</v>
      </c>
      <c r="D196" s="21">
        <v>2704</v>
      </c>
      <c r="E196" s="21">
        <v>697</v>
      </c>
    </row>
    <row r="197" spans="1:5" hidden="1" x14ac:dyDescent="0.35">
      <c r="A197" s="14" t="s">
        <v>25</v>
      </c>
      <c r="B197" s="31">
        <f t="shared" si="0"/>
        <v>13314</v>
      </c>
      <c r="C197" s="21">
        <v>26</v>
      </c>
      <c r="D197" s="21">
        <v>2801</v>
      </c>
      <c r="E197" s="21">
        <v>815</v>
      </c>
    </row>
    <row r="198" spans="1:5" hidden="1" x14ac:dyDescent="0.35">
      <c r="A198" s="14" t="s">
        <v>13</v>
      </c>
      <c r="B198" s="31">
        <f t="shared" si="0"/>
        <v>14499</v>
      </c>
      <c r="C198" s="21">
        <v>104</v>
      </c>
      <c r="D198" s="21">
        <v>2795</v>
      </c>
      <c r="E198" s="21">
        <v>1105</v>
      </c>
    </row>
    <row r="199" spans="1:5" hidden="1" x14ac:dyDescent="0.35">
      <c r="A199" s="14" t="s">
        <v>14</v>
      </c>
      <c r="B199" s="31">
        <f t="shared" si="0"/>
        <v>10729</v>
      </c>
      <c r="C199" s="21">
        <v>98</v>
      </c>
      <c r="D199" s="21">
        <v>2602</v>
      </c>
      <c r="E199" s="21">
        <v>436</v>
      </c>
    </row>
    <row r="200" spans="1:5" hidden="1" x14ac:dyDescent="0.35">
      <c r="A200" s="14" t="s">
        <v>15</v>
      </c>
      <c r="B200" s="31">
        <f t="shared" si="0"/>
        <v>7322</v>
      </c>
      <c r="C200" s="21">
        <v>116</v>
      </c>
      <c r="D200" s="21">
        <v>2607</v>
      </c>
      <c r="E200" s="21">
        <v>909</v>
      </c>
    </row>
    <row r="201" spans="1:5" hidden="1" x14ac:dyDescent="0.35">
      <c r="A201" s="14" t="s">
        <v>16</v>
      </c>
      <c r="B201" s="31">
        <f t="shared" si="0"/>
        <v>7399</v>
      </c>
      <c r="C201" s="21">
        <v>63</v>
      </c>
      <c r="D201" s="21">
        <v>2830</v>
      </c>
      <c r="E201" s="21">
        <v>1055</v>
      </c>
    </row>
    <row r="202" spans="1:5" hidden="1" x14ac:dyDescent="0.35">
      <c r="A202" s="14" t="s">
        <v>17</v>
      </c>
      <c r="B202" s="31">
        <f t="shared" si="0"/>
        <v>6931</v>
      </c>
      <c r="C202" s="21">
        <v>178</v>
      </c>
      <c r="D202" s="21">
        <v>2977</v>
      </c>
      <c r="E202" s="21">
        <v>388</v>
      </c>
    </row>
    <row r="203" spans="1:5" hidden="1" x14ac:dyDescent="0.35">
      <c r="A203" s="14" t="s">
        <v>18</v>
      </c>
      <c r="B203" s="31">
        <f t="shared" si="0"/>
        <v>10401</v>
      </c>
      <c r="C203" s="21">
        <v>56</v>
      </c>
      <c r="D203" s="21">
        <v>3035</v>
      </c>
      <c r="E203" s="21">
        <v>568</v>
      </c>
    </row>
    <row r="204" spans="1:5" hidden="1" x14ac:dyDescent="0.35">
      <c r="A204" s="14" t="s">
        <v>46</v>
      </c>
      <c r="B204" s="31">
        <f t="shared" si="0"/>
        <v>14335</v>
      </c>
      <c r="C204" s="21">
        <v>43</v>
      </c>
      <c r="D204" s="21">
        <v>2868</v>
      </c>
      <c r="E204" s="21">
        <v>610</v>
      </c>
    </row>
    <row r="205" spans="1:5" hidden="1" x14ac:dyDescent="0.35">
      <c r="A205" s="14" t="s">
        <v>47</v>
      </c>
      <c r="B205" s="31">
        <f t="shared" si="0"/>
        <v>14339</v>
      </c>
      <c r="C205" s="21">
        <v>44</v>
      </c>
      <c r="D205" s="21">
        <v>2869</v>
      </c>
      <c r="E205" s="21">
        <v>342</v>
      </c>
    </row>
    <row r="206" spans="1:5" hidden="1" x14ac:dyDescent="0.35">
      <c r="A206" s="14" t="s">
        <v>21</v>
      </c>
      <c r="B206" s="31">
        <f t="shared" si="0"/>
        <v>15418</v>
      </c>
      <c r="C206" s="21">
        <v>117</v>
      </c>
      <c r="D206" s="21">
        <v>2604</v>
      </c>
      <c r="E206" s="21">
        <v>542</v>
      </c>
    </row>
    <row r="207" spans="1:5" hidden="1" x14ac:dyDescent="0.35">
      <c r="A207" s="14"/>
      <c r="B207" s="31">
        <f t="shared" si="0"/>
        <v>16107</v>
      </c>
      <c r="C207" s="21"/>
      <c r="D207" s="21"/>
      <c r="E207" s="21"/>
    </row>
    <row r="208" spans="1:5" hidden="1" x14ac:dyDescent="0.35">
      <c r="A208" s="27" t="s">
        <v>52</v>
      </c>
      <c r="B208" s="31">
        <f t="shared" si="0"/>
        <v>16905</v>
      </c>
      <c r="C208" s="21"/>
      <c r="D208" s="21"/>
      <c r="E208" s="21"/>
    </row>
    <row r="209" spans="1:5" hidden="1" x14ac:dyDescent="0.35">
      <c r="A209" s="14" t="s">
        <v>8</v>
      </c>
      <c r="B209" s="31">
        <f t="shared" si="0"/>
        <v>16967</v>
      </c>
      <c r="C209" s="21">
        <v>191</v>
      </c>
      <c r="D209" s="21">
        <v>7106</v>
      </c>
      <c r="E209" s="21">
        <v>1589</v>
      </c>
    </row>
    <row r="210" spans="1:5" hidden="1" x14ac:dyDescent="0.35">
      <c r="A210" s="14" t="s">
        <v>9</v>
      </c>
      <c r="B210" s="31">
        <f t="shared" si="0"/>
        <v>15737</v>
      </c>
      <c r="C210" s="21">
        <v>339</v>
      </c>
      <c r="D210" s="21">
        <v>8421</v>
      </c>
      <c r="E210" s="21">
        <v>1608</v>
      </c>
    </row>
    <row r="211" spans="1:5" hidden="1" x14ac:dyDescent="0.35">
      <c r="A211" s="14" t="s">
        <v>10</v>
      </c>
      <c r="B211" s="31">
        <f t="shared" si="0"/>
        <v>14426</v>
      </c>
      <c r="C211" s="21">
        <v>421</v>
      </c>
      <c r="D211" s="21">
        <v>8240</v>
      </c>
      <c r="E211" s="21">
        <v>2196</v>
      </c>
    </row>
    <row r="212" spans="1:5" hidden="1" x14ac:dyDescent="0.35">
      <c r="A212" s="22" t="s">
        <v>60</v>
      </c>
      <c r="B212" s="31">
        <f t="shared" si="0"/>
        <v>12376</v>
      </c>
      <c r="C212" s="21">
        <v>759</v>
      </c>
      <c r="D212" s="21">
        <v>8495</v>
      </c>
      <c r="E212" s="21">
        <v>1863</v>
      </c>
    </row>
    <row r="213" spans="1:5" hidden="1" x14ac:dyDescent="0.35">
      <c r="A213" s="14"/>
      <c r="B213" s="31">
        <f t="shared" si="0"/>
        <v>8691</v>
      </c>
      <c r="C213" s="32"/>
      <c r="D213" s="32"/>
      <c r="E213" s="33"/>
    </row>
    <row r="214" spans="1:5" hidden="1" x14ac:dyDescent="0.35">
      <c r="A214" s="27" t="s">
        <v>50</v>
      </c>
      <c r="B214" s="31">
        <f t="shared" si="0"/>
        <v>8242</v>
      </c>
      <c r="C214" s="21"/>
      <c r="D214" s="21"/>
      <c r="E214" s="21"/>
    </row>
    <row r="215" spans="1:5" hidden="1" x14ac:dyDescent="0.35">
      <c r="A215" s="14" t="s">
        <v>23</v>
      </c>
      <c r="B215" s="31">
        <f t="shared" si="0"/>
        <v>7651</v>
      </c>
      <c r="C215" s="21">
        <v>117</v>
      </c>
      <c r="D215" s="21">
        <v>2679</v>
      </c>
      <c r="E215" s="21">
        <v>395</v>
      </c>
    </row>
    <row r="216" spans="1:5" hidden="1" x14ac:dyDescent="0.35">
      <c r="A216" s="14" t="s">
        <v>24</v>
      </c>
      <c r="B216" s="31">
        <f t="shared" si="0"/>
        <v>7313</v>
      </c>
      <c r="C216" s="21">
        <v>36</v>
      </c>
      <c r="D216" s="21">
        <v>2416</v>
      </c>
      <c r="E216" s="21">
        <v>658</v>
      </c>
    </row>
    <row r="217" spans="1:5" hidden="1" x14ac:dyDescent="0.35">
      <c r="A217" s="14" t="s">
        <v>25</v>
      </c>
      <c r="B217" s="31">
        <f t="shared" si="0"/>
        <v>10225</v>
      </c>
      <c r="C217" s="21">
        <v>64</v>
      </c>
      <c r="D217" s="21">
        <v>2800</v>
      </c>
      <c r="E217" s="21">
        <v>600</v>
      </c>
    </row>
    <row r="218" spans="1:5" hidden="1" x14ac:dyDescent="0.35">
      <c r="A218" s="14" t="s">
        <v>13</v>
      </c>
      <c r="B218" s="31">
        <f t="shared" si="0"/>
        <v>10579</v>
      </c>
      <c r="C218" s="21">
        <v>95</v>
      </c>
      <c r="D218" s="21">
        <v>2723</v>
      </c>
      <c r="E218" s="21">
        <v>995</v>
      </c>
    </row>
    <row r="219" spans="1:5" hidden="1" x14ac:dyDescent="0.35">
      <c r="A219" s="14" t="s">
        <v>14</v>
      </c>
      <c r="B219" s="31">
        <f t="shared" si="0"/>
        <v>11345</v>
      </c>
      <c r="C219" s="21">
        <v>131</v>
      </c>
      <c r="D219" s="21">
        <v>2769</v>
      </c>
      <c r="E219" s="21">
        <v>806</v>
      </c>
    </row>
    <row r="220" spans="1:5" hidden="1" x14ac:dyDescent="0.35">
      <c r="A220" s="14" t="s">
        <v>15</v>
      </c>
      <c r="B220" s="31">
        <f t="shared" si="0"/>
        <v>12845</v>
      </c>
      <c r="C220" s="21">
        <v>127</v>
      </c>
      <c r="D220" s="21">
        <v>2248</v>
      </c>
      <c r="E220" s="21">
        <v>413</v>
      </c>
    </row>
    <row r="221" spans="1:5" hidden="1" x14ac:dyDescent="0.35">
      <c r="A221" s="14" t="s">
        <v>16</v>
      </c>
      <c r="B221" s="31">
        <f t="shared" si="0"/>
        <v>15716</v>
      </c>
      <c r="C221" s="21">
        <v>180</v>
      </c>
      <c r="D221" s="21">
        <v>2812</v>
      </c>
      <c r="E221" s="21">
        <v>516</v>
      </c>
    </row>
    <row r="222" spans="1:5" hidden="1" x14ac:dyDescent="0.35">
      <c r="A222" s="14" t="s">
        <v>17</v>
      </c>
      <c r="B222" s="31">
        <f t="shared" si="0"/>
        <v>15990</v>
      </c>
      <c r="C222" s="21">
        <v>158</v>
      </c>
      <c r="D222" s="21">
        <v>3437</v>
      </c>
      <c r="E222" s="21">
        <v>560</v>
      </c>
    </row>
    <row r="223" spans="1:5" hidden="1" x14ac:dyDescent="0.35">
      <c r="A223" s="14" t="s">
        <v>18</v>
      </c>
      <c r="B223" s="31">
        <f t="shared" si="0"/>
        <v>16319</v>
      </c>
      <c r="C223" s="21">
        <v>148</v>
      </c>
      <c r="D223" s="21">
        <v>3493</v>
      </c>
      <c r="E223" s="21">
        <v>627</v>
      </c>
    </row>
    <row r="224" spans="1:5" hidden="1" x14ac:dyDescent="0.35">
      <c r="A224" s="14" t="s">
        <v>46</v>
      </c>
      <c r="B224" s="31">
        <f t="shared" si="0"/>
        <v>15031</v>
      </c>
      <c r="C224" s="21">
        <v>103</v>
      </c>
      <c r="D224" s="21">
        <v>3478</v>
      </c>
      <c r="E224" s="21">
        <v>491</v>
      </c>
    </row>
    <row r="225" spans="1:6" hidden="1" x14ac:dyDescent="0.35">
      <c r="A225" s="14" t="s">
        <v>47</v>
      </c>
      <c r="B225" s="31">
        <f t="shared" si="0"/>
        <v>12786</v>
      </c>
      <c r="C225" s="21">
        <v>140</v>
      </c>
      <c r="D225" s="21">
        <v>2876</v>
      </c>
      <c r="E225" s="21">
        <v>647</v>
      </c>
    </row>
    <row r="226" spans="1:6" hidden="1" x14ac:dyDescent="0.35">
      <c r="A226" s="14" t="s">
        <v>21</v>
      </c>
      <c r="B226" s="31">
        <f t="shared" si="0"/>
        <v>9446</v>
      </c>
      <c r="C226" s="21">
        <v>56</v>
      </c>
      <c r="D226" s="21">
        <v>2481</v>
      </c>
      <c r="E226" s="21">
        <v>627</v>
      </c>
    </row>
    <row r="227" spans="1:6" hidden="1" x14ac:dyDescent="0.35">
      <c r="A227" s="14"/>
      <c r="B227" s="31">
        <f t="shared" si="0"/>
        <v>6094</v>
      </c>
      <c r="C227" s="21"/>
      <c r="D227" s="21"/>
      <c r="E227" s="21"/>
    </row>
    <row r="228" spans="1:6" hidden="1" x14ac:dyDescent="0.35">
      <c r="A228" s="24" t="s">
        <v>74</v>
      </c>
      <c r="B228" s="31">
        <f t="shared" si="0"/>
        <v>6674</v>
      </c>
      <c r="C228" s="21"/>
      <c r="D228" s="21"/>
      <c r="E228" s="21"/>
    </row>
    <row r="229" spans="1:6" hidden="1" x14ac:dyDescent="0.35">
      <c r="A229" s="22" t="s">
        <v>57</v>
      </c>
      <c r="B229" s="31">
        <f t="shared" si="0"/>
        <v>6006</v>
      </c>
      <c r="C229" s="30">
        <f>SUM(C261:C263)</f>
        <v>731</v>
      </c>
      <c r="D229" s="30">
        <f>SUM(D261:D263)</f>
        <v>7245</v>
      </c>
      <c r="E229" s="30">
        <f>SUM(E261:E263)</f>
        <v>1491</v>
      </c>
    </row>
    <row r="230" spans="1:6" hidden="1" x14ac:dyDescent="0.35">
      <c r="A230" s="22" t="s">
        <v>58</v>
      </c>
      <c r="B230" s="31">
        <f t="shared" si="0"/>
        <v>8896</v>
      </c>
      <c r="C230" s="34">
        <f>C264+C265+C266</f>
        <v>866</v>
      </c>
      <c r="D230" s="34">
        <f>D264+D265+D266</f>
        <v>7121</v>
      </c>
      <c r="E230" s="30">
        <f>E264+E265+E266</f>
        <v>1293</v>
      </c>
      <c r="F230" s="52"/>
    </row>
    <row r="231" spans="1:6" hidden="1" x14ac:dyDescent="0.35">
      <c r="A231" s="22" t="s">
        <v>59</v>
      </c>
      <c r="B231" s="31">
        <f t="shared" si="0"/>
        <v>11969</v>
      </c>
      <c r="C231" s="30">
        <f>C267+C268+C269</f>
        <v>1008</v>
      </c>
      <c r="D231" s="30">
        <f>D267+D268+D269</f>
        <v>8246</v>
      </c>
      <c r="E231" s="31">
        <f>E267+E268+E269</f>
        <v>1318</v>
      </c>
      <c r="F231" s="53"/>
    </row>
    <row r="232" spans="1:6" hidden="1" x14ac:dyDescent="0.35">
      <c r="A232" s="22" t="s">
        <v>60</v>
      </c>
      <c r="B232" s="31">
        <f t="shared" si="0"/>
        <v>11806</v>
      </c>
      <c r="C232" s="34">
        <f>C270+C271+C272</f>
        <v>809</v>
      </c>
      <c r="D232" s="34">
        <f>D270+D271+D272</f>
        <v>8389</v>
      </c>
      <c r="E232" s="30">
        <f>E270+E271+E272</f>
        <v>1510</v>
      </c>
      <c r="F232" s="52"/>
    </row>
    <row r="233" spans="1:6" hidden="1" x14ac:dyDescent="0.35">
      <c r="A233" s="14"/>
      <c r="B233" s="31">
        <f t="shared" si="0"/>
        <v>12039</v>
      </c>
      <c r="C233" s="35"/>
      <c r="D233" s="35"/>
      <c r="E233" s="36"/>
      <c r="F233" s="53"/>
    </row>
    <row r="234" spans="1:6" hidden="1" x14ac:dyDescent="0.35">
      <c r="A234" s="24" t="s">
        <v>75</v>
      </c>
      <c r="B234" s="31">
        <f t="shared" si="0"/>
        <v>12094</v>
      </c>
      <c r="C234" s="34"/>
      <c r="D234" s="34"/>
      <c r="E234" s="30"/>
      <c r="F234" s="53"/>
    </row>
    <row r="235" spans="1:6" hidden="1" x14ac:dyDescent="0.35">
      <c r="A235" s="22" t="s">
        <v>57</v>
      </c>
      <c r="B235" s="31">
        <f t="shared" si="0"/>
        <v>12280</v>
      </c>
      <c r="C235" s="30">
        <f>SUM(C319:C321)</f>
        <v>641</v>
      </c>
      <c r="D235" s="30">
        <f>SUM(D319:D321)</f>
        <v>8067</v>
      </c>
      <c r="E235" s="31">
        <f>SUM(E319:E321)</f>
        <v>1343</v>
      </c>
    </row>
    <row r="236" spans="1:6" hidden="1" x14ac:dyDescent="0.35">
      <c r="A236" s="22" t="s">
        <v>58</v>
      </c>
      <c r="B236" s="31">
        <f t="shared" si="0"/>
        <v>12600</v>
      </c>
      <c r="C236" s="30">
        <f>SUM(C322:C324)</f>
        <v>847</v>
      </c>
      <c r="D236" s="30">
        <f>SUM(D322:D324)</f>
        <v>8459</v>
      </c>
      <c r="E236" s="31">
        <f>SUM(E322:E324)</f>
        <v>1513</v>
      </c>
    </row>
    <row r="237" spans="1:6" hidden="1" x14ac:dyDescent="0.35">
      <c r="A237" s="22" t="s">
        <v>59</v>
      </c>
      <c r="B237" s="31">
        <f t="shared" si="0"/>
        <v>12812</v>
      </c>
      <c r="C237" s="30">
        <f>SUM(C325:C327)</f>
        <v>872</v>
      </c>
      <c r="D237" s="30">
        <f>SUM(D325:D327)</f>
        <v>9326</v>
      </c>
      <c r="E237" s="31">
        <f>SUM(E325:E327)</f>
        <v>1371</v>
      </c>
    </row>
    <row r="238" spans="1:6" hidden="1" x14ac:dyDescent="0.35">
      <c r="A238" s="22" t="s">
        <v>60</v>
      </c>
      <c r="B238" s="31">
        <f t="shared" si="0"/>
        <v>12670</v>
      </c>
      <c r="C238" s="30">
        <f>SUM(C328:C330)</f>
        <v>999</v>
      </c>
      <c r="D238" s="30">
        <f>SUM(D328:D330)</f>
        <v>9575</v>
      </c>
      <c r="E238" s="31">
        <f>SUM(E328:E330)</f>
        <v>1179</v>
      </c>
    </row>
    <row r="239" spans="1:6" hidden="1" x14ac:dyDescent="0.35">
      <c r="A239" s="14"/>
      <c r="B239" s="31">
        <f t="shared" si="0"/>
        <v>13139</v>
      </c>
      <c r="C239" s="34"/>
      <c r="D239" s="30"/>
      <c r="E239" s="31"/>
    </row>
    <row r="240" spans="1:6" hidden="1" x14ac:dyDescent="0.35">
      <c r="A240" s="24" t="s">
        <v>76</v>
      </c>
      <c r="B240" s="31">
        <f t="shared" si="0"/>
        <v>9846</v>
      </c>
      <c r="C240" s="34"/>
      <c r="D240" s="34"/>
      <c r="E240" s="30"/>
      <c r="F240" s="53"/>
    </row>
    <row r="241" spans="1:5" hidden="1" x14ac:dyDescent="0.35">
      <c r="A241" s="22" t="s">
        <v>57</v>
      </c>
      <c r="B241" s="31">
        <f t="shared" si="0"/>
        <v>6531</v>
      </c>
      <c r="C241" s="30">
        <f>SUM(C333:C335)</f>
        <v>632</v>
      </c>
      <c r="D241" s="30">
        <f>SUM(D333:D335)</f>
        <v>8778</v>
      </c>
      <c r="E241" s="30">
        <f>SUM(E333:E335)</f>
        <v>1225</v>
      </c>
    </row>
    <row r="242" spans="1:5" hidden="1" x14ac:dyDescent="0.35">
      <c r="A242" s="22" t="s">
        <v>58</v>
      </c>
      <c r="B242" s="31">
        <f t="shared" si="0"/>
        <v>6483</v>
      </c>
      <c r="C242" s="30">
        <f>SUM(C336:C338)</f>
        <v>590</v>
      </c>
      <c r="D242" s="30">
        <f>SUM(D336:D338)</f>
        <v>9393</v>
      </c>
      <c r="E242" s="31">
        <f>SUM(E336:E338)</f>
        <v>1136</v>
      </c>
    </row>
    <row r="243" spans="1:5" hidden="1" x14ac:dyDescent="0.35">
      <c r="A243" s="22" t="s">
        <v>59</v>
      </c>
      <c r="B243" s="31">
        <f t="shared" si="0"/>
        <v>5471</v>
      </c>
      <c r="C243" s="30">
        <f>SUM(C339:C341)</f>
        <v>878</v>
      </c>
      <c r="D243" s="30">
        <f>SUM(D339:D341)</f>
        <v>10247</v>
      </c>
      <c r="E243" s="31">
        <f>SUM(E339:E341)</f>
        <v>1215</v>
      </c>
    </row>
    <row r="244" spans="1:5" hidden="1" x14ac:dyDescent="0.35">
      <c r="A244" s="22" t="s">
        <v>60</v>
      </c>
      <c r="B244" s="31">
        <f t="shared" si="0"/>
        <v>7944</v>
      </c>
      <c r="C244" s="30">
        <f>SUM(C342:C344)</f>
        <v>834</v>
      </c>
      <c r="D244" s="30">
        <f>SUM(D342:D344)</f>
        <v>7582</v>
      </c>
      <c r="E244" s="31">
        <f>SUM(E342:E344)</f>
        <v>1246</v>
      </c>
    </row>
    <row r="245" spans="1:5" hidden="1" x14ac:dyDescent="0.35">
      <c r="A245" s="14"/>
      <c r="B245" s="31">
        <f t="shared" si="0"/>
        <v>9898</v>
      </c>
      <c r="C245" s="29"/>
      <c r="D245" s="29"/>
      <c r="E245" s="29"/>
    </row>
    <row r="246" spans="1:5" hidden="1" x14ac:dyDescent="0.35">
      <c r="A246" s="27" t="s">
        <v>52</v>
      </c>
      <c r="B246" s="31">
        <f t="shared" si="0"/>
        <v>8657</v>
      </c>
      <c r="C246" s="21"/>
      <c r="D246" s="21"/>
      <c r="E246" s="21"/>
    </row>
    <row r="247" spans="1:5" hidden="1" x14ac:dyDescent="0.35">
      <c r="A247" s="14" t="s">
        <v>23</v>
      </c>
      <c r="B247" s="31">
        <f t="shared" si="0"/>
        <v>8764</v>
      </c>
      <c r="C247" s="21">
        <v>69</v>
      </c>
      <c r="D247" s="21">
        <v>2525</v>
      </c>
      <c r="E247" s="21">
        <v>266</v>
      </c>
    </row>
    <row r="248" spans="1:5" hidden="1" x14ac:dyDescent="0.35">
      <c r="A248" s="14" t="s">
        <v>24</v>
      </c>
      <c r="B248" s="31">
        <f t="shared" si="0"/>
        <v>8694</v>
      </c>
      <c r="C248" s="21">
        <v>22</v>
      </c>
      <c r="D248" s="21">
        <v>1951</v>
      </c>
      <c r="E248" s="21">
        <v>495</v>
      </c>
    </row>
    <row r="249" spans="1:5" hidden="1" x14ac:dyDescent="0.35">
      <c r="A249" s="14" t="s">
        <v>25</v>
      </c>
      <c r="B249" s="31">
        <f t="shared" si="0"/>
        <v>9461</v>
      </c>
      <c r="C249" s="21">
        <v>100</v>
      </c>
      <c r="D249" s="21">
        <v>2630</v>
      </c>
      <c r="E249" s="21">
        <v>828</v>
      </c>
    </row>
    <row r="250" spans="1:5" hidden="1" x14ac:dyDescent="0.35">
      <c r="A250" s="14" t="s">
        <v>13</v>
      </c>
      <c r="B250" s="31">
        <f t="shared" ref="B250:B288" si="1">B379+B380+B381+B382</f>
        <v>10892</v>
      </c>
      <c r="C250" s="21">
        <v>92</v>
      </c>
      <c r="D250" s="21">
        <v>2846</v>
      </c>
      <c r="E250" s="21">
        <v>588</v>
      </c>
    </row>
    <row r="251" spans="1:5" hidden="1" x14ac:dyDescent="0.35">
      <c r="A251" s="14" t="s">
        <v>14</v>
      </c>
      <c r="B251" s="31">
        <f t="shared" si="1"/>
        <v>10953</v>
      </c>
      <c r="C251" s="21">
        <v>117</v>
      </c>
      <c r="D251" s="21">
        <v>2534</v>
      </c>
      <c r="E251" s="21">
        <v>250</v>
      </c>
    </row>
    <row r="252" spans="1:5" hidden="1" x14ac:dyDescent="0.35">
      <c r="A252" s="14" t="s">
        <v>15</v>
      </c>
      <c r="B252" s="31">
        <f t="shared" si="1"/>
        <v>11845</v>
      </c>
      <c r="C252" s="21">
        <v>130</v>
      </c>
      <c r="D252" s="21">
        <v>3041</v>
      </c>
      <c r="E252" s="21">
        <v>770</v>
      </c>
    </row>
    <row r="253" spans="1:5" hidden="1" x14ac:dyDescent="0.35">
      <c r="A253" s="14" t="s">
        <v>16</v>
      </c>
      <c r="B253" s="31">
        <f t="shared" si="1"/>
        <v>12248</v>
      </c>
      <c r="C253" s="21">
        <v>184</v>
      </c>
      <c r="D253" s="21">
        <v>2599</v>
      </c>
      <c r="E253" s="21">
        <v>855</v>
      </c>
    </row>
    <row r="254" spans="1:5" hidden="1" x14ac:dyDescent="0.35">
      <c r="A254" s="14" t="s">
        <v>17</v>
      </c>
      <c r="B254" s="31">
        <f t="shared" si="1"/>
        <v>9303</v>
      </c>
      <c r="C254" s="21">
        <v>146</v>
      </c>
      <c r="D254" s="21">
        <v>2869</v>
      </c>
      <c r="E254" s="21">
        <v>755</v>
      </c>
    </row>
    <row r="255" spans="1:5" hidden="1" x14ac:dyDescent="0.35">
      <c r="A255" s="14" t="s">
        <v>18</v>
      </c>
      <c r="B255" s="31">
        <f t="shared" si="1"/>
        <v>6419</v>
      </c>
      <c r="C255" s="21">
        <v>91</v>
      </c>
      <c r="D255" s="21">
        <v>2772</v>
      </c>
      <c r="E255" s="21">
        <v>586</v>
      </c>
    </row>
    <row r="256" spans="1:5" hidden="1" x14ac:dyDescent="0.35">
      <c r="A256" s="14" t="s">
        <v>46</v>
      </c>
      <c r="B256" s="31">
        <f t="shared" si="1"/>
        <v>5887</v>
      </c>
      <c r="C256" s="21">
        <v>328</v>
      </c>
      <c r="D256" s="21">
        <v>2706</v>
      </c>
      <c r="E256" s="21">
        <v>847</v>
      </c>
    </row>
    <row r="257" spans="1:6" hidden="1" x14ac:dyDescent="0.35">
      <c r="A257" s="14" t="s">
        <v>47</v>
      </c>
      <c r="B257" s="31">
        <f t="shared" si="1"/>
        <v>4376</v>
      </c>
      <c r="C257" s="21">
        <v>246</v>
      </c>
      <c r="D257" s="21">
        <v>2987</v>
      </c>
      <c r="E257" s="21">
        <v>597</v>
      </c>
    </row>
    <row r="258" spans="1:6" hidden="1" x14ac:dyDescent="0.35">
      <c r="A258" s="14" t="s">
        <v>21</v>
      </c>
      <c r="B258" s="31">
        <f t="shared" si="1"/>
        <v>6880</v>
      </c>
      <c r="C258" s="21">
        <v>185</v>
      </c>
      <c r="D258" s="21">
        <v>2802</v>
      </c>
      <c r="E258" s="21">
        <v>419</v>
      </c>
      <c r="F258" s="52"/>
    </row>
    <row r="259" spans="1:6" hidden="1" x14ac:dyDescent="0.35">
      <c r="A259" s="14"/>
      <c r="B259" s="31">
        <f t="shared" si="1"/>
        <v>8046</v>
      </c>
      <c r="C259" s="21"/>
      <c r="D259" s="21"/>
      <c r="E259" s="21"/>
      <c r="F259" s="52"/>
    </row>
    <row r="260" spans="1:6" hidden="1" x14ac:dyDescent="0.35">
      <c r="A260" s="24" t="s">
        <v>74</v>
      </c>
      <c r="B260" s="31">
        <f t="shared" si="1"/>
        <v>5715</v>
      </c>
      <c r="C260" s="21"/>
      <c r="D260" s="21"/>
      <c r="E260" s="21"/>
      <c r="F260" s="52"/>
    </row>
    <row r="261" spans="1:6" hidden="1" x14ac:dyDescent="0.35">
      <c r="A261" s="14" t="s">
        <v>23</v>
      </c>
      <c r="B261" s="31">
        <f t="shared" si="1"/>
        <v>5296</v>
      </c>
      <c r="C261" s="21">
        <v>239</v>
      </c>
      <c r="D261" s="21">
        <v>2321</v>
      </c>
      <c r="E261" s="21">
        <v>596</v>
      </c>
      <c r="F261" s="52"/>
    </row>
    <row r="262" spans="1:6" hidden="1" x14ac:dyDescent="0.35">
      <c r="A262" s="14" t="s">
        <v>24</v>
      </c>
      <c r="B262" s="31">
        <f t="shared" si="1"/>
        <v>4290</v>
      </c>
      <c r="C262" s="21">
        <v>243</v>
      </c>
      <c r="D262" s="21">
        <v>2325</v>
      </c>
      <c r="E262" s="21">
        <v>443</v>
      </c>
      <c r="F262" s="52"/>
    </row>
    <row r="263" spans="1:6" hidden="1" x14ac:dyDescent="0.35">
      <c r="A263" s="14" t="s">
        <v>25</v>
      </c>
      <c r="B263" s="31">
        <f t="shared" si="1"/>
        <v>5407</v>
      </c>
      <c r="C263" s="21">
        <v>249</v>
      </c>
      <c r="D263" s="21">
        <v>2599</v>
      </c>
      <c r="E263" s="21">
        <v>452</v>
      </c>
      <c r="F263" s="52"/>
    </row>
    <row r="264" spans="1:6" hidden="1" x14ac:dyDescent="0.35">
      <c r="A264" s="14" t="s">
        <v>13</v>
      </c>
      <c r="B264" s="31">
        <f t="shared" si="1"/>
        <v>7765</v>
      </c>
      <c r="C264" s="21">
        <v>229</v>
      </c>
      <c r="D264" s="21">
        <v>2731</v>
      </c>
      <c r="E264" s="21">
        <v>426</v>
      </c>
      <c r="F264" s="52"/>
    </row>
    <row r="265" spans="1:6" hidden="1" x14ac:dyDescent="0.35">
      <c r="A265" s="14" t="s">
        <v>14</v>
      </c>
      <c r="B265" s="31">
        <f t="shared" si="1"/>
        <v>8486</v>
      </c>
      <c r="C265" s="21">
        <v>183</v>
      </c>
      <c r="D265" s="21">
        <v>1931</v>
      </c>
      <c r="E265" s="21">
        <f>565+1</f>
        <v>566</v>
      </c>
      <c r="F265" s="52"/>
    </row>
    <row r="266" spans="1:6" hidden="1" x14ac:dyDescent="0.35">
      <c r="A266" s="14" t="s">
        <v>15</v>
      </c>
      <c r="B266" s="31">
        <f t="shared" si="1"/>
        <v>9811</v>
      </c>
      <c r="C266" s="21">
        <v>454</v>
      </c>
      <c r="D266" s="21">
        <v>2459</v>
      </c>
      <c r="E266" s="21">
        <v>301</v>
      </c>
      <c r="F266" s="52"/>
    </row>
    <row r="267" spans="1:6" hidden="1" x14ac:dyDescent="0.35">
      <c r="A267" s="14" t="s">
        <v>16</v>
      </c>
      <c r="B267" s="31">
        <f t="shared" si="1"/>
        <v>9974</v>
      </c>
      <c r="C267" s="21">
        <v>231</v>
      </c>
      <c r="D267" s="21">
        <v>2704</v>
      </c>
      <c r="E267" s="21">
        <v>517</v>
      </c>
      <c r="F267" s="52"/>
    </row>
    <row r="268" spans="1:6" hidden="1" x14ac:dyDescent="0.35">
      <c r="A268" s="14" t="s">
        <v>17</v>
      </c>
      <c r="B268" s="31">
        <f t="shared" si="1"/>
        <v>7184</v>
      </c>
      <c r="C268" s="34">
        <v>452</v>
      </c>
      <c r="D268" s="34">
        <v>2985</v>
      </c>
      <c r="E268" s="30">
        <v>535</v>
      </c>
      <c r="F268" s="52"/>
    </row>
    <row r="269" spans="1:6" hidden="1" x14ac:dyDescent="0.35">
      <c r="A269" s="14" t="s">
        <v>18</v>
      </c>
      <c r="B269" s="31">
        <f t="shared" si="1"/>
        <v>5269</v>
      </c>
      <c r="C269" s="34">
        <f>323+2</f>
        <v>325</v>
      </c>
      <c r="D269" s="34">
        <v>2557</v>
      </c>
      <c r="E269" s="30">
        <f>264+2</f>
        <v>266</v>
      </c>
      <c r="F269" s="52"/>
    </row>
    <row r="270" spans="1:6" hidden="1" x14ac:dyDescent="0.35">
      <c r="A270" s="14" t="s">
        <v>46</v>
      </c>
      <c r="B270" s="31">
        <f t="shared" si="1"/>
        <v>2446</v>
      </c>
      <c r="C270" s="34">
        <f>261+1</f>
        <v>262</v>
      </c>
      <c r="D270" s="34">
        <v>2303</v>
      </c>
      <c r="E270" s="30">
        <f>410+1</f>
        <v>411</v>
      </c>
      <c r="F270" s="52"/>
    </row>
    <row r="271" spans="1:6" hidden="1" x14ac:dyDescent="0.35">
      <c r="A271" s="14" t="s">
        <v>47</v>
      </c>
      <c r="B271" s="31">
        <f t="shared" si="1"/>
        <v>2441</v>
      </c>
      <c r="C271" s="34">
        <f>258+5</f>
        <v>263</v>
      </c>
      <c r="D271" s="34">
        <f>2453+39</f>
        <v>2492</v>
      </c>
      <c r="E271" s="30">
        <f>603+3</f>
        <v>606</v>
      </c>
      <c r="F271" s="52"/>
    </row>
    <row r="272" spans="1:6" hidden="1" x14ac:dyDescent="0.35">
      <c r="A272" s="14" t="s">
        <v>72</v>
      </c>
      <c r="B272" s="31">
        <f t="shared" si="1"/>
        <v>4365</v>
      </c>
      <c r="C272" s="34">
        <f>280+4</f>
        <v>284</v>
      </c>
      <c r="D272" s="34">
        <f>3541+53</f>
        <v>3594</v>
      </c>
      <c r="E272" s="30">
        <f>490+3</f>
        <v>493</v>
      </c>
      <c r="F272" s="52"/>
    </row>
    <row r="273" spans="1:6" hidden="1" x14ac:dyDescent="0.35">
      <c r="A273" s="14"/>
      <c r="B273" s="31">
        <f t="shared" si="1"/>
        <v>7591</v>
      </c>
      <c r="C273" s="34"/>
      <c r="D273" s="34"/>
      <c r="E273" s="30"/>
      <c r="F273" s="52"/>
    </row>
    <row r="274" spans="1:6" hidden="1" x14ac:dyDescent="0.35">
      <c r="A274" s="24" t="s">
        <v>77</v>
      </c>
      <c r="B274" s="31">
        <f t="shared" si="1"/>
        <v>10771</v>
      </c>
      <c r="C274" s="34"/>
      <c r="D274" s="34"/>
      <c r="E274" s="30"/>
      <c r="F274" s="52"/>
    </row>
    <row r="275" spans="1:6" hidden="1" x14ac:dyDescent="0.35">
      <c r="A275" s="22" t="s">
        <v>57</v>
      </c>
      <c r="B275" s="31">
        <f t="shared" si="1"/>
        <v>11585</v>
      </c>
      <c r="C275" s="30">
        <f>SUM(C346:C348)</f>
        <v>852</v>
      </c>
      <c r="D275" s="30">
        <f>SUM(D346:D348)</f>
        <v>7691</v>
      </c>
      <c r="E275" s="30">
        <f>SUM(E346:E348)</f>
        <v>1177</v>
      </c>
      <c r="F275" s="54"/>
    </row>
    <row r="276" spans="1:6" hidden="1" x14ac:dyDescent="0.35">
      <c r="A276" s="46" t="s">
        <v>58</v>
      </c>
      <c r="B276" s="31">
        <f t="shared" si="1"/>
        <v>12949</v>
      </c>
      <c r="C276" s="30">
        <f>SUM(C349:C351)</f>
        <v>790</v>
      </c>
      <c r="D276" s="30">
        <f>SUM(D349:D351)</f>
        <v>7744</v>
      </c>
      <c r="E276" s="30">
        <f>SUM(E349:E351)</f>
        <v>1551</v>
      </c>
      <c r="F276" s="54"/>
    </row>
    <row r="277" spans="1:6" hidden="1" x14ac:dyDescent="0.35">
      <c r="A277" s="46" t="s">
        <v>59</v>
      </c>
      <c r="B277" s="31">
        <f t="shared" si="1"/>
        <v>11901</v>
      </c>
      <c r="C277" s="30">
        <f>SUM(C352:C354)</f>
        <v>963</v>
      </c>
      <c r="D277" s="30">
        <f>SUM(D352:D354)</f>
        <v>10076</v>
      </c>
      <c r="E277" s="30">
        <f>SUM(E352:E354)</f>
        <v>1256</v>
      </c>
      <c r="F277" s="54"/>
    </row>
    <row r="278" spans="1:6" hidden="1" x14ac:dyDescent="0.35">
      <c r="A278" s="46" t="s">
        <v>60</v>
      </c>
      <c r="B278" s="31">
        <f t="shared" si="1"/>
        <v>12992</v>
      </c>
      <c r="C278" s="30">
        <f>C357+C356+C355</f>
        <v>962</v>
      </c>
      <c r="D278" s="30">
        <f>D357+D356+D355</f>
        <v>6224</v>
      </c>
      <c r="E278" s="30">
        <f>E357+E356+E355</f>
        <v>1222</v>
      </c>
      <c r="F278" s="54"/>
    </row>
    <row r="279" spans="1:6" hidden="1" x14ac:dyDescent="0.35">
      <c r="A279" s="22"/>
      <c r="B279" s="31">
        <f t="shared" si="1"/>
        <v>12433</v>
      </c>
      <c r="C279" s="34"/>
      <c r="D279" s="30"/>
      <c r="E279" s="31"/>
      <c r="F279" s="54"/>
    </row>
    <row r="280" spans="1:6" hidden="1" x14ac:dyDescent="0.35">
      <c r="A280" s="24" t="s">
        <v>84</v>
      </c>
      <c r="B280" s="31">
        <f t="shared" si="1"/>
        <v>12692</v>
      </c>
      <c r="C280" s="34"/>
      <c r="D280" s="30"/>
      <c r="E280" s="31"/>
      <c r="F280" s="54"/>
    </row>
    <row r="281" spans="1:6" hidden="1" x14ac:dyDescent="0.35">
      <c r="A281" s="46" t="s">
        <v>57</v>
      </c>
      <c r="B281" s="31">
        <f t="shared" si="1"/>
        <v>13935</v>
      </c>
      <c r="C281" s="30">
        <f>C360+C361+C362</f>
        <v>761</v>
      </c>
      <c r="D281" s="30">
        <f>D360+D361+D362</f>
        <v>6726</v>
      </c>
      <c r="E281" s="31">
        <f>E360+E361+E362</f>
        <v>868</v>
      </c>
      <c r="F281" s="54"/>
    </row>
    <row r="282" spans="1:6" hidden="1" x14ac:dyDescent="0.35">
      <c r="A282" s="46" t="s">
        <v>58</v>
      </c>
      <c r="B282" s="31">
        <f t="shared" si="1"/>
        <v>13883</v>
      </c>
      <c r="C282" s="30">
        <f>C363+C364+C365</f>
        <v>436</v>
      </c>
      <c r="D282" s="30">
        <f>D363+D364+D365</f>
        <v>8283</v>
      </c>
      <c r="E282" s="30">
        <f>E363+E364+E365</f>
        <v>1463</v>
      </c>
      <c r="F282" s="54"/>
    </row>
    <row r="283" spans="1:6" hidden="1" x14ac:dyDescent="0.35">
      <c r="A283" s="46" t="s">
        <v>59</v>
      </c>
      <c r="B283" s="31">
        <f t="shared" si="1"/>
        <v>11187</v>
      </c>
      <c r="C283" s="34">
        <f>SUM(C366:C368)</f>
        <v>260</v>
      </c>
      <c r="D283" s="34">
        <f>SUM(D366:D368)</f>
        <v>8001</v>
      </c>
      <c r="E283" s="30">
        <f>SUM(E366:E368)</f>
        <v>1876</v>
      </c>
      <c r="F283" s="54"/>
    </row>
    <row r="284" spans="1:6" hidden="1" x14ac:dyDescent="0.35">
      <c r="A284" s="46" t="s">
        <v>60</v>
      </c>
      <c r="B284" s="31">
        <f t="shared" si="1"/>
        <v>7640</v>
      </c>
      <c r="C284" s="30">
        <f>C369+C370+C371</f>
        <v>182</v>
      </c>
      <c r="D284" s="30">
        <f>D369+D370+D371</f>
        <v>7991</v>
      </c>
      <c r="E284" s="30">
        <f>E369+E370+E371</f>
        <v>1031</v>
      </c>
      <c r="F284" s="54"/>
    </row>
    <row r="285" spans="1:6" hidden="1" x14ac:dyDescent="0.35">
      <c r="A285" s="22"/>
      <c r="B285" s="31">
        <f t="shared" si="1"/>
        <v>14245</v>
      </c>
      <c r="C285" s="34"/>
      <c r="D285" s="34"/>
      <c r="E285" s="30"/>
      <c r="F285" s="54"/>
    </row>
    <row r="286" spans="1:6" hidden="1" x14ac:dyDescent="0.35">
      <c r="A286" s="24" t="s">
        <v>85</v>
      </c>
      <c r="B286" s="31">
        <f t="shared" si="1"/>
        <v>17350</v>
      </c>
      <c r="C286" s="34"/>
      <c r="D286" s="34"/>
      <c r="E286" s="30"/>
      <c r="F286" s="54"/>
    </row>
    <row r="287" spans="1:6" hidden="1" x14ac:dyDescent="0.35">
      <c r="A287" s="46" t="s">
        <v>57</v>
      </c>
      <c r="B287" s="31">
        <f t="shared" si="1"/>
        <v>22872</v>
      </c>
      <c r="C287" s="30">
        <f>C374+C375+C376</f>
        <v>93</v>
      </c>
      <c r="D287" s="30">
        <f>D374+D375+D376</f>
        <v>6612</v>
      </c>
      <c r="E287" s="30">
        <f>E374+E375+E376</f>
        <v>1252</v>
      </c>
      <c r="F287" s="54"/>
    </row>
    <row r="288" spans="1:6" hidden="1" x14ac:dyDescent="0.35">
      <c r="A288" s="46" t="s">
        <v>58</v>
      </c>
      <c r="B288" s="31">
        <f t="shared" si="1"/>
        <v>30351</v>
      </c>
      <c r="C288" s="30">
        <f>SUM(C377:C379)</f>
        <v>74</v>
      </c>
      <c r="D288" s="30">
        <f>SUM(D377:D379)</f>
        <v>5055</v>
      </c>
      <c r="E288" s="30">
        <f>SUM(E377:E379)</f>
        <v>1031</v>
      </c>
      <c r="F288" s="54"/>
    </row>
    <row r="289" spans="1:6" hidden="1" x14ac:dyDescent="0.35">
      <c r="A289" s="46" t="s">
        <v>59</v>
      </c>
      <c r="B289" s="31">
        <f>B418+B419+B420+B425</f>
        <v>25918</v>
      </c>
      <c r="C289" s="30">
        <f>C380+C381+C382</f>
        <v>154</v>
      </c>
      <c r="D289" s="30">
        <f>D380+D381+D382</f>
        <v>5499</v>
      </c>
      <c r="E289" s="30">
        <f>E380+E381+E382</f>
        <v>667</v>
      </c>
      <c r="F289" s="54"/>
    </row>
    <row r="290" spans="1:6" hidden="1" x14ac:dyDescent="0.35">
      <c r="A290" s="46" t="s">
        <v>60</v>
      </c>
      <c r="B290" s="31" t="e">
        <f>B419+B420+B425+#REF!</f>
        <v>#REF!</v>
      </c>
      <c r="C290" s="30">
        <f>C383+C384+C385</f>
        <v>192</v>
      </c>
      <c r="D290" s="30">
        <f>D383+D384+D385</f>
        <v>5985</v>
      </c>
      <c r="E290" s="30">
        <f>E383+E384+E385</f>
        <v>530</v>
      </c>
      <c r="F290" s="54"/>
    </row>
    <row r="291" spans="1:6" hidden="1" x14ac:dyDescent="0.35">
      <c r="A291" s="22"/>
      <c r="B291" s="31" t="e">
        <f>B420+B425+#REF!+#REF!</f>
        <v>#REF!</v>
      </c>
      <c r="C291" s="34"/>
      <c r="D291" s="34"/>
      <c r="E291" s="30"/>
      <c r="F291" s="54"/>
    </row>
    <row r="292" spans="1:6" hidden="1" x14ac:dyDescent="0.35">
      <c r="A292" s="24" t="s">
        <v>86</v>
      </c>
      <c r="B292" s="31" t="e">
        <f>B425+#REF!+#REF!+#REF!</f>
        <v>#REF!</v>
      </c>
      <c r="C292" s="34"/>
      <c r="D292" s="34"/>
      <c r="E292" s="30"/>
      <c r="F292" s="54"/>
    </row>
    <row r="293" spans="1:6" hidden="1" x14ac:dyDescent="0.35">
      <c r="A293" s="46" t="s">
        <v>57</v>
      </c>
      <c r="B293" s="31" t="e">
        <f>#REF!+#REF!+#REF!+#REF!</f>
        <v>#REF!</v>
      </c>
      <c r="C293" s="30">
        <f>C388+C389+C390</f>
        <v>78</v>
      </c>
      <c r="D293" s="30">
        <f>D388+D389+D390</f>
        <v>5020</v>
      </c>
      <c r="E293" s="30">
        <f>E388+E389+E390</f>
        <v>558</v>
      </c>
      <c r="F293" s="54"/>
    </row>
    <row r="294" spans="1:6" hidden="1" x14ac:dyDescent="0.35">
      <c r="A294" s="46" t="s">
        <v>58</v>
      </c>
      <c r="B294" s="31" t="e">
        <f>#REF!+#REF!+#REF!+#REF!</f>
        <v>#REF!</v>
      </c>
      <c r="C294" s="30">
        <f>C391+C392+C393</f>
        <v>122</v>
      </c>
      <c r="D294" s="30">
        <f>D391+D392+D393</f>
        <v>2667</v>
      </c>
      <c r="E294" s="30">
        <f>E391+E392+E393</f>
        <v>599</v>
      </c>
      <c r="F294" s="54"/>
    </row>
    <row r="295" spans="1:6" hidden="1" x14ac:dyDescent="0.35">
      <c r="A295" s="46" t="s">
        <v>59</v>
      </c>
      <c r="B295" s="31" t="e">
        <f>#REF!+#REF!+#REF!+#REF!</f>
        <v>#REF!</v>
      </c>
      <c r="C295" s="30">
        <f>C394+C395+C396</f>
        <v>59</v>
      </c>
      <c r="D295" s="30">
        <f>D394+D395+D396</f>
        <v>5752</v>
      </c>
      <c r="E295" s="30">
        <f>E394+E395+E396</f>
        <v>510</v>
      </c>
      <c r="F295" s="54"/>
    </row>
    <row r="296" spans="1:6" ht="18" hidden="1" x14ac:dyDescent="0.35">
      <c r="A296" s="47" t="s">
        <v>97</v>
      </c>
      <c r="B296" s="31" t="e">
        <f>#REF!+#REF!+#REF!+#REF!</f>
        <v>#REF!</v>
      </c>
      <c r="C296" s="30">
        <f>C397+C398+C399</f>
        <v>78</v>
      </c>
      <c r="D296" s="30">
        <f>D397+D398+D399</f>
        <v>6235</v>
      </c>
      <c r="E296" s="30">
        <f>E397+E398+E399</f>
        <v>299</v>
      </c>
      <c r="F296" s="54"/>
    </row>
    <row r="297" spans="1:6" x14ac:dyDescent="0.35">
      <c r="A297" s="23">
        <v>2020</v>
      </c>
      <c r="B297" s="31">
        <f>B417+B418+B419+B420</f>
        <v>30351</v>
      </c>
      <c r="C297" s="31">
        <f t="shared" ref="C297:E297" si="2">C417+C418+C419+C420</f>
        <v>147</v>
      </c>
      <c r="D297" s="31">
        <f t="shared" si="2"/>
        <v>49079</v>
      </c>
      <c r="E297" s="31">
        <f t="shared" si="2"/>
        <v>2729</v>
      </c>
      <c r="F297" s="54"/>
    </row>
    <row r="298" spans="1:6" hidden="1" x14ac:dyDescent="0.35">
      <c r="A298" s="46"/>
      <c r="B298" s="26"/>
      <c r="C298" s="34"/>
      <c r="D298" s="34"/>
      <c r="E298" s="30"/>
      <c r="F298" s="54"/>
    </row>
    <row r="299" spans="1:6" hidden="1" x14ac:dyDescent="0.35">
      <c r="A299" s="24" t="s">
        <v>87</v>
      </c>
      <c r="B299" s="26"/>
      <c r="C299" s="34"/>
      <c r="D299" s="34"/>
      <c r="E299" s="30"/>
      <c r="F299" s="54"/>
    </row>
    <row r="300" spans="1:6" ht="18" hidden="1" x14ac:dyDescent="0.35">
      <c r="A300" s="47" t="s">
        <v>94</v>
      </c>
      <c r="B300" s="30">
        <v>7591</v>
      </c>
      <c r="C300" s="30">
        <v>70</v>
      </c>
      <c r="D300" s="30">
        <v>6081</v>
      </c>
      <c r="E300" s="30">
        <v>450</v>
      </c>
      <c r="F300" s="54"/>
    </row>
    <row r="301" spans="1:6" ht="18" hidden="1" x14ac:dyDescent="0.35">
      <c r="A301" s="47" t="s">
        <v>95</v>
      </c>
      <c r="B301" s="30">
        <v>9723</v>
      </c>
      <c r="C301" s="30">
        <v>87</v>
      </c>
      <c r="D301" s="30">
        <v>10207</v>
      </c>
      <c r="E301" s="30">
        <v>602</v>
      </c>
      <c r="F301" s="54"/>
    </row>
    <row r="302" spans="1:6" ht="18" hidden="1" x14ac:dyDescent="0.35">
      <c r="A302" s="47" t="s">
        <v>96</v>
      </c>
      <c r="B302" s="30">
        <v>9145</v>
      </c>
      <c r="C302" s="30">
        <v>124</v>
      </c>
      <c r="D302" s="30">
        <v>12362</v>
      </c>
      <c r="E302" s="30">
        <v>1181</v>
      </c>
      <c r="F302" s="54"/>
    </row>
    <row r="303" spans="1:6" ht="18" hidden="1" x14ac:dyDescent="0.35">
      <c r="A303" s="47" t="s">
        <v>97</v>
      </c>
      <c r="B303" s="30">
        <v>11187</v>
      </c>
      <c r="C303" s="30">
        <v>68</v>
      </c>
      <c r="D303" s="30">
        <v>18553</v>
      </c>
      <c r="E303" s="30">
        <v>1412</v>
      </c>
      <c r="F303" s="54"/>
    </row>
    <row r="304" spans="1:6" x14ac:dyDescent="0.35">
      <c r="A304" s="23">
        <v>2021</v>
      </c>
      <c r="B304" s="31">
        <f>B423+B424+B425+B426</f>
        <v>26820</v>
      </c>
      <c r="C304" s="31">
        <f>C423+C424+C425+C426</f>
        <v>213</v>
      </c>
      <c r="D304" s="31">
        <f>D423+D424+D425+D426</f>
        <v>55586</v>
      </c>
      <c r="E304" s="31">
        <f>E423+E424+E425+E426</f>
        <v>3087</v>
      </c>
      <c r="F304" s="54"/>
    </row>
    <row r="305" spans="1:6" hidden="1" x14ac:dyDescent="0.35">
      <c r="A305" s="46"/>
      <c r="B305" s="26"/>
      <c r="C305" s="34"/>
      <c r="D305" s="34"/>
      <c r="E305" s="30"/>
      <c r="F305" s="54"/>
    </row>
    <row r="306" spans="1:6" hidden="1" x14ac:dyDescent="0.35">
      <c r="A306" s="24" t="s">
        <v>92</v>
      </c>
      <c r="B306" s="26"/>
      <c r="C306" s="34"/>
      <c r="D306" s="34"/>
      <c r="E306" s="30"/>
      <c r="F306" s="54"/>
    </row>
    <row r="307" spans="1:6" ht="18" hidden="1" x14ac:dyDescent="0.35">
      <c r="A307" s="47" t="s">
        <v>94</v>
      </c>
      <c r="B307" s="30">
        <v>12099</v>
      </c>
      <c r="C307" s="30">
        <v>111</v>
      </c>
      <c r="D307" s="30">
        <v>17029</v>
      </c>
      <c r="E307" s="30">
        <v>909</v>
      </c>
      <c r="F307" s="54"/>
    </row>
    <row r="308" spans="1:6" ht="18" hidden="1" x14ac:dyDescent="0.35">
      <c r="A308" s="47" t="s">
        <v>95</v>
      </c>
      <c r="B308" s="30">
        <v>15509</v>
      </c>
      <c r="C308" s="30">
        <v>75</v>
      </c>
      <c r="D308" s="30">
        <v>18928</v>
      </c>
      <c r="E308" s="30">
        <v>1201</v>
      </c>
      <c r="F308" s="54"/>
    </row>
    <row r="309" spans="1:6" ht="18" hidden="1" x14ac:dyDescent="0.35">
      <c r="A309" s="47" t="s">
        <v>96</v>
      </c>
      <c r="B309" s="30">
        <v>12719</v>
      </c>
      <c r="C309" s="30">
        <v>77</v>
      </c>
      <c r="D309" s="30">
        <v>18268</v>
      </c>
      <c r="E309" s="30">
        <v>1395</v>
      </c>
      <c r="F309" s="54"/>
    </row>
    <row r="310" spans="1:6" ht="18" hidden="1" x14ac:dyDescent="0.35">
      <c r="A310" s="47" t="s">
        <v>97</v>
      </c>
      <c r="B310" s="30">
        <v>12935</v>
      </c>
      <c r="C310" s="30">
        <v>23</v>
      </c>
      <c r="D310" s="30">
        <v>15518</v>
      </c>
      <c r="E310" s="30">
        <v>1251</v>
      </c>
      <c r="F310" s="54"/>
    </row>
    <row r="311" spans="1:6" x14ac:dyDescent="0.35">
      <c r="A311" s="23">
        <v>2022</v>
      </c>
      <c r="B311" s="60">
        <f>SUM(B480:B491)</f>
        <v>29825</v>
      </c>
      <c r="C311" s="60">
        <f>SUM(C480:C491)</f>
        <v>328</v>
      </c>
      <c r="D311" s="60">
        <f>SUM(D480:D491)</f>
        <v>44625</v>
      </c>
      <c r="E311" s="60">
        <f>SUM(E480:E491)</f>
        <v>4701</v>
      </c>
      <c r="F311" s="54"/>
    </row>
    <row r="312" spans="1:6" hidden="1" x14ac:dyDescent="0.35">
      <c r="A312" s="46"/>
      <c r="B312" s="26"/>
      <c r="C312" s="34"/>
      <c r="D312" s="34"/>
      <c r="E312" s="30"/>
      <c r="F312" s="54"/>
    </row>
    <row r="313" spans="1:6" hidden="1" x14ac:dyDescent="0.35">
      <c r="A313" s="24">
        <v>2019</v>
      </c>
      <c r="B313" s="26"/>
      <c r="C313" s="34"/>
      <c r="D313" s="34"/>
      <c r="E313" s="30"/>
      <c r="F313" s="54"/>
    </row>
    <row r="314" spans="1:6" ht="18" hidden="1" x14ac:dyDescent="0.35">
      <c r="A314" s="47" t="s">
        <v>94</v>
      </c>
      <c r="B314" s="30">
        <f>SUM(B439:B441)</f>
        <v>13229</v>
      </c>
      <c r="C314" s="30">
        <f>SUM(C439:C441)</f>
        <v>34</v>
      </c>
      <c r="D314" s="30">
        <f>SUM(D439:D441)</f>
        <v>17194</v>
      </c>
      <c r="E314" s="30">
        <f>SUM(E439:E441)</f>
        <v>850</v>
      </c>
      <c r="F314" s="54"/>
    </row>
    <row r="315" spans="1:6" ht="18" hidden="1" x14ac:dyDescent="0.35">
      <c r="A315" s="47" t="s">
        <v>95</v>
      </c>
      <c r="B315" s="30">
        <f>SUM(B442:B444)</f>
        <v>13074</v>
      </c>
      <c r="C315" s="30">
        <f>SUM(C442:C444)</f>
        <v>76</v>
      </c>
      <c r="D315" s="30">
        <f>SUM(D442:D444)</f>
        <v>18617</v>
      </c>
      <c r="E315" s="30">
        <f>SUM(E442:E444)</f>
        <v>1197</v>
      </c>
      <c r="F315" s="54"/>
    </row>
    <row r="316" spans="1:6" ht="18" hidden="1" x14ac:dyDescent="0.35">
      <c r="A316" s="47" t="s">
        <v>96</v>
      </c>
      <c r="B316" s="30">
        <f>B445+B446+B447</f>
        <v>13915</v>
      </c>
      <c r="C316" s="30">
        <f>C445+C446+C447</f>
        <v>106</v>
      </c>
      <c r="D316" s="30">
        <f>D445+D446+D447</f>
        <v>20530</v>
      </c>
      <c r="E316" s="30">
        <f>E445+E446+E447</f>
        <v>1235</v>
      </c>
      <c r="F316" s="54"/>
    </row>
    <row r="317" spans="1:6" ht="18" hidden="1" x14ac:dyDescent="0.35">
      <c r="A317" s="47" t="s">
        <v>97</v>
      </c>
      <c r="B317" s="30">
        <f>B448+B449+B450</f>
        <v>13703</v>
      </c>
      <c r="C317" s="30">
        <f>C448+C449+C450</f>
        <v>87</v>
      </c>
      <c r="D317" s="30">
        <f>D448+D449+D450</f>
        <v>16896</v>
      </c>
      <c r="E317" s="30">
        <f>E448+E449+E450</f>
        <v>1121</v>
      </c>
      <c r="F317" s="54"/>
    </row>
    <row r="318" spans="1:6" hidden="1" x14ac:dyDescent="0.35">
      <c r="A318" s="24" t="s">
        <v>75</v>
      </c>
      <c r="B318" s="26"/>
      <c r="C318" s="21"/>
      <c r="D318" s="21"/>
      <c r="E318" s="21"/>
      <c r="F318" s="52"/>
    </row>
    <row r="319" spans="1:6" hidden="1" x14ac:dyDescent="0.35">
      <c r="A319" s="14" t="s">
        <v>61</v>
      </c>
      <c r="B319" s="26">
        <f>2191+27</f>
        <v>2218</v>
      </c>
      <c r="C319" s="21">
        <v>245</v>
      </c>
      <c r="D319" s="21">
        <v>2493</v>
      </c>
      <c r="E319" s="21">
        <v>525</v>
      </c>
      <c r="F319" s="52"/>
    </row>
    <row r="320" spans="1:6" hidden="1" x14ac:dyDescent="0.35">
      <c r="A320" s="14" t="s">
        <v>62</v>
      </c>
      <c r="B320" s="26">
        <f>2219+1</f>
        <v>2220</v>
      </c>
      <c r="C320" s="21">
        <v>186</v>
      </c>
      <c r="D320" s="21">
        <f>2651+2</f>
        <v>2653</v>
      </c>
      <c r="E320" s="21">
        <v>435</v>
      </c>
      <c r="F320" s="52"/>
    </row>
    <row r="321" spans="1:6" hidden="1" x14ac:dyDescent="0.35">
      <c r="A321" s="14" t="s">
        <v>63</v>
      </c>
      <c r="B321" s="26">
        <v>2837</v>
      </c>
      <c r="C321" s="21">
        <v>210</v>
      </c>
      <c r="D321" s="21">
        <v>2921</v>
      </c>
      <c r="E321" s="21">
        <f>379+4</f>
        <v>383</v>
      </c>
      <c r="F321" s="52"/>
    </row>
    <row r="322" spans="1:6" hidden="1" x14ac:dyDescent="0.35">
      <c r="A322" s="14" t="s">
        <v>64</v>
      </c>
      <c r="B322" s="26">
        <f>2970+9</f>
        <v>2979</v>
      </c>
      <c r="C322" s="21">
        <f>267+4</f>
        <v>271</v>
      </c>
      <c r="D322" s="21">
        <v>2776</v>
      </c>
      <c r="E322" s="21">
        <f>444+5</f>
        <v>449</v>
      </c>
      <c r="F322" s="52"/>
    </row>
    <row r="323" spans="1:6" hidden="1" x14ac:dyDescent="0.35">
      <c r="A323" s="14" t="s">
        <v>65</v>
      </c>
      <c r="B323" s="26">
        <f>2560+26</f>
        <v>2586</v>
      </c>
      <c r="C323" s="21">
        <f>282+4</f>
        <v>286</v>
      </c>
      <c r="D323" s="21">
        <v>2756</v>
      </c>
      <c r="E323" s="21">
        <f>456+8</f>
        <v>464</v>
      </c>
      <c r="F323" s="52"/>
    </row>
    <row r="324" spans="1:6" hidden="1" x14ac:dyDescent="0.35">
      <c r="A324" s="14" t="s">
        <v>66</v>
      </c>
      <c r="B324" s="26">
        <f>3491+30</f>
        <v>3521</v>
      </c>
      <c r="C324" s="21">
        <f>288+2</f>
        <v>290</v>
      </c>
      <c r="D324" s="21">
        <f>2922+5</f>
        <v>2927</v>
      </c>
      <c r="E324" s="21">
        <v>600</v>
      </c>
      <c r="F324" s="52"/>
    </row>
    <row r="325" spans="1:6" hidden="1" x14ac:dyDescent="0.35">
      <c r="A325" s="14" t="s">
        <v>67</v>
      </c>
      <c r="B325" s="26">
        <f>3098+8</f>
        <v>3106</v>
      </c>
      <c r="C325" s="21">
        <v>304</v>
      </c>
      <c r="D325" s="21">
        <f>2911+13</f>
        <v>2924</v>
      </c>
      <c r="E325" s="21">
        <f>382+1</f>
        <v>383</v>
      </c>
      <c r="F325" s="52"/>
    </row>
    <row r="326" spans="1:6" hidden="1" x14ac:dyDescent="0.35">
      <c r="A326" s="14" t="s">
        <v>68</v>
      </c>
      <c r="B326" s="26">
        <v>2595</v>
      </c>
      <c r="C326" s="21">
        <v>294</v>
      </c>
      <c r="D326" s="21">
        <v>3122</v>
      </c>
      <c r="E326" s="21">
        <v>646</v>
      </c>
      <c r="F326" s="52"/>
    </row>
    <row r="327" spans="1:6" hidden="1" x14ac:dyDescent="0.35">
      <c r="A327" s="14" t="s">
        <v>69</v>
      </c>
      <c r="B327" s="26">
        <v>3770</v>
      </c>
      <c r="C327" s="21">
        <v>274</v>
      </c>
      <c r="D327" s="21">
        <v>3280</v>
      </c>
      <c r="E327" s="21">
        <v>342</v>
      </c>
      <c r="F327" s="52"/>
    </row>
    <row r="328" spans="1:6" hidden="1" x14ac:dyDescent="0.35">
      <c r="A328" s="14" t="s">
        <v>70</v>
      </c>
      <c r="B328" s="26">
        <v>3407</v>
      </c>
      <c r="C328" s="21">
        <v>274</v>
      </c>
      <c r="D328" s="21">
        <v>3260</v>
      </c>
      <c r="E328" s="21">
        <v>264</v>
      </c>
      <c r="F328" s="52"/>
    </row>
    <row r="329" spans="1:6" hidden="1" x14ac:dyDescent="0.35">
      <c r="A329" s="14" t="s">
        <v>71</v>
      </c>
      <c r="B329" s="26">
        <v>3542</v>
      </c>
      <c r="C329" s="21">
        <v>361</v>
      </c>
      <c r="D329" s="21">
        <v>3161</v>
      </c>
      <c r="E329" s="21">
        <v>567</v>
      </c>
      <c r="F329" s="52"/>
    </row>
    <row r="330" spans="1:6" hidden="1" x14ac:dyDescent="0.35">
      <c r="A330" s="14" t="s">
        <v>72</v>
      </c>
      <c r="B330" s="26">
        <v>3780</v>
      </c>
      <c r="C330" s="21">
        <v>364</v>
      </c>
      <c r="D330" s="21">
        <v>3154</v>
      </c>
      <c r="E330" s="21">
        <v>348</v>
      </c>
      <c r="F330" s="52"/>
    </row>
    <row r="331" spans="1:6" hidden="1" x14ac:dyDescent="0.35">
      <c r="A331" s="14"/>
      <c r="B331" s="26"/>
      <c r="C331" s="21"/>
      <c r="D331" s="21"/>
      <c r="E331" s="21"/>
      <c r="F331" s="52"/>
    </row>
    <row r="332" spans="1:6" hidden="1" x14ac:dyDescent="0.35">
      <c r="A332" s="24" t="s">
        <v>76</v>
      </c>
      <c r="B332" s="26"/>
      <c r="C332" s="21"/>
      <c r="D332" s="21"/>
      <c r="E332" s="21"/>
      <c r="F332" s="52"/>
    </row>
    <row r="333" spans="1:6" hidden="1" x14ac:dyDescent="0.35">
      <c r="A333" s="14" t="s">
        <v>61</v>
      </c>
      <c r="B333" s="26">
        <v>3619</v>
      </c>
      <c r="C333" s="21">
        <v>341</v>
      </c>
      <c r="D333" s="21">
        <v>2939</v>
      </c>
      <c r="E333" s="21">
        <f>251+55</f>
        <v>306</v>
      </c>
      <c r="F333" s="52"/>
    </row>
    <row r="334" spans="1:6" hidden="1" x14ac:dyDescent="0.35">
      <c r="A334" s="14" t="s">
        <v>62</v>
      </c>
      <c r="B334" s="26">
        <v>3312</v>
      </c>
      <c r="C334" s="21">
        <v>254</v>
      </c>
      <c r="D334" s="21">
        <v>2803</v>
      </c>
      <c r="E334" s="21">
        <f>366+133</f>
        <v>499</v>
      </c>
      <c r="F334" s="52"/>
    </row>
    <row r="335" spans="1:6" hidden="1" x14ac:dyDescent="0.35">
      <c r="A335" s="14" t="s">
        <v>63</v>
      </c>
      <c r="B335" s="26">
        <f>3460+10</f>
        <v>3470</v>
      </c>
      <c r="C335" s="30">
        <v>37</v>
      </c>
      <c r="D335" s="21">
        <f>3026+10</f>
        <v>3036</v>
      </c>
      <c r="E335" s="21">
        <f>419+1</f>
        <v>420</v>
      </c>
      <c r="F335" s="52"/>
    </row>
    <row r="336" spans="1:6" hidden="1" x14ac:dyDescent="0.35">
      <c r="A336" s="14" t="s">
        <v>64</v>
      </c>
      <c r="B336" s="26">
        <f>3922+12</f>
        <v>3934</v>
      </c>
      <c r="C336" s="30">
        <v>249</v>
      </c>
      <c r="D336" s="21">
        <f>3091+9</f>
        <v>3100</v>
      </c>
      <c r="E336" s="21">
        <v>387</v>
      </c>
      <c r="F336" s="52"/>
    </row>
    <row r="337" spans="1:6" hidden="1" x14ac:dyDescent="0.35">
      <c r="A337" s="14" t="s">
        <v>65</v>
      </c>
      <c r="B337" s="26">
        <f>3601+22</f>
        <v>3623</v>
      </c>
      <c r="C337" s="30">
        <v>32</v>
      </c>
      <c r="D337" s="21">
        <f>3093+8</f>
        <v>3101</v>
      </c>
      <c r="E337" s="21">
        <v>319</v>
      </c>
      <c r="F337" s="52"/>
    </row>
    <row r="338" spans="1:6" hidden="1" x14ac:dyDescent="0.35">
      <c r="A338" s="14" t="s">
        <v>66</v>
      </c>
      <c r="B338" s="26">
        <f>4369+22</f>
        <v>4391</v>
      </c>
      <c r="C338" s="30">
        <f>305+4</f>
        <v>309</v>
      </c>
      <c r="D338" s="21">
        <f>3188+4</f>
        <v>3192</v>
      </c>
      <c r="E338" s="21">
        <f>426+4</f>
        <v>430</v>
      </c>
      <c r="F338" s="52"/>
    </row>
    <row r="339" spans="1:6" hidden="1" x14ac:dyDescent="0.35">
      <c r="A339" s="14" t="s">
        <v>67</v>
      </c>
      <c r="B339" s="26">
        <f>4159</f>
        <v>4159</v>
      </c>
      <c r="C339" s="30">
        <v>358</v>
      </c>
      <c r="D339" s="21">
        <v>3322</v>
      </c>
      <c r="E339" s="21">
        <f>341+2</f>
        <v>343</v>
      </c>
      <c r="F339" s="52"/>
    </row>
    <row r="340" spans="1:6" hidden="1" x14ac:dyDescent="0.35">
      <c r="A340" s="14" t="s">
        <v>68</v>
      </c>
      <c r="B340" s="26">
        <f>4712+20</f>
        <v>4732</v>
      </c>
      <c r="C340" s="30">
        <v>245</v>
      </c>
      <c r="D340" s="21">
        <f>3785+19</f>
        <v>3804</v>
      </c>
      <c r="E340" s="21">
        <f>522+8</f>
        <v>530</v>
      </c>
      <c r="F340" s="52"/>
    </row>
    <row r="341" spans="1:6" hidden="1" x14ac:dyDescent="0.35">
      <c r="A341" s="14" t="s">
        <v>69</v>
      </c>
      <c r="B341" s="26">
        <v>3685</v>
      </c>
      <c r="C341" s="30">
        <v>275</v>
      </c>
      <c r="D341" s="21">
        <v>3121</v>
      </c>
      <c r="E341" s="21">
        <v>342</v>
      </c>
      <c r="F341" s="52"/>
    </row>
    <row r="342" spans="1:6" hidden="1" x14ac:dyDescent="0.35">
      <c r="A342" s="14" t="s">
        <v>70</v>
      </c>
      <c r="B342" s="26">
        <v>3161</v>
      </c>
      <c r="C342" s="30">
        <v>304</v>
      </c>
      <c r="D342" s="21">
        <v>2757</v>
      </c>
      <c r="E342" s="21">
        <v>296</v>
      </c>
      <c r="F342" s="52"/>
    </row>
    <row r="343" spans="1:6" hidden="1" x14ac:dyDescent="0.35">
      <c r="A343" s="14" t="s">
        <v>71</v>
      </c>
      <c r="B343" s="26">
        <v>2848</v>
      </c>
      <c r="C343" s="30">
        <v>300</v>
      </c>
      <c r="D343" s="21">
        <v>2696</v>
      </c>
      <c r="E343" s="21">
        <v>380</v>
      </c>
      <c r="F343" s="52"/>
    </row>
    <row r="344" spans="1:6" hidden="1" x14ac:dyDescent="0.35">
      <c r="A344" s="14" t="s">
        <v>72</v>
      </c>
      <c r="B344" s="26">
        <v>2682</v>
      </c>
      <c r="C344" s="30">
        <v>230</v>
      </c>
      <c r="D344" s="21">
        <v>2129</v>
      </c>
      <c r="E344" s="21">
        <v>570</v>
      </c>
      <c r="F344" s="52"/>
    </row>
    <row r="345" spans="1:6" hidden="1" x14ac:dyDescent="0.35">
      <c r="A345" s="24" t="s">
        <v>77</v>
      </c>
      <c r="B345" s="26"/>
      <c r="C345" s="30"/>
      <c r="D345" s="21"/>
      <c r="E345" s="21"/>
      <c r="F345" s="52"/>
    </row>
    <row r="346" spans="1:6" hidden="1" x14ac:dyDescent="0.35">
      <c r="A346" s="14" t="s">
        <v>61</v>
      </c>
      <c r="B346" s="26">
        <v>2712</v>
      </c>
      <c r="C346" s="30">
        <v>258</v>
      </c>
      <c r="D346" s="21">
        <v>2352</v>
      </c>
      <c r="E346" s="21">
        <v>342</v>
      </c>
      <c r="F346" s="52"/>
    </row>
    <row r="347" spans="1:6" hidden="1" x14ac:dyDescent="0.35">
      <c r="A347" s="14" t="s">
        <v>62</v>
      </c>
      <c r="B347" s="26">
        <v>2257</v>
      </c>
      <c r="C347" s="30">
        <v>234</v>
      </c>
      <c r="D347" s="21">
        <v>2437</v>
      </c>
      <c r="E347" s="21">
        <v>455</v>
      </c>
      <c r="F347" s="52"/>
    </row>
    <row r="348" spans="1:6" hidden="1" x14ac:dyDescent="0.35">
      <c r="A348" s="14" t="s">
        <v>63</v>
      </c>
      <c r="B348" s="26">
        <v>2344</v>
      </c>
      <c r="C348" s="30">
        <v>360</v>
      </c>
      <c r="D348" s="21">
        <v>2902</v>
      </c>
      <c r="E348" s="21">
        <v>380</v>
      </c>
      <c r="F348" s="52"/>
    </row>
    <row r="349" spans="1:6" hidden="1" x14ac:dyDescent="0.35">
      <c r="A349" s="14" t="s">
        <v>64</v>
      </c>
      <c r="B349" s="26">
        <v>2912</v>
      </c>
      <c r="C349" s="30">
        <v>280</v>
      </c>
      <c r="D349" s="21">
        <v>2504</v>
      </c>
      <c r="E349" s="21">
        <v>493</v>
      </c>
      <c r="F349" s="52"/>
    </row>
    <row r="350" spans="1:6" hidden="1" x14ac:dyDescent="0.35">
      <c r="A350" s="14" t="s">
        <v>65</v>
      </c>
      <c r="B350" s="26">
        <v>3066</v>
      </c>
      <c r="C350" s="30">
        <v>233</v>
      </c>
      <c r="D350" s="21">
        <v>2583</v>
      </c>
      <c r="E350" s="21">
        <v>438</v>
      </c>
      <c r="F350" s="52"/>
    </row>
    <row r="351" spans="1:6" hidden="1" x14ac:dyDescent="0.35">
      <c r="A351" s="14" t="s">
        <v>66</v>
      </c>
      <c r="B351" s="26">
        <v>3023</v>
      </c>
      <c r="C351" s="30">
        <v>277</v>
      </c>
      <c r="D351" s="21">
        <v>2657</v>
      </c>
      <c r="E351" s="21">
        <v>620</v>
      </c>
      <c r="F351" s="52"/>
    </row>
    <row r="352" spans="1:6" hidden="1" x14ac:dyDescent="0.35">
      <c r="A352" s="14" t="s">
        <v>67</v>
      </c>
      <c r="B352" s="26">
        <v>3844</v>
      </c>
      <c r="C352" s="30">
        <v>324</v>
      </c>
      <c r="D352" s="21">
        <v>3186</v>
      </c>
      <c r="E352" s="21">
        <v>395</v>
      </c>
      <c r="F352" s="52"/>
    </row>
    <row r="353" spans="1:6" hidden="1" x14ac:dyDescent="0.35">
      <c r="A353" s="14" t="s">
        <v>68</v>
      </c>
      <c r="B353" s="26">
        <v>5783</v>
      </c>
      <c r="C353" s="30">
        <v>351</v>
      </c>
      <c r="D353" s="30">
        <v>4450</v>
      </c>
      <c r="E353" s="21">
        <v>633</v>
      </c>
      <c r="F353" s="52"/>
    </row>
    <row r="354" spans="1:6" hidden="1" x14ac:dyDescent="0.35">
      <c r="A354" s="14" t="s">
        <v>69</v>
      </c>
      <c r="B354" s="26">
        <v>3340</v>
      </c>
      <c r="C354" s="30">
        <v>288</v>
      </c>
      <c r="D354" s="30">
        <v>2440</v>
      </c>
      <c r="E354" s="21">
        <v>228</v>
      </c>
      <c r="F354" s="52"/>
    </row>
    <row r="355" spans="1:6" hidden="1" x14ac:dyDescent="0.35">
      <c r="A355" s="14" t="s">
        <v>70</v>
      </c>
      <c r="B355" s="26">
        <v>3352</v>
      </c>
      <c r="C355" s="30">
        <v>330</v>
      </c>
      <c r="D355" s="30">
        <v>2262</v>
      </c>
      <c r="E355" s="21">
        <v>304</v>
      </c>
      <c r="F355" s="52"/>
    </row>
    <row r="356" spans="1:6" hidden="1" x14ac:dyDescent="0.35">
      <c r="A356" s="14" t="s">
        <v>71</v>
      </c>
      <c r="B356" s="30">
        <v>2556</v>
      </c>
      <c r="C356" s="30">
        <v>313</v>
      </c>
      <c r="D356" s="30">
        <v>1777</v>
      </c>
      <c r="E356" s="31">
        <v>490</v>
      </c>
      <c r="F356" s="52"/>
    </row>
    <row r="357" spans="1:6" hidden="1" x14ac:dyDescent="0.35">
      <c r="A357" s="14" t="s">
        <v>72</v>
      </c>
      <c r="B357" s="30">
        <v>3538</v>
      </c>
      <c r="C357" s="30">
        <v>319</v>
      </c>
      <c r="D357" s="30">
        <v>2185</v>
      </c>
      <c r="E357" s="31">
        <v>428</v>
      </c>
      <c r="F357" s="52"/>
    </row>
    <row r="358" spans="1:6" hidden="1" x14ac:dyDescent="0.35">
      <c r="A358" s="14"/>
      <c r="B358" s="26"/>
      <c r="C358" s="30"/>
      <c r="D358" s="30"/>
      <c r="E358" s="31"/>
      <c r="F358" s="52"/>
    </row>
    <row r="359" spans="1:6" hidden="1" x14ac:dyDescent="0.35">
      <c r="A359" s="24" t="s">
        <v>84</v>
      </c>
      <c r="B359" s="26"/>
      <c r="C359" s="30"/>
      <c r="D359" s="30"/>
      <c r="E359" s="31"/>
      <c r="F359" s="52"/>
    </row>
    <row r="360" spans="1:6" hidden="1" x14ac:dyDescent="0.35">
      <c r="A360" s="14" t="s">
        <v>61</v>
      </c>
      <c r="B360" s="26">
        <v>3136</v>
      </c>
      <c r="C360" s="30">
        <v>278</v>
      </c>
      <c r="D360" s="30">
        <v>2045</v>
      </c>
      <c r="E360" s="21">
        <v>341</v>
      </c>
      <c r="F360" s="52"/>
    </row>
    <row r="361" spans="1:6" hidden="1" x14ac:dyDescent="0.35">
      <c r="A361" s="14" t="s">
        <v>62</v>
      </c>
      <c r="B361" s="26">
        <v>2870</v>
      </c>
      <c r="C361" s="30">
        <v>275</v>
      </c>
      <c r="D361" s="30">
        <v>2272</v>
      </c>
      <c r="E361" s="21">
        <v>264</v>
      </c>
      <c r="F361" s="52"/>
    </row>
    <row r="362" spans="1:6" hidden="1" x14ac:dyDescent="0.35">
      <c r="A362" s="14" t="s">
        <v>63</v>
      </c>
      <c r="B362" s="26">
        <v>2890</v>
      </c>
      <c r="C362" s="30">
        <v>208</v>
      </c>
      <c r="D362" s="30">
        <v>2409</v>
      </c>
      <c r="E362" s="21">
        <v>263</v>
      </c>
      <c r="F362" s="52"/>
    </row>
    <row r="363" spans="1:6" hidden="1" x14ac:dyDescent="0.35">
      <c r="A363" s="14" t="s">
        <v>64</v>
      </c>
      <c r="B363" s="26">
        <v>3073</v>
      </c>
      <c r="C363" s="30">
        <v>214</v>
      </c>
      <c r="D363" s="30">
        <v>2782</v>
      </c>
      <c r="E363" s="21">
        <v>339</v>
      </c>
      <c r="F363" s="52"/>
    </row>
    <row r="364" spans="1:6" hidden="1" x14ac:dyDescent="0.35">
      <c r="A364" s="14" t="s">
        <v>65</v>
      </c>
      <c r="B364" s="26">
        <v>2973</v>
      </c>
      <c r="C364" s="30">
        <v>135</v>
      </c>
      <c r="D364" s="30">
        <v>3140</v>
      </c>
      <c r="E364" s="21">
        <v>631</v>
      </c>
      <c r="F364" s="52"/>
    </row>
    <row r="365" spans="1:6" hidden="1" x14ac:dyDescent="0.35">
      <c r="A365" s="47" t="s">
        <v>66</v>
      </c>
      <c r="B365" s="26">
        <v>3103</v>
      </c>
      <c r="C365" s="30">
        <v>87</v>
      </c>
      <c r="D365" s="30">
        <v>2361</v>
      </c>
      <c r="E365" s="21">
        <v>493</v>
      </c>
      <c r="F365" s="52"/>
    </row>
    <row r="366" spans="1:6" hidden="1" x14ac:dyDescent="0.35">
      <c r="A366" s="47" t="s">
        <v>67</v>
      </c>
      <c r="B366" s="26">
        <v>2945</v>
      </c>
      <c r="C366" s="30">
        <v>106</v>
      </c>
      <c r="D366" s="30">
        <v>2586</v>
      </c>
      <c r="E366" s="21">
        <v>688</v>
      </c>
      <c r="F366" s="52"/>
    </row>
    <row r="367" spans="1:6" hidden="1" x14ac:dyDescent="0.35">
      <c r="A367" s="47" t="s">
        <v>68</v>
      </c>
      <c r="B367" s="26">
        <v>3259</v>
      </c>
      <c r="C367" s="30">
        <v>67</v>
      </c>
      <c r="D367" s="30">
        <v>2738</v>
      </c>
      <c r="E367" s="21">
        <v>706</v>
      </c>
      <c r="F367" s="52"/>
    </row>
    <row r="368" spans="1:6" hidden="1" x14ac:dyDescent="0.35">
      <c r="A368" s="47" t="s">
        <v>69</v>
      </c>
      <c r="B368" s="26">
        <v>3293</v>
      </c>
      <c r="C368" s="30">
        <v>87</v>
      </c>
      <c r="D368" s="30">
        <v>2677</v>
      </c>
      <c r="E368" s="21">
        <v>482</v>
      </c>
      <c r="F368" s="52"/>
    </row>
    <row r="369" spans="1:6" hidden="1" x14ac:dyDescent="0.35">
      <c r="A369" s="47" t="s">
        <v>70</v>
      </c>
      <c r="B369" s="26">
        <v>3315</v>
      </c>
      <c r="C369" s="30">
        <v>60</v>
      </c>
      <c r="D369" s="30">
        <v>3089</v>
      </c>
      <c r="E369" s="21">
        <v>315</v>
      </c>
      <c r="F369" s="52"/>
    </row>
    <row r="370" spans="1:6" hidden="1" x14ac:dyDescent="0.35">
      <c r="A370" s="47" t="s">
        <v>71</v>
      </c>
      <c r="B370" s="26">
        <v>2803</v>
      </c>
      <c r="C370" s="30">
        <v>84</v>
      </c>
      <c r="D370" s="30">
        <v>2290</v>
      </c>
      <c r="E370" s="21">
        <v>304</v>
      </c>
      <c r="F370" s="52"/>
    </row>
    <row r="371" spans="1:6" hidden="1" x14ac:dyDescent="0.35">
      <c r="A371" s="47" t="s">
        <v>72</v>
      </c>
      <c r="B371" s="26">
        <v>3728</v>
      </c>
      <c r="C371" s="30">
        <v>38</v>
      </c>
      <c r="D371" s="30">
        <v>2612</v>
      </c>
      <c r="E371" s="21">
        <v>412</v>
      </c>
      <c r="F371" s="52"/>
    </row>
    <row r="372" spans="1:6" hidden="1" x14ac:dyDescent="0.35">
      <c r="A372" s="14"/>
      <c r="B372" s="26"/>
      <c r="C372" s="30"/>
      <c r="D372" s="30"/>
      <c r="E372" s="21"/>
      <c r="F372" s="52"/>
    </row>
    <row r="373" spans="1:6" hidden="1" x14ac:dyDescent="0.35">
      <c r="A373" s="24" t="s">
        <v>85</v>
      </c>
      <c r="B373" s="26"/>
      <c r="C373" s="30"/>
      <c r="D373" s="30"/>
      <c r="E373" s="21"/>
      <c r="F373" s="52"/>
    </row>
    <row r="374" spans="1:6" hidden="1" x14ac:dyDescent="0.35">
      <c r="A374" s="47" t="s">
        <v>61</v>
      </c>
      <c r="B374" s="26">
        <v>2755</v>
      </c>
      <c r="C374" s="30">
        <v>0</v>
      </c>
      <c r="D374" s="30">
        <v>2264</v>
      </c>
      <c r="E374" s="21">
        <v>550</v>
      </c>
      <c r="F374" s="52"/>
    </row>
    <row r="375" spans="1:6" hidden="1" x14ac:dyDescent="0.35">
      <c r="A375" s="47" t="s">
        <v>62</v>
      </c>
      <c r="B375" s="26">
        <v>2716</v>
      </c>
      <c r="C375" s="30">
        <v>34</v>
      </c>
      <c r="D375" s="30">
        <v>2139</v>
      </c>
      <c r="E375" s="21">
        <v>400</v>
      </c>
      <c r="F375" s="52"/>
    </row>
    <row r="376" spans="1:6" hidden="1" x14ac:dyDescent="0.35">
      <c r="A376" s="47" t="s">
        <v>63</v>
      </c>
      <c r="B376" s="26">
        <v>2473</v>
      </c>
      <c r="C376" s="30">
        <v>59</v>
      </c>
      <c r="D376" s="30">
        <v>2209</v>
      </c>
      <c r="E376" s="21">
        <v>302</v>
      </c>
      <c r="F376" s="52"/>
    </row>
    <row r="377" spans="1:6" hidden="1" x14ac:dyDescent="0.35">
      <c r="A377" s="47" t="s">
        <v>64</v>
      </c>
      <c r="B377" s="26">
        <v>1954</v>
      </c>
      <c r="C377" s="30">
        <v>20</v>
      </c>
      <c r="D377" s="30">
        <v>1889</v>
      </c>
      <c r="E377" s="21">
        <v>377</v>
      </c>
      <c r="F377" s="52"/>
    </row>
    <row r="378" spans="1:6" hidden="1" x14ac:dyDescent="0.35">
      <c r="A378" s="47" t="s">
        <v>65</v>
      </c>
      <c r="B378" s="26">
        <v>1514</v>
      </c>
      <c r="C378" s="30">
        <v>26</v>
      </c>
      <c r="D378" s="30">
        <v>1326</v>
      </c>
      <c r="E378" s="21">
        <v>293</v>
      </c>
      <c r="F378" s="52"/>
    </row>
    <row r="379" spans="1:6" hidden="1" x14ac:dyDescent="0.35">
      <c r="A379" s="47" t="s">
        <v>66</v>
      </c>
      <c r="B379" s="26">
        <v>2823</v>
      </c>
      <c r="C379" s="30">
        <v>28</v>
      </c>
      <c r="D379" s="30">
        <v>1840</v>
      </c>
      <c r="E379" s="21">
        <v>361</v>
      </c>
      <c r="F379" s="52"/>
    </row>
    <row r="380" spans="1:6" hidden="1" x14ac:dyDescent="0.35">
      <c r="A380" s="47" t="s">
        <v>67</v>
      </c>
      <c r="B380" s="26">
        <v>2403</v>
      </c>
      <c r="C380" s="30">
        <v>34</v>
      </c>
      <c r="D380" s="30">
        <v>1751</v>
      </c>
      <c r="E380" s="21">
        <v>216</v>
      </c>
      <c r="F380" s="52"/>
    </row>
    <row r="381" spans="1:6" hidden="1" x14ac:dyDescent="0.35">
      <c r="A381" s="47" t="s">
        <v>68</v>
      </c>
      <c r="B381" s="26">
        <v>2721</v>
      </c>
      <c r="C381" s="30">
        <v>40</v>
      </c>
      <c r="D381" s="30">
        <v>1601</v>
      </c>
      <c r="E381" s="21">
        <v>188</v>
      </c>
      <c r="F381" s="52"/>
    </row>
    <row r="382" spans="1:6" hidden="1" x14ac:dyDescent="0.35">
      <c r="A382" s="47" t="s">
        <v>69</v>
      </c>
      <c r="B382" s="30">
        <v>2945</v>
      </c>
      <c r="C382" s="30">
        <v>80</v>
      </c>
      <c r="D382" s="30">
        <v>2147</v>
      </c>
      <c r="E382" s="21">
        <v>263</v>
      </c>
      <c r="F382" s="52"/>
    </row>
    <row r="383" spans="1:6" hidden="1" x14ac:dyDescent="0.35">
      <c r="A383" s="47" t="s">
        <v>70</v>
      </c>
      <c r="B383" s="26">
        <v>2884</v>
      </c>
      <c r="C383" s="30">
        <v>67</v>
      </c>
      <c r="D383" s="30">
        <v>1932</v>
      </c>
      <c r="E383" s="21">
        <v>227</v>
      </c>
      <c r="F383" s="52"/>
    </row>
    <row r="384" spans="1:6" hidden="1" x14ac:dyDescent="0.35">
      <c r="A384" s="47" t="s">
        <v>71</v>
      </c>
      <c r="B384" s="26">
        <v>3295</v>
      </c>
      <c r="C384" s="30">
        <v>58</v>
      </c>
      <c r="D384" s="30">
        <v>1996</v>
      </c>
      <c r="E384" s="21">
        <v>227</v>
      </c>
      <c r="F384" s="52"/>
    </row>
    <row r="385" spans="1:6" hidden="1" x14ac:dyDescent="0.35">
      <c r="A385" s="47" t="s">
        <v>72</v>
      </c>
      <c r="B385" s="26">
        <v>3124</v>
      </c>
      <c r="C385" s="30">
        <v>67</v>
      </c>
      <c r="D385" s="30">
        <v>2057</v>
      </c>
      <c r="E385" s="21">
        <v>76</v>
      </c>
      <c r="F385" s="52"/>
    </row>
    <row r="386" spans="1:6" hidden="1" x14ac:dyDescent="0.35">
      <c r="A386" s="14"/>
      <c r="B386" s="26"/>
      <c r="C386" s="30"/>
      <c r="D386" s="30"/>
      <c r="E386" s="21"/>
      <c r="F386" s="52"/>
    </row>
    <row r="387" spans="1:6" hidden="1" x14ac:dyDescent="0.35">
      <c r="A387" s="24" t="s">
        <v>86</v>
      </c>
      <c r="B387" s="26"/>
      <c r="C387" s="30"/>
      <c r="D387" s="30"/>
      <c r="E387" s="21"/>
      <c r="F387" s="52"/>
    </row>
    <row r="388" spans="1:6" hidden="1" x14ac:dyDescent="0.35">
      <c r="A388" s="47" t="s">
        <v>61</v>
      </c>
      <c r="B388" s="26">
        <v>2763</v>
      </c>
      <c r="C388" s="30">
        <v>30</v>
      </c>
      <c r="D388" s="30">
        <v>1207</v>
      </c>
      <c r="E388" s="21">
        <v>189</v>
      </c>
      <c r="F388" s="52"/>
    </row>
    <row r="389" spans="1:6" hidden="1" x14ac:dyDescent="0.35">
      <c r="A389" s="47" t="s">
        <v>62</v>
      </c>
      <c r="B389" s="26">
        <v>1613</v>
      </c>
      <c r="C389" s="30">
        <v>48</v>
      </c>
      <c r="D389" s="30">
        <v>1657</v>
      </c>
      <c r="E389" s="21">
        <v>190</v>
      </c>
      <c r="F389" s="52"/>
    </row>
    <row r="390" spans="1:6" hidden="1" x14ac:dyDescent="0.35">
      <c r="A390" s="47" t="s">
        <v>63</v>
      </c>
      <c r="B390" s="26">
        <v>2504</v>
      </c>
      <c r="C390" s="30">
        <v>0</v>
      </c>
      <c r="D390" s="30">
        <v>2156</v>
      </c>
      <c r="E390" s="21">
        <v>179</v>
      </c>
      <c r="F390" s="52"/>
    </row>
    <row r="391" spans="1:6" hidden="1" x14ac:dyDescent="0.35">
      <c r="A391" s="47" t="s">
        <v>64</v>
      </c>
      <c r="B391" s="26">
        <v>1166</v>
      </c>
      <c r="C391" s="30">
        <v>55</v>
      </c>
      <c r="D391" s="30">
        <v>1037</v>
      </c>
      <c r="E391" s="21">
        <v>301</v>
      </c>
      <c r="F391" s="52"/>
    </row>
    <row r="392" spans="1:6" hidden="1" x14ac:dyDescent="0.35">
      <c r="A392" s="47" t="s">
        <v>65</v>
      </c>
      <c r="B392" s="26">
        <v>432</v>
      </c>
      <c r="C392" s="30">
        <v>27</v>
      </c>
      <c r="D392" s="30">
        <v>716</v>
      </c>
      <c r="E392" s="21">
        <v>108</v>
      </c>
      <c r="F392" s="52"/>
    </row>
    <row r="393" spans="1:6" hidden="1" x14ac:dyDescent="0.35">
      <c r="A393" s="47" t="s">
        <v>66</v>
      </c>
      <c r="B393" s="26">
        <v>1194</v>
      </c>
      <c r="C393" s="30">
        <v>40</v>
      </c>
      <c r="D393" s="30">
        <v>914</v>
      </c>
      <c r="E393" s="21">
        <v>190</v>
      </c>
      <c r="F393" s="52"/>
    </row>
    <row r="394" spans="1:6" hidden="1" x14ac:dyDescent="0.35">
      <c r="A394" s="47" t="s">
        <v>67</v>
      </c>
      <c r="B394" s="26">
        <v>1498</v>
      </c>
      <c r="C394" s="30">
        <v>16</v>
      </c>
      <c r="D394" s="30">
        <v>1288</v>
      </c>
      <c r="E394" s="21">
        <v>229</v>
      </c>
      <c r="F394" s="52"/>
    </row>
    <row r="395" spans="1:6" hidden="1" x14ac:dyDescent="0.35">
      <c r="A395" s="47" t="s">
        <v>68</v>
      </c>
      <c r="B395" s="26">
        <v>2283</v>
      </c>
      <c r="C395" s="30">
        <v>40</v>
      </c>
      <c r="D395" s="30">
        <v>1998</v>
      </c>
      <c r="E395" s="21">
        <v>102</v>
      </c>
      <c r="F395" s="52"/>
    </row>
    <row r="396" spans="1:6" hidden="1" x14ac:dyDescent="0.35">
      <c r="A396" s="47" t="s">
        <v>69</v>
      </c>
      <c r="B396" s="26">
        <v>2790</v>
      </c>
      <c r="C396" s="30">
        <v>3</v>
      </c>
      <c r="D396" s="30">
        <v>2466</v>
      </c>
      <c r="E396" s="21">
        <v>179</v>
      </c>
      <c r="F396" s="52"/>
    </row>
    <row r="397" spans="1:6" hidden="1" x14ac:dyDescent="0.35">
      <c r="A397" s="47" t="s">
        <v>70</v>
      </c>
      <c r="B397" s="26">
        <v>1915</v>
      </c>
      <c r="C397" s="30">
        <v>28</v>
      </c>
      <c r="D397" s="30">
        <v>1695</v>
      </c>
      <c r="E397" s="21">
        <v>113</v>
      </c>
      <c r="F397" s="52"/>
    </row>
    <row r="398" spans="1:6" hidden="1" x14ac:dyDescent="0.35">
      <c r="A398" s="47" t="s">
        <v>71</v>
      </c>
      <c r="B398" s="26">
        <v>2823</v>
      </c>
      <c r="C398" s="30">
        <v>5</v>
      </c>
      <c r="D398" s="30">
        <v>2180</v>
      </c>
      <c r="E398" s="21">
        <v>110</v>
      </c>
      <c r="F398" s="52"/>
    </row>
    <row r="399" spans="1:6" hidden="1" x14ac:dyDescent="0.35">
      <c r="A399" s="47" t="s">
        <v>72</v>
      </c>
      <c r="B399" s="26">
        <v>2446</v>
      </c>
      <c r="C399" s="30">
        <v>45</v>
      </c>
      <c r="D399" s="30">
        <v>2360</v>
      </c>
      <c r="E399" s="21">
        <v>76</v>
      </c>
      <c r="F399" s="52"/>
    </row>
    <row r="400" spans="1:6" hidden="1" x14ac:dyDescent="0.35">
      <c r="A400" s="47"/>
      <c r="B400" s="26"/>
      <c r="C400" s="30"/>
      <c r="D400" s="30"/>
      <c r="E400" s="21"/>
      <c r="F400" s="52"/>
    </row>
    <row r="401" spans="1:6" hidden="1" x14ac:dyDescent="0.35">
      <c r="A401" s="47"/>
      <c r="B401" s="26"/>
      <c r="C401" s="30"/>
      <c r="D401" s="30"/>
      <c r="E401" s="21"/>
      <c r="F401" s="52"/>
    </row>
    <row r="402" spans="1:6" hidden="1" x14ac:dyDescent="0.35">
      <c r="A402" s="24" t="s">
        <v>87</v>
      </c>
      <c r="B402" s="26"/>
      <c r="C402" s="30"/>
      <c r="D402" s="30"/>
      <c r="E402" s="21"/>
      <c r="F402" s="52"/>
    </row>
    <row r="403" spans="1:6" hidden="1" x14ac:dyDescent="0.35">
      <c r="A403" s="47" t="s">
        <v>61</v>
      </c>
      <c r="B403" s="26">
        <v>2441</v>
      </c>
      <c r="C403" s="30">
        <v>19</v>
      </c>
      <c r="D403" s="30">
        <v>1881</v>
      </c>
      <c r="E403" s="21">
        <v>113</v>
      </c>
      <c r="F403" s="52"/>
    </row>
    <row r="404" spans="1:6" hidden="1" x14ac:dyDescent="0.35">
      <c r="A404" s="47" t="s">
        <v>62</v>
      </c>
      <c r="B404" s="26">
        <v>1924</v>
      </c>
      <c r="C404" s="30">
        <v>17</v>
      </c>
      <c r="D404" s="30">
        <v>1527</v>
      </c>
      <c r="E404" s="21">
        <v>186</v>
      </c>
      <c r="F404" s="52"/>
    </row>
    <row r="405" spans="1:6" hidden="1" x14ac:dyDescent="0.35">
      <c r="A405" s="47" t="s">
        <v>63</v>
      </c>
      <c r="B405" s="26">
        <v>3226</v>
      </c>
      <c r="C405" s="30">
        <v>34</v>
      </c>
      <c r="D405" s="30">
        <v>2673</v>
      </c>
      <c r="E405" s="21">
        <v>151</v>
      </c>
      <c r="F405" s="52"/>
    </row>
    <row r="406" spans="1:6" hidden="1" x14ac:dyDescent="0.35">
      <c r="A406" s="47" t="s">
        <v>64</v>
      </c>
      <c r="B406" s="26">
        <v>3180</v>
      </c>
      <c r="C406" s="30">
        <v>42</v>
      </c>
      <c r="D406" s="30">
        <v>3540</v>
      </c>
      <c r="E406" s="21">
        <v>75</v>
      </c>
      <c r="F406" s="52"/>
    </row>
    <row r="407" spans="1:6" hidden="1" x14ac:dyDescent="0.35">
      <c r="A407" s="47" t="s">
        <v>65</v>
      </c>
      <c r="B407" s="26">
        <v>3255</v>
      </c>
      <c r="C407" s="30">
        <v>19</v>
      </c>
      <c r="D407" s="30">
        <v>2896</v>
      </c>
      <c r="E407" s="21">
        <v>226</v>
      </c>
      <c r="F407" s="52"/>
    </row>
    <row r="408" spans="1:6" hidden="1" x14ac:dyDescent="0.35">
      <c r="A408" s="47" t="s">
        <v>66</v>
      </c>
      <c r="B408" s="26">
        <v>3288</v>
      </c>
      <c r="C408" s="30">
        <v>26</v>
      </c>
      <c r="D408" s="30">
        <v>3771</v>
      </c>
      <c r="E408" s="21">
        <v>301</v>
      </c>
      <c r="F408" s="52"/>
    </row>
    <row r="409" spans="1:6" hidden="1" x14ac:dyDescent="0.35">
      <c r="A409" s="47" t="s">
        <v>67</v>
      </c>
      <c r="B409" s="26">
        <v>2178</v>
      </c>
      <c r="C409" s="30">
        <v>48</v>
      </c>
      <c r="D409" s="30">
        <v>3384</v>
      </c>
      <c r="E409" s="21">
        <v>465</v>
      </c>
      <c r="F409" s="52"/>
    </row>
    <row r="410" spans="1:6" hidden="1" x14ac:dyDescent="0.35">
      <c r="A410" s="47" t="s">
        <v>68</v>
      </c>
      <c r="B410" s="26">
        <v>4271</v>
      </c>
      <c r="C410" s="30">
        <v>42</v>
      </c>
      <c r="D410" s="30">
        <v>4269</v>
      </c>
      <c r="E410" s="21">
        <v>226</v>
      </c>
      <c r="F410" s="52"/>
    </row>
    <row r="411" spans="1:6" hidden="1" x14ac:dyDescent="0.35">
      <c r="A411" s="47" t="s">
        <v>69</v>
      </c>
      <c r="B411" s="26">
        <v>2696</v>
      </c>
      <c r="C411" s="30">
        <v>34</v>
      </c>
      <c r="D411" s="30">
        <v>4709</v>
      </c>
      <c r="E411" s="21">
        <v>490</v>
      </c>
      <c r="F411" s="52"/>
    </row>
    <row r="412" spans="1:6" hidden="1" x14ac:dyDescent="0.35">
      <c r="A412" s="47" t="s">
        <v>70</v>
      </c>
      <c r="B412" s="26">
        <v>3547</v>
      </c>
      <c r="C412" s="30">
        <v>29</v>
      </c>
      <c r="D412" s="30">
        <v>5536</v>
      </c>
      <c r="E412" s="21">
        <v>658</v>
      </c>
      <c r="F412" s="52"/>
    </row>
    <row r="413" spans="1:6" hidden="1" x14ac:dyDescent="0.35">
      <c r="A413" s="47" t="s">
        <v>71</v>
      </c>
      <c r="B413" s="26">
        <v>3421</v>
      </c>
      <c r="C413" s="30">
        <v>23</v>
      </c>
      <c r="D413" s="30">
        <v>6277</v>
      </c>
      <c r="E413" s="21">
        <v>566</v>
      </c>
      <c r="F413" s="52"/>
    </row>
    <row r="414" spans="1:6" hidden="1" x14ac:dyDescent="0.35">
      <c r="A414" s="47" t="s">
        <v>72</v>
      </c>
      <c r="B414" s="26">
        <v>4219</v>
      </c>
      <c r="C414" s="30">
        <v>16</v>
      </c>
      <c r="D414" s="30">
        <v>6740</v>
      </c>
      <c r="E414" s="21">
        <v>188</v>
      </c>
      <c r="F414" s="52"/>
    </row>
    <row r="415" spans="1:6" hidden="1" x14ac:dyDescent="0.35">
      <c r="A415" s="47"/>
      <c r="B415" s="26"/>
      <c r="C415" s="30"/>
      <c r="D415" s="30"/>
      <c r="E415" s="21"/>
      <c r="F415" s="52"/>
    </row>
    <row r="416" spans="1:6" hidden="1" x14ac:dyDescent="0.35">
      <c r="A416" s="24">
        <v>2020</v>
      </c>
      <c r="B416" s="26"/>
      <c r="C416" s="30"/>
      <c r="D416" s="30"/>
      <c r="E416" s="21"/>
      <c r="F416" s="52"/>
    </row>
    <row r="417" spans="1:6" ht="18" hidden="1" x14ac:dyDescent="0.35">
      <c r="A417" s="47" t="s">
        <v>94</v>
      </c>
      <c r="B417" s="30">
        <v>10026</v>
      </c>
      <c r="C417" s="31">
        <v>44</v>
      </c>
      <c r="D417" s="31">
        <v>12050</v>
      </c>
      <c r="E417" s="26">
        <v>1085</v>
      </c>
      <c r="F417" s="52"/>
    </row>
    <row r="418" spans="1:6" ht="18" hidden="1" x14ac:dyDescent="0.35">
      <c r="A418" s="47" t="s">
        <v>95</v>
      </c>
      <c r="B418" s="30">
        <f>B455+B456+B457</f>
        <v>7324</v>
      </c>
      <c r="C418" s="30">
        <f>C455+C456+C457</f>
        <v>26</v>
      </c>
      <c r="D418" s="30">
        <f>D455+D456+D457</f>
        <v>9695</v>
      </c>
      <c r="E418" s="26">
        <f>E455+E456+E457</f>
        <v>329</v>
      </c>
      <c r="F418" s="52"/>
    </row>
    <row r="419" spans="1:6" ht="18" hidden="1" x14ac:dyDescent="0.35">
      <c r="A419" s="47" t="s">
        <v>96</v>
      </c>
      <c r="B419" s="30">
        <f>B458+B459+B460</f>
        <v>5522</v>
      </c>
      <c r="C419" s="30">
        <f t="shared" ref="C419:E419" si="3">C458+C459+C460</f>
        <v>59</v>
      </c>
      <c r="D419" s="30">
        <f t="shared" si="3"/>
        <v>15646</v>
      </c>
      <c r="E419" s="26">
        <f t="shared" si="3"/>
        <v>516</v>
      </c>
      <c r="F419" s="52"/>
    </row>
    <row r="420" spans="1:6" ht="18" hidden="1" x14ac:dyDescent="0.35">
      <c r="A420" s="47" t="s">
        <v>97</v>
      </c>
      <c r="B420" s="30">
        <f>B461+B462+B463</f>
        <v>7479</v>
      </c>
      <c r="C420" s="30">
        <f t="shared" ref="C420:E420" si="4">C461+C462+C463</f>
        <v>18</v>
      </c>
      <c r="D420" s="30">
        <f t="shared" si="4"/>
        <v>11688</v>
      </c>
      <c r="E420" s="26">
        <f t="shared" si="4"/>
        <v>799</v>
      </c>
      <c r="F420" s="52"/>
    </row>
    <row r="421" spans="1:6" x14ac:dyDescent="0.35">
      <c r="A421" s="47"/>
      <c r="B421" s="26"/>
      <c r="C421" s="30"/>
      <c r="D421" s="30"/>
      <c r="E421" s="26"/>
      <c r="F421" s="52"/>
    </row>
    <row r="422" spans="1:6" x14ac:dyDescent="0.35">
      <c r="A422" s="47">
        <v>2021</v>
      </c>
      <c r="B422" s="26"/>
      <c r="C422" s="30"/>
      <c r="D422" s="30"/>
      <c r="E422" s="26"/>
      <c r="F422" s="52"/>
    </row>
    <row r="423" spans="1:6" hidden="1" x14ac:dyDescent="0.35">
      <c r="A423" s="47" t="s">
        <v>98</v>
      </c>
      <c r="B423" s="26">
        <f>B466+B467+B468</f>
        <v>6009</v>
      </c>
      <c r="C423" s="30">
        <f>C466+C467+C468</f>
        <v>40</v>
      </c>
      <c r="D423" s="30">
        <f>D466+D467+D468</f>
        <v>8740</v>
      </c>
      <c r="E423" s="26">
        <f>E466+E467+E468</f>
        <v>668</v>
      </c>
      <c r="F423" s="52"/>
    </row>
    <row r="424" spans="1:6" ht="18" x14ac:dyDescent="0.35">
      <c r="A424" s="47" t="s">
        <v>95</v>
      </c>
      <c r="B424" s="30">
        <f>B469+B470+B471</f>
        <v>7320</v>
      </c>
      <c r="C424" s="30">
        <f>C469+C470+C471</f>
        <v>77</v>
      </c>
      <c r="D424" s="30">
        <f>D469+D470+D471</f>
        <v>15167</v>
      </c>
      <c r="E424" s="30">
        <f>E469+E470+E471</f>
        <v>698</v>
      </c>
      <c r="F424" s="52"/>
    </row>
    <row r="425" spans="1:6" x14ac:dyDescent="0.35">
      <c r="A425" s="47" t="s">
        <v>99</v>
      </c>
      <c r="B425" s="26">
        <v>5593</v>
      </c>
      <c r="C425" s="30">
        <v>47</v>
      </c>
      <c r="D425" s="30">
        <v>16764</v>
      </c>
      <c r="E425" s="21">
        <v>685</v>
      </c>
      <c r="F425" s="52"/>
    </row>
    <row r="426" spans="1:6" ht="18" x14ac:dyDescent="0.35">
      <c r="A426" s="47" t="s">
        <v>97</v>
      </c>
      <c r="B426" s="26">
        <f>B475+B476+B477</f>
        <v>7898</v>
      </c>
      <c r="C426" s="30">
        <f>C475+C476+C477</f>
        <v>49</v>
      </c>
      <c r="D426" s="30">
        <f>D475+D476+D477</f>
        <v>14915</v>
      </c>
      <c r="E426" s="26">
        <f>E475+E476+E477</f>
        <v>1036</v>
      </c>
      <c r="F426" s="52"/>
    </row>
    <row r="427" spans="1:6" x14ac:dyDescent="0.35">
      <c r="A427" s="47"/>
      <c r="B427" s="26"/>
      <c r="C427" s="30"/>
      <c r="D427" s="30"/>
      <c r="E427" s="26"/>
      <c r="F427" s="52"/>
    </row>
    <row r="428" spans="1:6" x14ac:dyDescent="0.35">
      <c r="A428" s="47">
        <v>2022</v>
      </c>
      <c r="B428" s="26"/>
      <c r="C428" s="30"/>
      <c r="D428" s="30"/>
      <c r="E428" s="26"/>
      <c r="F428" s="52"/>
    </row>
    <row r="429" spans="1:6" x14ac:dyDescent="0.35">
      <c r="A429" s="47" t="s">
        <v>98</v>
      </c>
      <c r="B429" s="26">
        <f>B480+B481+B482</f>
        <v>7338</v>
      </c>
      <c r="C429" s="30">
        <f t="shared" ref="C429:E429" si="5">C480+C481+C482</f>
        <v>104</v>
      </c>
      <c r="D429" s="30">
        <f t="shared" si="5"/>
        <v>13060</v>
      </c>
      <c r="E429" s="26">
        <f t="shared" si="5"/>
        <v>941</v>
      </c>
      <c r="F429" s="52"/>
    </row>
    <row r="430" spans="1:6" ht="18" x14ac:dyDescent="0.35">
      <c r="A430" s="47" t="s">
        <v>95</v>
      </c>
      <c r="B430" s="26">
        <v>8234</v>
      </c>
      <c r="C430" s="30">
        <v>67</v>
      </c>
      <c r="D430" s="30">
        <v>13540</v>
      </c>
      <c r="E430" s="26">
        <v>1649</v>
      </c>
      <c r="F430" s="52"/>
    </row>
    <row r="431" spans="1:6" x14ac:dyDescent="0.35">
      <c r="A431" s="47" t="s">
        <v>99</v>
      </c>
      <c r="B431" s="26">
        <f>B486+B487+B488</f>
        <v>4913</v>
      </c>
      <c r="C431" s="30">
        <f t="shared" ref="C431:E431" si="6">C486+C487+C488</f>
        <v>142</v>
      </c>
      <c r="D431" s="30">
        <f t="shared" si="6"/>
        <v>7198</v>
      </c>
      <c r="E431" s="26">
        <f t="shared" si="6"/>
        <v>1054</v>
      </c>
      <c r="F431" s="52"/>
    </row>
    <row r="432" spans="1:6" ht="18" x14ac:dyDescent="0.35">
      <c r="A432" s="47" t="s">
        <v>97</v>
      </c>
      <c r="B432" s="26">
        <f>SUM(B489:B491)</f>
        <v>9340</v>
      </c>
      <c r="C432" s="30">
        <f t="shared" ref="C432:E432" si="7">SUM(C489:C491)</f>
        <v>15</v>
      </c>
      <c r="D432" s="30">
        <f t="shared" si="7"/>
        <v>10827</v>
      </c>
      <c r="E432" s="26">
        <f t="shared" si="7"/>
        <v>1057</v>
      </c>
      <c r="F432" s="52"/>
    </row>
    <row r="433" spans="1:6" x14ac:dyDescent="0.35">
      <c r="A433" s="47">
        <v>2023</v>
      </c>
      <c r="B433" s="26"/>
      <c r="C433" s="30"/>
      <c r="D433" s="30"/>
      <c r="E433" s="26"/>
      <c r="F433" s="52"/>
    </row>
    <row r="434" spans="1:6" x14ac:dyDescent="0.35">
      <c r="A434" s="47" t="s">
        <v>98</v>
      </c>
      <c r="B434" s="26">
        <f>+B493+B494+B495</f>
        <v>12172</v>
      </c>
      <c r="C434" s="30">
        <f t="shared" ref="C434:E434" si="8">+C493+C494+C495</f>
        <v>48</v>
      </c>
      <c r="D434" s="30">
        <f t="shared" si="8"/>
        <v>7241</v>
      </c>
      <c r="E434" s="26">
        <f t="shared" si="8"/>
        <v>807</v>
      </c>
      <c r="F434" s="52"/>
    </row>
    <row r="435" spans="1:6" ht="18" x14ac:dyDescent="0.35">
      <c r="A435" s="47" t="s">
        <v>95</v>
      </c>
      <c r="B435" s="26">
        <f>+B496+B497+B498</f>
        <v>660</v>
      </c>
      <c r="C435" s="30">
        <f t="shared" ref="C435:E435" si="9">+C496+C497+C498</f>
        <v>65</v>
      </c>
      <c r="D435" s="30">
        <f t="shared" si="9"/>
        <v>6786</v>
      </c>
      <c r="E435" s="26">
        <f t="shared" si="9"/>
        <v>1013</v>
      </c>
      <c r="F435" s="52"/>
    </row>
    <row r="436" spans="1:6" ht="18" x14ac:dyDescent="0.35">
      <c r="A436" s="47" t="s">
        <v>101</v>
      </c>
      <c r="B436" s="26">
        <f>+B499+B500+B501</f>
        <v>772</v>
      </c>
      <c r="C436" s="26">
        <f t="shared" ref="C436:E436" si="10">+C499+C500+C501</f>
        <v>4335</v>
      </c>
      <c r="D436" s="26">
        <f t="shared" si="10"/>
        <v>10267</v>
      </c>
      <c r="E436" s="26">
        <f t="shared" si="10"/>
        <v>989</v>
      </c>
      <c r="F436" s="52"/>
    </row>
    <row r="437" spans="1:6" x14ac:dyDescent="0.35">
      <c r="A437" s="47"/>
      <c r="B437" s="26"/>
      <c r="C437" s="30"/>
      <c r="D437" s="30"/>
      <c r="E437" s="26"/>
      <c r="F437" s="52"/>
    </row>
    <row r="438" spans="1:6" hidden="1" x14ac:dyDescent="0.35">
      <c r="A438" s="24" t="s">
        <v>93</v>
      </c>
      <c r="B438" s="26"/>
      <c r="C438" s="30"/>
      <c r="D438" s="30"/>
      <c r="E438" s="21"/>
      <c r="F438" s="52"/>
    </row>
    <row r="439" spans="1:6" hidden="1" x14ac:dyDescent="0.35">
      <c r="A439" s="47" t="s">
        <v>61</v>
      </c>
      <c r="B439" s="26">
        <v>5030</v>
      </c>
      <c r="C439" s="30">
        <v>7</v>
      </c>
      <c r="D439" s="30">
        <v>6079</v>
      </c>
      <c r="E439" s="21">
        <v>296</v>
      </c>
      <c r="F439" s="52"/>
    </row>
    <row r="440" spans="1:6" hidden="1" x14ac:dyDescent="0.35">
      <c r="A440" s="47" t="s">
        <v>62</v>
      </c>
      <c r="B440" s="26">
        <v>3497</v>
      </c>
      <c r="C440" s="30">
        <v>13</v>
      </c>
      <c r="D440" s="30">
        <v>4931</v>
      </c>
      <c r="E440" s="21">
        <v>226</v>
      </c>
      <c r="F440" s="52"/>
    </row>
    <row r="441" spans="1:6" hidden="1" x14ac:dyDescent="0.35">
      <c r="A441" s="47" t="s">
        <v>63</v>
      </c>
      <c r="B441" s="26">
        <v>4702</v>
      </c>
      <c r="C441" s="30">
        <v>14</v>
      </c>
      <c r="D441" s="30">
        <v>6184</v>
      </c>
      <c r="E441" s="21">
        <v>328</v>
      </c>
      <c r="F441" s="52"/>
    </row>
    <row r="442" spans="1:6" hidden="1" x14ac:dyDescent="0.35">
      <c r="A442" s="47" t="s">
        <v>64</v>
      </c>
      <c r="B442" s="26">
        <v>4624</v>
      </c>
      <c r="C442" s="30">
        <v>55</v>
      </c>
      <c r="D442" s="30">
        <v>7393</v>
      </c>
      <c r="E442" s="21">
        <v>185</v>
      </c>
      <c r="F442" s="52"/>
    </row>
    <row r="443" spans="1:6" hidden="1" x14ac:dyDescent="0.35">
      <c r="A443" s="47" t="s">
        <v>65</v>
      </c>
      <c r="B443" s="26">
        <v>4506</v>
      </c>
      <c r="C443" s="30">
        <v>5</v>
      </c>
      <c r="D443" s="30">
        <v>5253</v>
      </c>
      <c r="E443" s="21">
        <v>636</v>
      </c>
      <c r="F443" s="52"/>
    </row>
    <row r="444" spans="1:6" hidden="1" x14ac:dyDescent="0.35">
      <c r="A444" s="47" t="s">
        <v>66</v>
      </c>
      <c r="B444" s="26">
        <v>3944</v>
      </c>
      <c r="C444" s="30">
        <v>16</v>
      </c>
      <c r="D444" s="30">
        <v>5971</v>
      </c>
      <c r="E444" s="21">
        <v>376</v>
      </c>
      <c r="F444" s="52"/>
    </row>
    <row r="445" spans="1:6" hidden="1" x14ac:dyDescent="0.35">
      <c r="A445" s="47" t="s">
        <v>67</v>
      </c>
      <c r="B445" s="26">
        <v>4585</v>
      </c>
      <c r="C445" s="30">
        <v>30</v>
      </c>
      <c r="D445" s="30">
        <v>6847</v>
      </c>
      <c r="E445" s="21">
        <v>406</v>
      </c>
      <c r="F445" s="52"/>
    </row>
    <row r="446" spans="1:6" hidden="1" x14ac:dyDescent="0.35">
      <c r="A446" s="47" t="s">
        <v>68</v>
      </c>
      <c r="B446" s="26">
        <v>4198</v>
      </c>
      <c r="C446" s="30">
        <v>63</v>
      </c>
      <c r="D446" s="26">
        <v>6934</v>
      </c>
      <c r="E446" s="21">
        <v>414</v>
      </c>
      <c r="F446" s="52"/>
    </row>
    <row r="447" spans="1:6" hidden="1" x14ac:dyDescent="0.35">
      <c r="A447" s="47" t="s">
        <v>69</v>
      </c>
      <c r="B447" s="26">
        <v>5132</v>
      </c>
      <c r="C447" s="30">
        <v>13</v>
      </c>
      <c r="D447" s="26">
        <v>6749</v>
      </c>
      <c r="E447" s="21">
        <v>415</v>
      </c>
      <c r="F447" s="52"/>
    </row>
    <row r="448" spans="1:6" hidden="1" x14ac:dyDescent="0.35">
      <c r="A448" s="47" t="s">
        <v>70</v>
      </c>
      <c r="B448" s="26">
        <v>5036</v>
      </c>
      <c r="C448" s="30">
        <v>16</v>
      </c>
      <c r="D448" s="26">
        <v>6020</v>
      </c>
      <c r="E448" s="21">
        <v>339</v>
      </c>
      <c r="F448" s="52"/>
    </row>
    <row r="449" spans="1:6" hidden="1" x14ac:dyDescent="0.35">
      <c r="A449" s="47" t="s">
        <v>71</v>
      </c>
      <c r="B449" s="26">
        <v>4627</v>
      </c>
      <c r="C449" s="30">
        <v>59</v>
      </c>
      <c r="D449" s="26">
        <v>5629</v>
      </c>
      <c r="E449" s="21">
        <v>405</v>
      </c>
      <c r="F449" s="52"/>
    </row>
    <row r="450" spans="1:6" hidden="1" x14ac:dyDescent="0.35">
      <c r="A450" s="47" t="s">
        <v>72</v>
      </c>
      <c r="B450" s="26">
        <v>4040</v>
      </c>
      <c r="C450" s="30">
        <v>12</v>
      </c>
      <c r="D450" s="26">
        <v>5247</v>
      </c>
      <c r="E450" s="21">
        <v>377</v>
      </c>
      <c r="F450" s="52"/>
    </row>
    <row r="451" spans="1:6" hidden="1" x14ac:dyDescent="0.35">
      <c r="A451" s="24">
        <v>2020</v>
      </c>
      <c r="B451" s="26"/>
      <c r="C451" s="30"/>
      <c r="D451" s="26"/>
      <c r="E451" s="21"/>
      <c r="F451" s="52"/>
    </row>
    <row r="452" spans="1:6" hidden="1" x14ac:dyDescent="0.35">
      <c r="A452" s="47" t="s">
        <v>61</v>
      </c>
      <c r="B452" s="26">
        <v>3978</v>
      </c>
      <c r="C452" s="30">
        <v>15</v>
      </c>
      <c r="D452" s="26">
        <v>4612</v>
      </c>
      <c r="E452" s="21">
        <v>405</v>
      </c>
      <c r="F452" s="52"/>
    </row>
    <row r="453" spans="1:6" hidden="1" x14ac:dyDescent="0.35">
      <c r="A453" s="47" t="s">
        <v>62</v>
      </c>
      <c r="B453" s="26">
        <v>3006</v>
      </c>
      <c r="C453" s="30">
        <v>17</v>
      </c>
      <c r="D453" s="26">
        <v>4033</v>
      </c>
      <c r="E453" s="21">
        <v>340</v>
      </c>
      <c r="F453" s="52"/>
    </row>
    <row r="454" spans="1:6" hidden="1" x14ac:dyDescent="0.35">
      <c r="A454" s="47" t="s">
        <v>63</v>
      </c>
      <c r="B454" s="26">
        <v>3042</v>
      </c>
      <c r="C454" s="30">
        <v>12</v>
      </c>
      <c r="D454" s="26">
        <v>3405</v>
      </c>
      <c r="E454" s="21">
        <v>340</v>
      </c>
      <c r="F454" s="52"/>
    </row>
    <row r="455" spans="1:6" hidden="1" x14ac:dyDescent="0.35">
      <c r="A455" s="47" t="s">
        <v>64</v>
      </c>
      <c r="B455" s="26">
        <v>2208</v>
      </c>
      <c r="C455" s="30">
        <v>12</v>
      </c>
      <c r="D455" s="26">
        <v>3580</v>
      </c>
      <c r="E455" s="21">
        <v>75</v>
      </c>
      <c r="F455" s="52"/>
    </row>
    <row r="456" spans="1:6" hidden="1" x14ac:dyDescent="0.35">
      <c r="A456" s="47" t="s">
        <v>65</v>
      </c>
      <c r="B456" s="26">
        <v>3003</v>
      </c>
      <c r="C456" s="30">
        <v>5</v>
      </c>
      <c r="D456" s="26">
        <v>2661</v>
      </c>
      <c r="E456" s="21">
        <v>38</v>
      </c>
      <c r="F456" s="52"/>
    </row>
    <row r="457" spans="1:6" hidden="1" x14ac:dyDescent="0.35">
      <c r="A457" s="47" t="s">
        <v>66</v>
      </c>
      <c r="B457" s="26">
        <v>2113</v>
      </c>
      <c r="C457" s="30">
        <v>9</v>
      </c>
      <c r="D457" s="26">
        <v>3454</v>
      </c>
      <c r="E457" s="21">
        <v>216</v>
      </c>
      <c r="F457" s="52"/>
    </row>
    <row r="458" spans="1:6" hidden="1" x14ac:dyDescent="0.35">
      <c r="A458" s="47" t="s">
        <v>67</v>
      </c>
      <c r="B458" s="26">
        <v>1061</v>
      </c>
      <c r="C458" s="30">
        <v>0</v>
      </c>
      <c r="D458" s="26">
        <v>5354</v>
      </c>
      <c r="E458" s="21">
        <v>182</v>
      </c>
      <c r="F458" s="52"/>
    </row>
    <row r="459" spans="1:6" hidden="1" x14ac:dyDescent="0.35">
      <c r="A459" s="47" t="s">
        <v>68</v>
      </c>
      <c r="B459" s="26">
        <v>2177</v>
      </c>
      <c r="C459" s="30">
        <v>0</v>
      </c>
      <c r="D459" s="26">
        <v>5125</v>
      </c>
      <c r="E459" s="21">
        <v>178</v>
      </c>
      <c r="F459" s="52"/>
    </row>
    <row r="460" spans="1:6" hidden="1" x14ac:dyDescent="0.35">
      <c r="A460" s="47" t="s">
        <v>69</v>
      </c>
      <c r="B460" s="26">
        <v>2284</v>
      </c>
      <c r="C460" s="30">
        <v>59</v>
      </c>
      <c r="D460" s="26">
        <v>5167</v>
      </c>
      <c r="E460" s="21">
        <v>156</v>
      </c>
      <c r="F460" s="52"/>
    </row>
    <row r="461" spans="1:6" hidden="1" x14ac:dyDescent="0.35">
      <c r="A461" s="47" t="s">
        <v>70</v>
      </c>
      <c r="B461" s="26">
        <v>2739</v>
      </c>
      <c r="C461" s="30">
        <v>18</v>
      </c>
      <c r="D461" s="30">
        <v>4266</v>
      </c>
      <c r="E461" s="21">
        <v>115</v>
      </c>
      <c r="F461" s="52"/>
    </row>
    <row r="462" spans="1:6" hidden="1" x14ac:dyDescent="0.35">
      <c r="A462" s="47" t="s">
        <v>71</v>
      </c>
      <c r="B462" s="26">
        <v>1588</v>
      </c>
      <c r="C462" s="30">
        <v>0</v>
      </c>
      <c r="D462" s="30">
        <v>4036</v>
      </c>
      <c r="E462" s="21">
        <v>365</v>
      </c>
      <c r="F462" s="52"/>
    </row>
    <row r="463" spans="1:6" hidden="1" x14ac:dyDescent="0.35">
      <c r="A463" s="47" t="s">
        <v>72</v>
      </c>
      <c r="B463" s="26">
        <v>3152</v>
      </c>
      <c r="C463" s="30">
        <v>0</v>
      </c>
      <c r="D463" s="30">
        <v>3386</v>
      </c>
      <c r="E463" s="21">
        <v>319</v>
      </c>
      <c r="F463" s="52"/>
    </row>
    <row r="464" spans="1:6" hidden="1" x14ac:dyDescent="0.35">
      <c r="A464" s="47"/>
      <c r="B464" s="26"/>
      <c r="C464" s="30"/>
      <c r="D464" s="30"/>
      <c r="E464" s="21"/>
      <c r="F464" s="52"/>
    </row>
    <row r="465" spans="1:6" x14ac:dyDescent="0.35">
      <c r="A465" s="24">
        <v>2021</v>
      </c>
      <c r="B465" s="26"/>
      <c r="C465" s="30"/>
      <c r="D465" s="30"/>
      <c r="E465" s="21"/>
      <c r="F465" s="52"/>
    </row>
    <row r="466" spans="1:6" hidden="1" x14ac:dyDescent="0.35">
      <c r="A466" s="47" t="s">
        <v>61</v>
      </c>
      <c r="B466" s="26">
        <v>1770</v>
      </c>
      <c r="C466" s="30">
        <v>0</v>
      </c>
      <c r="D466" s="30">
        <v>2281</v>
      </c>
      <c r="E466" s="21">
        <v>198</v>
      </c>
      <c r="F466" s="52"/>
    </row>
    <row r="467" spans="1:6" hidden="1" x14ac:dyDescent="0.35">
      <c r="A467" s="47" t="s">
        <v>62</v>
      </c>
      <c r="B467" s="26">
        <v>1592</v>
      </c>
      <c r="C467" s="30">
        <v>0</v>
      </c>
      <c r="D467" s="30">
        <v>2650</v>
      </c>
      <c r="E467" s="21">
        <v>238</v>
      </c>
      <c r="F467" s="52"/>
    </row>
    <row r="468" spans="1:6" hidden="1" x14ac:dyDescent="0.35">
      <c r="A468" s="47" t="s">
        <v>63</v>
      </c>
      <c r="B468" s="26">
        <v>2647</v>
      </c>
      <c r="C468" s="30">
        <v>40</v>
      </c>
      <c r="D468" s="30">
        <v>3809</v>
      </c>
      <c r="E468" s="21">
        <v>232</v>
      </c>
      <c r="F468" s="52"/>
    </row>
    <row r="469" spans="1:6" hidden="1" x14ac:dyDescent="0.35">
      <c r="A469" s="47" t="s">
        <v>64</v>
      </c>
      <c r="B469" s="26">
        <v>2132</v>
      </c>
      <c r="C469" s="30">
        <v>16</v>
      </c>
      <c r="D469" s="30">
        <v>4760</v>
      </c>
      <c r="E469" s="21">
        <v>151</v>
      </c>
      <c r="F469" s="52"/>
    </row>
    <row r="470" spans="1:6" hidden="1" x14ac:dyDescent="0.35">
      <c r="A470" s="47" t="s">
        <v>65</v>
      </c>
      <c r="B470" s="26">
        <v>1664</v>
      </c>
      <c r="C470" s="30">
        <v>7</v>
      </c>
      <c r="D470" s="30">
        <v>5656</v>
      </c>
      <c r="E470" s="21">
        <v>375</v>
      </c>
      <c r="F470" s="52"/>
    </row>
    <row r="471" spans="1:6" hidden="1" x14ac:dyDescent="0.35">
      <c r="A471" s="47" t="s">
        <v>66</v>
      </c>
      <c r="B471" s="26">
        <v>3524</v>
      </c>
      <c r="C471" s="30">
        <v>54</v>
      </c>
      <c r="D471" s="30">
        <v>4751</v>
      </c>
      <c r="E471" s="21">
        <v>172</v>
      </c>
      <c r="F471" s="52"/>
    </row>
    <row r="472" spans="1:6" hidden="1" x14ac:dyDescent="0.35">
      <c r="A472" s="47" t="s">
        <v>67</v>
      </c>
      <c r="B472" s="26">
        <v>1584</v>
      </c>
      <c r="C472" s="30">
        <v>15</v>
      </c>
      <c r="D472" s="30">
        <v>4653</v>
      </c>
      <c r="E472" s="21">
        <v>151</v>
      </c>
      <c r="F472" s="52"/>
    </row>
    <row r="473" spans="1:6" hidden="1" x14ac:dyDescent="0.35">
      <c r="A473" s="47" t="s">
        <v>68</v>
      </c>
      <c r="B473" s="26">
        <v>1900</v>
      </c>
      <c r="C473" s="30">
        <v>15</v>
      </c>
      <c r="D473" s="30">
        <v>5214</v>
      </c>
      <c r="E473" s="21">
        <v>265</v>
      </c>
      <c r="F473" s="52"/>
    </row>
    <row r="474" spans="1:6" hidden="1" x14ac:dyDescent="0.35">
      <c r="A474" s="47" t="s">
        <v>69</v>
      </c>
      <c r="B474" s="26">
        <v>2109</v>
      </c>
      <c r="C474" s="30">
        <v>17</v>
      </c>
      <c r="D474" s="30">
        <v>6897</v>
      </c>
      <c r="E474" s="21">
        <v>269</v>
      </c>
      <c r="F474" s="52"/>
    </row>
    <row r="475" spans="1:6" hidden="1" x14ac:dyDescent="0.35">
      <c r="A475" s="47" t="s">
        <v>70</v>
      </c>
      <c r="B475" s="26">
        <v>3192</v>
      </c>
      <c r="C475" s="30">
        <v>14</v>
      </c>
      <c r="D475" s="30">
        <v>4399</v>
      </c>
      <c r="E475" s="21">
        <v>188</v>
      </c>
      <c r="F475" s="52"/>
    </row>
    <row r="476" spans="1:6" hidden="1" x14ac:dyDescent="0.35">
      <c r="A476" s="47" t="s">
        <v>71</v>
      </c>
      <c r="B476" s="26">
        <v>2402</v>
      </c>
      <c r="C476" s="30">
        <v>3</v>
      </c>
      <c r="D476" s="30">
        <v>5746</v>
      </c>
      <c r="E476" s="21">
        <v>339</v>
      </c>
      <c r="F476" s="52"/>
    </row>
    <row r="477" spans="1:6" x14ac:dyDescent="0.35">
      <c r="A477" s="47" t="s">
        <v>72</v>
      </c>
      <c r="B477" s="26">
        <v>2304</v>
      </c>
      <c r="C477" s="30">
        <v>32</v>
      </c>
      <c r="D477" s="30">
        <v>4770</v>
      </c>
      <c r="E477" s="21">
        <v>509</v>
      </c>
      <c r="F477" s="52"/>
    </row>
    <row r="478" spans="1:6" x14ac:dyDescent="0.35">
      <c r="A478" s="47"/>
      <c r="B478" s="26"/>
      <c r="C478" s="30"/>
      <c r="D478" s="30"/>
      <c r="E478" s="21"/>
      <c r="F478" s="52"/>
    </row>
    <row r="479" spans="1:6" x14ac:dyDescent="0.35">
      <c r="A479" s="24">
        <v>2022</v>
      </c>
      <c r="B479" s="26"/>
      <c r="C479" s="30"/>
      <c r="D479" s="30"/>
      <c r="E479" s="21"/>
      <c r="F479" s="52"/>
    </row>
    <row r="480" spans="1:6" x14ac:dyDescent="0.35">
      <c r="A480" s="47" t="s">
        <v>61</v>
      </c>
      <c r="B480" s="26">
        <v>2081</v>
      </c>
      <c r="C480" s="30">
        <v>6</v>
      </c>
      <c r="D480" s="30">
        <v>4317</v>
      </c>
      <c r="E480" s="21">
        <v>226</v>
      </c>
      <c r="F480" s="52"/>
    </row>
    <row r="481" spans="1:6" x14ac:dyDescent="0.35">
      <c r="A481" s="47" t="s">
        <v>62</v>
      </c>
      <c r="B481" s="26">
        <v>2481</v>
      </c>
      <c r="C481" s="30">
        <v>33</v>
      </c>
      <c r="D481" s="30">
        <v>3891</v>
      </c>
      <c r="E481" s="21">
        <v>226</v>
      </c>
      <c r="F481" s="52"/>
    </row>
    <row r="482" spans="1:6" x14ac:dyDescent="0.35">
      <c r="A482" s="47" t="s">
        <v>63</v>
      </c>
      <c r="B482" s="26">
        <v>2776</v>
      </c>
      <c r="C482" s="30">
        <v>65</v>
      </c>
      <c r="D482" s="30">
        <v>4852</v>
      </c>
      <c r="E482" s="21">
        <v>489</v>
      </c>
      <c r="F482" s="52"/>
    </row>
    <row r="483" spans="1:6" x14ac:dyDescent="0.35">
      <c r="A483" s="47" t="s">
        <v>64</v>
      </c>
      <c r="B483" s="26">
        <v>1847</v>
      </c>
      <c r="C483" s="30">
        <v>0</v>
      </c>
      <c r="D483" s="30">
        <v>4059</v>
      </c>
      <c r="E483" s="21">
        <v>677</v>
      </c>
      <c r="F483" s="52"/>
    </row>
    <row r="484" spans="1:6" x14ac:dyDescent="0.35">
      <c r="A484" s="47" t="s">
        <v>65</v>
      </c>
      <c r="B484" s="26">
        <v>3431</v>
      </c>
      <c r="C484" s="30">
        <v>19</v>
      </c>
      <c r="D484" s="30">
        <v>4802</v>
      </c>
      <c r="E484" s="21">
        <v>414</v>
      </c>
      <c r="F484" s="52"/>
    </row>
    <row r="485" spans="1:6" x14ac:dyDescent="0.35">
      <c r="A485" s="47" t="s">
        <v>66</v>
      </c>
      <c r="B485" s="26">
        <v>2956</v>
      </c>
      <c r="C485" s="30">
        <v>48</v>
      </c>
      <c r="D485" s="30">
        <v>4679</v>
      </c>
      <c r="E485" s="21">
        <v>558</v>
      </c>
      <c r="F485" s="52"/>
    </row>
    <row r="486" spans="1:6" x14ac:dyDescent="0.35">
      <c r="A486" s="47" t="s">
        <v>67</v>
      </c>
      <c r="B486" s="26">
        <v>1660</v>
      </c>
      <c r="C486" s="30">
        <v>54</v>
      </c>
      <c r="D486" s="30">
        <v>3645</v>
      </c>
      <c r="E486" s="21">
        <v>452</v>
      </c>
      <c r="F486" s="52"/>
    </row>
    <row r="487" spans="1:6" x14ac:dyDescent="0.35">
      <c r="A487" s="47" t="s">
        <v>68</v>
      </c>
      <c r="B487" s="26">
        <v>1840</v>
      </c>
      <c r="C487" s="30">
        <v>19</v>
      </c>
      <c r="D487" s="30">
        <v>1725</v>
      </c>
      <c r="E487" s="21">
        <v>301</v>
      </c>
      <c r="F487" s="52"/>
    </row>
    <row r="488" spans="1:6" x14ac:dyDescent="0.35">
      <c r="A488" s="47" t="s">
        <v>69</v>
      </c>
      <c r="B488" s="26">
        <v>1413</v>
      </c>
      <c r="C488" s="30">
        <v>69</v>
      </c>
      <c r="D488" s="30">
        <v>1828</v>
      </c>
      <c r="E488" s="21">
        <v>301</v>
      </c>
      <c r="F488" s="52"/>
    </row>
    <row r="489" spans="1:6" x14ac:dyDescent="0.35">
      <c r="A489" s="47" t="s">
        <v>70</v>
      </c>
      <c r="B489" s="26">
        <v>3361</v>
      </c>
      <c r="C489" s="30">
        <v>15</v>
      </c>
      <c r="D489" s="30">
        <v>3875</v>
      </c>
      <c r="E489" s="21">
        <v>262</v>
      </c>
      <c r="F489" s="52"/>
    </row>
    <row r="490" spans="1:6" x14ac:dyDescent="0.35">
      <c r="A490" s="47" t="s">
        <v>100</v>
      </c>
      <c r="B490" s="26">
        <v>2975</v>
      </c>
      <c r="C490" s="30">
        <v>0</v>
      </c>
      <c r="D490" s="30">
        <v>3284</v>
      </c>
      <c r="E490" s="21">
        <v>304</v>
      </c>
      <c r="F490" s="52"/>
    </row>
    <row r="491" spans="1:6" x14ac:dyDescent="0.35">
      <c r="A491" s="47" t="s">
        <v>72</v>
      </c>
      <c r="B491" s="26">
        <v>3004</v>
      </c>
      <c r="C491" s="30">
        <v>0</v>
      </c>
      <c r="D491" s="30">
        <v>3668</v>
      </c>
      <c r="E491" s="21">
        <v>491</v>
      </c>
      <c r="F491" s="52"/>
    </row>
    <row r="492" spans="1:6" x14ac:dyDescent="0.35">
      <c r="A492" s="24">
        <v>2023</v>
      </c>
      <c r="B492" s="26"/>
      <c r="C492" s="30"/>
      <c r="D492" s="30"/>
      <c r="E492" s="21"/>
      <c r="F492" s="52"/>
    </row>
    <row r="493" spans="1:6" x14ac:dyDescent="0.35">
      <c r="A493" s="47" t="s">
        <v>61</v>
      </c>
      <c r="B493" s="26">
        <v>4141</v>
      </c>
      <c r="C493" s="30">
        <v>0</v>
      </c>
      <c r="D493" s="30">
        <v>2684</v>
      </c>
      <c r="E493" s="21">
        <v>361</v>
      </c>
      <c r="F493" s="52"/>
    </row>
    <row r="494" spans="1:6" x14ac:dyDescent="0.35">
      <c r="A494" s="47" t="s">
        <v>62</v>
      </c>
      <c r="B494" s="26">
        <v>3423</v>
      </c>
      <c r="C494" s="30">
        <v>0</v>
      </c>
      <c r="D494" s="30">
        <v>1148</v>
      </c>
      <c r="E494" s="21">
        <v>220</v>
      </c>
      <c r="F494" s="52"/>
    </row>
    <row r="495" spans="1:6" x14ac:dyDescent="0.35">
      <c r="A495" s="47" t="s">
        <v>63</v>
      </c>
      <c r="B495" s="26">
        <v>4608</v>
      </c>
      <c r="C495" s="30">
        <v>48</v>
      </c>
      <c r="D495" s="30">
        <v>3409</v>
      </c>
      <c r="E495" s="21">
        <v>226</v>
      </c>
      <c r="F495" s="52"/>
    </row>
    <row r="496" spans="1:6" x14ac:dyDescent="0.35">
      <c r="A496" s="47" t="s">
        <v>64</v>
      </c>
      <c r="B496" s="26">
        <v>294</v>
      </c>
      <c r="C496" s="30">
        <v>59</v>
      </c>
      <c r="D496" s="30">
        <v>2913</v>
      </c>
      <c r="E496" s="21">
        <v>150</v>
      </c>
      <c r="F496" s="52"/>
    </row>
    <row r="497" spans="1:6" x14ac:dyDescent="0.35">
      <c r="A497" s="47" t="s">
        <v>65</v>
      </c>
      <c r="B497" s="26">
        <v>366</v>
      </c>
      <c r="C497" s="30">
        <v>6</v>
      </c>
      <c r="D497" s="30">
        <v>1909</v>
      </c>
      <c r="E497" s="21">
        <v>492</v>
      </c>
      <c r="F497" s="52"/>
    </row>
    <row r="498" spans="1:6" x14ac:dyDescent="0.35">
      <c r="A498" s="47" t="s">
        <v>66</v>
      </c>
      <c r="B498" s="26">
        <v>0</v>
      </c>
      <c r="C498" s="30">
        <v>0</v>
      </c>
      <c r="D498" s="30">
        <v>1964</v>
      </c>
      <c r="E498" s="21">
        <v>371</v>
      </c>
      <c r="F498" s="52"/>
    </row>
    <row r="499" spans="1:6" x14ac:dyDescent="0.35">
      <c r="A499" s="47" t="s">
        <v>67</v>
      </c>
      <c r="B499" s="26">
        <v>0</v>
      </c>
      <c r="C499" s="30">
        <v>0</v>
      </c>
      <c r="D499" s="30">
        <v>2543</v>
      </c>
      <c r="E499" s="21">
        <v>414</v>
      </c>
      <c r="F499" s="52"/>
    </row>
    <row r="500" spans="1:6" x14ac:dyDescent="0.35">
      <c r="A500" s="47" t="s">
        <v>68</v>
      </c>
      <c r="B500" s="26">
        <v>85</v>
      </c>
      <c r="C500" s="30">
        <v>4335</v>
      </c>
      <c r="D500" s="30">
        <v>4335</v>
      </c>
      <c r="E500" s="21">
        <v>339</v>
      </c>
      <c r="F500" s="52"/>
    </row>
    <row r="501" spans="1:6" x14ac:dyDescent="0.35">
      <c r="A501" s="47" t="s">
        <v>69</v>
      </c>
      <c r="B501" s="26">
        <v>687</v>
      </c>
      <c r="C501" s="30">
        <v>0</v>
      </c>
      <c r="D501" s="30">
        <v>3389</v>
      </c>
      <c r="E501" s="21">
        <v>236</v>
      </c>
      <c r="F501" s="52"/>
    </row>
    <row r="502" spans="1:6" x14ac:dyDescent="0.35">
      <c r="A502" s="47" t="s">
        <v>70</v>
      </c>
      <c r="B502" s="26">
        <v>1276</v>
      </c>
      <c r="C502" s="30">
        <v>0</v>
      </c>
      <c r="D502" s="30">
        <v>1334</v>
      </c>
      <c r="E502" s="21">
        <v>338</v>
      </c>
      <c r="F502" s="52"/>
    </row>
    <row r="503" spans="1:6" x14ac:dyDescent="0.35">
      <c r="A503" s="47" t="s">
        <v>100</v>
      </c>
      <c r="B503" s="26">
        <v>90</v>
      </c>
      <c r="C503" s="30">
        <v>0</v>
      </c>
      <c r="D503" s="30">
        <v>591</v>
      </c>
      <c r="E503" s="21">
        <v>363</v>
      </c>
      <c r="F503" s="52"/>
    </row>
    <row r="504" spans="1:6" x14ac:dyDescent="0.35">
      <c r="A504" s="47" t="s">
        <v>72</v>
      </c>
      <c r="B504" s="26">
        <v>449</v>
      </c>
      <c r="C504" s="30">
        <v>0</v>
      </c>
      <c r="D504" s="30">
        <v>31</v>
      </c>
      <c r="E504" s="21">
        <v>376</v>
      </c>
      <c r="F504" s="52"/>
    </row>
    <row r="505" spans="1:6" x14ac:dyDescent="0.35">
      <c r="A505" s="47">
        <v>2024</v>
      </c>
      <c r="B505" s="26"/>
      <c r="C505" s="30"/>
      <c r="D505" s="30"/>
      <c r="E505" s="21"/>
      <c r="F505" s="52"/>
    </row>
    <row r="506" spans="1:6" x14ac:dyDescent="0.35">
      <c r="A506" s="47" t="s">
        <v>61</v>
      </c>
      <c r="B506" s="26">
        <v>597</v>
      </c>
      <c r="C506" s="30">
        <v>0</v>
      </c>
      <c r="D506" s="30">
        <v>1158</v>
      </c>
      <c r="E506" s="21">
        <v>278</v>
      </c>
      <c r="F506" s="52"/>
    </row>
    <row r="507" spans="1:6" x14ac:dyDescent="0.35">
      <c r="A507" s="47" t="s">
        <v>62</v>
      </c>
      <c r="B507" s="26">
        <v>1363</v>
      </c>
      <c r="C507" s="30">
        <v>0</v>
      </c>
      <c r="D507" s="30">
        <v>2932</v>
      </c>
      <c r="E507" s="21">
        <v>337</v>
      </c>
      <c r="F507" s="52"/>
    </row>
    <row r="508" spans="1:6" x14ac:dyDescent="0.35">
      <c r="A508" s="14"/>
      <c r="B508" s="37"/>
      <c r="C508" s="38"/>
      <c r="D508" s="38"/>
      <c r="E508" s="38"/>
      <c r="F508" s="52"/>
    </row>
    <row r="509" spans="1:6" x14ac:dyDescent="0.35">
      <c r="A509" s="4"/>
      <c r="B509" s="5"/>
      <c r="C509" s="5"/>
      <c r="D509" s="5"/>
      <c r="E509" s="39"/>
    </row>
    <row r="510" spans="1:6" x14ac:dyDescent="0.35">
      <c r="A510" s="7" t="s">
        <v>89</v>
      </c>
      <c r="B510" s="8"/>
      <c r="C510" s="8"/>
      <c r="D510" s="8"/>
      <c r="E510" s="55"/>
    </row>
    <row r="511" spans="1:6" hidden="1" x14ac:dyDescent="0.35">
      <c r="A511" s="56" t="s">
        <v>90</v>
      </c>
      <c r="B511" s="8"/>
      <c r="C511" s="8"/>
      <c r="D511" s="8"/>
      <c r="E511" s="10"/>
    </row>
    <row r="512" spans="1:6" hidden="1" x14ac:dyDescent="0.35">
      <c r="A512" s="56" t="s">
        <v>91</v>
      </c>
      <c r="B512" s="8"/>
      <c r="C512" s="8"/>
      <c r="D512" s="8"/>
      <c r="E512" s="10"/>
    </row>
    <row r="513" spans="1:5" x14ac:dyDescent="0.35">
      <c r="A513" s="7"/>
      <c r="B513" s="8"/>
      <c r="C513" s="8"/>
      <c r="D513" s="8"/>
      <c r="E513" s="10"/>
    </row>
    <row r="514" spans="1:5" x14ac:dyDescent="0.35">
      <c r="A514" s="50" t="s">
        <v>29</v>
      </c>
      <c r="B514" s="8"/>
      <c r="C514" s="8"/>
      <c r="D514" s="8"/>
      <c r="E514" s="10"/>
    </row>
    <row r="515" spans="1:5" x14ac:dyDescent="0.35">
      <c r="A515" s="40"/>
      <c r="B515" s="41"/>
      <c r="C515" s="41"/>
      <c r="D515" s="12"/>
      <c r="E515" s="42"/>
    </row>
    <row r="516" spans="1:5" x14ac:dyDescent="0.35">
      <c r="B516" s="2"/>
      <c r="C516" s="2"/>
      <c r="E516" s="1"/>
    </row>
    <row r="517" spans="1:5" x14ac:dyDescent="0.35">
      <c r="E517" s="1"/>
    </row>
  </sheetData>
  <mergeCells count="2">
    <mergeCell ref="A4:E4"/>
    <mergeCell ref="A5:E5"/>
  </mergeCells>
  <pageMargins left="1.299212598425197" right="0.70866141732283472" top="0.74803149606299213" bottom="0.74803149606299213" header="0.31496062992125984" footer="0.31496062992125984"/>
  <pageSetup paperSize="9" scale="62" orientation="portrait" r:id="rId1"/>
  <ignoredErrors>
    <ignoredError sqref="A298:E299 A508:E508 A314:A315 A274:A288 A316:E414 A438:E450 A289:A296 C289:E296 A312:E313 A307:A310 A305:E306 A300:A303 A451:E454" numberStoredAsText="1"/>
    <ignoredError sqref="B314:E315 C274:E288" numberStoredAsText="1" formulaRange="1"/>
    <ignoredError sqref="B10:E180 C186:E273 B185:E18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V,5 Engl</vt:lpstr>
      <vt:lpstr>'V,5 Engl'!Zone_d_impression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NZUKOBARI Charles</cp:lastModifiedBy>
  <cp:lastPrinted>2018-03-06T12:31:03Z</cp:lastPrinted>
  <dcterms:created xsi:type="dcterms:W3CDTF">2000-08-22T08:22:46Z</dcterms:created>
  <dcterms:modified xsi:type="dcterms:W3CDTF">2024-04-11T06:39:56Z</dcterms:modified>
</cp:coreProperties>
</file>