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p1\JLBNet\BDP\Secteur réel\Statistiques du secteur réel,Septembre 2022\Base de données\September, 2022 English Version\"/>
    </mc:Choice>
  </mc:AlternateContent>
  <bookViews>
    <workbookView xWindow="0" yWindow="0" windowWidth="24000" windowHeight="7200" firstSheet="2" activeTab="2"/>
  </bookViews>
  <sheets>
    <sheet name="I.8 Fr" sheetId="1" state="hidden" r:id="rId1"/>
    <sheet name="Sheet1" sheetId="2" state="hidden" r:id="rId2"/>
    <sheet name="Table_of_Contents" sheetId="8" r:id="rId3"/>
    <sheet name="Monthly_Data" sheetId="3" r:id="rId4"/>
    <sheet name="Quarterly_Data" sheetId="4" r:id="rId5"/>
    <sheet name="Annually_Data" sheetId="5" r:id="rId6"/>
  </sheets>
  <definedNames>
    <definedName name="_xlnm.Print_Area" localSheetId="0">'I.8 Fr'!$B$1:$F$413</definedName>
    <definedName name="Zone_impres_MI">'I.8 Fr'!$B$1:$G$413</definedName>
  </definedNames>
  <calcPr calcId="162913"/>
</workbook>
</file>

<file path=xl/calcChain.xml><?xml version="1.0" encoding="utf-8"?>
<calcChain xmlns="http://schemas.openxmlformats.org/spreadsheetml/2006/main">
  <c r="D88" i="4" l="1"/>
  <c r="E88" i="4"/>
  <c r="F88" i="4"/>
  <c r="D87" i="4"/>
  <c r="E87" i="4"/>
  <c r="F87" i="4"/>
  <c r="D86" i="4"/>
  <c r="E86" i="4"/>
  <c r="F86" i="4"/>
  <c r="C88" i="4"/>
  <c r="C87" i="4"/>
  <c r="C86" i="4"/>
  <c r="E239" i="3" l="1"/>
  <c r="E85" i="4" s="1"/>
  <c r="D239" i="3"/>
  <c r="D85" i="4" s="1"/>
  <c r="C239" i="3"/>
  <c r="C85" i="4" s="1"/>
  <c r="E235" i="3"/>
  <c r="F235" i="3" s="1"/>
  <c r="D235" i="3"/>
  <c r="C235" i="3"/>
  <c r="E234" i="3"/>
  <c r="D234" i="3"/>
  <c r="C234" i="3"/>
  <c r="E232" i="3"/>
  <c r="D232" i="3"/>
  <c r="C232" i="3"/>
  <c r="E17" i="5"/>
  <c r="E15" i="5"/>
  <c r="E14" i="5"/>
  <c r="D16" i="5"/>
  <c r="D15" i="5"/>
  <c r="D14" i="5"/>
  <c r="D17" i="5"/>
  <c r="F9" i="3"/>
  <c r="F10" i="3"/>
  <c r="F11" i="3"/>
  <c r="F9" i="4" s="1"/>
  <c r="F12" i="3"/>
  <c r="F13" i="3"/>
  <c r="F14" i="3"/>
  <c r="F15" i="3"/>
  <c r="F16" i="3"/>
  <c r="F17" i="3"/>
  <c r="F18" i="3"/>
  <c r="F19" i="3"/>
  <c r="F20" i="3"/>
  <c r="F220" i="3"/>
  <c r="F221" i="3"/>
  <c r="F222" i="3"/>
  <c r="F223" i="3"/>
  <c r="F224" i="3"/>
  <c r="C18" i="5"/>
  <c r="C17" i="5"/>
  <c r="C15" i="5"/>
  <c r="C14" i="5"/>
  <c r="F13" i="5"/>
  <c r="F12" i="5"/>
  <c r="F11" i="5"/>
  <c r="F10" i="5"/>
  <c r="D9" i="4"/>
  <c r="E9" i="4"/>
  <c r="D10" i="4"/>
  <c r="E10" i="4"/>
  <c r="D11" i="4"/>
  <c r="E11" i="4"/>
  <c r="D12" i="4"/>
  <c r="E12" i="4"/>
  <c r="D13" i="4"/>
  <c r="E13" i="4"/>
  <c r="F13" i="4"/>
  <c r="D14" i="4"/>
  <c r="E14" i="4"/>
  <c r="F14" i="4"/>
  <c r="D15" i="4"/>
  <c r="E15" i="4"/>
  <c r="F15" i="4"/>
  <c r="D16" i="4"/>
  <c r="E16" i="4"/>
  <c r="F16" i="4"/>
  <c r="D17" i="4"/>
  <c r="E17" i="4"/>
  <c r="F17" i="4"/>
  <c r="D18" i="4"/>
  <c r="E18" i="4"/>
  <c r="D19" i="4"/>
  <c r="D20" i="4"/>
  <c r="E20" i="4"/>
  <c r="D21" i="4"/>
  <c r="E21" i="4"/>
  <c r="D22" i="4"/>
  <c r="E22" i="4"/>
  <c r="D23" i="4"/>
  <c r="E23" i="4"/>
  <c r="D24" i="4"/>
  <c r="E24" i="4"/>
  <c r="D25" i="4"/>
  <c r="E25" i="4"/>
  <c r="D26" i="4"/>
  <c r="E26" i="4"/>
  <c r="E27" i="4"/>
  <c r="D28" i="4"/>
  <c r="D29" i="4"/>
  <c r="E29" i="4"/>
  <c r="D30" i="4"/>
  <c r="E30" i="4"/>
  <c r="D31" i="4"/>
  <c r="E31" i="4"/>
  <c r="D32" i="4"/>
  <c r="E32" i="4"/>
  <c r="D33" i="4"/>
  <c r="E33" i="4"/>
  <c r="D34" i="4"/>
  <c r="E34" i="4"/>
  <c r="D35" i="4"/>
  <c r="E35" i="4"/>
  <c r="D36" i="4"/>
  <c r="E36" i="4"/>
  <c r="D37" i="4"/>
  <c r="E37" i="4"/>
  <c r="D38" i="4"/>
  <c r="E38" i="4"/>
  <c r="D39" i="4"/>
  <c r="E39" i="4"/>
  <c r="D40" i="4"/>
  <c r="E40" i="4"/>
  <c r="D41" i="4"/>
  <c r="E41" i="4"/>
  <c r="D42" i="4"/>
  <c r="E42" i="4"/>
  <c r="D43" i="4"/>
  <c r="E43" i="4"/>
  <c r="D44" i="4"/>
  <c r="E44" i="4"/>
  <c r="D45" i="4"/>
  <c r="E45" i="4"/>
  <c r="D46" i="4"/>
  <c r="E46" i="4"/>
  <c r="D47" i="4"/>
  <c r="E47" i="4"/>
  <c r="D48" i="4"/>
  <c r="E48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8" i="4"/>
  <c r="C17" i="4"/>
  <c r="C16" i="4"/>
  <c r="C15" i="4"/>
  <c r="C14" i="4"/>
  <c r="C13" i="4"/>
  <c r="C12" i="4"/>
  <c r="C11" i="4"/>
  <c r="C10" i="4"/>
  <c r="C9" i="4"/>
  <c r="E219" i="3"/>
  <c r="D219" i="3"/>
  <c r="C219" i="3"/>
  <c r="E218" i="3"/>
  <c r="E78" i="4" s="1"/>
  <c r="D218" i="3"/>
  <c r="C218" i="3"/>
  <c r="E217" i="3"/>
  <c r="D217" i="3"/>
  <c r="C217" i="3"/>
  <c r="F217" i="3" s="1"/>
  <c r="E216" i="3"/>
  <c r="D216" i="3"/>
  <c r="C216" i="3"/>
  <c r="E215" i="3"/>
  <c r="D215" i="3"/>
  <c r="C215" i="3"/>
  <c r="E214" i="3"/>
  <c r="D214" i="3"/>
  <c r="F214" i="3" s="1"/>
  <c r="C214" i="3"/>
  <c r="E213" i="3"/>
  <c r="D213" i="3"/>
  <c r="C213" i="3"/>
  <c r="E212" i="3"/>
  <c r="D212" i="3"/>
  <c r="C212" i="3"/>
  <c r="E211" i="3"/>
  <c r="D211" i="3"/>
  <c r="C211" i="3"/>
  <c r="E210" i="3"/>
  <c r="D210" i="3"/>
  <c r="C210" i="3"/>
  <c r="E209" i="3"/>
  <c r="D209" i="3"/>
  <c r="C209" i="3"/>
  <c r="F209" i="3" s="1"/>
  <c r="E208" i="3"/>
  <c r="D208" i="3"/>
  <c r="F208" i="3" s="1"/>
  <c r="C208" i="3"/>
  <c r="E207" i="3"/>
  <c r="D207" i="3"/>
  <c r="C207" i="3"/>
  <c r="E206" i="3"/>
  <c r="E74" i="4" s="1"/>
  <c r="D206" i="3"/>
  <c r="F206" i="3" s="1"/>
  <c r="C206" i="3"/>
  <c r="E205" i="3"/>
  <c r="D205" i="3"/>
  <c r="C205" i="3"/>
  <c r="E204" i="3"/>
  <c r="D204" i="3"/>
  <c r="C204" i="3"/>
  <c r="E203" i="3"/>
  <c r="D203" i="3"/>
  <c r="C203" i="3"/>
  <c r="E202" i="3"/>
  <c r="D202" i="3"/>
  <c r="C202" i="3"/>
  <c r="E201" i="3"/>
  <c r="D201" i="3"/>
  <c r="C201" i="3"/>
  <c r="E200" i="3"/>
  <c r="D200" i="3"/>
  <c r="C200" i="3"/>
  <c r="E199" i="3"/>
  <c r="D199" i="3"/>
  <c r="C199" i="3"/>
  <c r="E198" i="3"/>
  <c r="D198" i="3"/>
  <c r="D72" i="4" s="1"/>
  <c r="C198" i="3"/>
  <c r="E197" i="3"/>
  <c r="D197" i="3"/>
  <c r="C197" i="3"/>
  <c r="F197" i="3" s="1"/>
  <c r="E196" i="3"/>
  <c r="D196" i="3"/>
  <c r="C196" i="3"/>
  <c r="E195" i="3"/>
  <c r="D195" i="3"/>
  <c r="C195" i="3"/>
  <c r="F195" i="3" s="1"/>
  <c r="E194" i="3"/>
  <c r="D194" i="3"/>
  <c r="C194" i="3"/>
  <c r="E193" i="3"/>
  <c r="D193" i="3"/>
  <c r="C193" i="3"/>
  <c r="E192" i="3"/>
  <c r="D192" i="3"/>
  <c r="C192" i="3"/>
  <c r="E191" i="3"/>
  <c r="D191" i="3"/>
  <c r="C191" i="3"/>
  <c r="E190" i="3"/>
  <c r="D190" i="3"/>
  <c r="C190" i="3"/>
  <c r="E189" i="3"/>
  <c r="D189" i="3"/>
  <c r="C189" i="3"/>
  <c r="E188" i="3"/>
  <c r="D188" i="3"/>
  <c r="C188" i="3"/>
  <c r="E187" i="3"/>
  <c r="D187" i="3"/>
  <c r="C187" i="3"/>
  <c r="F187" i="3" s="1"/>
  <c r="E186" i="3"/>
  <c r="D186" i="3"/>
  <c r="D68" i="4" s="1"/>
  <c r="C186" i="3"/>
  <c r="E185" i="3"/>
  <c r="D185" i="3"/>
  <c r="C185" i="3"/>
  <c r="F185" i="3" s="1"/>
  <c r="E184" i="3"/>
  <c r="D184" i="3"/>
  <c r="C184" i="3"/>
  <c r="E183" i="3"/>
  <c r="D183" i="3"/>
  <c r="C183" i="3"/>
  <c r="E182" i="3"/>
  <c r="D182" i="3"/>
  <c r="C182" i="3"/>
  <c r="E181" i="3"/>
  <c r="D181" i="3"/>
  <c r="C181" i="3"/>
  <c r="E180" i="3"/>
  <c r="D180" i="3"/>
  <c r="C180" i="3"/>
  <c r="E179" i="3"/>
  <c r="D179" i="3"/>
  <c r="C179" i="3"/>
  <c r="E178" i="3"/>
  <c r="E65" i="4" s="1"/>
  <c r="D178" i="3"/>
  <c r="C178" i="3"/>
  <c r="E177" i="3"/>
  <c r="D177" i="3"/>
  <c r="C177" i="3"/>
  <c r="E176" i="3"/>
  <c r="D176" i="3"/>
  <c r="C176" i="3"/>
  <c r="E175" i="3"/>
  <c r="D175" i="3"/>
  <c r="C175" i="3"/>
  <c r="F175" i="3" s="1"/>
  <c r="E174" i="3"/>
  <c r="E64" i="4" s="1"/>
  <c r="D174" i="3"/>
  <c r="C174" i="3"/>
  <c r="E173" i="3"/>
  <c r="D173" i="3"/>
  <c r="C173" i="3"/>
  <c r="E172" i="3"/>
  <c r="D172" i="3"/>
  <c r="C172" i="3"/>
  <c r="E171" i="3"/>
  <c r="D171" i="3"/>
  <c r="C171" i="3"/>
  <c r="E170" i="3"/>
  <c r="D170" i="3"/>
  <c r="C170" i="3"/>
  <c r="E169" i="3"/>
  <c r="D169" i="3"/>
  <c r="C169" i="3"/>
  <c r="E168" i="3"/>
  <c r="D168" i="3"/>
  <c r="C168" i="3"/>
  <c r="E167" i="3"/>
  <c r="D167" i="3"/>
  <c r="C167" i="3"/>
  <c r="E166" i="3"/>
  <c r="D166" i="3"/>
  <c r="C166" i="3"/>
  <c r="E165" i="3"/>
  <c r="D165" i="3"/>
  <c r="C165" i="3"/>
  <c r="E164" i="3"/>
  <c r="D164" i="3"/>
  <c r="C164" i="3"/>
  <c r="E163" i="3"/>
  <c r="D163" i="3"/>
  <c r="C163" i="3"/>
  <c r="E162" i="3"/>
  <c r="D162" i="3"/>
  <c r="C162" i="3"/>
  <c r="E161" i="3"/>
  <c r="D161" i="3"/>
  <c r="C161" i="3"/>
  <c r="E160" i="3"/>
  <c r="D160" i="3"/>
  <c r="C160" i="3"/>
  <c r="F160" i="3" s="1"/>
  <c r="E159" i="3"/>
  <c r="D159" i="3"/>
  <c r="D59" i="4"/>
  <c r="C159" i="3"/>
  <c r="F159" i="3" s="1"/>
  <c r="E158" i="3"/>
  <c r="D158" i="3"/>
  <c r="C158" i="3"/>
  <c r="E157" i="3"/>
  <c r="D157" i="3"/>
  <c r="C157" i="3"/>
  <c r="E156" i="3"/>
  <c r="D156" i="3"/>
  <c r="D58" i="4" s="1"/>
  <c r="C156" i="3"/>
  <c r="E155" i="3"/>
  <c r="D155" i="3"/>
  <c r="D57" i="4" s="1"/>
  <c r="C155" i="3"/>
  <c r="E154" i="3"/>
  <c r="D154" i="3"/>
  <c r="C154" i="3"/>
  <c r="E153" i="3"/>
  <c r="D153" i="3"/>
  <c r="C153" i="3"/>
  <c r="E152" i="3"/>
  <c r="D152" i="3"/>
  <c r="C152" i="3"/>
  <c r="E151" i="3"/>
  <c r="E56" i="4" s="1"/>
  <c r="D151" i="3"/>
  <c r="C151" i="3"/>
  <c r="E150" i="3"/>
  <c r="D150" i="3"/>
  <c r="F150" i="3" s="1"/>
  <c r="C150" i="3"/>
  <c r="E149" i="3"/>
  <c r="D149" i="3"/>
  <c r="C149" i="3"/>
  <c r="E148" i="3"/>
  <c r="D148" i="3"/>
  <c r="C148" i="3"/>
  <c r="E147" i="3"/>
  <c r="E55" i="4" s="1"/>
  <c r="D147" i="3"/>
  <c r="C147" i="3"/>
  <c r="C55" i="4" s="1"/>
  <c r="E146" i="3"/>
  <c r="D146" i="3"/>
  <c r="C146" i="3"/>
  <c r="E145" i="3"/>
  <c r="E54" i="4" s="1"/>
  <c r="D145" i="3"/>
  <c r="C145" i="3"/>
  <c r="E144" i="3"/>
  <c r="D144" i="3"/>
  <c r="C144" i="3"/>
  <c r="E143" i="3"/>
  <c r="D143" i="3"/>
  <c r="C143" i="3"/>
  <c r="C53" i="4" s="1"/>
  <c r="E142" i="3"/>
  <c r="D142" i="3"/>
  <c r="C142" i="3"/>
  <c r="E141" i="3"/>
  <c r="D141" i="3"/>
  <c r="C141" i="3"/>
  <c r="E140" i="3"/>
  <c r="D140" i="3"/>
  <c r="C140" i="3"/>
  <c r="E139" i="3"/>
  <c r="D139" i="3"/>
  <c r="C139" i="3"/>
  <c r="F139" i="3" s="1"/>
  <c r="E138" i="3"/>
  <c r="D138" i="3"/>
  <c r="C138" i="3"/>
  <c r="E137" i="3"/>
  <c r="F137" i="3" s="1"/>
  <c r="D137" i="3"/>
  <c r="C137" i="3"/>
  <c r="E136" i="3"/>
  <c r="D136" i="3"/>
  <c r="C136" i="3"/>
  <c r="E135" i="3"/>
  <c r="D135" i="3"/>
  <c r="D51" i="4" s="1"/>
  <c r="C135" i="3"/>
  <c r="E134" i="3"/>
  <c r="C134" i="3"/>
  <c r="E133" i="3"/>
  <c r="D133" i="3"/>
  <c r="C133" i="3"/>
  <c r="E132" i="3"/>
  <c r="D132" i="3"/>
  <c r="C132" i="3"/>
  <c r="F132" i="3" s="1"/>
  <c r="E131" i="3"/>
  <c r="D131" i="3"/>
  <c r="C131" i="3"/>
  <c r="E130" i="3"/>
  <c r="D130" i="3"/>
  <c r="C130" i="3"/>
  <c r="E129" i="3"/>
  <c r="D129" i="3"/>
  <c r="C129" i="3"/>
  <c r="C128" i="3"/>
  <c r="F128" i="3" s="1"/>
  <c r="C127" i="3"/>
  <c r="C126" i="3"/>
  <c r="F126" i="3" s="1"/>
  <c r="C125" i="3"/>
  <c r="C124" i="3"/>
  <c r="C47" i="4" s="1"/>
  <c r="F123" i="3"/>
  <c r="F122" i="3"/>
  <c r="F46" i="4" s="1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38" i="4" s="1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E66" i="3"/>
  <c r="F66" i="3" s="1"/>
  <c r="D65" i="3"/>
  <c r="F65" i="3" s="1"/>
  <c r="F64" i="3"/>
  <c r="F63" i="3"/>
  <c r="F62" i="3"/>
  <c r="F61" i="3"/>
  <c r="F60" i="3"/>
  <c r="F59" i="3"/>
  <c r="F58" i="3"/>
  <c r="F57" i="3"/>
  <c r="F56" i="3"/>
  <c r="F55" i="3"/>
  <c r="F54" i="3"/>
  <c r="F24" i="4" s="1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E40" i="3"/>
  <c r="E16" i="5" s="1"/>
  <c r="C40" i="3"/>
  <c r="C19" i="4" s="1"/>
  <c r="F39" i="3"/>
  <c r="F38" i="3"/>
  <c r="F37" i="3"/>
  <c r="F36" i="3"/>
  <c r="F35" i="3"/>
  <c r="F34" i="3"/>
  <c r="F33" i="3"/>
  <c r="G80" i="2"/>
  <c r="H80" i="2"/>
  <c r="G79" i="2"/>
  <c r="G18" i="2"/>
  <c r="E409" i="2"/>
  <c r="D409" i="2"/>
  <c r="C409" i="2"/>
  <c r="E408" i="2"/>
  <c r="D408" i="2"/>
  <c r="C408" i="2"/>
  <c r="E407" i="2"/>
  <c r="D407" i="2"/>
  <c r="C407" i="2"/>
  <c r="E406" i="2"/>
  <c r="D406" i="2"/>
  <c r="C406" i="2"/>
  <c r="E405" i="2"/>
  <c r="D405" i="2"/>
  <c r="C405" i="2"/>
  <c r="E404" i="2"/>
  <c r="D404" i="2"/>
  <c r="C404" i="2"/>
  <c r="F404" i="2" s="1"/>
  <c r="E403" i="2"/>
  <c r="D403" i="2"/>
  <c r="C403" i="2"/>
  <c r="E400" i="2"/>
  <c r="D400" i="2"/>
  <c r="C400" i="2"/>
  <c r="F400" i="2" s="1"/>
  <c r="E399" i="2"/>
  <c r="D399" i="2"/>
  <c r="C399" i="2"/>
  <c r="E398" i="2"/>
  <c r="D398" i="2"/>
  <c r="C398" i="2"/>
  <c r="E397" i="2"/>
  <c r="D397" i="2"/>
  <c r="C397" i="2"/>
  <c r="E396" i="2"/>
  <c r="D396" i="2"/>
  <c r="C396" i="2"/>
  <c r="E395" i="2"/>
  <c r="D395" i="2"/>
  <c r="C395" i="2"/>
  <c r="E394" i="2"/>
  <c r="D394" i="2"/>
  <c r="C394" i="2"/>
  <c r="E393" i="2"/>
  <c r="D393" i="2"/>
  <c r="C393" i="2"/>
  <c r="E392" i="2"/>
  <c r="D392" i="2"/>
  <c r="C392" i="2"/>
  <c r="E391" i="2"/>
  <c r="E309" i="2" s="1"/>
  <c r="D391" i="2"/>
  <c r="F391" i="2" s="1"/>
  <c r="C391" i="2"/>
  <c r="E390" i="2"/>
  <c r="D390" i="2"/>
  <c r="F390" i="2"/>
  <c r="C390" i="2"/>
  <c r="E389" i="2"/>
  <c r="D389" i="2"/>
  <c r="C389" i="2"/>
  <c r="C309" i="2" s="1"/>
  <c r="E386" i="2"/>
  <c r="D386" i="2"/>
  <c r="C386" i="2"/>
  <c r="E385" i="2"/>
  <c r="E306" i="2" s="1"/>
  <c r="D385" i="2"/>
  <c r="D306" i="2" s="1"/>
  <c r="C385" i="2"/>
  <c r="F385" i="2" s="1"/>
  <c r="E384" i="2"/>
  <c r="D384" i="2"/>
  <c r="C384" i="2"/>
  <c r="E383" i="2"/>
  <c r="D383" i="2"/>
  <c r="C383" i="2"/>
  <c r="E382" i="2"/>
  <c r="E305" i="2" s="1"/>
  <c r="D382" i="2"/>
  <c r="C382" i="2"/>
  <c r="E381" i="2"/>
  <c r="D381" i="2"/>
  <c r="C381" i="2"/>
  <c r="E380" i="2"/>
  <c r="D380" i="2"/>
  <c r="C380" i="2"/>
  <c r="E379" i="2"/>
  <c r="D379" i="2"/>
  <c r="C379" i="2"/>
  <c r="E378" i="2"/>
  <c r="D378" i="2"/>
  <c r="C378" i="2"/>
  <c r="E377" i="2"/>
  <c r="D377" i="2"/>
  <c r="C377" i="2"/>
  <c r="F377" i="2" s="1"/>
  <c r="E376" i="2"/>
  <c r="D376" i="2"/>
  <c r="C376" i="2"/>
  <c r="E375" i="2"/>
  <c r="D375" i="2"/>
  <c r="D303" i="2"/>
  <c r="C375" i="2"/>
  <c r="F375" i="2" s="1"/>
  <c r="E372" i="2"/>
  <c r="E300" i="2" s="1"/>
  <c r="D372" i="2"/>
  <c r="C372" i="2"/>
  <c r="E371" i="2"/>
  <c r="D371" i="2"/>
  <c r="F371" i="2" s="1"/>
  <c r="C371" i="2"/>
  <c r="E370" i="2"/>
  <c r="D370" i="2"/>
  <c r="C370" i="2"/>
  <c r="E369" i="2"/>
  <c r="D369" i="2"/>
  <c r="D299" i="2" s="1"/>
  <c r="C369" i="2"/>
  <c r="F369" i="2" s="1"/>
  <c r="E368" i="2"/>
  <c r="E299" i="2" s="1"/>
  <c r="D368" i="2"/>
  <c r="C368" i="2"/>
  <c r="E367" i="2"/>
  <c r="D367" i="2"/>
  <c r="C367" i="2"/>
  <c r="E366" i="2"/>
  <c r="D366" i="2"/>
  <c r="C366" i="2"/>
  <c r="E365" i="2"/>
  <c r="D365" i="2"/>
  <c r="C365" i="2"/>
  <c r="C298" i="2" s="1"/>
  <c r="E364" i="2"/>
  <c r="F364" i="2" s="1"/>
  <c r="D364" i="2"/>
  <c r="C364" i="2"/>
  <c r="E363" i="2"/>
  <c r="D363" i="2"/>
  <c r="C363" i="2"/>
  <c r="E362" i="2"/>
  <c r="D362" i="2"/>
  <c r="C362" i="2"/>
  <c r="E361" i="2"/>
  <c r="D361" i="2"/>
  <c r="C361" i="2"/>
  <c r="E358" i="2"/>
  <c r="E294" i="2" s="1"/>
  <c r="D358" i="2"/>
  <c r="C358" i="2"/>
  <c r="E357" i="2"/>
  <c r="D357" i="2"/>
  <c r="F357" i="2" s="1"/>
  <c r="C357" i="2"/>
  <c r="E356" i="2"/>
  <c r="D356" i="2"/>
  <c r="C356" i="2"/>
  <c r="E355" i="2"/>
  <c r="D355" i="2"/>
  <c r="C355" i="2"/>
  <c r="E354" i="2"/>
  <c r="D354" i="2"/>
  <c r="C354" i="2"/>
  <c r="E353" i="2"/>
  <c r="D353" i="2"/>
  <c r="C353" i="2"/>
  <c r="E352" i="2"/>
  <c r="D352" i="2"/>
  <c r="C352" i="2"/>
  <c r="F352" i="2" s="1"/>
  <c r="E351" i="2"/>
  <c r="D351" i="2"/>
  <c r="C351" i="2"/>
  <c r="E350" i="2"/>
  <c r="F350" i="2" s="1"/>
  <c r="D350" i="2"/>
  <c r="C350" i="2"/>
  <c r="E349" i="2"/>
  <c r="D349" i="2"/>
  <c r="C349" i="2"/>
  <c r="E348" i="2"/>
  <c r="D348" i="2"/>
  <c r="C348" i="2"/>
  <c r="F348" i="2" s="1"/>
  <c r="E347" i="2"/>
  <c r="D347" i="2"/>
  <c r="C347" i="2"/>
  <c r="E344" i="2"/>
  <c r="F344" i="2" s="1"/>
  <c r="D344" i="2"/>
  <c r="C344" i="2"/>
  <c r="E343" i="2"/>
  <c r="D343" i="2"/>
  <c r="F343" i="2" s="1"/>
  <c r="C343" i="2"/>
  <c r="E342" i="2"/>
  <c r="E260" i="2" s="1"/>
  <c r="D342" i="2"/>
  <c r="C342" i="2"/>
  <c r="E341" i="2"/>
  <c r="E259" i="2" s="1"/>
  <c r="D341" i="2"/>
  <c r="C341" i="2"/>
  <c r="E340" i="2"/>
  <c r="D340" i="2"/>
  <c r="C340" i="2"/>
  <c r="E339" i="2"/>
  <c r="D339" i="2"/>
  <c r="C339" i="2"/>
  <c r="E338" i="2"/>
  <c r="D338" i="2"/>
  <c r="C338" i="2"/>
  <c r="E337" i="2"/>
  <c r="D337" i="2"/>
  <c r="C337" i="2"/>
  <c r="F337" i="2" s="1"/>
  <c r="E336" i="2"/>
  <c r="D336" i="2"/>
  <c r="C336" i="2"/>
  <c r="E335" i="2"/>
  <c r="D335" i="2"/>
  <c r="C335" i="2"/>
  <c r="E334" i="2"/>
  <c r="D334" i="2"/>
  <c r="C334" i="2"/>
  <c r="E333" i="2"/>
  <c r="E257" i="2" s="1"/>
  <c r="D333" i="2"/>
  <c r="F333" i="2" s="1"/>
  <c r="D257" i="2"/>
  <c r="C333" i="2"/>
  <c r="E330" i="2"/>
  <c r="D330" i="2"/>
  <c r="C330" i="2"/>
  <c r="E329" i="2"/>
  <c r="D329" i="2"/>
  <c r="C329" i="2"/>
  <c r="E328" i="2"/>
  <c r="D328" i="2"/>
  <c r="C328" i="2"/>
  <c r="E327" i="2"/>
  <c r="D327" i="2"/>
  <c r="D253" i="2" s="1"/>
  <c r="C327" i="2"/>
  <c r="E326" i="2"/>
  <c r="D326" i="2"/>
  <c r="C326" i="2"/>
  <c r="C253" i="2" s="1"/>
  <c r="E325" i="2"/>
  <c r="D325" i="2"/>
  <c r="C325" i="2"/>
  <c r="E324" i="2"/>
  <c r="D324" i="2"/>
  <c r="C324" i="2"/>
  <c r="E323" i="2"/>
  <c r="E252" i="2" s="1"/>
  <c r="D323" i="2"/>
  <c r="C323" i="2"/>
  <c r="E322" i="2"/>
  <c r="D322" i="2"/>
  <c r="C322" i="2"/>
  <c r="E321" i="2"/>
  <c r="D321" i="2"/>
  <c r="C321" i="2"/>
  <c r="E320" i="2"/>
  <c r="D320" i="2"/>
  <c r="C320" i="2"/>
  <c r="F320" i="2"/>
  <c r="E319" i="2"/>
  <c r="D319" i="2"/>
  <c r="C319" i="2"/>
  <c r="F319" i="2" s="1"/>
  <c r="B292" i="2"/>
  <c r="E288" i="2"/>
  <c r="D288" i="2"/>
  <c r="C288" i="2"/>
  <c r="E287" i="2"/>
  <c r="D287" i="2"/>
  <c r="C287" i="2"/>
  <c r="E286" i="2"/>
  <c r="D286" i="2"/>
  <c r="D235" i="2" s="1"/>
  <c r="C286" i="2"/>
  <c r="E285" i="2"/>
  <c r="D285" i="2"/>
  <c r="C285" i="2"/>
  <c r="E284" i="2"/>
  <c r="D284" i="2"/>
  <c r="C284" i="2"/>
  <c r="E283" i="2"/>
  <c r="D283" i="2"/>
  <c r="C283" i="2"/>
  <c r="E282" i="2"/>
  <c r="C282" i="2"/>
  <c r="E281" i="2"/>
  <c r="D281" i="2"/>
  <c r="D233" i="2" s="1"/>
  <c r="C281" i="2"/>
  <c r="E280" i="2"/>
  <c r="D280" i="2"/>
  <c r="C280" i="2"/>
  <c r="E279" i="2"/>
  <c r="D279" i="2"/>
  <c r="F279" i="2" s="1"/>
  <c r="C279" i="2"/>
  <c r="E278" i="2"/>
  <c r="D278" i="2"/>
  <c r="C278" i="2"/>
  <c r="E277" i="2"/>
  <c r="D277" i="2"/>
  <c r="C277" i="2"/>
  <c r="C274" i="2"/>
  <c r="C273" i="2"/>
  <c r="F273" i="2"/>
  <c r="C272" i="2"/>
  <c r="C271" i="2"/>
  <c r="F271" i="2" s="1"/>
  <c r="C270" i="2"/>
  <c r="F269" i="2"/>
  <c r="F268" i="2"/>
  <c r="F267" i="2"/>
  <c r="F266" i="2"/>
  <c r="F265" i="2"/>
  <c r="F264" i="2"/>
  <c r="F263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E215" i="2"/>
  <c r="D21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59" i="2"/>
  <c r="F158" i="2"/>
  <c r="E157" i="2"/>
  <c r="F157" i="2" s="1"/>
  <c r="D156" i="2"/>
  <c r="D111" i="2" s="1"/>
  <c r="F155" i="2"/>
  <c r="F154" i="2"/>
  <c r="F153" i="2"/>
  <c r="F152" i="2"/>
  <c r="F150" i="2"/>
  <c r="F149" i="2"/>
  <c r="F148" i="2"/>
  <c r="F147" i="2"/>
  <c r="F144" i="2"/>
  <c r="C143" i="2"/>
  <c r="F143" i="2" s="1"/>
  <c r="F142" i="2"/>
  <c r="F141" i="2"/>
  <c r="E138" i="2"/>
  <c r="D138" i="2"/>
  <c r="F135" i="2"/>
  <c r="C134" i="2"/>
  <c r="F134" i="2" s="1"/>
  <c r="F126" i="2"/>
  <c r="F125" i="2"/>
  <c r="F124" i="2"/>
  <c r="F123" i="2"/>
  <c r="F122" i="2"/>
  <c r="F121" i="2"/>
  <c r="F120" i="2"/>
  <c r="F119" i="2"/>
  <c r="F118" i="2"/>
  <c r="F117" i="2"/>
  <c r="F116" i="2"/>
  <c r="F115" i="2"/>
  <c r="E104" i="2"/>
  <c r="D104" i="2"/>
  <c r="F103" i="2"/>
  <c r="F102" i="2"/>
  <c r="F101" i="2"/>
  <c r="F100" i="2"/>
  <c r="F99" i="2"/>
  <c r="F98" i="2"/>
  <c r="E97" i="2"/>
  <c r="F97" i="2" s="1"/>
  <c r="C97" i="2"/>
  <c r="F96" i="2"/>
  <c r="F95" i="2"/>
  <c r="F94" i="2"/>
  <c r="F93" i="2"/>
  <c r="F92" i="2"/>
  <c r="F91" i="2"/>
  <c r="F90" i="2"/>
  <c r="F89" i="2"/>
  <c r="E88" i="2"/>
  <c r="D88" i="2"/>
  <c r="C88" i="2"/>
  <c r="F87" i="2"/>
  <c r="F86" i="2"/>
  <c r="F85" i="2"/>
  <c r="F84" i="2"/>
  <c r="F83" i="2"/>
  <c r="F82" i="2"/>
  <c r="F81" i="2"/>
  <c r="F80" i="2"/>
  <c r="F79" i="2"/>
  <c r="F78" i="2"/>
  <c r="E77" i="2"/>
  <c r="F77" i="2" s="1"/>
  <c r="E76" i="2"/>
  <c r="F76" i="2" s="1"/>
  <c r="F75" i="2"/>
  <c r="F74" i="2"/>
  <c r="F73" i="2"/>
  <c r="E72" i="2"/>
  <c r="F72" i="2" s="1"/>
  <c r="E71" i="2"/>
  <c r="C71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4" i="2"/>
  <c r="F43" i="2"/>
  <c r="F42" i="2"/>
  <c r="F41" i="2"/>
  <c r="F38" i="2"/>
  <c r="F37" i="2"/>
  <c r="F36" i="2"/>
  <c r="F35" i="2"/>
  <c r="F32" i="2"/>
  <c r="F31" i="2"/>
  <c r="F30" i="2"/>
  <c r="F29" i="2"/>
  <c r="F28" i="2"/>
  <c r="F18" i="2"/>
  <c r="F17" i="2"/>
  <c r="F16" i="2"/>
  <c r="F15" i="2"/>
  <c r="F14" i="2"/>
  <c r="F13" i="2"/>
  <c r="E409" i="1"/>
  <c r="D409" i="1"/>
  <c r="C409" i="1"/>
  <c r="F409" i="1"/>
  <c r="E408" i="1"/>
  <c r="D408" i="1"/>
  <c r="C408" i="1"/>
  <c r="C316" i="1" s="1"/>
  <c r="D407" i="1"/>
  <c r="F407" i="1" s="1"/>
  <c r="C407" i="1"/>
  <c r="E407" i="1"/>
  <c r="E406" i="1"/>
  <c r="D406" i="1"/>
  <c r="C406" i="1"/>
  <c r="D405" i="1"/>
  <c r="C405" i="1"/>
  <c r="E405" i="1"/>
  <c r="E404" i="1"/>
  <c r="D404" i="1"/>
  <c r="D315" i="1" s="1"/>
  <c r="C404" i="1"/>
  <c r="E403" i="1"/>
  <c r="E315" i="1" s="1"/>
  <c r="D403" i="1"/>
  <c r="C403" i="1"/>
  <c r="E400" i="1"/>
  <c r="D400" i="1"/>
  <c r="F400" i="1" s="1"/>
  <c r="C400" i="1"/>
  <c r="E399" i="1"/>
  <c r="D399" i="1"/>
  <c r="C399" i="1"/>
  <c r="C398" i="1"/>
  <c r="C312" i="1" s="1"/>
  <c r="E398" i="1"/>
  <c r="D398" i="1"/>
  <c r="E397" i="1"/>
  <c r="D397" i="1"/>
  <c r="C397" i="1"/>
  <c r="E396" i="1"/>
  <c r="D396" i="1"/>
  <c r="C396" i="1"/>
  <c r="E395" i="1"/>
  <c r="C395" i="1"/>
  <c r="D395" i="1"/>
  <c r="E394" i="1"/>
  <c r="D394" i="1"/>
  <c r="C394" i="1"/>
  <c r="F394" i="1" s="1"/>
  <c r="E393" i="1"/>
  <c r="C393" i="1"/>
  <c r="D393" i="1"/>
  <c r="C392" i="1"/>
  <c r="E392" i="1"/>
  <c r="D392" i="1"/>
  <c r="E391" i="1"/>
  <c r="D391" i="1"/>
  <c r="C391" i="1"/>
  <c r="C390" i="1"/>
  <c r="E390" i="1"/>
  <c r="D390" i="1"/>
  <c r="E389" i="1"/>
  <c r="C389" i="1"/>
  <c r="D389" i="1"/>
  <c r="C386" i="1"/>
  <c r="E386" i="1"/>
  <c r="D386" i="1"/>
  <c r="E385" i="1"/>
  <c r="C385" i="1"/>
  <c r="D385" i="1"/>
  <c r="E384" i="1"/>
  <c r="D384" i="1"/>
  <c r="C384" i="1"/>
  <c r="F384" i="1" s="1"/>
  <c r="E383" i="1"/>
  <c r="D383" i="1"/>
  <c r="D305" i="1" s="1"/>
  <c r="C383" i="1"/>
  <c r="E382" i="1"/>
  <c r="D382" i="1"/>
  <c r="C382" i="1"/>
  <c r="E381" i="1"/>
  <c r="D381" i="1"/>
  <c r="C381" i="1"/>
  <c r="D380" i="1"/>
  <c r="D304" i="1" s="1"/>
  <c r="E380" i="1"/>
  <c r="E379" i="1"/>
  <c r="F379" i="1" s="1"/>
  <c r="D379" i="1"/>
  <c r="C380" i="1"/>
  <c r="C379" i="1"/>
  <c r="C377" i="1"/>
  <c r="C378" i="1"/>
  <c r="E378" i="1"/>
  <c r="F378" i="1" s="1"/>
  <c r="D378" i="1"/>
  <c r="E377" i="1"/>
  <c r="D377" i="1"/>
  <c r="E376" i="1"/>
  <c r="D376" i="1"/>
  <c r="C376" i="1"/>
  <c r="C375" i="1"/>
  <c r="E375" i="1"/>
  <c r="F375" i="1" s="1"/>
  <c r="D375" i="1"/>
  <c r="E372" i="1"/>
  <c r="D372" i="1"/>
  <c r="D371" i="1"/>
  <c r="C372" i="1"/>
  <c r="E371" i="1"/>
  <c r="C371" i="1"/>
  <c r="E370" i="1"/>
  <c r="E300" i="1" s="1"/>
  <c r="D370" i="1"/>
  <c r="D300" i="1" s="1"/>
  <c r="C370" i="1"/>
  <c r="C369" i="1"/>
  <c r="E369" i="1"/>
  <c r="D369" i="1"/>
  <c r="E368" i="1"/>
  <c r="C368" i="1"/>
  <c r="D368" i="1"/>
  <c r="E366" i="1"/>
  <c r="E367" i="1"/>
  <c r="D367" i="1"/>
  <c r="C367" i="1"/>
  <c r="F367" i="1" s="1"/>
  <c r="E365" i="1"/>
  <c r="D366" i="1"/>
  <c r="C366" i="1"/>
  <c r="F366" i="1" s="1"/>
  <c r="E364" i="1"/>
  <c r="D365" i="1"/>
  <c r="D298" i="1" s="1"/>
  <c r="C365" i="1"/>
  <c r="D364" i="1"/>
  <c r="C364" i="1"/>
  <c r="E363" i="1"/>
  <c r="D363" i="1"/>
  <c r="C363" i="1"/>
  <c r="E362" i="1"/>
  <c r="D362" i="1"/>
  <c r="F362" i="1" s="1"/>
  <c r="C362" i="1"/>
  <c r="E361" i="1"/>
  <c r="E297" i="1" s="1"/>
  <c r="D361" i="1"/>
  <c r="C361" i="1"/>
  <c r="F361" i="1" s="1"/>
  <c r="E358" i="1"/>
  <c r="D358" i="1"/>
  <c r="C358" i="1"/>
  <c r="E357" i="1"/>
  <c r="D357" i="1"/>
  <c r="C357" i="1"/>
  <c r="E356" i="1"/>
  <c r="D356" i="1"/>
  <c r="C356" i="1"/>
  <c r="E355" i="1"/>
  <c r="E293" i="1" s="1"/>
  <c r="D355" i="1"/>
  <c r="C355" i="1"/>
  <c r="E354" i="1"/>
  <c r="D354" i="1"/>
  <c r="C354" i="1"/>
  <c r="E353" i="1"/>
  <c r="D353" i="1"/>
  <c r="C353" i="1"/>
  <c r="C293" i="1" s="1"/>
  <c r="E352" i="1"/>
  <c r="D352" i="1"/>
  <c r="C352" i="1"/>
  <c r="B292" i="1"/>
  <c r="E351" i="1"/>
  <c r="C351" i="1"/>
  <c r="D351" i="1"/>
  <c r="E350" i="1"/>
  <c r="E349" i="1"/>
  <c r="D350" i="1"/>
  <c r="C350" i="1"/>
  <c r="C349" i="1"/>
  <c r="D349" i="1"/>
  <c r="D291" i="1" s="1"/>
  <c r="E348" i="1"/>
  <c r="D348" i="1"/>
  <c r="C347" i="1"/>
  <c r="C348" i="1"/>
  <c r="E347" i="1"/>
  <c r="D347" i="1"/>
  <c r="E344" i="1"/>
  <c r="D344" i="1"/>
  <c r="C344" i="1"/>
  <c r="E343" i="1"/>
  <c r="E260" i="1"/>
  <c r="D343" i="1"/>
  <c r="C343" i="1"/>
  <c r="F343" i="1" s="1"/>
  <c r="E342" i="1"/>
  <c r="D342" i="1"/>
  <c r="C342" i="1"/>
  <c r="D341" i="1"/>
  <c r="E341" i="1"/>
  <c r="C341" i="1"/>
  <c r="E340" i="1"/>
  <c r="C340" i="1"/>
  <c r="D340" i="1"/>
  <c r="E339" i="1"/>
  <c r="D339" i="1"/>
  <c r="D259" i="1" s="1"/>
  <c r="C339" i="1"/>
  <c r="C259" i="1" s="1"/>
  <c r="E338" i="1"/>
  <c r="E337" i="1"/>
  <c r="F337" i="1" s="1"/>
  <c r="D338" i="1"/>
  <c r="C338" i="1"/>
  <c r="F338" i="1" s="1"/>
  <c r="D337" i="1"/>
  <c r="C337" i="1"/>
  <c r="E336" i="1"/>
  <c r="D336" i="1"/>
  <c r="D335" i="1"/>
  <c r="C336" i="1"/>
  <c r="C258" i="1" s="1"/>
  <c r="E335" i="1"/>
  <c r="C335" i="1"/>
  <c r="F335" i="1" s="1"/>
  <c r="E334" i="1"/>
  <c r="F334" i="1" s="1"/>
  <c r="D334" i="1"/>
  <c r="C334" i="1"/>
  <c r="E333" i="1"/>
  <c r="D333" i="1"/>
  <c r="D257" i="1" s="1"/>
  <c r="C333" i="1"/>
  <c r="E330" i="1"/>
  <c r="D330" i="1"/>
  <c r="C330" i="1"/>
  <c r="E329" i="1"/>
  <c r="D329" i="1"/>
  <c r="D328" i="1"/>
  <c r="C329" i="1"/>
  <c r="C328" i="1"/>
  <c r="E328" i="1"/>
  <c r="E327" i="1"/>
  <c r="D327" i="1"/>
  <c r="C327" i="1"/>
  <c r="E326" i="1"/>
  <c r="D326" i="1"/>
  <c r="C326" i="1"/>
  <c r="E325" i="1"/>
  <c r="D325" i="1"/>
  <c r="F325" i="1" s="1"/>
  <c r="C325" i="1"/>
  <c r="E324" i="1"/>
  <c r="D324" i="1"/>
  <c r="C324" i="1"/>
  <c r="E323" i="1"/>
  <c r="D323" i="1"/>
  <c r="C323" i="1"/>
  <c r="F323" i="1" s="1"/>
  <c r="E322" i="1"/>
  <c r="D322" i="1"/>
  <c r="C322" i="1"/>
  <c r="E321" i="1"/>
  <c r="D321" i="1"/>
  <c r="C321" i="1"/>
  <c r="E320" i="1"/>
  <c r="D320" i="1"/>
  <c r="C320" i="1"/>
  <c r="E319" i="1"/>
  <c r="D319" i="1"/>
  <c r="C319" i="1"/>
  <c r="C288" i="1"/>
  <c r="E288" i="1"/>
  <c r="D288" i="1"/>
  <c r="F288" i="1" s="1"/>
  <c r="E287" i="1"/>
  <c r="D287" i="1"/>
  <c r="C287" i="1"/>
  <c r="C235" i="1" s="1"/>
  <c r="E286" i="1"/>
  <c r="D286" i="1"/>
  <c r="C286" i="1"/>
  <c r="C285" i="1"/>
  <c r="E285" i="1"/>
  <c r="D285" i="1"/>
  <c r="E284" i="1"/>
  <c r="E234" i="1"/>
  <c r="D284" i="1"/>
  <c r="C284" i="1"/>
  <c r="F284" i="1" s="1"/>
  <c r="E283" i="1"/>
  <c r="C283" i="1"/>
  <c r="F283" i="1" s="1"/>
  <c r="D283" i="1"/>
  <c r="E282" i="1"/>
  <c r="C282" i="1"/>
  <c r="E281" i="1"/>
  <c r="D281" i="1"/>
  <c r="C281" i="1"/>
  <c r="C280" i="1"/>
  <c r="E280" i="1"/>
  <c r="E233" i="1" s="1"/>
  <c r="D280" i="1"/>
  <c r="E279" i="1"/>
  <c r="D279" i="1"/>
  <c r="C279" i="1"/>
  <c r="C278" i="1"/>
  <c r="D278" i="1"/>
  <c r="D232" i="1" s="1"/>
  <c r="E278" i="1"/>
  <c r="C274" i="1"/>
  <c r="C273" i="1"/>
  <c r="F273" i="1" s="1"/>
  <c r="C272" i="1"/>
  <c r="C271" i="1"/>
  <c r="C270" i="1"/>
  <c r="F270" i="1"/>
  <c r="C277" i="1"/>
  <c r="F277" i="1" s="1"/>
  <c r="D277" i="1"/>
  <c r="E277" i="1"/>
  <c r="D138" i="1"/>
  <c r="E138" i="1"/>
  <c r="F263" i="1"/>
  <c r="F264" i="1"/>
  <c r="F265" i="1"/>
  <c r="F266" i="1"/>
  <c r="F267" i="1"/>
  <c r="F268" i="1"/>
  <c r="F269" i="1"/>
  <c r="D215" i="1"/>
  <c r="E215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29" i="1"/>
  <c r="F228" i="1"/>
  <c r="F227" i="1"/>
  <c r="F226" i="1"/>
  <c r="F225" i="1"/>
  <c r="F224" i="1"/>
  <c r="F223" i="1"/>
  <c r="F222" i="1"/>
  <c r="F221" i="1"/>
  <c r="F220" i="1"/>
  <c r="F219" i="1"/>
  <c r="F193" i="1"/>
  <c r="D104" i="1"/>
  <c r="E104" i="1"/>
  <c r="F141" i="1"/>
  <c r="F142" i="1"/>
  <c r="C143" i="1"/>
  <c r="F143" i="1" s="1"/>
  <c r="F144" i="1"/>
  <c r="C134" i="1"/>
  <c r="F134" i="1"/>
  <c r="F82" i="1"/>
  <c r="F83" i="1"/>
  <c r="F84" i="1"/>
  <c r="F85" i="1"/>
  <c r="F86" i="1"/>
  <c r="F87" i="1"/>
  <c r="C88" i="1"/>
  <c r="D88" i="1"/>
  <c r="E88" i="1"/>
  <c r="F89" i="1"/>
  <c r="F90" i="1"/>
  <c r="F91" i="1"/>
  <c r="F92" i="1"/>
  <c r="F93" i="1"/>
  <c r="F94" i="1"/>
  <c r="F95" i="1"/>
  <c r="F96" i="1"/>
  <c r="C97" i="1"/>
  <c r="F97" i="1" s="1"/>
  <c r="E97" i="1"/>
  <c r="F98" i="1"/>
  <c r="F99" i="1"/>
  <c r="F100" i="1"/>
  <c r="F101" i="1"/>
  <c r="F102" i="1"/>
  <c r="F103" i="1"/>
  <c r="F218" i="1"/>
  <c r="F204" i="1"/>
  <c r="F203" i="1"/>
  <c r="F202" i="1"/>
  <c r="F201" i="1"/>
  <c r="F200" i="1"/>
  <c r="F199" i="1"/>
  <c r="F198" i="1"/>
  <c r="F197" i="1"/>
  <c r="F196" i="1"/>
  <c r="F195" i="1"/>
  <c r="F194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C71" i="1"/>
  <c r="E71" i="1"/>
  <c r="E72" i="1"/>
  <c r="F72" i="1" s="1"/>
  <c r="F73" i="1"/>
  <c r="F74" i="1"/>
  <c r="F75" i="1"/>
  <c r="E76" i="1"/>
  <c r="F76" i="1" s="1"/>
  <c r="E77" i="1"/>
  <c r="F77" i="1" s="1"/>
  <c r="F78" i="1"/>
  <c r="F79" i="1"/>
  <c r="F80" i="1"/>
  <c r="F81" i="1"/>
  <c r="F135" i="1"/>
  <c r="F183" i="1"/>
  <c r="F182" i="1"/>
  <c r="F181" i="1"/>
  <c r="F180" i="1"/>
  <c r="F179" i="1"/>
  <c r="F178" i="1"/>
  <c r="F154" i="1"/>
  <c r="F177" i="1"/>
  <c r="F176" i="1"/>
  <c r="F150" i="1"/>
  <c r="F175" i="1"/>
  <c r="F174" i="1"/>
  <c r="F173" i="1"/>
  <c r="F172" i="1"/>
  <c r="F159" i="1"/>
  <c r="F158" i="1"/>
  <c r="E157" i="1"/>
  <c r="F157" i="1" s="1"/>
  <c r="D156" i="1"/>
  <c r="F156" i="1" s="1"/>
  <c r="F123" i="1"/>
  <c r="F155" i="1"/>
  <c r="F153" i="1"/>
  <c r="F152" i="1"/>
  <c r="F149" i="1"/>
  <c r="F148" i="1"/>
  <c r="F147" i="1"/>
  <c r="F32" i="1"/>
  <c r="F124" i="1"/>
  <c r="F121" i="1"/>
  <c r="F126" i="1"/>
  <c r="F125" i="1"/>
  <c r="F118" i="1"/>
  <c r="F122" i="1"/>
  <c r="F115" i="1"/>
  <c r="F120" i="1"/>
  <c r="F119" i="1"/>
  <c r="F117" i="1"/>
  <c r="F116" i="1"/>
  <c r="F44" i="1"/>
  <c r="F43" i="1"/>
  <c r="F18" i="1"/>
  <c r="F42" i="1"/>
  <c r="F41" i="1"/>
  <c r="F36" i="1"/>
  <c r="F37" i="1"/>
  <c r="F38" i="1"/>
  <c r="F35" i="1"/>
  <c r="F29" i="1"/>
  <c r="F30" i="1"/>
  <c r="F31" i="1"/>
  <c r="F28" i="1"/>
  <c r="F14" i="1"/>
  <c r="F15" i="1"/>
  <c r="F16" i="1"/>
  <c r="F17" i="1"/>
  <c r="F13" i="1"/>
  <c r="F124" i="3"/>
  <c r="C16" i="5"/>
  <c r="F171" i="3"/>
  <c r="F340" i="1"/>
  <c r="F274" i="2"/>
  <c r="C306" i="2"/>
  <c r="F71" i="1"/>
  <c r="F270" i="2"/>
  <c r="F45" i="4"/>
  <c r="F125" i="3"/>
  <c r="F161" i="3"/>
  <c r="C235" i="2"/>
  <c r="C309" i="1"/>
  <c r="F135" i="3"/>
  <c r="D316" i="2"/>
  <c r="F274" i="1"/>
  <c r="D293" i="2"/>
  <c r="D252" i="1"/>
  <c r="F322" i="1"/>
  <c r="D254" i="2"/>
  <c r="D18" i="5"/>
  <c r="D27" i="4"/>
  <c r="F368" i="1"/>
  <c r="E312" i="1"/>
  <c r="C66" i="4"/>
  <c r="C298" i="1"/>
  <c r="F356" i="2"/>
  <c r="C294" i="2"/>
  <c r="F403" i="2"/>
  <c r="F342" i="1"/>
  <c r="C294" i="1"/>
  <c r="D254" i="1"/>
  <c r="F88" i="1"/>
  <c r="F382" i="1"/>
  <c r="F285" i="2"/>
  <c r="F288" i="2"/>
  <c r="F342" i="2"/>
  <c r="F366" i="2"/>
  <c r="F383" i="2"/>
  <c r="F154" i="3"/>
  <c r="E58" i="4"/>
  <c r="F381" i="2"/>
  <c r="F25" i="4"/>
  <c r="D50" i="4"/>
  <c r="F390" i="1" l="1"/>
  <c r="F398" i="1"/>
  <c r="F147" i="3"/>
  <c r="F280" i="1"/>
  <c r="E299" i="1"/>
  <c r="F338" i="2"/>
  <c r="C260" i="2"/>
  <c r="E291" i="2"/>
  <c r="E297" i="2"/>
  <c r="E298" i="2"/>
  <c r="E207" i="2" s="1"/>
  <c r="D311" i="2"/>
  <c r="C54" i="4"/>
  <c r="F179" i="3"/>
  <c r="D71" i="4"/>
  <c r="F282" i="2"/>
  <c r="F357" i="1"/>
  <c r="D312" i="1"/>
  <c r="F104" i="2"/>
  <c r="F328" i="2"/>
  <c r="D260" i="2"/>
  <c r="E310" i="2"/>
  <c r="E311" i="2"/>
  <c r="E209" i="2" s="1"/>
  <c r="D55" i="4"/>
  <c r="E59" i="4"/>
  <c r="E63" i="4"/>
  <c r="E67" i="4"/>
  <c r="E68" i="4"/>
  <c r="E75" i="4"/>
  <c r="F215" i="3"/>
  <c r="C104" i="1"/>
  <c r="D251" i="1"/>
  <c r="E305" i="1"/>
  <c r="D300" i="2"/>
  <c r="C303" i="2"/>
  <c r="F380" i="2"/>
  <c r="F393" i="2"/>
  <c r="F59" i="4"/>
  <c r="F204" i="3"/>
  <c r="C233" i="2"/>
  <c r="F335" i="2"/>
  <c r="D304" i="2"/>
  <c r="F149" i="3"/>
  <c r="F153" i="3"/>
  <c r="F286" i="2"/>
  <c r="C252" i="1"/>
  <c r="E310" i="1"/>
  <c r="E253" i="2"/>
  <c r="D259" i="2"/>
  <c r="C299" i="2"/>
  <c r="E315" i="2"/>
  <c r="E316" i="2"/>
  <c r="D53" i="4"/>
  <c r="E70" i="4"/>
  <c r="E292" i="2"/>
  <c r="C252" i="2"/>
  <c r="C254" i="2"/>
  <c r="F294" i="2"/>
  <c r="C310" i="2"/>
  <c r="D49" i="4"/>
  <c r="E53" i="4"/>
  <c r="C69" i="4"/>
  <c r="C77" i="4"/>
  <c r="D299" i="1"/>
  <c r="D316" i="1"/>
  <c r="C299" i="1"/>
  <c r="E235" i="1"/>
  <c r="E251" i="1"/>
  <c r="F348" i="1"/>
  <c r="F355" i="1"/>
  <c r="F277" i="2"/>
  <c r="D252" i="2"/>
  <c r="D305" i="2"/>
  <c r="D208" i="2" s="1"/>
  <c r="D315" i="2"/>
  <c r="F21" i="4"/>
  <c r="E50" i="4"/>
  <c r="C260" i="1"/>
  <c r="E232" i="1"/>
  <c r="F329" i="1"/>
  <c r="F358" i="2"/>
  <c r="F372" i="2"/>
  <c r="E312" i="2"/>
  <c r="F22" i="4"/>
  <c r="F158" i="3"/>
  <c r="F279" i="1"/>
  <c r="F232" i="1" s="1"/>
  <c r="F370" i="1"/>
  <c r="E258" i="2"/>
  <c r="C304" i="2"/>
  <c r="C311" i="2"/>
  <c r="C312" i="2"/>
  <c r="F405" i="2"/>
  <c r="F409" i="2"/>
  <c r="C72" i="4"/>
  <c r="F378" i="2"/>
  <c r="F260" i="2"/>
  <c r="F389" i="2"/>
  <c r="F309" i="2" s="1"/>
  <c r="F367" i="2"/>
  <c r="F282" i="1"/>
  <c r="F324" i="1"/>
  <c r="E258" i="1"/>
  <c r="F341" i="1"/>
  <c r="E292" i="1"/>
  <c r="F353" i="1"/>
  <c r="F358" i="1"/>
  <c r="C305" i="1"/>
  <c r="E234" i="2"/>
  <c r="F287" i="2"/>
  <c r="F235" i="2" s="1"/>
  <c r="F324" i="2"/>
  <c r="F326" i="2"/>
  <c r="D258" i="2"/>
  <c r="F355" i="2"/>
  <c r="F362" i="2"/>
  <c r="F376" i="2"/>
  <c r="F303" i="2" s="1"/>
  <c r="F408" i="2"/>
  <c r="F26" i="4"/>
  <c r="F31" i="4"/>
  <c r="F39" i="4"/>
  <c r="C58" i="4"/>
  <c r="F202" i="3"/>
  <c r="F218" i="3"/>
  <c r="F78" i="4" s="1"/>
  <c r="D311" i="1"/>
  <c r="F213" i="3"/>
  <c r="F392" i="1"/>
  <c r="F104" i="1"/>
  <c r="E253" i="1"/>
  <c r="D258" i="1"/>
  <c r="F339" i="1"/>
  <c r="F363" i="1"/>
  <c r="F297" i="1" s="1"/>
  <c r="E311" i="1"/>
  <c r="F156" i="2"/>
  <c r="F341" i="2"/>
  <c r="F394" i="2"/>
  <c r="F396" i="2"/>
  <c r="F399" i="2"/>
  <c r="F44" i="4"/>
  <c r="D52" i="4"/>
  <c r="F151" i="3"/>
  <c r="E57" i="4"/>
  <c r="F168" i="3"/>
  <c r="F182" i="3"/>
  <c r="C73" i="4"/>
  <c r="D78" i="4"/>
  <c r="C71" i="4"/>
  <c r="F145" i="3"/>
  <c r="F380" i="1"/>
  <c r="F285" i="1"/>
  <c r="F320" i="1"/>
  <c r="F327" i="1"/>
  <c r="F344" i="1"/>
  <c r="D297" i="1"/>
  <c r="D207" i="1" s="1"/>
  <c r="D303" i="1"/>
  <c r="C304" i="1"/>
  <c r="F391" i="1"/>
  <c r="F396" i="1"/>
  <c r="F405" i="1"/>
  <c r="F339" i="2"/>
  <c r="F258" i="2" s="1"/>
  <c r="F368" i="2"/>
  <c r="F395" i="2"/>
  <c r="F397" i="2"/>
  <c r="F29" i="4"/>
  <c r="C51" i="4"/>
  <c r="E60" i="4"/>
  <c r="F169" i="3"/>
  <c r="F177" i="3"/>
  <c r="D66" i="4"/>
  <c r="E294" i="1"/>
  <c r="E303" i="1"/>
  <c r="E309" i="1"/>
  <c r="E209" i="1" s="1"/>
  <c r="C315" i="1"/>
  <c r="D232" i="2"/>
  <c r="E205" i="2"/>
  <c r="F315" i="2"/>
  <c r="F11" i="4"/>
  <c r="C232" i="2"/>
  <c r="F286" i="1"/>
  <c r="F252" i="1"/>
  <c r="C253" i="1"/>
  <c r="D293" i="1"/>
  <c r="E306" i="1"/>
  <c r="F403" i="1"/>
  <c r="F315" i="1" s="1"/>
  <c r="F281" i="2"/>
  <c r="C251" i="2"/>
  <c r="C292" i="2"/>
  <c r="D294" i="2"/>
  <c r="F363" i="2"/>
  <c r="F382" i="2"/>
  <c r="F386" i="2"/>
  <c r="D309" i="2"/>
  <c r="F32" i="4"/>
  <c r="E51" i="4"/>
  <c r="D63" i="4"/>
  <c r="F183" i="3"/>
  <c r="D73" i="4"/>
  <c r="F47" i="4"/>
  <c r="F278" i="1"/>
  <c r="D235" i="1"/>
  <c r="E291" i="1"/>
  <c r="F352" i="1"/>
  <c r="F372" i="1"/>
  <c r="E304" i="1"/>
  <c r="F385" i="1"/>
  <c r="F306" i="1" s="1"/>
  <c r="D251" i="2"/>
  <c r="D184" i="2" s="1"/>
  <c r="D292" i="2"/>
  <c r="C293" i="2"/>
  <c r="F384" i="2"/>
  <c r="F27" i="4"/>
  <c r="F152" i="3"/>
  <c r="D67" i="4"/>
  <c r="F199" i="3"/>
  <c r="F55" i="4"/>
  <c r="F260" i="1"/>
  <c r="F304" i="1"/>
  <c r="D111" i="1"/>
  <c r="E252" i="1"/>
  <c r="D260" i="1"/>
  <c r="F365" i="1"/>
  <c r="F397" i="1"/>
  <c r="F408" i="1"/>
  <c r="F88" i="2"/>
  <c r="C104" i="2"/>
  <c r="E235" i="2"/>
  <c r="F323" i="2"/>
  <c r="F325" i="2"/>
  <c r="E303" i="2"/>
  <c r="D312" i="2"/>
  <c r="F20" i="4"/>
  <c r="E18" i="5"/>
  <c r="F18" i="5" s="1"/>
  <c r="F30" i="4"/>
  <c r="F33" i="4"/>
  <c r="F148" i="3"/>
  <c r="C56" i="4"/>
  <c r="F155" i="3"/>
  <c r="F57" i="4" s="1"/>
  <c r="F162" i="3"/>
  <c r="F173" i="3"/>
  <c r="F181" i="3"/>
  <c r="C70" i="4"/>
  <c r="E71" i="4"/>
  <c r="F234" i="3"/>
  <c r="F14" i="5"/>
  <c r="E19" i="4"/>
  <c r="F141" i="3"/>
  <c r="F35" i="4"/>
  <c r="F40" i="4"/>
  <c r="F142" i="3"/>
  <c r="D54" i="4"/>
  <c r="D61" i="4"/>
  <c r="F194" i="3"/>
  <c r="E73" i="4"/>
  <c r="E77" i="4"/>
  <c r="F239" i="3"/>
  <c r="F85" i="4" s="1"/>
  <c r="D65" i="4"/>
  <c r="F189" i="3"/>
  <c r="F43" i="4"/>
  <c r="C49" i="4"/>
  <c r="D62" i="4"/>
  <c r="F232" i="3"/>
  <c r="C50" i="4"/>
  <c r="F133" i="3"/>
  <c r="F140" i="3"/>
  <c r="F157" i="3"/>
  <c r="C59" i="4"/>
  <c r="D60" i="4"/>
  <c r="E62" i="4"/>
  <c r="D75" i="4"/>
  <c r="F77" i="4"/>
  <c r="F36" i="4"/>
  <c r="F41" i="4"/>
  <c r="F136" i="3"/>
  <c r="F51" i="4" s="1"/>
  <c r="D74" i="4"/>
  <c r="F131" i="3"/>
  <c r="F143" i="3"/>
  <c r="C57" i="4"/>
  <c r="F164" i="3"/>
  <c r="E61" i="4"/>
  <c r="F188" i="3"/>
  <c r="E69" i="4"/>
  <c r="F193" i="3"/>
  <c r="F200" i="3"/>
  <c r="F216" i="3"/>
  <c r="F12" i="4"/>
  <c r="C78" i="4"/>
  <c r="F156" i="3"/>
  <c r="F34" i="4"/>
  <c r="F146" i="3"/>
  <c r="F167" i="3"/>
  <c r="F191" i="3"/>
  <c r="F211" i="3"/>
  <c r="F219" i="3"/>
  <c r="F201" i="3"/>
  <c r="F40" i="3"/>
  <c r="F19" i="4" s="1"/>
  <c r="F18" i="4"/>
  <c r="F23" i="4"/>
  <c r="F28" i="4"/>
  <c r="F37" i="4"/>
  <c r="F42" i="4"/>
  <c r="F134" i="3"/>
  <c r="F50" i="4" s="1"/>
  <c r="E52" i="4"/>
  <c r="F196" i="3"/>
  <c r="F364" i="1"/>
  <c r="F298" i="1" s="1"/>
  <c r="E298" i="1"/>
  <c r="E207" i="1" s="1"/>
  <c r="C215" i="2"/>
  <c r="F272" i="2"/>
  <c r="F215" i="2" s="1"/>
  <c r="F184" i="3"/>
  <c r="F67" i="4" s="1"/>
  <c r="C67" i="4"/>
  <c r="F369" i="1"/>
  <c r="F299" i="1" s="1"/>
  <c r="F129" i="3"/>
  <c r="E49" i="4"/>
  <c r="F170" i="3"/>
  <c r="F62" i="4" s="1"/>
  <c r="C62" i="4"/>
  <c r="C297" i="1"/>
  <c r="F319" i="1"/>
  <c r="E254" i="1"/>
  <c r="F330" i="1"/>
  <c r="F354" i="1"/>
  <c r="D294" i="1"/>
  <c r="F356" i="1"/>
  <c r="F294" i="1" s="1"/>
  <c r="F376" i="1"/>
  <c r="F377" i="1"/>
  <c r="C303" i="1"/>
  <c r="F395" i="1"/>
  <c r="C311" i="1"/>
  <c r="F404" i="1"/>
  <c r="E316" i="1"/>
  <c r="F406" i="1"/>
  <c r="F316" i="1" s="1"/>
  <c r="C259" i="2"/>
  <c r="F340" i="2"/>
  <c r="F361" i="2"/>
  <c r="F398" i="2"/>
  <c r="F312" i="2" s="1"/>
  <c r="F407" i="2"/>
  <c r="C60" i="4"/>
  <c r="F163" i="3"/>
  <c r="D70" i="4"/>
  <c r="F192" i="3"/>
  <c r="F70" i="4" s="1"/>
  <c r="C75" i="4"/>
  <c r="F207" i="3"/>
  <c r="F75" i="4" s="1"/>
  <c r="F212" i="3"/>
  <c r="D76" i="4"/>
  <c r="C234" i="2"/>
  <c r="C145" i="2"/>
  <c r="F283" i="2"/>
  <c r="F321" i="1"/>
  <c r="C251" i="1"/>
  <c r="F379" i="2"/>
  <c r="E304" i="2"/>
  <c r="E208" i="2" s="1"/>
  <c r="C209" i="2"/>
  <c r="F271" i="1"/>
  <c r="F138" i="1" s="1"/>
  <c r="C138" i="1"/>
  <c r="F328" i="1"/>
  <c r="C254" i="1"/>
  <c r="C257" i="1"/>
  <c r="C205" i="1" s="1"/>
  <c r="F333" i="1"/>
  <c r="F257" i="1" s="1"/>
  <c r="C291" i="1"/>
  <c r="F349" i="1"/>
  <c r="F349" i="2"/>
  <c r="C291" i="2"/>
  <c r="D297" i="2"/>
  <c r="F166" i="3"/>
  <c r="F205" i="3"/>
  <c r="F74" i="4" s="1"/>
  <c r="C74" i="4"/>
  <c r="F351" i="1"/>
  <c r="D292" i="1"/>
  <c r="D145" i="1"/>
  <c r="D233" i="1"/>
  <c r="C292" i="1"/>
  <c r="F350" i="1"/>
  <c r="F386" i="1"/>
  <c r="C306" i="1"/>
  <c r="F393" i="1"/>
  <c r="F310" i="1" s="1"/>
  <c r="C310" i="1"/>
  <c r="C209" i="1" s="1"/>
  <c r="D234" i="2"/>
  <c r="F284" i="2"/>
  <c r="F127" i="3"/>
  <c r="F48" i="4" s="1"/>
  <c r="C48" i="4"/>
  <c r="C52" i="4"/>
  <c r="F138" i="3"/>
  <c r="F178" i="3"/>
  <c r="F65" i="4" s="1"/>
  <c r="C65" i="4"/>
  <c r="F180" i="3"/>
  <c r="F66" i="4" s="1"/>
  <c r="E66" i="4"/>
  <c r="D69" i="4"/>
  <c r="F190" i="3"/>
  <c r="F281" i="1"/>
  <c r="F233" i="1" s="1"/>
  <c r="C233" i="1"/>
  <c r="F272" i="1"/>
  <c r="F215" i="1" s="1"/>
  <c r="C215" i="1"/>
  <c r="F234" i="1"/>
  <c r="D253" i="1"/>
  <c r="D184" i="1" s="1"/>
  <c r="F326" i="1"/>
  <c r="F253" i="1" s="1"/>
  <c r="E257" i="1"/>
  <c r="D309" i="1"/>
  <c r="F389" i="1"/>
  <c r="F309" i="1" s="1"/>
  <c r="D56" i="4"/>
  <c r="F176" i="3"/>
  <c r="D64" i="4"/>
  <c r="E76" i="4"/>
  <c r="F210" i="3"/>
  <c r="D77" i="4"/>
  <c r="F10" i="4"/>
  <c r="E233" i="2"/>
  <c r="F280" i="2"/>
  <c r="F165" i="3"/>
  <c r="C61" i="4"/>
  <c r="C305" i="2"/>
  <c r="C208" i="2" s="1"/>
  <c r="C145" i="1"/>
  <c r="F381" i="1"/>
  <c r="F351" i="2"/>
  <c r="F292" i="2" s="1"/>
  <c r="F305" i="2"/>
  <c r="C138" i="2"/>
  <c r="F347" i="1"/>
  <c r="D234" i="1"/>
  <c r="F287" i="1"/>
  <c r="F235" i="1" s="1"/>
  <c r="E145" i="1"/>
  <c r="F336" i="1"/>
  <c r="E259" i="1"/>
  <c r="F371" i="1"/>
  <c r="F300" i="1" s="1"/>
  <c r="C300" i="1"/>
  <c r="D306" i="1"/>
  <c r="F321" i="2"/>
  <c r="F251" i="2" s="1"/>
  <c r="E251" i="2"/>
  <c r="F336" i="2"/>
  <c r="C258" i="2"/>
  <c r="D291" i="2"/>
  <c r="F347" i="2"/>
  <c r="C300" i="2"/>
  <c r="F370" i="2"/>
  <c r="F300" i="2" s="1"/>
  <c r="F174" i="3"/>
  <c r="C64" i="4"/>
  <c r="E72" i="4"/>
  <c r="F198" i="3"/>
  <c r="F278" i="2"/>
  <c r="D145" i="2"/>
  <c r="F144" i="3"/>
  <c r="E145" i="2"/>
  <c r="E232" i="2"/>
  <c r="F353" i="2"/>
  <c r="E293" i="2"/>
  <c r="E206" i="2" s="1"/>
  <c r="F303" i="1"/>
  <c r="C232" i="1"/>
  <c r="F312" i="1"/>
  <c r="D205" i="1"/>
  <c r="F293" i="1"/>
  <c r="F383" i="1"/>
  <c r="D310" i="1"/>
  <c r="F399" i="1"/>
  <c r="F327" i="2"/>
  <c r="F253" i="2" s="1"/>
  <c r="E254" i="2"/>
  <c r="F329" i="2"/>
  <c r="C257" i="2"/>
  <c r="F334" i="2"/>
  <c r="F257" i="2" s="1"/>
  <c r="F259" i="2"/>
  <c r="F365" i="2"/>
  <c r="F298" i="2" s="1"/>
  <c r="D298" i="2"/>
  <c r="D310" i="2"/>
  <c r="F392" i="2"/>
  <c r="F406" i="2"/>
  <c r="F316" i="2" s="1"/>
  <c r="C316" i="2"/>
  <c r="F172" i="3"/>
  <c r="F63" i="4" s="1"/>
  <c r="C63" i="4"/>
  <c r="C68" i="4"/>
  <c r="F186" i="3"/>
  <c r="F71" i="4"/>
  <c r="E28" i="4"/>
  <c r="F330" i="2"/>
  <c r="C297" i="2"/>
  <c r="C315" i="2"/>
  <c r="C76" i="4"/>
  <c r="F354" i="2"/>
  <c r="F130" i="3"/>
  <c r="F203" i="3"/>
  <c r="F322" i="2"/>
  <c r="C234" i="1"/>
  <c r="F15" i="5"/>
  <c r="F17" i="5"/>
  <c r="F16" i="5"/>
  <c r="F311" i="1" l="1"/>
  <c r="F73" i="4"/>
  <c r="E205" i="1"/>
  <c r="F304" i="2"/>
  <c r="F208" i="2" s="1"/>
  <c r="F60" i="4"/>
  <c r="F252" i="2"/>
  <c r="D206" i="2"/>
  <c r="E206" i="1"/>
  <c r="F310" i="2"/>
  <c r="F56" i="4"/>
  <c r="F68" i="4"/>
  <c r="F61" i="4"/>
  <c r="D206" i="1"/>
  <c r="F306" i="2"/>
  <c r="C184" i="2"/>
  <c r="D205" i="2"/>
  <c r="E208" i="1"/>
  <c r="E184" i="1"/>
  <c r="D209" i="2"/>
  <c r="F54" i="4"/>
  <c r="D208" i="1"/>
  <c r="F291" i="1"/>
  <c r="C206" i="2"/>
  <c r="F291" i="2"/>
  <c r="F233" i="2"/>
  <c r="F69" i="4"/>
  <c r="C206" i="1"/>
  <c r="F311" i="2"/>
  <c r="F209" i="2" s="1"/>
  <c r="F258" i="1"/>
  <c r="F259" i="1"/>
  <c r="F205" i="1"/>
  <c r="F299" i="2"/>
  <c r="F292" i="1"/>
  <c r="F53" i="4"/>
  <c r="E184" i="2"/>
  <c r="C184" i="1"/>
  <c r="F297" i="2"/>
  <c r="F205" i="2"/>
  <c r="F64" i="4"/>
  <c r="F254" i="1"/>
  <c r="F76" i="4"/>
  <c r="F52" i="4"/>
  <c r="F72" i="4"/>
  <c r="F58" i="4"/>
  <c r="F207" i="1"/>
  <c r="C205" i="2"/>
  <c r="F293" i="2"/>
  <c r="F305" i="1"/>
  <c r="F208" i="1" s="1"/>
  <c r="F49" i="4"/>
  <c r="D207" i="2"/>
  <c r="F254" i="2"/>
  <c r="F184" i="2" s="1"/>
  <c r="F145" i="1"/>
  <c r="C208" i="1"/>
  <c r="F251" i="1"/>
  <c r="F145" i="2"/>
  <c r="F232" i="2"/>
  <c r="F209" i="1"/>
  <c r="F234" i="2"/>
  <c r="C207" i="1"/>
  <c r="C207" i="2"/>
  <c r="D209" i="1"/>
  <c r="F138" i="2"/>
  <c r="F206" i="2" l="1"/>
  <c r="F207" i="2"/>
  <c r="F206" i="1"/>
  <c r="F184" i="1"/>
</calcChain>
</file>

<file path=xl/sharedStrings.xml><?xml version="1.0" encoding="utf-8"?>
<sst xmlns="http://schemas.openxmlformats.org/spreadsheetml/2006/main" count="841" uniqueCount="142">
  <si>
    <t xml:space="preserve"> </t>
  </si>
  <si>
    <t xml:space="preserve">  BUJUMBURA</t>
  </si>
  <si>
    <t xml:space="preserve">   GITEGA</t>
  </si>
  <si>
    <t xml:space="preserve">     TOTAL</t>
  </si>
  <si>
    <t>1995</t>
  </si>
  <si>
    <t>1996 *</t>
  </si>
  <si>
    <t>1998</t>
  </si>
  <si>
    <t>1999</t>
  </si>
  <si>
    <t xml:space="preserve">  1er     Trim.</t>
  </si>
  <si>
    <t xml:space="preserve">  2ème Trim. </t>
  </si>
  <si>
    <t xml:space="preserve">  3ème Trim. </t>
  </si>
  <si>
    <t xml:space="preserve">  4ème Trim.</t>
  </si>
  <si>
    <t xml:space="preserve">  4ème Trim. </t>
  </si>
  <si>
    <t>2000</t>
  </si>
  <si>
    <t xml:space="preserve">  Avril </t>
  </si>
  <si>
    <t xml:space="preserve">  Mai </t>
  </si>
  <si>
    <t xml:space="preserve">  Juillet</t>
  </si>
  <si>
    <t xml:space="preserve">  Août</t>
  </si>
  <si>
    <t xml:space="preserve">  Septembre </t>
  </si>
  <si>
    <t xml:space="preserve">  Octobre  </t>
  </si>
  <si>
    <t xml:space="preserve">  Novembre  </t>
  </si>
  <si>
    <t xml:space="preserve">  Décembre</t>
  </si>
  <si>
    <t xml:space="preserve">  Janvier</t>
  </si>
  <si>
    <t xml:space="preserve">  Février</t>
  </si>
  <si>
    <t xml:space="preserve">  Mars</t>
  </si>
  <si>
    <t xml:space="preserve">  Juin</t>
  </si>
  <si>
    <t xml:space="preserve">  2ème Trim.</t>
  </si>
  <si>
    <t>2001</t>
  </si>
  <si>
    <t>2002</t>
  </si>
  <si>
    <t>2003</t>
  </si>
  <si>
    <t xml:space="preserve">  Octobre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</si>
  <si>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</si>
  <si>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</si>
  <si>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</si>
  <si>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</si>
  <si>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</si>
  <si>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</si>
  <si>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</si>
  <si>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</si>
  <si>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</si>
  <si>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</si>
  <si>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</si>
  <si>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</si>
  <si>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 xml:space="preserve">                                                                                                            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</si>
  <si>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</si>
  <si>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</si>
  <si>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</si>
  <si>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</si>
  <si>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</si>
  <si>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</si>
  <si>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</si>
  <si>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</si>
  <si>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</si>
  <si>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</si>
  <si>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</si>
  <si>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</si>
  <si>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 xml:space="preserve">                                        CONSOMMATION D'ENERGIE ELECTRIQUE</t>
  </si>
  <si>
    <t>2028</t>
  </si>
  <si>
    <t>2029</t>
  </si>
  <si>
    <t xml:space="preserve">                              (en milliers de KWH)</t>
  </si>
  <si>
    <t xml:space="preserve">  Avril</t>
  </si>
  <si>
    <t xml:space="preserve">  3ème Trim.</t>
  </si>
  <si>
    <t xml:space="preserve">  Septembre</t>
  </si>
  <si>
    <t xml:space="preserve">  Novembre</t>
  </si>
  <si>
    <t>I.8</t>
  </si>
  <si>
    <t xml:space="preserve">  Mai</t>
  </si>
  <si>
    <t>Période</t>
  </si>
  <si>
    <t>AUTRES</t>
  </si>
  <si>
    <t xml:space="preserve">  1er Trim.</t>
  </si>
  <si>
    <t xml:space="preserve">  1er  Trim.</t>
  </si>
  <si>
    <t>Ville</t>
  </si>
  <si>
    <t>Source :  REGIDESO</t>
  </si>
  <si>
    <t>Excel File Name:</t>
  </si>
  <si>
    <t>Available from Web Page:</t>
  </si>
  <si>
    <t>http://www.brb.bi/fr/content/secteur-r%C3%A9el</t>
  </si>
  <si>
    <t>BUJUMBURA</t>
  </si>
  <si>
    <t>GITEGA</t>
  </si>
  <si>
    <t xml:space="preserve">                                CONSOMMATION D'ENERGIE ELECTRIQUE  PAR VILLE</t>
  </si>
  <si>
    <t>Click here to see the data</t>
  </si>
  <si>
    <t>Table of Contents</t>
  </si>
  <si>
    <t xml:space="preserve">                               ELECTRIC ENERGY CONSUMPTION</t>
  </si>
  <si>
    <t>Date of Publication</t>
  </si>
  <si>
    <t>Last date of Publication</t>
  </si>
  <si>
    <t>Electric energy consumption, monthly data</t>
  </si>
  <si>
    <t>Electric energy consumption, quarterly data</t>
  </si>
  <si>
    <t>Electric energy consumption, annually data</t>
  </si>
  <si>
    <t>Name of sheets</t>
  </si>
  <si>
    <t>Description of the data</t>
  </si>
  <si>
    <t>Frequency</t>
  </si>
  <si>
    <t>Last date of publication</t>
  </si>
  <si>
    <t>Monthly</t>
  </si>
  <si>
    <t>Quarterly</t>
  </si>
  <si>
    <t>Annually</t>
  </si>
  <si>
    <t>Electric energy consumption.xls</t>
  </si>
  <si>
    <t>OTHERS</t>
  </si>
  <si>
    <t>City</t>
  </si>
  <si>
    <t>Period</t>
  </si>
  <si>
    <t xml:space="preserve">                                        ELECTRIC ENERGY CONSUMPTION</t>
  </si>
  <si>
    <t xml:space="preserve">                               (Thousands of KWH)</t>
  </si>
  <si>
    <t xml:space="preserve">                                         ELECTRIC ENERGY CONSUMPTION</t>
  </si>
  <si>
    <t xml:space="preserve">                                            ELECTRIC ENERGY CONSUMPTION</t>
  </si>
  <si>
    <t xml:space="preserve">                             (Thousands of KWH)</t>
  </si>
  <si>
    <t xml:space="preserve">                                                                                                                                                                        Back to the table of contents</t>
  </si>
  <si>
    <t>Table_of_Contents</t>
  </si>
  <si>
    <t xml:space="preserve">                      Back to the table of contents</t>
  </si>
  <si>
    <t>*=Provisional Data</t>
  </si>
  <si>
    <t>*Provisional data</t>
  </si>
  <si>
    <t>30/04/2020*</t>
  </si>
  <si>
    <t>31/05/2020*</t>
  </si>
  <si>
    <t>30/06/2020*</t>
  </si>
  <si>
    <t>31/07/2020*</t>
  </si>
  <si>
    <t>31/08/2020*</t>
  </si>
  <si>
    <t>30/09/2020*</t>
  </si>
  <si>
    <t>31/10/2020*</t>
  </si>
  <si>
    <t>30/11/2020*</t>
  </si>
  <si>
    <t>30/12/2020*</t>
  </si>
  <si>
    <t>30/01/2021*</t>
  </si>
  <si>
    <t>2020*</t>
  </si>
  <si>
    <t>30/02/2021*</t>
  </si>
  <si>
    <t>30/04/2021*</t>
  </si>
  <si>
    <t>30/06/2021*</t>
  </si>
  <si>
    <t>31/07/2021*</t>
  </si>
  <si>
    <t>31/08/2021*</t>
  </si>
  <si>
    <t>31/05/2021*</t>
  </si>
  <si>
    <t>31/03/2021*</t>
  </si>
  <si>
    <t>30/09/2021*</t>
  </si>
  <si>
    <t>31/12/2020*</t>
  </si>
  <si>
    <t>31/10/2021*</t>
  </si>
  <si>
    <t>30/11/2021*</t>
  </si>
  <si>
    <t>31/12/2021*</t>
  </si>
  <si>
    <t>2021*</t>
  </si>
  <si>
    <t>31/01/2022*</t>
  </si>
  <si>
    <t>28/02/2022*</t>
  </si>
  <si>
    <t>31/03/2022*</t>
  </si>
  <si>
    <t>31/05/2022*</t>
  </si>
  <si>
    <t>30/04/2022*</t>
  </si>
  <si>
    <t>30/06/2022*</t>
  </si>
  <si>
    <t>31/07/2022*</t>
  </si>
  <si>
    <t>31/08/2022*</t>
  </si>
  <si>
    <t>30/09/2022*</t>
  </si>
  <si>
    <t>Q3-2022</t>
  </si>
  <si>
    <t>31/10/2022*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</si>
</sst>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64" formatCode="_-* #,##0.00\ _F_-;\-* #,##0.00\ _F_-;_-* &quot;-&quot;??\ _F_-;_-@_-"/>
    <numFmt numFmtId="165" formatCode="General_)"/>
    <numFmt numFmtId="166" formatCode="#,##0.0_);\(#,##0.0\)"/>
    <numFmt numFmtId="167" formatCode="_-* #,##0.000\ _F_-;\-* #,##0.000\ _F_-;_-* &quot;-&quot;??\ _F_-;_-@_-"/>
    <numFmt numFmtId="168" formatCode="_-* #,##0.0000\ _F_-;\-* #,##0.0000\ _F_-;_-* &quot;-&quot;??\ _F_-;_-@_-"/>
    <numFmt numFmtId="169" formatCode="_-* #,##0.00000000000\ _F_-;\-* #,##0.00000000000\ _F_-;_-* &quot;-&quot;??\ _F_-;_-@_-"/>
    <numFmt numFmtId="170" formatCode="_-* #,##0.0\ _F_-;\-* #,##0.0\ _F_-;_-* &quot;-&quot;??\ _F_-;_-@_-"/>
    <numFmt numFmtId="171" formatCode="_-* #,##0\ _F_-;\-* #,##0\ _F_-;_-* &quot;-&quot;??\ _F_-;_-@_-"/>
    <numFmt numFmtId="172" formatCode="#,##0.000_);\(#,##0.000\)"/>
    <numFmt numFmtId="173" formatCode="#,##0.0000_);\(#,##0.0000\)"/>
    <numFmt numFmtId="174" formatCode="[$-409]mmm\-yy;@"/>
    <numFmt numFmtId="175" formatCode="0_ ;\-0\ "/>
    <numFmt numFmtId="176" formatCode="[$-40C]mmm\-yy;@"/>
    <numFmt numFmtId="177" formatCode="[$-409]dd\-mmm\-yy;@"/>
    <numFmt numFmtId="178" formatCode="0_)"/>
  </numFmts>
  <fonts count="13" x14ac:knownFonts="1">
    <font>
      <sz val="12"/>
      <name val="Helv"/>
    </font>
    <font>
      <sz val="10"/>
      <name val="Arial"/>
      <family val="2"/>
    </font>
    <font>
      <b/>
      <sz val="12"/>
      <name val="Helv"/>
    </font>
    <font>
      <sz val="12"/>
      <name val="Helv"/>
    </font>
    <font>
      <u/>
      <sz val="9.6"/>
      <color indexed="12"/>
      <name val="Helv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b/>
      <sz val="12"/>
      <color indexed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37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188">
    <xf numFmtId="37" fontId="0" fillId="0" borderId="0" xfId="0"/>
    <xf numFmtId="37" fontId="0" fillId="0" borderId="1" xfId="0" applyBorder="1"/>
    <xf numFmtId="37" fontId="0" fillId="0" borderId="0" xfId="0" applyBorder="1"/>
    <xf numFmtId="37" fontId="0" fillId="0" borderId="0" xfId="0" applyBorder="1" applyAlignment="1">
      <alignment horizontal="right"/>
    </xf>
    <xf numFmtId="37" fontId="0" fillId="0" borderId="1" xfId="0" applyBorder="1" applyAlignment="1">
      <alignment horizontal="left"/>
    </xf>
    <xf numFmtId="166" fontId="0" fillId="0" borderId="0" xfId="0" applyNumberFormat="1"/>
    <xf numFmtId="172" fontId="0" fillId="0" borderId="0" xfId="0" applyNumberFormat="1"/>
    <xf numFmtId="37" fontId="0" fillId="0" borderId="0" xfId="0" applyFill="1" applyBorder="1"/>
    <xf numFmtId="39" fontId="0" fillId="0" borderId="0" xfId="0" applyNumberFormat="1"/>
    <xf numFmtId="164" fontId="0" fillId="0" borderId="0" xfId="2" applyFont="1"/>
    <xf numFmtId="3" fontId="0" fillId="0" borderId="0" xfId="0" applyNumberFormat="1" applyBorder="1" applyAlignment="1">
      <alignment horizontal="right"/>
    </xf>
    <xf numFmtId="164" fontId="0" fillId="0" borderId="0" xfId="2" applyNumberFormat="1" applyFont="1"/>
    <xf numFmtId="173" fontId="0" fillId="0" borderId="0" xfId="0" applyNumberFormat="1" applyBorder="1"/>
    <xf numFmtId="3" fontId="0" fillId="0" borderId="0" xfId="0" applyNumberFormat="1" applyFill="1" applyBorder="1"/>
    <xf numFmtId="170" fontId="0" fillId="0" borderId="0" xfId="2" applyNumberFormat="1" applyFont="1"/>
    <xf numFmtId="167" fontId="0" fillId="0" borderId="0" xfId="2" applyNumberFormat="1" applyFont="1"/>
    <xf numFmtId="169" fontId="0" fillId="0" borderId="0" xfId="0" applyNumberFormat="1"/>
    <xf numFmtId="171" fontId="0" fillId="0" borderId="0" xfId="2" applyNumberFormat="1" applyFont="1"/>
    <xf numFmtId="171" fontId="0" fillId="0" borderId="0" xfId="0" applyNumberFormat="1"/>
    <xf numFmtId="168" fontId="0" fillId="0" borderId="0" xfId="2" applyNumberFormat="1" applyFont="1"/>
    <xf numFmtId="37" fontId="3" fillId="0" borderId="2" xfId="0" applyNumberFormat="1" applyFont="1" applyFill="1" applyBorder="1" applyAlignment="1">
      <alignment horizontal="right"/>
    </xf>
    <xf numFmtId="37" fontId="3" fillId="0" borderId="0" xfId="0" applyNumberFormat="1" applyFont="1" applyBorder="1" applyAlignment="1">
      <alignment horizontal="right"/>
    </xf>
    <xf numFmtId="37" fontId="3" fillId="0" borderId="3" xfId="0" applyNumberFormat="1" applyFont="1" applyFill="1" applyBorder="1" applyAlignment="1">
      <alignment horizontal="right"/>
    </xf>
    <xf numFmtId="3" fontId="0" fillId="0" borderId="3" xfId="0" applyNumberFormat="1" applyFill="1" applyBorder="1" applyAlignment="1">
      <alignment horizontal="right"/>
    </xf>
    <xf numFmtId="37" fontId="3" fillId="0" borderId="0" xfId="0" applyNumberFormat="1" applyFont="1" applyFill="1" applyBorder="1" applyAlignment="1">
      <alignment horizontal="right"/>
    </xf>
    <xf numFmtId="171" fontId="0" fillId="0" borderId="0" xfId="2" applyNumberFormat="1" applyFont="1" applyFill="1"/>
    <xf numFmtId="164" fontId="0" fillId="0" borderId="0" xfId="2" applyNumberFormat="1" applyFont="1" applyFill="1"/>
    <xf numFmtId="39" fontId="0" fillId="0" borderId="0" xfId="0" applyNumberFormat="1" applyFill="1"/>
    <xf numFmtId="37" fontId="0" fillId="0" borderId="0" xfId="0" applyFill="1"/>
    <xf numFmtId="37" fontId="5" fillId="0" borderId="4" xfId="0" applyFont="1" applyBorder="1" applyAlignment="1">
      <alignment horizontal="fill"/>
    </xf>
    <xf numFmtId="37" fontId="5" fillId="0" borderId="5" xfId="0" applyFont="1" applyBorder="1" applyAlignment="1">
      <alignment horizontal="fill"/>
    </xf>
    <xf numFmtId="37" fontId="5" fillId="0" borderId="6" xfId="0" applyFont="1" applyBorder="1" applyAlignment="1">
      <alignment horizontal="fill"/>
    </xf>
    <xf numFmtId="37" fontId="5" fillId="0" borderId="1" xfId="0" applyFont="1" applyBorder="1"/>
    <xf numFmtId="37" fontId="5" fillId="0" borderId="0" xfId="0" applyFont="1" applyBorder="1" applyAlignment="1">
      <alignment horizontal="left"/>
    </xf>
    <xf numFmtId="37" fontId="5" fillId="0" borderId="0" xfId="0" applyFont="1" applyBorder="1"/>
    <xf numFmtId="37" fontId="6" fillId="0" borderId="3" xfId="0" applyFont="1" applyBorder="1" applyAlignment="1">
      <alignment horizontal="right"/>
    </xf>
    <xf numFmtId="37" fontId="5" fillId="0" borderId="3" xfId="0" applyFont="1" applyBorder="1"/>
    <xf numFmtId="37" fontId="5" fillId="0" borderId="1" xfId="0" applyFont="1" applyBorder="1" applyAlignment="1">
      <alignment horizontal="fill"/>
    </xf>
    <xf numFmtId="37" fontId="5" fillId="0" borderId="7" xfId="0" applyFont="1" applyBorder="1" applyAlignment="1">
      <alignment horizontal="fill"/>
    </xf>
    <xf numFmtId="37" fontId="5" fillId="0" borderId="8" xfId="0" applyFont="1" applyBorder="1" applyAlignment="1">
      <alignment horizontal="fill"/>
    </xf>
    <xf numFmtId="37" fontId="5" fillId="0" borderId="5" xfId="0" applyFont="1" applyBorder="1"/>
    <xf numFmtId="37" fontId="5" fillId="0" borderId="9" xfId="0" applyFont="1" applyBorder="1"/>
    <xf numFmtId="37" fontId="5" fillId="0" borderId="6" xfId="0" applyFont="1" applyBorder="1"/>
    <xf numFmtId="37" fontId="5" fillId="0" borderId="2" xfId="0" applyFont="1" applyBorder="1"/>
    <xf numFmtId="37" fontId="5" fillId="0" borderId="0" xfId="0" applyFont="1" applyBorder="1" applyAlignment="1">
      <alignment horizontal="right"/>
    </xf>
    <xf numFmtId="37" fontId="5" fillId="0" borderId="2" xfId="0" applyFont="1" applyBorder="1" applyAlignment="1">
      <alignment horizontal="right"/>
    </xf>
    <xf numFmtId="37" fontId="5" fillId="0" borderId="3" xfId="0" applyFont="1" applyBorder="1" applyAlignment="1">
      <alignment horizontal="right"/>
    </xf>
    <xf numFmtId="37" fontId="5" fillId="0" borderId="10" xfId="0" applyFont="1" applyBorder="1" applyAlignment="1">
      <alignment horizontal="fill"/>
    </xf>
    <xf numFmtId="3" fontId="5" fillId="0" borderId="5" xfId="0" applyNumberFormat="1" applyFont="1" applyBorder="1"/>
    <xf numFmtId="3" fontId="5" fillId="0" borderId="9" xfId="0" applyNumberFormat="1" applyFont="1" applyBorder="1"/>
    <xf numFmtId="3" fontId="5" fillId="0" borderId="0" xfId="0" applyNumberFormat="1" applyFont="1" applyBorder="1"/>
    <xf numFmtId="3" fontId="5" fillId="0" borderId="2" xfId="0" applyNumberFormat="1" applyFont="1" applyBorder="1"/>
    <xf numFmtId="37" fontId="5" fillId="0" borderId="2" xfId="0" applyFont="1" applyBorder="1" applyAlignment="1">
      <alignment horizontal="left"/>
    </xf>
    <xf numFmtId="1" fontId="5" fillId="0" borderId="2" xfId="0" applyNumberFormat="1" applyFont="1" applyBorder="1" applyAlignment="1">
      <alignment horizontal="left"/>
    </xf>
    <xf numFmtId="3" fontId="5" fillId="0" borderId="0" xfId="0" applyNumberFormat="1" applyFont="1" applyFill="1" applyBorder="1"/>
    <xf numFmtId="37" fontId="5" fillId="0" borderId="2" xfId="0" quotePrefix="1" applyFont="1" applyBorder="1" applyAlignment="1">
      <alignment horizontal="left"/>
    </xf>
    <xf numFmtId="3" fontId="5" fillId="0" borderId="3" xfId="0" applyNumberFormat="1" applyFont="1" applyBorder="1"/>
    <xf numFmtId="3" fontId="5" fillId="0" borderId="0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3" fontId="5" fillId="0" borderId="0" xfId="0" applyNumberFormat="1" applyFont="1" applyBorder="1" applyAlignment="1"/>
    <xf numFmtId="3" fontId="5" fillId="0" borderId="0" xfId="2" applyNumberFormat="1" applyFont="1" applyBorder="1" applyAlignment="1">
      <alignment horizontal="right"/>
    </xf>
    <xf numFmtId="3" fontId="5" fillId="0" borderId="2" xfId="2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6" fillId="0" borderId="2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3" fontId="6" fillId="0" borderId="2" xfId="0" applyNumberFormat="1" applyFont="1" applyBorder="1"/>
    <xf numFmtId="37" fontId="6" fillId="0" borderId="0" xfId="0" applyFont="1"/>
    <xf numFmtId="3" fontId="5" fillId="0" borderId="3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0" borderId="0" xfId="0" applyNumberFormat="1" applyFont="1" applyAlignment="1">
      <alignment horizontal="right"/>
    </xf>
    <xf numFmtId="37" fontId="5" fillId="0" borderId="0" xfId="0" applyFont="1"/>
    <xf numFmtId="3" fontId="5" fillId="0" borderId="2" xfId="2" applyNumberFormat="1" applyFont="1" applyBorder="1"/>
    <xf numFmtId="3" fontId="5" fillId="0" borderId="3" xfId="2" applyNumberFormat="1" applyFont="1" applyBorder="1"/>
    <xf numFmtId="37" fontId="5" fillId="0" borderId="2" xfId="0" applyFont="1" applyFill="1" applyBorder="1" applyAlignment="1">
      <alignment horizontal="left"/>
    </xf>
    <xf numFmtId="3" fontId="5" fillId="0" borderId="2" xfId="0" applyNumberFormat="1" applyFont="1" applyFill="1" applyBorder="1" applyAlignment="1">
      <alignment horizontal="right"/>
    </xf>
    <xf numFmtId="37" fontId="5" fillId="0" borderId="0" xfId="0" applyNumberFormat="1" applyFont="1"/>
    <xf numFmtId="37" fontId="5" fillId="0" borderId="2" xfId="0" applyNumberFormat="1" applyFont="1" applyBorder="1"/>
    <xf numFmtId="3" fontId="5" fillId="0" borderId="10" xfId="0" applyNumberFormat="1" applyFont="1" applyBorder="1"/>
    <xf numFmtId="37" fontId="5" fillId="0" borderId="4" xfId="0" applyFont="1" applyBorder="1"/>
    <xf numFmtId="167" fontId="5" fillId="0" borderId="5" xfId="2" applyNumberFormat="1" applyFont="1" applyBorder="1"/>
    <xf numFmtId="173" fontId="5" fillId="0" borderId="3" xfId="0" applyNumberFormat="1" applyFont="1" applyBorder="1"/>
    <xf numFmtId="37" fontId="5" fillId="0" borderId="11" xfId="0" applyFont="1" applyBorder="1" applyAlignment="1">
      <alignment horizontal="fill"/>
    </xf>
    <xf numFmtId="37" fontId="5" fillId="0" borderId="3" xfId="0" applyNumberFormat="1" applyFont="1" applyBorder="1"/>
    <xf numFmtId="37" fontId="5" fillId="0" borderId="2" xfId="0" applyFont="1" applyBorder="1" applyAlignment="1">
      <alignment horizontal="left" indent="1"/>
    </xf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NumberFormat="1" applyFont="1" applyBorder="1"/>
    <xf numFmtId="37" fontId="5" fillId="0" borderId="1" xfId="0" applyNumberFormat="1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Fill="1" applyBorder="1"/>
    <xf numFmtId="37" fontId="5" fillId="0" borderId="2" xfId="0" applyFont="1" applyFill="1" applyBorder="1"/>
    <xf numFmtId="3" fontId="5" fillId="0" borderId="2" xfId="0" applyNumberFormat="1" applyFont="1" applyFill="1" applyBorder="1"/>
    <xf numFmtId="168" fontId="3" fillId="0" borderId="0" xfId="2" applyNumberFormat="1" applyFont="1" applyFill="1"/>
    <xf numFmtId="164" fontId="3" fillId="0" borderId="0" xfId="2" applyNumberFormat="1" applyFont="1" applyFill="1"/>
    <xf numFmtId="37" fontId="5" fillId="0" borderId="2" xfId="0" applyFont="1" applyFill="1" applyBorder="1" applyAlignment="1">
      <alignment horizontal="left" indent="1"/>
    </xf>
    <xf numFmtId="37" fontId="6" fillId="0" borderId="1" xfId="0" applyFont="1" applyBorder="1" applyAlignment="1">
      <alignment horizontal="left"/>
    </xf>
    <xf numFmtId="37" fontId="6" fillId="0" borderId="9" xfId="0" applyFont="1" applyBorder="1" applyAlignment="1">
      <alignment horizontal="right"/>
    </xf>
    <xf numFmtId="37" fontId="2" fillId="0" borderId="2" xfId="0" applyFont="1" applyBorder="1" applyAlignment="1">
      <alignment horizontal="right"/>
    </xf>
    <xf numFmtId="37" fontId="6" fillId="0" borderId="10" xfId="0" applyFont="1" applyBorder="1"/>
    <xf numFmtId="174" fontId="5" fillId="0" borderId="2" xfId="0" applyNumberFormat="1" applyFont="1" applyBorder="1" applyAlignment="1">
      <alignment horizontal="left"/>
    </xf>
    <xf numFmtId="175" fontId="5" fillId="0" borderId="2" xfId="0" applyNumberFormat="1" applyFont="1" applyBorder="1" applyAlignment="1">
      <alignment horizontal="left"/>
    </xf>
    <xf numFmtId="3" fontId="5" fillId="0" borderId="12" xfId="0" applyNumberFormat="1" applyFont="1" applyBorder="1"/>
    <xf numFmtId="3" fontId="5" fillId="0" borderId="12" xfId="0" applyNumberFormat="1" applyFont="1" applyBorder="1" applyAlignment="1">
      <alignment horizontal="right"/>
    </xf>
    <xf numFmtId="3" fontId="5" fillId="0" borderId="12" xfId="0" applyNumberFormat="1" applyFont="1" applyBorder="1" applyAlignment="1"/>
    <xf numFmtId="3" fontId="5" fillId="0" borderId="12" xfId="2" applyNumberFormat="1" applyFont="1" applyBorder="1" applyAlignment="1">
      <alignment horizontal="right"/>
    </xf>
    <xf numFmtId="37" fontId="6" fillId="2" borderId="9" xfId="0" applyFont="1" applyFill="1" applyBorder="1" applyAlignment="1">
      <alignment horizontal="right"/>
    </xf>
    <xf numFmtId="37" fontId="5" fillId="2" borderId="5" xfId="0" applyFont="1" applyFill="1" applyBorder="1"/>
    <xf numFmtId="37" fontId="5" fillId="2" borderId="9" xfId="0" applyFont="1" applyFill="1" applyBorder="1"/>
    <xf numFmtId="37" fontId="5" fillId="2" borderId="6" xfId="0" applyFont="1" applyFill="1" applyBorder="1"/>
    <xf numFmtId="37" fontId="2" fillId="2" borderId="2" xfId="0" applyFont="1" applyFill="1" applyBorder="1" applyAlignment="1">
      <alignment horizontal="right"/>
    </xf>
    <xf numFmtId="37" fontId="5" fillId="2" borderId="0" xfId="0" applyFont="1" applyFill="1" applyBorder="1" applyAlignment="1">
      <alignment horizontal="right"/>
    </xf>
    <xf numFmtId="37" fontId="5" fillId="2" borderId="2" xfId="0" applyFont="1" applyFill="1" applyBorder="1" applyAlignment="1">
      <alignment horizontal="right"/>
    </xf>
    <xf numFmtId="37" fontId="5" fillId="2" borderId="3" xfId="0" applyFont="1" applyFill="1" applyBorder="1" applyAlignment="1">
      <alignment horizontal="right"/>
    </xf>
    <xf numFmtId="37" fontId="6" fillId="2" borderId="10" xfId="0" applyFont="1" applyFill="1" applyBorder="1"/>
    <xf numFmtId="37" fontId="5" fillId="2" borderId="7" xfId="0" applyFont="1" applyFill="1" applyBorder="1" applyAlignment="1">
      <alignment horizontal="fill"/>
    </xf>
    <xf numFmtId="37" fontId="5" fillId="2" borderId="10" xfId="0" applyFont="1" applyFill="1" applyBorder="1" applyAlignment="1">
      <alignment horizontal="fill"/>
    </xf>
    <xf numFmtId="37" fontId="6" fillId="3" borderId="9" xfId="0" applyFont="1" applyFill="1" applyBorder="1" applyAlignment="1">
      <alignment horizontal="right"/>
    </xf>
    <xf numFmtId="37" fontId="5" fillId="3" borderId="5" xfId="0" applyFont="1" applyFill="1" applyBorder="1"/>
    <xf numFmtId="37" fontId="5" fillId="3" borderId="9" xfId="0" applyFont="1" applyFill="1" applyBorder="1"/>
    <xf numFmtId="37" fontId="5" fillId="3" borderId="6" xfId="0" applyFont="1" applyFill="1" applyBorder="1"/>
    <xf numFmtId="37" fontId="2" fillId="3" borderId="2" xfId="0" applyFont="1" applyFill="1" applyBorder="1" applyAlignment="1">
      <alignment horizontal="right"/>
    </xf>
    <xf numFmtId="37" fontId="5" fillId="3" borderId="0" xfId="0" applyFont="1" applyFill="1" applyBorder="1" applyAlignment="1">
      <alignment horizontal="right"/>
    </xf>
    <xf numFmtId="37" fontId="5" fillId="3" borderId="2" xfId="0" applyFont="1" applyFill="1" applyBorder="1" applyAlignment="1">
      <alignment horizontal="right"/>
    </xf>
    <xf numFmtId="37" fontId="5" fillId="3" borderId="3" xfId="0" applyFont="1" applyFill="1" applyBorder="1" applyAlignment="1">
      <alignment horizontal="right"/>
    </xf>
    <xf numFmtId="37" fontId="6" fillId="3" borderId="10" xfId="0" applyFont="1" applyFill="1" applyBorder="1"/>
    <xf numFmtId="37" fontId="5" fillId="3" borderId="7" xfId="0" applyFont="1" applyFill="1" applyBorder="1" applyAlignment="1">
      <alignment horizontal="fill"/>
    </xf>
    <xf numFmtId="37" fontId="5" fillId="3" borderId="10" xfId="0" applyFont="1" applyFill="1" applyBorder="1" applyAlignment="1">
      <alignment horizontal="fill"/>
    </xf>
    <xf numFmtId="37" fontId="7" fillId="0" borderId="0" xfId="0" applyFont="1"/>
    <xf numFmtId="37" fontId="8" fillId="0" borderId="0" xfId="0" applyFont="1"/>
    <xf numFmtId="37" fontId="9" fillId="0" borderId="0" xfId="0" applyFont="1"/>
    <xf numFmtId="37" fontId="10" fillId="4" borderId="13" xfId="0" applyFont="1" applyFill="1" applyBorder="1"/>
    <xf numFmtId="37" fontId="7" fillId="5" borderId="0" xfId="0" applyFont="1" applyFill="1"/>
    <xf numFmtId="49" fontId="7" fillId="5" borderId="0" xfId="0" applyNumberFormat="1" applyFont="1" applyFill="1" applyAlignment="1">
      <alignment horizontal="right"/>
    </xf>
    <xf numFmtId="49" fontId="7" fillId="5" borderId="0" xfId="0" quotePrefix="1" applyNumberFormat="1" applyFont="1" applyFill="1" applyAlignment="1">
      <alignment horizontal="right"/>
    </xf>
    <xf numFmtId="37" fontId="11" fillId="5" borderId="14" xfId="0" applyFont="1" applyFill="1" applyBorder="1"/>
    <xf numFmtId="37" fontId="7" fillId="5" borderId="14" xfId="0" applyFont="1" applyFill="1" applyBorder="1"/>
    <xf numFmtId="177" fontId="7" fillId="0" borderId="0" xfId="0" applyNumberFormat="1" applyFont="1" applyAlignment="1">
      <alignment horizontal="left"/>
    </xf>
    <xf numFmtId="178" fontId="4" fillId="0" borderId="0" xfId="1" applyNumberFormat="1" applyAlignment="1" applyProtection="1"/>
    <xf numFmtId="37" fontId="12" fillId="6" borderId="12" xfId="0" applyFont="1" applyFill="1" applyBorder="1" applyAlignment="1" applyProtection="1">
      <alignment horizontal="center"/>
      <protection locked="0"/>
    </xf>
    <xf numFmtId="3" fontId="5" fillId="0" borderId="0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 horizontal="right"/>
    </xf>
    <xf numFmtId="175" fontId="5" fillId="0" borderId="2" xfId="0" applyNumberFormat="1" applyFont="1" applyFill="1" applyBorder="1" applyAlignment="1">
      <alignment horizontal="left"/>
    </xf>
    <xf numFmtId="37" fontId="5" fillId="7" borderId="4" xfId="0" applyFont="1" applyFill="1" applyBorder="1"/>
    <xf numFmtId="37" fontId="5" fillId="7" borderId="5" xfId="0" applyFont="1" applyFill="1" applyBorder="1" applyAlignment="1">
      <alignment horizontal="left"/>
    </xf>
    <xf numFmtId="37" fontId="5" fillId="7" borderId="5" xfId="0" applyFont="1" applyFill="1" applyBorder="1"/>
    <xf numFmtId="37" fontId="6" fillId="7" borderId="6" xfId="0" applyFont="1" applyFill="1" applyBorder="1" applyAlignment="1">
      <alignment horizontal="right"/>
    </xf>
    <xf numFmtId="37" fontId="5" fillId="7" borderId="11" xfId="0" applyFont="1" applyFill="1" applyBorder="1" applyAlignment="1">
      <alignment horizontal="fill"/>
    </xf>
    <xf numFmtId="37" fontId="5" fillId="7" borderId="7" xfId="0" applyFont="1" applyFill="1" applyBorder="1" applyAlignment="1">
      <alignment horizontal="fill"/>
    </xf>
    <xf numFmtId="37" fontId="5" fillId="7" borderId="8" xfId="0" applyFont="1" applyFill="1" applyBorder="1" applyAlignment="1">
      <alignment horizontal="fill"/>
    </xf>
    <xf numFmtId="176" fontId="7" fillId="5" borderId="0" xfId="0" applyNumberFormat="1" applyFont="1" applyFill="1" applyAlignment="1">
      <alignment horizontal="right"/>
    </xf>
    <xf numFmtId="37" fontId="4" fillId="5" borderId="0" xfId="1" applyNumberFormat="1" applyFill="1" applyAlignment="1" applyProtection="1"/>
    <xf numFmtId="37" fontId="4" fillId="0" borderId="0" xfId="1" applyNumberFormat="1" applyBorder="1" applyAlignment="1" applyProtection="1">
      <alignment horizontal="right"/>
    </xf>
    <xf numFmtId="37" fontId="4" fillId="0" borderId="0" xfId="1" applyNumberFormat="1" applyAlignment="1" applyProtection="1"/>
    <xf numFmtId="174" fontId="5" fillId="0" borderId="12" xfId="0" applyNumberFormat="1" applyFont="1" applyBorder="1" applyAlignment="1">
      <alignment horizontal="left"/>
    </xf>
    <xf numFmtId="3" fontId="5" fillId="8" borderId="0" xfId="0" applyNumberFormat="1" applyFont="1" applyFill="1" applyBorder="1" applyAlignment="1">
      <alignment horizontal="right"/>
    </xf>
    <xf numFmtId="3" fontId="5" fillId="8" borderId="2" xfId="0" applyNumberFormat="1" applyFont="1" applyFill="1" applyBorder="1" applyAlignment="1">
      <alignment horizontal="right"/>
    </xf>
    <xf numFmtId="174" fontId="5" fillId="0" borderId="1" xfId="0" applyNumberFormat="1" applyFont="1" applyBorder="1" applyAlignment="1">
      <alignment horizontal="left"/>
    </xf>
    <xf numFmtId="37" fontId="6" fillId="0" borderId="1" xfId="0" applyFont="1" applyBorder="1" applyAlignment="1">
      <alignment horizontal="center"/>
    </xf>
    <xf numFmtId="37" fontId="5" fillId="0" borderId="0" xfId="0" applyFont="1" applyAlignment="1">
      <alignment horizontal="center"/>
    </xf>
    <xf numFmtId="37" fontId="5" fillId="0" borderId="3" xfId="0" applyFont="1" applyBorder="1" applyAlignment="1">
      <alignment horizontal="center"/>
    </xf>
    <xf numFmtId="165" fontId="6" fillId="0" borderId="1" xfId="0" applyNumberFormat="1" applyFont="1" applyBorder="1" applyAlignment="1" applyProtection="1">
      <alignment horizontal="center"/>
    </xf>
    <xf numFmtId="165" fontId="6" fillId="0" borderId="0" xfId="0" applyNumberFormat="1" applyFont="1" applyBorder="1" applyAlignment="1" applyProtection="1">
      <alignment horizontal="center"/>
    </xf>
    <xf numFmtId="165" fontId="6" fillId="0" borderId="3" xfId="0" applyNumberFormat="1" applyFont="1" applyBorder="1" applyAlignment="1" applyProtection="1">
      <alignment horizontal="center"/>
    </xf>
    <xf numFmtId="37" fontId="6" fillId="7" borderId="1" xfId="0" applyFont="1" applyFill="1" applyBorder="1" applyAlignment="1">
      <alignment horizontal="center"/>
    </xf>
    <xf numFmtId="37" fontId="5" fillId="7" borderId="0" xfId="0" applyFont="1" applyFill="1" applyBorder="1" applyAlignment="1">
      <alignment horizontal="center"/>
    </xf>
    <xf numFmtId="37" fontId="5" fillId="7" borderId="3" xfId="0" applyFont="1" applyFill="1" applyBorder="1" applyAlignment="1">
      <alignment horizontal="center"/>
    </xf>
    <xf numFmtId="165" fontId="6" fillId="7" borderId="1" xfId="0" applyNumberFormat="1" applyFont="1" applyFill="1" applyBorder="1" applyAlignment="1" applyProtection="1">
      <alignment horizontal="center"/>
    </xf>
    <xf numFmtId="165" fontId="6" fillId="7" borderId="0" xfId="0" applyNumberFormat="1" applyFont="1" applyFill="1" applyBorder="1" applyAlignment="1" applyProtection="1">
      <alignment horizontal="center"/>
    </xf>
    <xf numFmtId="165" fontId="6" fillId="7" borderId="3" xfId="0" applyNumberFormat="1" applyFont="1" applyFill="1" applyBorder="1" applyAlignment="1" applyProtection="1">
      <alignment horizontal="center"/>
    </xf>
  </cellXfs>
  <cellStyles count="3">
    <cellStyle name="Lien hypertexte" xfId="1" builtinId="8"/>
    <cellStyle name="Milliers" xfId="2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10583</xdr:rowOff>
    </xdr:from>
    <xdr:to>
      <xdr:col>2</xdr:col>
      <xdr:colOff>10583</xdr:colOff>
      <xdr:row>9</xdr:row>
      <xdr:rowOff>10583</xdr:rowOff>
    </xdr:to>
    <xdr:cxnSp macro="">
      <xdr:nvCxnSpPr>
        <xdr:cNvPr id="3" name="Connecteur droit 2"/>
        <xdr:cNvCxnSpPr/>
      </xdr:nvCxnSpPr>
      <xdr:spPr>
        <a:xfrm>
          <a:off x="0" y="1217083"/>
          <a:ext cx="1174750" cy="6032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10583</xdr:rowOff>
    </xdr:from>
    <xdr:to>
      <xdr:col>2</xdr:col>
      <xdr:colOff>10583</xdr:colOff>
      <xdr:row>9</xdr:row>
      <xdr:rowOff>10583</xdr:rowOff>
    </xdr:to>
    <xdr:cxnSp macro="">
      <xdr:nvCxnSpPr>
        <xdr:cNvPr id="2" name="Connecteur droit 2"/>
        <xdr:cNvCxnSpPr/>
      </xdr:nvCxnSpPr>
      <xdr:spPr>
        <a:xfrm>
          <a:off x="0" y="1210733"/>
          <a:ext cx="1172633" cy="6000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10583</xdr:rowOff>
    </xdr:from>
    <xdr:to>
      <xdr:col>2</xdr:col>
      <xdr:colOff>10583</xdr:colOff>
      <xdr:row>8</xdr:row>
      <xdr:rowOff>0</xdr:rowOff>
    </xdr:to>
    <xdr:cxnSp macro="">
      <xdr:nvCxnSpPr>
        <xdr:cNvPr id="2" name="Connecteur droit 2"/>
        <xdr:cNvCxnSpPr/>
      </xdr:nvCxnSpPr>
      <xdr:spPr>
        <a:xfrm>
          <a:off x="0" y="1210733"/>
          <a:ext cx="1172633" cy="6000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10583</xdr:rowOff>
    </xdr:from>
    <xdr:to>
      <xdr:col>2</xdr:col>
      <xdr:colOff>10583</xdr:colOff>
      <xdr:row>8</xdr:row>
      <xdr:rowOff>0</xdr:rowOff>
    </xdr:to>
    <xdr:cxnSp macro="">
      <xdr:nvCxnSpPr>
        <xdr:cNvPr id="2" name="Connecteur droit 2"/>
        <xdr:cNvCxnSpPr/>
      </xdr:nvCxnSpPr>
      <xdr:spPr>
        <a:xfrm>
          <a:off x="0" y="1210733"/>
          <a:ext cx="1172633" cy="6000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10583</xdr:rowOff>
    </xdr:from>
    <xdr:to>
      <xdr:col>2</xdr:col>
      <xdr:colOff>10583</xdr:colOff>
      <xdr:row>7</xdr:row>
      <xdr:rowOff>0</xdr:rowOff>
    </xdr:to>
    <xdr:cxnSp macro="">
      <xdr:nvCxnSpPr>
        <xdr:cNvPr id="2" name="Connecteur droit 2"/>
        <xdr:cNvCxnSpPr/>
      </xdr:nvCxnSpPr>
      <xdr:spPr>
        <a:xfrm>
          <a:off x="0" y="1210733"/>
          <a:ext cx="1172633" cy="58949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rb.bi/fr/content/secteur-r%C3%A9el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K430"/>
  <sheetViews>
    <sheetView showGridLines="0" topLeftCell="B1" zoomScale="90" workbookViewId="0">
      <pane xSplit="1" ySplit="9" topLeftCell="C70" activePane="bottomRight" state="frozen"/>
      <selection activeCell="C27" sqref="C27"/>
      <selection pane="topRight" activeCell="C27" sqref="C27"/>
      <selection pane="bottomLeft" activeCell="C27" sqref="C27"/>
      <selection pane="bottomRight" activeCell="C27" sqref="C27"/>
    </sheetView>
  </sheetViews>
  <sheetFormatPr baseColWidth="10" defaultColWidth="12.6640625" defaultRowHeight="15.75" x14ac:dyDescent="0.25"/>
  <cols>
    <col min="1" max="1" width="10.77734375" hidden="1" customWidth="1"/>
    <col min="2" max="2" width="13.5546875" customWidth="1"/>
    <col min="3" max="3" width="17.5546875" customWidth="1"/>
    <col min="4" max="4" width="18.21875" customWidth="1"/>
    <col min="5" max="5" width="19.21875" customWidth="1"/>
    <col min="6" max="6" width="18.109375" customWidth="1"/>
    <col min="7" max="7" width="16.88671875" customWidth="1"/>
    <col min="8" max="8" width="17.88671875" customWidth="1"/>
  </cols>
  <sheetData>
    <row r="1" spans="2:8" x14ac:dyDescent="0.25">
      <c r="B1" s="29"/>
      <c r="C1" s="30"/>
      <c r="D1" s="30"/>
      <c r="E1" s="30"/>
      <c r="F1" s="31"/>
    </row>
    <row r="2" spans="2:8" x14ac:dyDescent="0.25">
      <c r="B2" s="32"/>
      <c r="C2" s="33" t="s">
        <v>0</v>
      </c>
      <c r="D2" s="34"/>
      <c r="E2" s="34"/>
      <c r="F2" s="35" t="s">
        <v>64</v>
      </c>
    </row>
    <row r="3" spans="2:8" x14ac:dyDescent="0.25">
      <c r="B3" s="32"/>
      <c r="C3" s="34"/>
      <c r="D3" s="34"/>
      <c r="E3" s="34"/>
      <c r="F3" s="36"/>
    </row>
    <row r="4" spans="2:8" x14ac:dyDescent="0.25">
      <c r="B4" s="176" t="s">
        <v>56</v>
      </c>
      <c r="C4" s="177"/>
      <c r="D4" s="177"/>
      <c r="E4" s="177"/>
      <c r="F4" s="178"/>
      <c r="G4" t="s">
        <v>43</v>
      </c>
    </row>
    <row r="5" spans="2:8" x14ac:dyDescent="0.25">
      <c r="B5" s="179" t="s">
        <v>59</v>
      </c>
      <c r="C5" s="180"/>
      <c r="D5" s="180"/>
      <c r="E5" s="180"/>
      <c r="F5" s="181"/>
      <c r="H5" s="9"/>
    </row>
    <row r="6" spans="2:8" x14ac:dyDescent="0.25">
      <c r="B6" s="37"/>
      <c r="C6" s="38"/>
      <c r="D6" s="38"/>
      <c r="E6" s="38"/>
      <c r="F6" s="39"/>
      <c r="H6" s="8"/>
    </row>
    <row r="7" spans="2:8" x14ac:dyDescent="0.25">
      <c r="B7" s="115"/>
      <c r="C7" s="40"/>
      <c r="D7" s="41"/>
      <c r="E7" s="41"/>
      <c r="F7" s="42"/>
    </row>
    <row r="8" spans="2:8" x14ac:dyDescent="0.25">
      <c r="B8" s="116" t="s">
        <v>70</v>
      </c>
      <c r="C8" s="44" t="s">
        <v>1</v>
      </c>
      <c r="D8" s="45" t="s">
        <v>2</v>
      </c>
      <c r="E8" s="45" t="s">
        <v>67</v>
      </c>
      <c r="F8" s="46" t="s">
        <v>3</v>
      </c>
    </row>
    <row r="9" spans="2:8" x14ac:dyDescent="0.25">
      <c r="B9" s="117" t="s">
        <v>66</v>
      </c>
      <c r="C9" s="38"/>
      <c r="D9" s="47"/>
      <c r="E9" s="47"/>
      <c r="F9" s="47"/>
      <c r="G9" s="4"/>
      <c r="H9" s="2"/>
    </row>
    <row r="10" spans="2:8" x14ac:dyDescent="0.25">
      <c r="B10" s="41"/>
      <c r="C10" s="48"/>
      <c r="D10" s="49"/>
      <c r="E10" s="49"/>
      <c r="F10" s="49"/>
    </row>
    <row r="11" spans="2:8" x14ac:dyDescent="0.25">
      <c r="B11" s="43"/>
      <c r="C11" s="50"/>
      <c r="D11" s="51"/>
      <c r="E11" s="51"/>
      <c r="F11" s="51"/>
    </row>
    <row r="12" spans="2:8" x14ac:dyDescent="0.25">
      <c r="B12" s="52" t="s">
        <v>4</v>
      </c>
      <c r="C12" s="50">
        <v>117827</v>
      </c>
      <c r="D12" s="51">
        <v>3806</v>
      </c>
      <c r="E12" s="51">
        <v>6886</v>
      </c>
      <c r="F12" s="51">
        <v>128519</v>
      </c>
    </row>
    <row r="13" spans="2:8" x14ac:dyDescent="0.25">
      <c r="B13" s="52" t="s">
        <v>5</v>
      </c>
      <c r="C13" s="50">
        <v>90365</v>
      </c>
      <c r="D13" s="51">
        <v>4457</v>
      </c>
      <c r="E13" s="51">
        <v>5963</v>
      </c>
      <c r="F13" s="51">
        <f t="shared" ref="F13:F18" si="0">SUM(C13:E13)</f>
        <v>100785</v>
      </c>
    </row>
    <row r="14" spans="2:8" x14ac:dyDescent="0.25">
      <c r="B14" s="53">
        <v>1997</v>
      </c>
      <c r="C14" s="50">
        <v>118824</v>
      </c>
      <c r="D14" s="51">
        <v>3888</v>
      </c>
      <c r="E14" s="51">
        <v>5917</v>
      </c>
      <c r="F14" s="51">
        <f t="shared" si="0"/>
        <v>128629</v>
      </c>
    </row>
    <row r="15" spans="2:8" x14ac:dyDescent="0.25">
      <c r="B15" s="52" t="s">
        <v>6</v>
      </c>
      <c r="C15" s="50">
        <v>123720</v>
      </c>
      <c r="D15" s="51">
        <v>8775</v>
      </c>
      <c r="E15" s="51">
        <v>8068</v>
      </c>
      <c r="F15" s="51">
        <f t="shared" si="0"/>
        <v>140563</v>
      </c>
      <c r="G15" s="7"/>
      <c r="H15" s="2"/>
    </row>
    <row r="16" spans="2:8" x14ac:dyDescent="0.25">
      <c r="B16" s="52" t="s">
        <v>7</v>
      </c>
      <c r="C16" s="50">
        <v>130554</v>
      </c>
      <c r="D16" s="51">
        <v>8566</v>
      </c>
      <c r="E16" s="51">
        <v>7867</v>
      </c>
      <c r="F16" s="51">
        <f t="shared" si="0"/>
        <v>146987</v>
      </c>
    </row>
    <row r="17" spans="2:8" x14ac:dyDescent="0.25">
      <c r="B17" s="52" t="s">
        <v>13</v>
      </c>
      <c r="C17" s="50">
        <v>129194.38399999999</v>
      </c>
      <c r="D17" s="51">
        <v>6183.32</v>
      </c>
      <c r="E17" s="51">
        <v>8491.7055</v>
      </c>
      <c r="F17" s="51">
        <f t="shared" si="0"/>
        <v>143869.40950000001</v>
      </c>
    </row>
    <row r="18" spans="2:8" x14ac:dyDescent="0.25">
      <c r="B18" s="53">
        <v>2001</v>
      </c>
      <c r="C18" s="54">
        <v>126697</v>
      </c>
      <c r="D18" s="51">
        <v>3786</v>
      </c>
      <c r="E18" s="51">
        <v>9596</v>
      </c>
      <c r="F18" s="51">
        <f t="shared" si="0"/>
        <v>140079</v>
      </c>
      <c r="H18" s="13"/>
    </row>
    <row r="19" spans="2:8" x14ac:dyDescent="0.25">
      <c r="B19" s="55" t="s">
        <v>28</v>
      </c>
      <c r="C19" s="54">
        <v>142003</v>
      </c>
      <c r="D19" s="51">
        <v>3356</v>
      </c>
      <c r="E19" s="51">
        <v>9035</v>
      </c>
      <c r="F19" s="51">
        <v>154393</v>
      </c>
      <c r="H19" s="13"/>
    </row>
    <row r="20" spans="2:8" x14ac:dyDescent="0.25">
      <c r="B20" s="43"/>
      <c r="C20" s="50"/>
      <c r="D20" s="51"/>
      <c r="E20" s="51"/>
      <c r="F20" s="51"/>
    </row>
    <row r="21" spans="2:8" x14ac:dyDescent="0.25">
      <c r="B21" s="52" t="s">
        <v>6</v>
      </c>
      <c r="C21" s="50"/>
      <c r="D21" s="51"/>
      <c r="E21" s="51"/>
      <c r="F21" s="51"/>
    </row>
    <row r="22" spans="2:8" x14ac:dyDescent="0.25">
      <c r="B22" s="52" t="s">
        <v>8</v>
      </c>
      <c r="C22" s="50">
        <v>28370</v>
      </c>
      <c r="D22" s="51">
        <v>1768</v>
      </c>
      <c r="E22" s="51">
        <v>2266</v>
      </c>
      <c r="F22" s="51">
        <v>32404</v>
      </c>
    </row>
    <row r="23" spans="2:8" x14ac:dyDescent="0.25">
      <c r="B23" s="52" t="s">
        <v>9</v>
      </c>
      <c r="C23" s="50">
        <v>28254</v>
      </c>
      <c r="D23" s="51">
        <v>2247</v>
      </c>
      <c r="E23" s="51">
        <v>2194</v>
      </c>
      <c r="F23" s="51">
        <v>32695</v>
      </c>
    </row>
    <row r="24" spans="2:8" x14ac:dyDescent="0.25">
      <c r="B24" s="52" t="s">
        <v>10</v>
      </c>
      <c r="C24" s="50">
        <v>32595</v>
      </c>
      <c r="D24" s="51">
        <v>2508</v>
      </c>
      <c r="E24" s="51">
        <v>1671</v>
      </c>
      <c r="F24" s="51">
        <v>36774</v>
      </c>
    </row>
    <row r="25" spans="2:8" x14ac:dyDescent="0.25">
      <c r="B25" s="52" t="s">
        <v>11</v>
      </c>
      <c r="C25" s="50">
        <v>34501</v>
      </c>
      <c r="D25" s="51">
        <v>2252</v>
      </c>
      <c r="E25" s="51">
        <v>1937</v>
      </c>
      <c r="F25" s="51">
        <v>38690</v>
      </c>
    </row>
    <row r="26" spans="2:8" x14ac:dyDescent="0.25">
      <c r="B26" s="43"/>
      <c r="C26" s="50"/>
      <c r="D26" s="51"/>
      <c r="E26" s="51"/>
      <c r="F26" s="51"/>
    </row>
    <row r="27" spans="2:8" x14ac:dyDescent="0.25">
      <c r="B27" s="52" t="s">
        <v>7</v>
      </c>
      <c r="C27" s="50"/>
      <c r="D27" s="51"/>
      <c r="E27" s="51"/>
      <c r="F27" s="51"/>
    </row>
    <row r="28" spans="2:8" x14ac:dyDescent="0.25">
      <c r="B28" s="52" t="s">
        <v>8</v>
      </c>
      <c r="C28" s="50">
        <v>32159</v>
      </c>
      <c r="D28" s="51">
        <v>2189</v>
      </c>
      <c r="E28" s="51">
        <v>2230</v>
      </c>
      <c r="F28" s="51">
        <f>SUM(C28:E28)</f>
        <v>36578</v>
      </c>
    </row>
    <row r="29" spans="2:8" x14ac:dyDescent="0.25">
      <c r="B29" s="52" t="s">
        <v>9</v>
      </c>
      <c r="C29" s="50">
        <v>33427</v>
      </c>
      <c r="D29" s="51">
        <v>2498</v>
      </c>
      <c r="E29" s="51">
        <v>1946</v>
      </c>
      <c r="F29" s="51">
        <f>SUM(C29:E29)</f>
        <v>37871</v>
      </c>
    </row>
    <row r="30" spans="2:8" x14ac:dyDescent="0.25">
      <c r="B30" s="52" t="s">
        <v>10</v>
      </c>
      <c r="C30" s="50">
        <v>33824</v>
      </c>
      <c r="D30" s="51">
        <v>1844</v>
      </c>
      <c r="E30" s="51">
        <v>1800</v>
      </c>
      <c r="F30" s="51">
        <f>SUM(C30:E30)</f>
        <v>37468</v>
      </c>
    </row>
    <row r="31" spans="2:8" x14ac:dyDescent="0.25">
      <c r="B31" s="52" t="s">
        <v>12</v>
      </c>
      <c r="C31" s="50">
        <v>31144</v>
      </c>
      <c r="D31" s="51">
        <v>2035</v>
      </c>
      <c r="E31" s="51">
        <v>1891</v>
      </c>
      <c r="F31" s="51">
        <f>SUM(C31:E31)</f>
        <v>35070</v>
      </c>
    </row>
    <row r="32" spans="2:8" x14ac:dyDescent="0.25">
      <c r="B32" s="55" t="s">
        <v>29</v>
      </c>
      <c r="C32" s="50">
        <v>143178.03</v>
      </c>
      <c r="D32" s="51">
        <v>3592.3</v>
      </c>
      <c r="E32" s="51">
        <v>7758.0770000000002</v>
      </c>
      <c r="F32" s="51">
        <f>SUM(C32:E32)</f>
        <v>154528.40699999998</v>
      </c>
      <c r="H32" s="13"/>
    </row>
    <row r="33" spans="2:8" x14ac:dyDescent="0.25">
      <c r="B33" s="55" t="s">
        <v>31</v>
      </c>
      <c r="C33" s="50"/>
      <c r="D33" s="51"/>
      <c r="E33" s="51"/>
      <c r="F33" s="51"/>
    </row>
    <row r="34" spans="2:8" x14ac:dyDescent="0.25">
      <c r="B34" s="55" t="s">
        <v>32</v>
      </c>
      <c r="C34" s="50"/>
      <c r="D34" s="51"/>
      <c r="E34" s="51"/>
      <c r="F34" s="51"/>
    </row>
    <row r="35" spans="2:8" x14ac:dyDescent="0.25">
      <c r="B35" s="55" t="s">
        <v>33</v>
      </c>
      <c r="C35" s="50">
        <v>29721</v>
      </c>
      <c r="D35" s="51">
        <v>2396</v>
      </c>
      <c r="E35" s="51">
        <v>2650</v>
      </c>
      <c r="F35" s="51">
        <f>SUM(C35:E35)</f>
        <v>34767</v>
      </c>
    </row>
    <row r="36" spans="2:8" x14ac:dyDescent="0.25">
      <c r="B36" s="55" t="s">
        <v>34</v>
      </c>
      <c r="C36" s="50">
        <v>32206</v>
      </c>
      <c r="D36" s="51">
        <v>1872</v>
      </c>
      <c r="E36" s="51">
        <v>2515</v>
      </c>
      <c r="F36" s="51">
        <f>SUM(C36:E36)</f>
        <v>36593</v>
      </c>
    </row>
    <row r="37" spans="2:8" x14ac:dyDescent="0.25">
      <c r="B37" s="55" t="s">
        <v>35</v>
      </c>
      <c r="C37" s="50">
        <v>33805.252999999997</v>
      </c>
      <c r="D37" s="51">
        <v>897.03</v>
      </c>
      <c r="E37" s="51">
        <v>1482.9875</v>
      </c>
      <c r="F37" s="51">
        <f>SUM(C37:E37)</f>
        <v>36185.270499999999</v>
      </c>
    </row>
    <row r="38" spans="2:8" x14ac:dyDescent="0.25">
      <c r="B38" s="55" t="s">
        <v>36</v>
      </c>
      <c r="C38" s="50">
        <v>33462.130999999994</v>
      </c>
      <c r="D38" s="51">
        <v>1018.29</v>
      </c>
      <c r="E38" s="51">
        <v>1843.7179999999998</v>
      </c>
      <c r="F38" s="51">
        <f>SUM(C38:E38)</f>
        <v>36324.138999999996</v>
      </c>
    </row>
    <row r="39" spans="2:8" x14ac:dyDescent="0.25">
      <c r="B39" s="55" t="s">
        <v>37</v>
      </c>
      <c r="C39" s="50"/>
      <c r="D39" s="51"/>
      <c r="E39" s="51"/>
      <c r="F39" s="51"/>
    </row>
    <row r="40" spans="2:8" x14ac:dyDescent="0.25">
      <c r="B40" s="55" t="s">
        <v>38</v>
      </c>
      <c r="C40" s="50"/>
      <c r="D40" s="51"/>
      <c r="E40" s="51"/>
      <c r="F40" s="51"/>
    </row>
    <row r="41" spans="2:8" x14ac:dyDescent="0.25">
      <c r="B41" s="55" t="s">
        <v>39</v>
      </c>
      <c r="C41" s="50">
        <v>26469</v>
      </c>
      <c r="D41" s="51">
        <v>821</v>
      </c>
      <c r="E41" s="51">
        <v>2533</v>
      </c>
      <c r="F41" s="51">
        <f>SUM(C41:E41)</f>
        <v>29823</v>
      </c>
    </row>
    <row r="42" spans="2:8" x14ac:dyDescent="0.25">
      <c r="B42" s="55" t="s">
        <v>40</v>
      </c>
      <c r="C42" s="56">
        <v>30891</v>
      </c>
      <c r="D42" s="56">
        <v>1151</v>
      </c>
      <c r="E42" s="56">
        <v>2825.9629999999997</v>
      </c>
      <c r="F42" s="51">
        <f>SUM(C42:E42)</f>
        <v>34867.963000000003</v>
      </c>
    </row>
    <row r="43" spans="2:8" x14ac:dyDescent="0.25">
      <c r="B43" s="55" t="s">
        <v>41</v>
      </c>
      <c r="C43" s="50">
        <v>33029</v>
      </c>
      <c r="D43" s="51">
        <v>1196</v>
      </c>
      <c r="E43" s="51">
        <v>1949.7570000000001</v>
      </c>
      <c r="F43" s="51">
        <f>SUM(C43:E43)</f>
        <v>36174.756999999998</v>
      </c>
    </row>
    <row r="44" spans="2:8" x14ac:dyDescent="0.25">
      <c r="B44" s="55" t="s">
        <v>42</v>
      </c>
      <c r="C44" s="56">
        <v>36307.5</v>
      </c>
      <c r="D44" s="56">
        <v>617.71500000000003</v>
      </c>
      <c r="E44" s="56">
        <v>2287.4210000000003</v>
      </c>
      <c r="F44" s="51">
        <f>SUM(C44:E44)</f>
        <v>39212.635999999999</v>
      </c>
    </row>
    <row r="45" spans="2:8" x14ac:dyDescent="0.25">
      <c r="B45" s="55" t="s">
        <v>31</v>
      </c>
      <c r="C45" s="56">
        <v>147645</v>
      </c>
      <c r="D45" s="56">
        <v>10162.93</v>
      </c>
      <c r="E45" s="56">
        <v>6856</v>
      </c>
      <c r="F45" s="51">
        <v>164664</v>
      </c>
      <c r="H45" s="13"/>
    </row>
    <row r="46" spans="2:8" x14ac:dyDescent="0.25">
      <c r="B46" s="52"/>
      <c r="C46" s="56"/>
      <c r="D46" s="56"/>
      <c r="E46" s="56"/>
      <c r="F46" s="51">
        <f t="shared" ref="F46:F103" si="1">SUM(C46:E46)</f>
        <v>0</v>
      </c>
    </row>
    <row r="47" spans="2:8" x14ac:dyDescent="0.25">
      <c r="B47" s="55" t="s">
        <v>28</v>
      </c>
      <c r="C47" s="56"/>
      <c r="D47" s="56"/>
      <c r="E47" s="56"/>
      <c r="F47" s="51">
        <f t="shared" si="1"/>
        <v>0</v>
      </c>
    </row>
    <row r="48" spans="2:8" x14ac:dyDescent="0.25">
      <c r="B48" s="52" t="s">
        <v>8</v>
      </c>
      <c r="C48" s="57">
        <v>35235.56</v>
      </c>
      <c r="D48" s="51">
        <v>722</v>
      </c>
      <c r="E48" s="51">
        <v>2644.3969999999999</v>
      </c>
      <c r="F48" s="51">
        <f t="shared" si="1"/>
        <v>38601.956999999995</v>
      </c>
    </row>
    <row r="49" spans="2:6" x14ac:dyDescent="0.25">
      <c r="B49" s="52" t="s">
        <v>13</v>
      </c>
      <c r="C49" s="50"/>
      <c r="D49" s="51"/>
      <c r="E49" s="51"/>
      <c r="F49" s="51">
        <f t="shared" si="1"/>
        <v>0</v>
      </c>
    </row>
    <row r="50" spans="2:6" x14ac:dyDescent="0.25">
      <c r="B50" s="52" t="s">
        <v>22</v>
      </c>
      <c r="C50" s="50">
        <v>9816</v>
      </c>
      <c r="D50" s="51">
        <v>844</v>
      </c>
      <c r="E50" s="51">
        <v>827</v>
      </c>
      <c r="F50" s="51">
        <f t="shared" si="1"/>
        <v>11487</v>
      </c>
    </row>
    <row r="51" spans="2:6" x14ac:dyDescent="0.25">
      <c r="B51" s="52" t="s">
        <v>23</v>
      </c>
      <c r="C51" s="50">
        <v>9589</v>
      </c>
      <c r="D51" s="51">
        <v>789</v>
      </c>
      <c r="E51" s="51">
        <v>914</v>
      </c>
      <c r="F51" s="51">
        <f t="shared" si="1"/>
        <v>11292</v>
      </c>
    </row>
    <row r="52" spans="2:6" x14ac:dyDescent="0.25">
      <c r="B52" s="52" t="s">
        <v>24</v>
      </c>
      <c r="C52" s="50">
        <v>10316</v>
      </c>
      <c r="D52" s="51">
        <v>763</v>
      </c>
      <c r="E52" s="51">
        <v>909</v>
      </c>
      <c r="F52" s="51">
        <f t="shared" si="1"/>
        <v>11988</v>
      </c>
    </row>
    <row r="53" spans="2:6" x14ac:dyDescent="0.25">
      <c r="B53" s="52" t="s">
        <v>14</v>
      </c>
      <c r="C53" s="50">
        <v>10113</v>
      </c>
      <c r="D53" s="51">
        <v>608</v>
      </c>
      <c r="E53" s="51">
        <v>874</v>
      </c>
      <c r="F53" s="51">
        <f t="shared" si="1"/>
        <v>11595</v>
      </c>
    </row>
    <row r="54" spans="2:6" x14ac:dyDescent="0.25">
      <c r="B54" s="52" t="s">
        <v>15</v>
      </c>
      <c r="C54" s="50">
        <v>11157</v>
      </c>
      <c r="D54" s="51">
        <v>681</v>
      </c>
      <c r="E54" s="51">
        <v>879</v>
      </c>
      <c r="F54" s="51">
        <f t="shared" si="1"/>
        <v>12717</v>
      </c>
    </row>
    <row r="55" spans="2:6" x14ac:dyDescent="0.25">
      <c r="B55" s="52" t="s">
        <v>25</v>
      </c>
      <c r="C55" s="50">
        <v>10936</v>
      </c>
      <c r="D55" s="51">
        <v>583</v>
      </c>
      <c r="E55" s="51">
        <v>762</v>
      </c>
      <c r="F55" s="51">
        <f t="shared" si="1"/>
        <v>12281</v>
      </c>
    </row>
    <row r="56" spans="2:6" x14ac:dyDescent="0.25">
      <c r="B56" s="52" t="s">
        <v>16</v>
      </c>
      <c r="C56" s="50">
        <v>10657</v>
      </c>
      <c r="D56" s="51">
        <v>384</v>
      </c>
      <c r="E56" s="51">
        <v>490</v>
      </c>
      <c r="F56" s="51">
        <f t="shared" si="1"/>
        <v>11531</v>
      </c>
    </row>
    <row r="57" spans="2:6" x14ac:dyDescent="0.25">
      <c r="B57" s="52" t="s">
        <v>17</v>
      </c>
      <c r="C57" s="50">
        <v>11647.305</v>
      </c>
      <c r="D57" s="51">
        <v>321.98500000000001</v>
      </c>
      <c r="E57" s="51">
        <v>467.98750000000001</v>
      </c>
      <c r="F57" s="51">
        <f t="shared" si="1"/>
        <v>12437.2775</v>
      </c>
    </row>
    <row r="58" spans="2:6" x14ac:dyDescent="0.25">
      <c r="B58" s="52" t="s">
        <v>18</v>
      </c>
      <c r="C58" s="50">
        <v>11500.948</v>
      </c>
      <c r="D58" s="51">
        <v>191.04499999999999</v>
      </c>
      <c r="E58" s="51">
        <v>525</v>
      </c>
      <c r="F58" s="51">
        <f t="shared" si="1"/>
        <v>12216.993</v>
      </c>
    </row>
    <row r="59" spans="2:6" x14ac:dyDescent="0.25">
      <c r="B59" s="52" t="s">
        <v>19</v>
      </c>
      <c r="C59" s="57">
        <v>11197.067999999999</v>
      </c>
      <c r="D59" s="58">
        <v>239.09</v>
      </c>
      <c r="E59" s="58">
        <v>458.048</v>
      </c>
      <c r="F59" s="51">
        <f t="shared" si="1"/>
        <v>11894.206</v>
      </c>
    </row>
    <row r="60" spans="2:6" x14ac:dyDescent="0.25">
      <c r="B60" s="52" t="s">
        <v>20</v>
      </c>
      <c r="C60" s="57">
        <v>10734.816000000001</v>
      </c>
      <c r="D60" s="58">
        <v>352.84500000000003</v>
      </c>
      <c r="E60" s="58">
        <v>613.404</v>
      </c>
      <c r="F60" s="51">
        <f t="shared" si="1"/>
        <v>11701.065000000001</v>
      </c>
    </row>
    <row r="61" spans="2:6" x14ac:dyDescent="0.25">
      <c r="B61" s="52" t="s">
        <v>21</v>
      </c>
      <c r="C61" s="57">
        <v>11530.246999999999</v>
      </c>
      <c r="D61" s="58">
        <v>426</v>
      </c>
      <c r="E61" s="58">
        <v>773</v>
      </c>
      <c r="F61" s="51">
        <f t="shared" si="1"/>
        <v>12729.246999999999</v>
      </c>
    </row>
    <row r="62" spans="2:6" x14ac:dyDescent="0.25">
      <c r="B62" s="52" t="s">
        <v>26</v>
      </c>
      <c r="C62" s="57">
        <v>34833</v>
      </c>
      <c r="D62" s="58">
        <v>876.57500000000005</v>
      </c>
      <c r="E62" s="58">
        <v>2265</v>
      </c>
      <c r="F62" s="51">
        <f t="shared" si="1"/>
        <v>37974.574999999997</v>
      </c>
    </row>
    <row r="63" spans="2:6" x14ac:dyDescent="0.25">
      <c r="B63" s="52" t="s">
        <v>10</v>
      </c>
      <c r="C63" s="57">
        <v>36151.65</v>
      </c>
      <c r="D63" s="58">
        <v>761.29</v>
      </c>
      <c r="E63" s="58">
        <v>1980</v>
      </c>
      <c r="F63" s="51">
        <f t="shared" si="1"/>
        <v>38892.94</v>
      </c>
    </row>
    <row r="64" spans="2:6" x14ac:dyDescent="0.25">
      <c r="B64" s="52" t="s">
        <v>12</v>
      </c>
      <c r="C64" s="57">
        <v>35781.9</v>
      </c>
      <c r="D64" s="58">
        <v>995.61</v>
      </c>
      <c r="E64" s="58">
        <v>2146.09</v>
      </c>
      <c r="F64" s="51">
        <f t="shared" si="1"/>
        <v>38923.600000000006</v>
      </c>
    </row>
    <row r="65" spans="2:8" x14ac:dyDescent="0.25">
      <c r="B65" s="52"/>
      <c r="C65" s="50"/>
      <c r="D65" s="58"/>
      <c r="E65" s="58"/>
      <c r="F65" s="51">
        <f t="shared" si="1"/>
        <v>0</v>
      </c>
    </row>
    <row r="66" spans="2:8" x14ac:dyDescent="0.25">
      <c r="B66" s="55" t="s">
        <v>27</v>
      </c>
      <c r="C66" s="57"/>
      <c r="D66" s="58"/>
      <c r="E66" s="58"/>
      <c r="F66" s="51">
        <f t="shared" si="1"/>
        <v>0</v>
      </c>
    </row>
    <row r="67" spans="2:8" x14ac:dyDescent="0.25">
      <c r="B67" s="52" t="s">
        <v>22</v>
      </c>
      <c r="C67" s="57">
        <v>9497.1859999999997</v>
      </c>
      <c r="D67" s="58">
        <v>160.315</v>
      </c>
      <c r="E67" s="58">
        <v>932.51099999999997</v>
      </c>
      <c r="F67" s="51">
        <f t="shared" si="1"/>
        <v>10590.012000000001</v>
      </c>
    </row>
    <row r="68" spans="2:8" x14ac:dyDescent="0.25">
      <c r="B68" s="52" t="s">
        <v>23</v>
      </c>
      <c r="C68" s="57">
        <v>8202.3379999999997</v>
      </c>
      <c r="D68" s="58">
        <v>184.24799999999999</v>
      </c>
      <c r="E68" s="58">
        <v>968.67399999999998</v>
      </c>
      <c r="F68" s="51">
        <f t="shared" si="1"/>
        <v>9355.2599999999984</v>
      </c>
    </row>
    <row r="69" spans="2:8" x14ac:dyDescent="0.25">
      <c r="B69" s="52" t="s">
        <v>24</v>
      </c>
      <c r="C69" s="57">
        <v>8768.9809999999998</v>
      </c>
      <c r="D69" s="58">
        <v>476.10500000000002</v>
      </c>
      <c r="E69" s="58">
        <v>632</v>
      </c>
      <c r="F69" s="51">
        <f t="shared" si="1"/>
        <v>9877.0859999999993</v>
      </c>
    </row>
    <row r="70" spans="2:8" x14ac:dyDescent="0.25">
      <c r="B70" s="52" t="s">
        <v>14</v>
      </c>
      <c r="C70" s="57">
        <v>8812.6689999999999</v>
      </c>
      <c r="D70" s="58">
        <v>401</v>
      </c>
      <c r="E70" s="58">
        <v>989</v>
      </c>
      <c r="F70" s="51">
        <f t="shared" si="1"/>
        <v>10202.669</v>
      </c>
    </row>
    <row r="71" spans="2:8" x14ac:dyDescent="0.25">
      <c r="B71" s="52" t="s">
        <v>15</v>
      </c>
      <c r="C71" s="57">
        <f>5618+2851+3534-3190</f>
        <v>8813</v>
      </c>
      <c r="D71" s="58">
        <v>400</v>
      </c>
      <c r="E71" s="58">
        <f>125+79+632+144+9</f>
        <v>989</v>
      </c>
      <c r="F71" s="51">
        <f t="shared" si="1"/>
        <v>10202</v>
      </c>
      <c r="H71" s="5"/>
    </row>
    <row r="72" spans="2:8" x14ac:dyDescent="0.25">
      <c r="B72" s="52" t="s">
        <v>15</v>
      </c>
      <c r="C72" s="57">
        <v>11166</v>
      </c>
      <c r="D72" s="58">
        <v>538</v>
      </c>
      <c r="E72" s="58">
        <f>123.96+72.31+608.029+123.884+8.78</f>
        <v>936.96299999999997</v>
      </c>
      <c r="F72" s="51">
        <f t="shared" si="1"/>
        <v>12640.963</v>
      </c>
      <c r="H72" s="6"/>
    </row>
    <row r="73" spans="2:8" x14ac:dyDescent="0.25">
      <c r="B73" s="52" t="s">
        <v>25</v>
      </c>
      <c r="C73" s="57">
        <v>10912</v>
      </c>
      <c r="D73" s="58">
        <v>213</v>
      </c>
      <c r="E73" s="58">
        <v>900</v>
      </c>
      <c r="F73" s="51">
        <f t="shared" si="1"/>
        <v>12025</v>
      </c>
      <c r="H73" s="9"/>
    </row>
    <row r="74" spans="2:8" x14ac:dyDescent="0.25">
      <c r="B74" s="52" t="s">
        <v>16</v>
      </c>
      <c r="C74" s="57">
        <v>11518</v>
      </c>
      <c r="D74" s="58">
        <v>225</v>
      </c>
      <c r="E74" s="58">
        <v>658</v>
      </c>
      <c r="F74" s="51">
        <f t="shared" si="1"/>
        <v>12401</v>
      </c>
      <c r="H74" s="9"/>
    </row>
    <row r="75" spans="2:8" x14ac:dyDescent="0.25">
      <c r="B75" s="52" t="s">
        <v>17</v>
      </c>
      <c r="C75" s="57">
        <v>10108</v>
      </c>
      <c r="D75" s="58">
        <v>844</v>
      </c>
      <c r="E75" s="58">
        <v>637.33100000000002</v>
      </c>
      <c r="F75" s="51">
        <f t="shared" si="1"/>
        <v>11589.331</v>
      </c>
      <c r="H75" s="9"/>
    </row>
    <row r="76" spans="2:8" x14ac:dyDescent="0.25">
      <c r="B76" s="52" t="s">
        <v>18</v>
      </c>
      <c r="C76" s="57">
        <v>11403</v>
      </c>
      <c r="D76" s="58">
        <v>127</v>
      </c>
      <c r="E76" s="58">
        <f>192.058+462.368</f>
        <v>654.42599999999993</v>
      </c>
      <c r="F76" s="51">
        <f t="shared" si="1"/>
        <v>12184.425999999999</v>
      </c>
      <c r="H76" s="9"/>
    </row>
    <row r="77" spans="2:8" x14ac:dyDescent="0.25">
      <c r="B77" s="52" t="s">
        <v>19</v>
      </c>
      <c r="C77" s="57">
        <v>11869.319</v>
      </c>
      <c r="D77" s="58">
        <v>260.89999999999998</v>
      </c>
      <c r="E77" s="58">
        <f>146.94+485+65</f>
        <v>696.94</v>
      </c>
      <c r="F77" s="51">
        <f t="shared" si="1"/>
        <v>12827.159</v>
      </c>
      <c r="H77" s="5"/>
    </row>
    <row r="78" spans="2:8" x14ac:dyDescent="0.25">
      <c r="B78" s="52" t="s">
        <v>20</v>
      </c>
      <c r="C78" s="57">
        <v>12268.598</v>
      </c>
      <c r="D78" s="58">
        <v>223.495</v>
      </c>
      <c r="E78" s="58">
        <v>737.51599999999996</v>
      </c>
      <c r="F78" s="51">
        <f t="shared" si="1"/>
        <v>13229.609</v>
      </c>
      <c r="H78" s="5"/>
    </row>
    <row r="79" spans="2:8" x14ac:dyDescent="0.25">
      <c r="B79" s="52" t="s">
        <v>21</v>
      </c>
      <c r="C79" s="57">
        <v>12169.583000000001</v>
      </c>
      <c r="D79" s="58">
        <v>133.32</v>
      </c>
      <c r="E79" s="58">
        <v>852.96500000000003</v>
      </c>
      <c r="F79" s="51">
        <f t="shared" si="1"/>
        <v>13155.868</v>
      </c>
      <c r="H79" s="5"/>
    </row>
    <row r="80" spans="2:8" x14ac:dyDescent="0.25">
      <c r="B80" s="52"/>
      <c r="C80" s="57"/>
      <c r="D80" s="58"/>
      <c r="E80" s="58"/>
      <c r="F80" s="51">
        <f t="shared" si="1"/>
        <v>0</v>
      </c>
      <c r="H80" s="5"/>
    </row>
    <row r="81" spans="2:9" x14ac:dyDescent="0.25">
      <c r="B81" s="55" t="s">
        <v>32</v>
      </c>
      <c r="C81" s="57">
        <v>153313</v>
      </c>
      <c r="D81" s="58">
        <v>11451</v>
      </c>
      <c r="E81" s="58">
        <v>6099</v>
      </c>
      <c r="F81" s="51">
        <f t="shared" si="1"/>
        <v>170863</v>
      </c>
      <c r="H81" s="5"/>
    </row>
    <row r="82" spans="2:9" x14ac:dyDescent="0.25">
      <c r="B82" s="55" t="s">
        <v>33</v>
      </c>
      <c r="C82" s="57"/>
      <c r="D82" s="58"/>
      <c r="E82" s="58"/>
      <c r="F82" s="51">
        <f t="shared" si="1"/>
        <v>0</v>
      </c>
      <c r="H82" s="5"/>
    </row>
    <row r="83" spans="2:9" x14ac:dyDescent="0.25">
      <c r="B83" s="55" t="s">
        <v>34</v>
      </c>
      <c r="C83" s="57"/>
      <c r="D83" s="58"/>
      <c r="E83" s="58"/>
      <c r="F83" s="51">
        <f t="shared" si="1"/>
        <v>0</v>
      </c>
      <c r="H83" s="5"/>
    </row>
    <row r="84" spans="2:9" x14ac:dyDescent="0.25">
      <c r="B84" s="55" t="s">
        <v>35</v>
      </c>
      <c r="C84" s="57">
        <v>35165.667000000001</v>
      </c>
      <c r="D84" s="58">
        <v>871.76</v>
      </c>
      <c r="E84" s="58">
        <v>2221.2224000000001</v>
      </c>
      <c r="F84" s="51">
        <f t="shared" si="1"/>
        <v>38258.649400000002</v>
      </c>
      <c r="H84" s="5"/>
    </row>
    <row r="85" spans="2:9" x14ac:dyDescent="0.25">
      <c r="B85" s="55" t="s">
        <v>36</v>
      </c>
      <c r="C85" s="57">
        <v>35528</v>
      </c>
      <c r="D85" s="58">
        <v>822</v>
      </c>
      <c r="E85" s="58">
        <v>2174</v>
      </c>
      <c r="F85" s="51">
        <f t="shared" si="1"/>
        <v>38524</v>
      </c>
      <c r="H85" s="5"/>
    </row>
    <row r="86" spans="2:9" x14ac:dyDescent="0.25">
      <c r="B86" s="55" t="s">
        <v>37</v>
      </c>
      <c r="C86" s="57">
        <v>36329</v>
      </c>
      <c r="D86" s="58">
        <v>1105</v>
      </c>
      <c r="E86" s="58">
        <v>1691</v>
      </c>
      <c r="F86" s="51">
        <f t="shared" si="1"/>
        <v>39125</v>
      </c>
      <c r="H86" s="16"/>
    </row>
    <row r="87" spans="2:9" x14ac:dyDescent="0.25">
      <c r="B87" s="55" t="s">
        <v>38</v>
      </c>
      <c r="C87" s="57">
        <v>36155</v>
      </c>
      <c r="D87" s="58">
        <v>794</v>
      </c>
      <c r="E87" s="58">
        <v>1672</v>
      </c>
      <c r="F87" s="51">
        <f t="shared" si="1"/>
        <v>38621</v>
      </c>
      <c r="H87" s="5"/>
    </row>
    <row r="88" spans="2:9" x14ac:dyDescent="0.25">
      <c r="B88" s="55" t="s">
        <v>39</v>
      </c>
      <c r="C88" s="57">
        <f>SUM(C84:C87)</f>
        <v>143177.66700000002</v>
      </c>
      <c r="D88" s="58">
        <f>SUM(D84:D87)</f>
        <v>3592.76</v>
      </c>
      <c r="E88" s="58">
        <f>SUM(E84:E87)</f>
        <v>7758.2224000000006</v>
      </c>
      <c r="F88" s="51">
        <f t="shared" si="1"/>
        <v>154528.64940000002</v>
      </c>
      <c r="H88" s="5"/>
    </row>
    <row r="89" spans="2:9" x14ac:dyDescent="0.25">
      <c r="B89" s="55" t="s">
        <v>40</v>
      </c>
      <c r="C89" s="57"/>
      <c r="D89" s="58"/>
      <c r="E89" s="58"/>
      <c r="F89" s="51">
        <f t="shared" si="1"/>
        <v>0</v>
      </c>
      <c r="H89" s="5"/>
    </row>
    <row r="90" spans="2:9" x14ac:dyDescent="0.25">
      <c r="B90" s="55" t="s">
        <v>41</v>
      </c>
      <c r="C90" s="59">
        <v>12076</v>
      </c>
      <c r="D90" s="58">
        <v>78</v>
      </c>
      <c r="E90" s="58">
        <v>1014.3049999999999</v>
      </c>
      <c r="F90" s="51">
        <f t="shared" si="1"/>
        <v>13168.305</v>
      </c>
      <c r="H90" s="9"/>
    </row>
    <row r="91" spans="2:9" x14ac:dyDescent="0.25">
      <c r="B91" s="55" t="s">
        <v>42</v>
      </c>
      <c r="C91" s="57">
        <v>11548.358</v>
      </c>
      <c r="D91" s="58">
        <v>322.02499999999998</v>
      </c>
      <c r="E91" s="58">
        <v>908.81899999999996</v>
      </c>
      <c r="F91" s="51">
        <f t="shared" si="1"/>
        <v>12779.201999999999</v>
      </c>
      <c r="H91" s="5"/>
    </row>
    <row r="92" spans="2:9" x14ac:dyDescent="0.25">
      <c r="B92" s="55" t="s">
        <v>44</v>
      </c>
      <c r="C92" s="57">
        <v>11611.002</v>
      </c>
      <c r="D92" s="58">
        <v>322.02499999999998</v>
      </c>
      <c r="E92" s="58">
        <v>721.27300000000002</v>
      </c>
      <c r="F92" s="51">
        <f t="shared" si="1"/>
        <v>12654.3</v>
      </c>
      <c r="H92" s="5"/>
    </row>
    <row r="93" spans="2:9" x14ac:dyDescent="0.25">
      <c r="B93" s="55" t="s">
        <v>45</v>
      </c>
      <c r="C93" s="60">
        <v>9993</v>
      </c>
      <c r="D93" s="58">
        <v>309</v>
      </c>
      <c r="E93" s="61">
        <v>784</v>
      </c>
      <c r="F93" s="51">
        <f t="shared" si="1"/>
        <v>11086</v>
      </c>
      <c r="H93" s="9"/>
      <c r="I93" s="9"/>
    </row>
    <row r="94" spans="2:9" x14ac:dyDescent="0.25">
      <c r="B94" s="55" t="s">
        <v>46</v>
      </c>
      <c r="C94" s="57">
        <v>12714.413</v>
      </c>
      <c r="D94" s="58">
        <v>269.67500000000001</v>
      </c>
      <c r="E94" s="58">
        <v>838.59400000000005</v>
      </c>
      <c r="F94" s="51">
        <f t="shared" si="1"/>
        <v>13822.682000000001</v>
      </c>
      <c r="H94" s="9"/>
    </row>
    <row r="95" spans="2:9" x14ac:dyDescent="0.25">
      <c r="B95" s="55" t="s">
        <v>47</v>
      </c>
      <c r="C95" s="57">
        <v>12126.428</v>
      </c>
      <c r="D95" s="58">
        <v>297.8</v>
      </c>
      <c r="E95" s="58">
        <v>641.69600000000003</v>
      </c>
      <c r="F95" s="51">
        <f t="shared" si="1"/>
        <v>13065.923999999999</v>
      </c>
      <c r="H95" s="8"/>
    </row>
    <row r="96" spans="2:9" x14ac:dyDescent="0.25">
      <c r="B96" s="55" t="s">
        <v>48</v>
      </c>
      <c r="C96" s="57">
        <v>12343.583000000001</v>
      </c>
      <c r="D96" s="58">
        <v>275.35000000000002</v>
      </c>
      <c r="E96" s="58">
        <v>654.13199999999995</v>
      </c>
      <c r="F96" s="51">
        <f t="shared" si="1"/>
        <v>13273.065000000001</v>
      </c>
      <c r="H96" s="8"/>
    </row>
    <row r="97" spans="2:8" x14ac:dyDescent="0.25">
      <c r="B97" s="55" t="s">
        <v>49</v>
      </c>
      <c r="C97" s="57">
        <f>5014.57+3215.949+1613+2307.6</f>
        <v>12151.119000000001</v>
      </c>
      <c r="D97" s="58">
        <v>127.23</v>
      </c>
      <c r="E97" s="58">
        <f>106.62+81.024+387.562+66.827</f>
        <v>642.03300000000002</v>
      </c>
      <c r="F97" s="51">
        <f t="shared" si="1"/>
        <v>12920.382</v>
      </c>
      <c r="H97" s="11"/>
    </row>
    <row r="98" spans="2:8" x14ac:dyDescent="0.25">
      <c r="B98" s="55" t="s">
        <v>50</v>
      </c>
      <c r="C98" s="57">
        <v>11656.752</v>
      </c>
      <c r="D98" s="58">
        <v>358.70499999999998</v>
      </c>
      <c r="E98" s="58">
        <v>684.4</v>
      </c>
      <c r="F98" s="51">
        <f t="shared" si="1"/>
        <v>12699.857</v>
      </c>
      <c r="H98" s="11"/>
    </row>
    <row r="99" spans="2:8" x14ac:dyDescent="0.25">
      <c r="B99" s="55" t="s">
        <v>51</v>
      </c>
      <c r="C99" s="57">
        <v>12033.8</v>
      </c>
      <c r="D99" s="58">
        <v>421.40499999999997</v>
      </c>
      <c r="E99" s="58">
        <v>700.11300000000006</v>
      </c>
      <c r="F99" s="51">
        <f t="shared" si="1"/>
        <v>13155.317999999999</v>
      </c>
      <c r="H99" s="11"/>
    </row>
    <row r="100" spans="2:8" x14ac:dyDescent="0.25">
      <c r="B100" s="55" t="s">
        <v>52</v>
      </c>
      <c r="C100" s="57">
        <v>11491.87</v>
      </c>
      <c r="D100" s="58">
        <v>289.43</v>
      </c>
      <c r="E100" s="58">
        <v>795.75</v>
      </c>
      <c r="F100" s="51">
        <f t="shared" si="1"/>
        <v>12577.050000000001</v>
      </c>
      <c r="H100" s="11"/>
    </row>
    <row r="101" spans="2:8" x14ac:dyDescent="0.25">
      <c r="B101" s="55" t="s">
        <v>53</v>
      </c>
      <c r="C101" s="57">
        <v>12256.226000000001</v>
      </c>
      <c r="D101" s="58">
        <v>284.67500000000001</v>
      </c>
      <c r="E101" s="58">
        <v>650.22500000000002</v>
      </c>
      <c r="F101" s="51">
        <f t="shared" si="1"/>
        <v>13191.126</v>
      </c>
      <c r="H101" s="11"/>
    </row>
    <row r="102" spans="2:8" x14ac:dyDescent="0.25">
      <c r="B102" s="55" t="s">
        <v>54</v>
      </c>
      <c r="C102" s="62"/>
      <c r="D102" s="63"/>
      <c r="E102" s="63"/>
      <c r="F102" s="51">
        <f t="shared" si="1"/>
        <v>0</v>
      </c>
      <c r="H102" s="11"/>
    </row>
    <row r="103" spans="2:8" x14ac:dyDescent="0.25">
      <c r="B103" s="55" t="s">
        <v>55</v>
      </c>
      <c r="C103" s="57"/>
      <c r="D103" s="58"/>
      <c r="E103" s="58"/>
      <c r="F103" s="51">
        <f t="shared" si="1"/>
        <v>0</v>
      </c>
      <c r="H103" s="11"/>
    </row>
    <row r="104" spans="2:8" x14ac:dyDescent="0.25">
      <c r="B104" s="55" t="s">
        <v>33</v>
      </c>
      <c r="C104" s="57">
        <f>C141+C142+C143+C144</f>
        <v>134375.22399999999</v>
      </c>
      <c r="D104" s="64">
        <f>D141+D142+D143+D144</f>
        <v>10849</v>
      </c>
      <c r="E104" s="64">
        <f>E141+E142+E143+E144</f>
        <v>6290</v>
      </c>
      <c r="F104" s="58">
        <f>F141+F142+F143+F144</f>
        <v>151514.22399999999</v>
      </c>
      <c r="G104" s="2"/>
      <c r="H104" s="11"/>
    </row>
    <row r="105" spans="2:8" x14ac:dyDescent="0.25">
      <c r="B105" s="55" t="s">
        <v>34</v>
      </c>
      <c r="C105" s="57"/>
      <c r="D105" s="64"/>
      <c r="E105" s="64"/>
      <c r="F105" s="51"/>
      <c r="G105" s="2"/>
      <c r="H105" s="11"/>
    </row>
    <row r="106" spans="2:8" x14ac:dyDescent="0.25">
      <c r="B106" s="55" t="s">
        <v>35</v>
      </c>
      <c r="C106" s="57"/>
      <c r="D106" s="64"/>
      <c r="E106" s="64"/>
      <c r="F106" s="51"/>
      <c r="G106" s="2"/>
      <c r="H106" s="11"/>
    </row>
    <row r="107" spans="2:8" x14ac:dyDescent="0.25">
      <c r="B107" s="55" t="s">
        <v>36</v>
      </c>
      <c r="C107" s="57"/>
      <c r="D107" s="64"/>
      <c r="E107" s="64"/>
      <c r="F107" s="51"/>
      <c r="G107" s="2"/>
      <c r="H107" s="11"/>
    </row>
    <row r="108" spans="2:8" x14ac:dyDescent="0.25">
      <c r="B108" s="55" t="s">
        <v>37</v>
      </c>
      <c r="C108" s="57"/>
      <c r="D108" s="64"/>
      <c r="E108" s="64"/>
      <c r="F108" s="51"/>
      <c r="G108" s="2"/>
      <c r="H108" s="17"/>
    </row>
    <row r="109" spans="2:8" x14ac:dyDescent="0.25">
      <c r="B109" s="55" t="s">
        <v>38</v>
      </c>
      <c r="C109" s="57">
        <v>35781</v>
      </c>
      <c r="D109" s="64">
        <v>1818</v>
      </c>
      <c r="E109" s="64">
        <v>1906</v>
      </c>
      <c r="F109" s="51">
        <v>39505</v>
      </c>
      <c r="G109" s="2"/>
      <c r="H109" s="17"/>
    </row>
    <row r="110" spans="2:8" x14ac:dyDescent="0.25">
      <c r="B110" s="55" t="s">
        <v>39</v>
      </c>
      <c r="C110" s="57">
        <v>37266</v>
      </c>
      <c r="D110" s="64">
        <v>2542</v>
      </c>
      <c r="E110" s="64">
        <v>2241</v>
      </c>
      <c r="F110" s="51">
        <v>42049</v>
      </c>
      <c r="G110" s="2"/>
      <c r="H110" s="17"/>
    </row>
    <row r="111" spans="2:8" x14ac:dyDescent="0.25">
      <c r="B111" s="55" t="s">
        <v>40</v>
      </c>
      <c r="C111" s="57">
        <v>37804.71</v>
      </c>
      <c r="D111" s="64">
        <f>D156+D155+D154</f>
        <v>2906.4929999999999</v>
      </c>
      <c r="E111" s="64">
        <v>1394.021</v>
      </c>
      <c r="F111" s="51">
        <v>42106</v>
      </c>
      <c r="G111" s="2"/>
      <c r="H111" s="17"/>
    </row>
    <row r="112" spans="2:8" x14ac:dyDescent="0.25">
      <c r="B112" s="55" t="s">
        <v>41</v>
      </c>
      <c r="C112" s="57">
        <v>36792.71</v>
      </c>
      <c r="D112" s="64">
        <v>2896.65</v>
      </c>
      <c r="E112" s="64">
        <v>1314.58</v>
      </c>
      <c r="F112" s="51">
        <v>41005</v>
      </c>
      <c r="G112" s="2"/>
      <c r="H112" s="17"/>
    </row>
    <row r="113" spans="2:8" x14ac:dyDescent="0.25">
      <c r="B113" s="55" t="s">
        <v>42</v>
      </c>
      <c r="C113" s="62"/>
      <c r="D113" s="65"/>
      <c r="E113" s="65"/>
      <c r="F113" s="66"/>
      <c r="G113" s="2"/>
      <c r="H113" s="17"/>
    </row>
    <row r="114" spans="2:8" x14ac:dyDescent="0.25">
      <c r="B114" s="55" t="s">
        <v>44</v>
      </c>
      <c r="C114" s="57"/>
      <c r="D114" s="64"/>
      <c r="E114" s="64"/>
      <c r="F114" s="51"/>
      <c r="G114" s="2"/>
      <c r="H114" s="17"/>
    </row>
    <row r="115" spans="2:8" x14ac:dyDescent="0.25">
      <c r="B115" s="55" t="s">
        <v>45</v>
      </c>
      <c r="C115" s="57">
        <v>11313.022000000001</v>
      </c>
      <c r="D115" s="64">
        <v>344.38499999999999</v>
      </c>
      <c r="E115" s="64">
        <v>782.50199999999995</v>
      </c>
      <c r="F115" s="51">
        <f t="shared" ref="F115:F126" si="2">SUM(C115:E115)</f>
        <v>12439.909000000001</v>
      </c>
      <c r="G115" s="2"/>
      <c r="H115" s="17"/>
    </row>
    <row r="116" spans="2:8" x14ac:dyDescent="0.25">
      <c r="B116" s="55" t="s">
        <v>46</v>
      </c>
      <c r="C116" s="57">
        <v>11380.85</v>
      </c>
      <c r="D116" s="64">
        <v>294.08</v>
      </c>
      <c r="E116" s="64">
        <v>733.34349999999995</v>
      </c>
      <c r="F116" s="51">
        <f t="shared" si="2"/>
        <v>12408.273499999999</v>
      </c>
      <c r="G116" s="2"/>
      <c r="H116" s="17"/>
    </row>
    <row r="117" spans="2:8" x14ac:dyDescent="0.25">
      <c r="B117" s="55" t="s">
        <v>47</v>
      </c>
      <c r="C117" s="57">
        <v>12471.795</v>
      </c>
      <c r="D117" s="64">
        <v>233.29499999999999</v>
      </c>
      <c r="E117" s="64">
        <v>705.37850000000003</v>
      </c>
      <c r="F117" s="51">
        <f t="shared" si="2"/>
        <v>13410.468500000001</v>
      </c>
      <c r="G117" s="2"/>
      <c r="H117" s="17"/>
    </row>
    <row r="118" spans="2:8" x14ac:dyDescent="0.25">
      <c r="B118" s="55" t="s">
        <v>48</v>
      </c>
      <c r="C118" s="57">
        <v>12577</v>
      </c>
      <c r="D118" s="64">
        <v>272</v>
      </c>
      <c r="E118" s="64">
        <v>627</v>
      </c>
      <c r="F118" s="51">
        <f t="shared" si="2"/>
        <v>13476</v>
      </c>
      <c r="G118" s="2"/>
      <c r="H118" s="17"/>
    </row>
    <row r="119" spans="2:8" x14ac:dyDescent="0.25">
      <c r="B119" s="55" t="s">
        <v>49</v>
      </c>
      <c r="C119" s="57">
        <v>12791</v>
      </c>
      <c r="D119" s="64">
        <v>261</v>
      </c>
      <c r="E119" s="64">
        <v>782</v>
      </c>
      <c r="F119" s="51">
        <f t="shared" si="2"/>
        <v>13834</v>
      </c>
      <c r="G119" s="2"/>
      <c r="H119" s="17"/>
    </row>
    <row r="120" spans="2:8" x14ac:dyDescent="0.25">
      <c r="B120" s="55" t="s">
        <v>50</v>
      </c>
      <c r="C120" s="57">
        <v>10160</v>
      </c>
      <c r="D120" s="64">
        <v>289</v>
      </c>
      <c r="E120" s="64">
        <v>765</v>
      </c>
      <c r="F120" s="51">
        <f t="shared" si="2"/>
        <v>11214</v>
      </c>
      <c r="G120" s="2"/>
      <c r="H120" s="18"/>
    </row>
    <row r="121" spans="2:8" x14ac:dyDescent="0.25">
      <c r="B121" s="55" t="s">
        <v>51</v>
      </c>
      <c r="C121" s="57">
        <v>11605.365</v>
      </c>
      <c r="D121" s="64">
        <v>259.53500000000003</v>
      </c>
      <c r="E121" s="64">
        <v>683.84400000000005</v>
      </c>
      <c r="F121" s="51">
        <f t="shared" si="2"/>
        <v>12548.743999999999</v>
      </c>
      <c r="G121" s="2"/>
      <c r="H121" s="18"/>
    </row>
    <row r="122" spans="2:8" x14ac:dyDescent="0.25">
      <c r="B122" s="55" t="s">
        <v>52</v>
      </c>
      <c r="C122" s="57">
        <v>12396</v>
      </c>
      <c r="D122" s="64">
        <v>460</v>
      </c>
      <c r="E122" s="64">
        <v>499</v>
      </c>
      <c r="F122" s="51">
        <f t="shared" si="2"/>
        <v>13355</v>
      </c>
      <c r="G122" s="2"/>
      <c r="H122" s="18"/>
    </row>
    <row r="123" spans="2:8" x14ac:dyDescent="0.25">
      <c r="B123" s="55" t="s">
        <v>53</v>
      </c>
      <c r="C123" s="57">
        <v>12328</v>
      </c>
      <c r="D123" s="64">
        <v>385</v>
      </c>
      <c r="E123" s="64">
        <v>508</v>
      </c>
      <c r="F123" s="51">
        <f t="shared" si="2"/>
        <v>13221</v>
      </c>
      <c r="G123" s="2"/>
      <c r="H123" s="18"/>
    </row>
    <row r="124" spans="2:8" x14ac:dyDescent="0.25">
      <c r="B124" s="55" t="s">
        <v>54</v>
      </c>
      <c r="C124" s="57">
        <v>10634</v>
      </c>
      <c r="D124" s="64">
        <v>284</v>
      </c>
      <c r="E124" s="64">
        <v>637</v>
      </c>
      <c r="F124" s="51">
        <f t="shared" si="2"/>
        <v>11555</v>
      </c>
      <c r="G124" s="2"/>
      <c r="H124" s="17"/>
    </row>
    <row r="125" spans="2:8" x14ac:dyDescent="0.25">
      <c r="B125" s="55" t="s">
        <v>55</v>
      </c>
      <c r="C125" s="57">
        <v>12546</v>
      </c>
      <c r="D125" s="64">
        <v>255</v>
      </c>
      <c r="E125" s="64">
        <v>429</v>
      </c>
      <c r="F125" s="51">
        <f t="shared" si="2"/>
        <v>13230</v>
      </c>
      <c r="G125" s="2"/>
      <c r="H125" s="18"/>
    </row>
    <row r="126" spans="2:8" x14ac:dyDescent="0.25">
      <c r="B126" s="55" t="s">
        <v>57</v>
      </c>
      <c r="C126" s="57">
        <v>12975</v>
      </c>
      <c r="D126" s="64">
        <v>255</v>
      </c>
      <c r="E126" s="64">
        <v>606</v>
      </c>
      <c r="F126" s="51">
        <f t="shared" si="2"/>
        <v>13836</v>
      </c>
      <c r="G126" s="2"/>
      <c r="H126" s="18"/>
    </row>
    <row r="127" spans="2:8" x14ac:dyDescent="0.25">
      <c r="B127" s="55" t="s">
        <v>58</v>
      </c>
      <c r="C127" s="62"/>
      <c r="D127" s="65"/>
      <c r="E127" s="65"/>
      <c r="F127" s="51"/>
      <c r="G127" s="2"/>
      <c r="H127" s="18"/>
    </row>
    <row r="128" spans="2:8" x14ac:dyDescent="0.25">
      <c r="B128" s="55" t="s">
        <v>34</v>
      </c>
      <c r="C128" s="57">
        <v>170220.432</v>
      </c>
      <c r="D128" s="64">
        <v>14721.073</v>
      </c>
      <c r="E128" s="58">
        <v>7677.3159999999989</v>
      </c>
      <c r="F128" s="56">
        <v>192618</v>
      </c>
      <c r="G128" s="2"/>
      <c r="H128" s="18"/>
    </row>
    <row r="129" spans="2:8" x14ac:dyDescent="0.25">
      <c r="B129" s="52"/>
      <c r="C129" s="67"/>
      <c r="D129" s="32"/>
      <c r="E129" s="32"/>
      <c r="F129" s="43"/>
      <c r="G129" s="2"/>
      <c r="H129" s="18"/>
    </row>
    <row r="130" spans="2:8" x14ac:dyDescent="0.25">
      <c r="B130" s="55"/>
      <c r="C130" s="62"/>
      <c r="D130" s="63"/>
      <c r="E130" s="63"/>
      <c r="F130" s="51"/>
      <c r="H130" s="5"/>
    </row>
    <row r="131" spans="2:8" x14ac:dyDescent="0.25">
      <c r="B131" s="55" t="s">
        <v>32</v>
      </c>
      <c r="C131" s="62"/>
      <c r="D131" s="63"/>
      <c r="E131" s="63"/>
      <c r="F131" s="51"/>
      <c r="H131" s="5"/>
    </row>
    <row r="132" spans="2:8" x14ac:dyDescent="0.25">
      <c r="B132" s="52" t="s">
        <v>8</v>
      </c>
      <c r="C132" s="57">
        <v>38817.74</v>
      </c>
      <c r="D132" s="58">
        <v>3261.04</v>
      </c>
      <c r="E132" s="58">
        <v>1561.13</v>
      </c>
      <c r="F132" s="51">
        <v>43639.91</v>
      </c>
      <c r="H132" s="5"/>
    </row>
    <row r="133" spans="2:8" x14ac:dyDescent="0.25">
      <c r="B133" s="52" t="s">
        <v>26</v>
      </c>
      <c r="C133" s="57">
        <v>40001.925000000003</v>
      </c>
      <c r="D133" s="58">
        <v>3062.712</v>
      </c>
      <c r="E133" s="58">
        <v>1798.394</v>
      </c>
      <c r="F133" s="51">
        <v>44863.031000000003</v>
      </c>
      <c r="H133" s="5"/>
    </row>
    <row r="134" spans="2:8" x14ac:dyDescent="0.25">
      <c r="B134" s="52" t="s">
        <v>10</v>
      </c>
      <c r="C134" s="57">
        <f>C199+C200+C201</f>
        <v>30637.224000000002</v>
      </c>
      <c r="D134" s="58">
        <v>2488.7600000000002</v>
      </c>
      <c r="E134" s="58">
        <v>1431.64</v>
      </c>
      <c r="F134" s="51">
        <f>C134+D134+E134</f>
        <v>34557.624000000003</v>
      </c>
      <c r="H134" s="5"/>
    </row>
    <row r="135" spans="2:8" x14ac:dyDescent="0.25">
      <c r="B135" s="52" t="s">
        <v>12</v>
      </c>
      <c r="C135" s="57">
        <v>37310.82</v>
      </c>
      <c r="D135" s="58">
        <v>2638</v>
      </c>
      <c r="E135" s="58">
        <v>1308.06</v>
      </c>
      <c r="F135" s="51">
        <f>C135+D135+E135</f>
        <v>41256.879999999997</v>
      </c>
      <c r="H135" s="5"/>
    </row>
    <row r="136" spans="2:8" x14ac:dyDescent="0.25">
      <c r="B136" s="55" t="s">
        <v>35</v>
      </c>
      <c r="C136" s="68">
        <v>183923.3</v>
      </c>
      <c r="D136" s="57">
        <v>12667.8</v>
      </c>
      <c r="E136" s="58">
        <v>9837.2000000000007</v>
      </c>
      <c r="F136" s="51">
        <v>206428.99400000001</v>
      </c>
      <c r="H136" s="5"/>
    </row>
    <row r="137" spans="2:8" x14ac:dyDescent="0.25">
      <c r="B137" s="52"/>
      <c r="C137" s="68"/>
      <c r="D137" s="57"/>
      <c r="E137" s="58"/>
      <c r="F137" s="51"/>
      <c r="H137" s="5"/>
    </row>
    <row r="138" spans="2:8" x14ac:dyDescent="0.25">
      <c r="B138" s="55" t="s">
        <v>36</v>
      </c>
      <c r="C138" s="68">
        <f>SUM(C263:C274)</f>
        <v>176664.44099999999</v>
      </c>
      <c r="D138" s="58">
        <f>SUM(D263:D274)</f>
        <v>16703.727000000003</v>
      </c>
      <c r="E138" s="58">
        <f>SUM(E263:E274)</f>
        <v>13332.731</v>
      </c>
      <c r="F138" s="58">
        <f>SUM(F263:F274)</f>
        <v>206700.89899999998</v>
      </c>
      <c r="H138" s="5"/>
    </row>
    <row r="139" spans="2:8" x14ac:dyDescent="0.25">
      <c r="B139" s="55">
        <v>2009</v>
      </c>
      <c r="C139" s="68"/>
      <c r="D139" s="69"/>
      <c r="E139" s="58"/>
      <c r="F139" s="51"/>
      <c r="H139" s="5"/>
    </row>
    <row r="140" spans="2:8" x14ac:dyDescent="0.25">
      <c r="B140" s="55">
        <v>2009</v>
      </c>
      <c r="C140" s="68"/>
      <c r="D140" s="69"/>
      <c r="E140" s="58"/>
      <c r="F140" s="51"/>
      <c r="H140" s="5"/>
    </row>
    <row r="141" spans="2:8" x14ac:dyDescent="0.25">
      <c r="B141" s="55">
        <v>2009</v>
      </c>
      <c r="C141" s="68">
        <v>33657</v>
      </c>
      <c r="D141" s="69">
        <v>2361</v>
      </c>
      <c r="E141" s="58">
        <v>1150</v>
      </c>
      <c r="F141" s="51">
        <f>C141+D141+E141</f>
        <v>37168</v>
      </c>
      <c r="H141" s="5"/>
    </row>
    <row r="142" spans="2:8" x14ac:dyDescent="0.25">
      <c r="B142" s="55">
        <v>2009</v>
      </c>
      <c r="C142" s="68">
        <v>34693</v>
      </c>
      <c r="D142" s="69">
        <v>2485</v>
      </c>
      <c r="E142" s="58">
        <v>1693</v>
      </c>
      <c r="F142" s="56">
        <f>C142+D142+E142</f>
        <v>38871</v>
      </c>
      <c r="H142" s="5"/>
    </row>
    <row r="143" spans="2:8" x14ac:dyDescent="0.25">
      <c r="B143" s="55">
        <v>2009</v>
      </c>
      <c r="C143" s="57">
        <f>C199+C200+C201</f>
        <v>30637.224000000002</v>
      </c>
      <c r="D143" s="58">
        <v>2783</v>
      </c>
      <c r="E143" s="58">
        <v>1501</v>
      </c>
      <c r="F143" s="56">
        <f>C143+D143+E143</f>
        <v>34921.224000000002</v>
      </c>
      <c r="H143" s="5"/>
    </row>
    <row r="144" spans="2:8" x14ac:dyDescent="0.25">
      <c r="B144" s="55">
        <v>2009</v>
      </c>
      <c r="C144" s="68">
        <v>35388</v>
      </c>
      <c r="D144" s="69">
        <v>3220</v>
      </c>
      <c r="E144" s="58">
        <v>1946</v>
      </c>
      <c r="F144" s="56">
        <f>C144+D144+E144</f>
        <v>40554</v>
      </c>
      <c r="H144" s="5"/>
    </row>
    <row r="145" spans="2:10" x14ac:dyDescent="0.25">
      <c r="B145" s="55" t="s">
        <v>37</v>
      </c>
      <c r="C145" s="58">
        <f>SUM(C277:C288)</f>
        <v>208229.43169999996</v>
      </c>
      <c r="D145" s="58">
        <f>SUM(D277:D288)</f>
        <v>14670.622000000001</v>
      </c>
      <c r="E145" s="58">
        <f>SUM(E277:E288)</f>
        <v>15350.468010000001</v>
      </c>
      <c r="F145" s="58">
        <f>SUM(F277:F288)</f>
        <v>238250.52170999997</v>
      </c>
      <c r="H145" s="5"/>
    </row>
    <row r="146" spans="2:10" x14ac:dyDescent="0.25">
      <c r="B146" s="55"/>
      <c r="C146" s="57"/>
      <c r="D146" s="58"/>
      <c r="E146" s="58"/>
      <c r="F146" s="56"/>
      <c r="H146" s="15"/>
    </row>
    <row r="147" spans="2:10" x14ac:dyDescent="0.25">
      <c r="B147" s="55" t="s">
        <v>22</v>
      </c>
      <c r="C147" s="57">
        <v>12632</v>
      </c>
      <c r="D147" s="58">
        <v>225</v>
      </c>
      <c r="E147" s="58">
        <v>623</v>
      </c>
      <c r="F147" s="56">
        <f t="shared" ref="F147:F159" si="3">SUM(C147:E147)</f>
        <v>13480</v>
      </c>
      <c r="H147" s="5"/>
    </row>
    <row r="148" spans="2:10" x14ac:dyDescent="0.25">
      <c r="B148" s="55" t="s">
        <v>23</v>
      </c>
      <c r="C148" s="57">
        <v>11490</v>
      </c>
      <c r="D148" s="58">
        <v>765.40800000000002</v>
      </c>
      <c r="E148" s="58">
        <v>626.86500000000001</v>
      </c>
      <c r="F148" s="56">
        <f t="shared" si="3"/>
        <v>12882.272999999999</v>
      </c>
      <c r="H148" s="5"/>
    </row>
    <row r="149" spans="2:10" x14ac:dyDescent="0.25">
      <c r="B149" s="55" t="s">
        <v>24</v>
      </c>
      <c r="C149" s="57">
        <v>11659</v>
      </c>
      <c r="D149" s="58">
        <v>827.78200000000004</v>
      </c>
      <c r="E149" s="58">
        <v>656</v>
      </c>
      <c r="F149" s="56">
        <f t="shared" si="3"/>
        <v>13142.781999999999</v>
      </c>
      <c r="H149" s="11"/>
    </row>
    <row r="150" spans="2:10" x14ac:dyDescent="0.25">
      <c r="B150" s="55" t="s">
        <v>14</v>
      </c>
      <c r="C150" s="57">
        <v>12309.69</v>
      </c>
      <c r="D150" s="58">
        <v>810.09299999999996</v>
      </c>
      <c r="E150" s="58">
        <v>757.35199999999998</v>
      </c>
      <c r="F150" s="56">
        <f t="shared" si="3"/>
        <v>13877.135000000002</v>
      </c>
      <c r="H150" s="11"/>
    </row>
    <row r="151" spans="2:10" x14ac:dyDescent="0.25">
      <c r="B151" s="55" t="s">
        <v>31</v>
      </c>
      <c r="C151" s="57"/>
      <c r="D151" s="58"/>
      <c r="E151" s="58"/>
      <c r="F151" s="56"/>
      <c r="H151" s="11"/>
    </row>
    <row r="152" spans="2:10" x14ac:dyDescent="0.25">
      <c r="B152" s="55" t="s">
        <v>15</v>
      </c>
      <c r="C152" s="57">
        <v>12590</v>
      </c>
      <c r="D152" s="58">
        <v>835.81399999999996</v>
      </c>
      <c r="E152" s="58">
        <v>786.02200000000005</v>
      </c>
      <c r="F152" s="56">
        <f t="shared" si="3"/>
        <v>14211.836000000001</v>
      </c>
      <c r="H152" s="11"/>
    </row>
    <row r="153" spans="2:10" x14ac:dyDescent="0.25">
      <c r="B153" s="55" t="s">
        <v>25</v>
      </c>
      <c r="C153" s="57">
        <v>12365.772000000001</v>
      </c>
      <c r="D153" s="58">
        <v>895.69100000000003</v>
      </c>
      <c r="E153" s="58">
        <v>697.36800000000005</v>
      </c>
      <c r="F153" s="56">
        <f t="shared" si="3"/>
        <v>13958.831000000002</v>
      </c>
      <c r="I153" s="11"/>
      <c r="J153" s="8"/>
    </row>
    <row r="154" spans="2:10" x14ac:dyDescent="0.25">
      <c r="B154" s="55" t="s">
        <v>16</v>
      </c>
      <c r="C154" s="57">
        <v>12552</v>
      </c>
      <c r="D154" s="58">
        <v>1007.625</v>
      </c>
      <c r="E154" s="58">
        <v>491.017</v>
      </c>
      <c r="F154" s="56">
        <f t="shared" si="3"/>
        <v>14050.642</v>
      </c>
      <c r="H154" s="9"/>
      <c r="I154" s="11"/>
      <c r="J154" s="8"/>
    </row>
    <row r="155" spans="2:10" x14ac:dyDescent="0.25">
      <c r="B155" s="55" t="s">
        <v>17</v>
      </c>
      <c r="C155" s="57">
        <v>12347.121999999999</v>
      </c>
      <c r="D155" s="58">
        <v>954.42</v>
      </c>
      <c r="E155" s="58">
        <v>466</v>
      </c>
      <c r="F155" s="56">
        <f t="shared" si="3"/>
        <v>13767.541999999999</v>
      </c>
      <c r="I155" s="11"/>
      <c r="J155" s="8"/>
    </row>
    <row r="156" spans="2:10" x14ac:dyDescent="0.25">
      <c r="B156" s="55" t="s">
        <v>18</v>
      </c>
      <c r="C156" s="68">
        <v>12905.584000000001</v>
      </c>
      <c r="D156" s="69">
        <f>827.782+116.666</f>
        <v>944.44800000000009</v>
      </c>
      <c r="E156" s="58">
        <v>437</v>
      </c>
      <c r="F156" s="56">
        <f t="shared" si="3"/>
        <v>14287.032000000001</v>
      </c>
      <c r="H156" s="8"/>
      <c r="I156" s="11"/>
      <c r="J156" s="8"/>
    </row>
    <row r="157" spans="2:10" x14ac:dyDescent="0.25">
      <c r="B157" s="55" t="s">
        <v>30</v>
      </c>
      <c r="C157" s="68">
        <v>12149.788</v>
      </c>
      <c r="D157" s="69">
        <v>880.80100000000004</v>
      </c>
      <c r="E157" s="58">
        <f>286.987+76.5975+25.44+1.008+4</f>
        <v>394.03250000000003</v>
      </c>
      <c r="F157" s="56">
        <f t="shared" si="3"/>
        <v>13424.621499999999</v>
      </c>
      <c r="H157" s="9"/>
      <c r="I157" s="11"/>
      <c r="J157" s="8"/>
    </row>
    <row r="158" spans="2:10" x14ac:dyDescent="0.25">
      <c r="B158" s="55" t="s">
        <v>20</v>
      </c>
      <c r="C158" s="68">
        <v>11953.56</v>
      </c>
      <c r="D158" s="69">
        <v>941.25900000000001</v>
      </c>
      <c r="E158" s="58">
        <v>470.30200000000002</v>
      </c>
      <c r="F158" s="56">
        <f t="shared" si="3"/>
        <v>13365.120999999999</v>
      </c>
      <c r="H158" s="9"/>
      <c r="I158" s="11"/>
      <c r="J158" s="8"/>
    </row>
    <row r="159" spans="2:10" x14ac:dyDescent="0.25">
      <c r="B159" s="55" t="s">
        <v>21</v>
      </c>
      <c r="C159" s="68">
        <v>12689.358</v>
      </c>
      <c r="D159" s="69">
        <v>1074.586</v>
      </c>
      <c r="E159" s="58">
        <v>450.24099999999999</v>
      </c>
      <c r="F159" s="56">
        <f t="shared" si="3"/>
        <v>14214.184999999999</v>
      </c>
      <c r="H159" s="9"/>
      <c r="I159" s="11"/>
      <c r="J159" s="8"/>
    </row>
    <row r="160" spans="2:10" x14ac:dyDescent="0.25">
      <c r="B160" s="55"/>
      <c r="C160" s="68"/>
      <c r="D160" s="69"/>
      <c r="E160" s="58"/>
      <c r="F160" s="56"/>
      <c r="H160" s="9"/>
      <c r="I160" s="11"/>
      <c r="J160" s="8"/>
    </row>
    <row r="161" spans="2:10" x14ac:dyDescent="0.25">
      <c r="B161" s="55" t="s">
        <v>34</v>
      </c>
      <c r="C161" s="68"/>
      <c r="D161" s="69"/>
      <c r="E161" s="58"/>
      <c r="F161" s="56"/>
      <c r="H161" s="9"/>
      <c r="I161" s="11"/>
      <c r="J161" s="8"/>
    </row>
    <row r="162" spans="2:10" x14ac:dyDescent="0.25">
      <c r="B162" s="55" t="s">
        <v>8</v>
      </c>
      <c r="C162" s="68">
        <v>41616.963000000003</v>
      </c>
      <c r="D162" s="69">
        <v>3866.415</v>
      </c>
      <c r="E162" s="58">
        <v>1615.4607999999998</v>
      </c>
      <c r="F162" s="56">
        <v>47098</v>
      </c>
      <c r="H162" s="9"/>
      <c r="I162" s="11"/>
      <c r="J162" s="8"/>
    </row>
    <row r="163" spans="2:10" x14ac:dyDescent="0.25">
      <c r="B163" s="55" t="s">
        <v>26</v>
      </c>
      <c r="C163" s="68">
        <v>42091</v>
      </c>
      <c r="D163" s="69">
        <v>3457</v>
      </c>
      <c r="E163" s="58">
        <v>2149.7941999999998</v>
      </c>
      <c r="F163" s="56">
        <v>47698</v>
      </c>
      <c r="H163" s="9"/>
      <c r="I163" s="11"/>
      <c r="J163" s="8"/>
    </row>
    <row r="164" spans="2:10" x14ac:dyDescent="0.25">
      <c r="B164" s="55" t="s">
        <v>10</v>
      </c>
      <c r="C164" s="68">
        <v>43510.678999999996</v>
      </c>
      <c r="D164" s="69">
        <v>3440.0540000000001</v>
      </c>
      <c r="E164" s="58">
        <v>1983.33</v>
      </c>
      <c r="F164" s="56">
        <v>48934</v>
      </c>
      <c r="H164" s="9"/>
      <c r="I164" s="11"/>
      <c r="J164" s="8"/>
    </row>
    <row r="165" spans="2:10" x14ac:dyDescent="0.25">
      <c r="B165" s="55" t="s">
        <v>12</v>
      </c>
      <c r="C165" s="68">
        <v>43001.366999999998</v>
      </c>
      <c r="D165" s="69">
        <v>3958.3409999999999</v>
      </c>
      <c r="E165" s="58">
        <v>1928.731</v>
      </c>
      <c r="F165" s="56">
        <v>48888</v>
      </c>
      <c r="H165" s="9"/>
      <c r="I165" s="11"/>
      <c r="J165" s="8"/>
    </row>
    <row r="166" spans="2:10" x14ac:dyDescent="0.25">
      <c r="B166" s="55"/>
      <c r="C166" s="70"/>
      <c r="D166" s="71"/>
      <c r="E166" s="63"/>
      <c r="F166" s="56"/>
      <c r="H166" s="9"/>
      <c r="I166" s="11"/>
      <c r="J166" s="8"/>
    </row>
    <row r="167" spans="2:10" x14ac:dyDescent="0.25">
      <c r="B167" s="55"/>
      <c r="C167" s="72"/>
      <c r="D167" s="72"/>
      <c r="E167" s="72"/>
      <c r="F167" s="36"/>
      <c r="H167" s="9"/>
      <c r="I167" s="11"/>
      <c r="J167" s="8"/>
    </row>
    <row r="168" spans="2:10" x14ac:dyDescent="0.25">
      <c r="B168" s="55"/>
      <c r="C168" s="72"/>
      <c r="D168" s="72"/>
      <c r="E168" s="72"/>
      <c r="F168" s="36"/>
      <c r="H168" s="9"/>
      <c r="I168" s="11"/>
      <c r="J168" s="8"/>
    </row>
    <row r="169" spans="2:10" x14ac:dyDescent="0.25">
      <c r="B169" s="55"/>
      <c r="C169" s="70"/>
      <c r="D169" s="71"/>
      <c r="E169" s="63"/>
      <c r="F169" s="56"/>
      <c r="H169" s="9"/>
      <c r="I169" s="11"/>
      <c r="J169" s="8"/>
    </row>
    <row r="170" spans="2:10" x14ac:dyDescent="0.25">
      <c r="B170" s="55"/>
      <c r="C170" s="68"/>
      <c r="D170" s="69"/>
      <c r="E170" s="58"/>
      <c r="F170" s="56"/>
      <c r="H170" s="9"/>
      <c r="I170" s="11"/>
      <c r="J170" s="8"/>
    </row>
    <row r="171" spans="2:10" x14ac:dyDescent="0.25">
      <c r="B171" s="55" t="s">
        <v>32</v>
      </c>
      <c r="C171" s="68"/>
      <c r="D171" s="69"/>
      <c r="E171" s="58"/>
      <c r="F171" s="56"/>
      <c r="H171" s="9"/>
      <c r="I171" s="11"/>
      <c r="J171" s="8"/>
    </row>
    <row r="172" spans="2:10" x14ac:dyDescent="0.25">
      <c r="B172" s="55" t="s">
        <v>22</v>
      </c>
      <c r="C172" s="68">
        <v>12783.157999999999</v>
      </c>
      <c r="D172" s="69">
        <v>1086.5340000000001</v>
      </c>
      <c r="E172" s="58">
        <v>531.20699999999999</v>
      </c>
      <c r="F172" s="56">
        <f t="shared" ref="F172:F183" si="4">SUM(C172:E172)</f>
        <v>14400.898999999999</v>
      </c>
      <c r="G172" s="23">
        <v>35387</v>
      </c>
      <c r="H172" s="9"/>
      <c r="I172" s="11"/>
      <c r="J172" s="8"/>
    </row>
    <row r="173" spans="2:10" x14ac:dyDescent="0.25">
      <c r="B173" s="55" t="s">
        <v>23</v>
      </c>
      <c r="C173" s="68">
        <v>12331.925999999999</v>
      </c>
      <c r="D173" s="69">
        <v>1041.9849999999999</v>
      </c>
      <c r="E173" s="58">
        <v>547.59849999999994</v>
      </c>
      <c r="F173" s="56">
        <f t="shared" si="4"/>
        <v>13921.5095</v>
      </c>
      <c r="H173" s="9"/>
      <c r="I173" s="11"/>
      <c r="J173" s="8"/>
    </row>
    <row r="174" spans="2:10" x14ac:dyDescent="0.25">
      <c r="B174" s="55" t="s">
        <v>24</v>
      </c>
      <c r="C174" s="68">
        <v>13702.659</v>
      </c>
      <c r="D174" s="69">
        <v>1132.5250000000001</v>
      </c>
      <c r="E174" s="58">
        <v>482.32650000000001</v>
      </c>
      <c r="F174" s="56">
        <f t="shared" si="4"/>
        <v>15317.510499999999</v>
      </c>
      <c r="H174" s="9"/>
      <c r="I174" s="11"/>
      <c r="J174" s="8"/>
    </row>
    <row r="175" spans="2:10" x14ac:dyDescent="0.25">
      <c r="B175" s="55" t="s">
        <v>14</v>
      </c>
      <c r="C175" s="68">
        <v>13030</v>
      </c>
      <c r="D175" s="69">
        <v>988</v>
      </c>
      <c r="E175" s="58">
        <v>567</v>
      </c>
      <c r="F175" s="56">
        <f t="shared" si="4"/>
        <v>14585</v>
      </c>
      <c r="H175" s="5"/>
      <c r="I175" s="11"/>
      <c r="J175" s="8"/>
    </row>
    <row r="176" spans="2:10" x14ac:dyDescent="0.25">
      <c r="B176" s="55" t="s">
        <v>15</v>
      </c>
      <c r="C176" s="68">
        <v>13604.001</v>
      </c>
      <c r="D176" s="69">
        <v>1010.756</v>
      </c>
      <c r="E176" s="58">
        <v>647.40800000000002</v>
      </c>
      <c r="F176" s="56">
        <f t="shared" si="4"/>
        <v>15262.164999999999</v>
      </c>
      <c r="H176" s="5"/>
      <c r="I176" s="11"/>
      <c r="J176" s="8"/>
    </row>
    <row r="177" spans="2:10" x14ac:dyDescent="0.25">
      <c r="B177" s="55" t="s">
        <v>25</v>
      </c>
      <c r="C177" s="68">
        <v>13367.924000000001</v>
      </c>
      <c r="D177" s="69">
        <v>1063.9559999999999</v>
      </c>
      <c r="E177" s="58">
        <v>583.98599999999999</v>
      </c>
      <c r="F177" s="56">
        <f t="shared" si="4"/>
        <v>15015.866000000002</v>
      </c>
      <c r="H177" s="5"/>
      <c r="I177" s="11"/>
      <c r="J177" s="8"/>
    </row>
    <row r="178" spans="2:10" x14ac:dyDescent="0.25">
      <c r="B178" s="55" t="s">
        <v>16</v>
      </c>
      <c r="C178" s="68">
        <v>12993.768</v>
      </c>
      <c r="D178" s="69">
        <v>981.79200000000003</v>
      </c>
      <c r="E178" s="58">
        <v>447.50700000000001</v>
      </c>
      <c r="F178" s="56">
        <f t="shared" si="4"/>
        <v>14423.066999999999</v>
      </c>
      <c r="G178" s="9"/>
      <c r="H178" s="5"/>
      <c r="I178" s="11"/>
      <c r="J178" s="8"/>
    </row>
    <row r="179" spans="2:10" x14ac:dyDescent="0.25">
      <c r="B179" s="55" t="s">
        <v>17</v>
      </c>
      <c r="C179" s="68">
        <v>12557.763999999999</v>
      </c>
      <c r="D179" s="69">
        <v>863.71299999999997</v>
      </c>
      <c r="E179" s="58">
        <v>495.90750000000003</v>
      </c>
      <c r="F179" s="56">
        <f t="shared" si="4"/>
        <v>13917.384499999998</v>
      </c>
      <c r="G179" s="8"/>
      <c r="H179" s="5"/>
      <c r="I179" s="11"/>
      <c r="J179" s="8"/>
    </row>
    <row r="180" spans="2:10" x14ac:dyDescent="0.25">
      <c r="B180" s="55" t="s">
        <v>18</v>
      </c>
      <c r="C180" s="68">
        <v>11631</v>
      </c>
      <c r="D180" s="69">
        <v>643.255</v>
      </c>
      <c r="E180" s="58">
        <v>488.221</v>
      </c>
      <c r="F180" s="56">
        <f t="shared" si="4"/>
        <v>12762.475999999999</v>
      </c>
      <c r="H180" s="5"/>
      <c r="I180" s="11"/>
      <c r="J180" s="8"/>
    </row>
    <row r="181" spans="2:10" x14ac:dyDescent="0.25">
      <c r="B181" s="55" t="s">
        <v>30</v>
      </c>
      <c r="C181" s="68">
        <v>12807.823</v>
      </c>
      <c r="D181" s="69">
        <v>789.39800000000002</v>
      </c>
      <c r="E181" s="58">
        <v>533.63750000000005</v>
      </c>
      <c r="F181" s="56">
        <f t="shared" si="4"/>
        <v>14130.8585</v>
      </c>
      <c r="H181" s="5"/>
      <c r="I181" s="11"/>
      <c r="J181" s="8"/>
    </row>
    <row r="182" spans="2:10" x14ac:dyDescent="0.25">
      <c r="B182" s="55" t="s">
        <v>20</v>
      </c>
      <c r="C182" s="57">
        <v>12272.996999999999</v>
      </c>
      <c r="D182" s="58">
        <v>800.99300000000005</v>
      </c>
      <c r="E182" s="58">
        <v>408.06099999999998</v>
      </c>
      <c r="F182" s="56">
        <f t="shared" si="4"/>
        <v>13482.050999999999</v>
      </c>
      <c r="G182" s="9"/>
      <c r="H182" s="5"/>
      <c r="I182" s="11"/>
      <c r="J182" s="8"/>
    </row>
    <row r="183" spans="2:10" x14ac:dyDescent="0.25">
      <c r="B183" s="55" t="s">
        <v>21</v>
      </c>
      <c r="C183" s="57">
        <v>12230</v>
      </c>
      <c r="D183" s="58">
        <v>1048</v>
      </c>
      <c r="E183" s="58">
        <v>366</v>
      </c>
      <c r="F183" s="56">
        <f t="shared" si="4"/>
        <v>13644</v>
      </c>
      <c r="G183" s="9"/>
      <c r="H183" s="5"/>
      <c r="I183" s="11"/>
      <c r="J183" s="8"/>
    </row>
    <row r="184" spans="2:10" x14ac:dyDescent="0.25">
      <c r="B184" s="55" t="s">
        <v>38</v>
      </c>
      <c r="C184" s="58">
        <f>C251+C252+C253+C254</f>
        <v>210501.72899999999</v>
      </c>
      <c r="D184" s="58">
        <f>D251+D252+D253+D254</f>
        <v>15150.1476</v>
      </c>
      <c r="E184" s="58">
        <f>E251+E252+E253+E254</f>
        <v>18653.520812000002</v>
      </c>
      <c r="F184" s="58">
        <f>F251+F252+F253+F254</f>
        <v>244305.39741199999</v>
      </c>
      <c r="G184" s="9"/>
      <c r="H184" s="5"/>
      <c r="I184" s="11"/>
      <c r="J184" s="8"/>
    </row>
    <row r="185" spans="2:10" x14ac:dyDescent="0.25">
      <c r="B185" s="55" t="s">
        <v>35</v>
      </c>
      <c r="C185" s="57"/>
      <c r="D185" s="58"/>
      <c r="E185" s="58"/>
      <c r="F185" s="56"/>
      <c r="G185" s="9"/>
      <c r="H185" s="5"/>
      <c r="I185" s="11"/>
      <c r="J185" s="8"/>
    </row>
    <row r="186" spans="2:10" x14ac:dyDescent="0.25">
      <c r="B186" s="52" t="s">
        <v>8</v>
      </c>
      <c r="C186" s="57">
        <v>42173</v>
      </c>
      <c r="D186" s="58">
        <v>3639.7710000000002</v>
      </c>
      <c r="E186" s="58">
        <v>2662.8270000000002</v>
      </c>
      <c r="F186" s="56">
        <v>48476.26</v>
      </c>
      <c r="G186" s="9"/>
      <c r="H186" s="5"/>
      <c r="I186" s="11"/>
      <c r="J186" s="8"/>
    </row>
    <row r="187" spans="2:10" x14ac:dyDescent="0.25">
      <c r="B187" s="52" t="s">
        <v>26</v>
      </c>
      <c r="C187" s="57">
        <v>46114.319000000003</v>
      </c>
      <c r="D187" s="58">
        <v>2858.62</v>
      </c>
      <c r="E187" s="58">
        <v>2666</v>
      </c>
      <c r="F187" s="56">
        <v>51639</v>
      </c>
      <c r="G187" s="9"/>
      <c r="H187" s="5"/>
      <c r="I187" s="11"/>
      <c r="J187" s="8"/>
    </row>
    <row r="188" spans="2:10" x14ac:dyDescent="0.25">
      <c r="B188" s="52" t="s">
        <v>10</v>
      </c>
      <c r="C188" s="57">
        <v>47632.241999999998</v>
      </c>
      <c r="D188" s="58">
        <v>3423.5050000000001</v>
      </c>
      <c r="E188" s="58">
        <v>2121.105</v>
      </c>
      <c r="F188" s="73">
        <v>53176.851999999999</v>
      </c>
      <c r="G188" s="9"/>
      <c r="H188" s="5"/>
      <c r="I188" s="11"/>
      <c r="J188" s="8"/>
    </row>
    <row r="189" spans="2:10" x14ac:dyDescent="0.25">
      <c r="B189" s="52" t="s">
        <v>12</v>
      </c>
      <c r="C189" s="57">
        <v>48003.779000000002</v>
      </c>
      <c r="D189" s="58">
        <v>2745.8540000000003</v>
      </c>
      <c r="E189" s="58">
        <v>2387.2490000000003</v>
      </c>
      <c r="F189" s="74">
        <v>53136.881999999998</v>
      </c>
      <c r="G189" s="9"/>
      <c r="H189" s="5"/>
      <c r="I189" s="11"/>
      <c r="J189" s="8"/>
    </row>
    <row r="190" spans="2:10" x14ac:dyDescent="0.25">
      <c r="B190" s="52"/>
      <c r="C190" s="57"/>
      <c r="D190" s="58"/>
      <c r="E190" s="58"/>
      <c r="F190" s="56"/>
      <c r="H190" s="5"/>
      <c r="I190" s="11"/>
      <c r="J190" s="8"/>
    </row>
    <row r="191" spans="2:10" x14ac:dyDescent="0.25">
      <c r="B191" s="55"/>
      <c r="C191" s="57"/>
      <c r="D191" s="58"/>
      <c r="E191" s="58"/>
      <c r="F191" s="56"/>
      <c r="H191" s="5"/>
      <c r="I191" s="11"/>
      <c r="J191" s="8"/>
    </row>
    <row r="192" spans="2:10" x14ac:dyDescent="0.25">
      <c r="B192" s="55" t="s">
        <v>33</v>
      </c>
      <c r="C192" s="72"/>
      <c r="D192" s="58"/>
      <c r="E192" s="58"/>
      <c r="F192" s="56"/>
      <c r="H192" s="5"/>
      <c r="I192" s="11"/>
      <c r="J192" s="8"/>
    </row>
    <row r="193" spans="2:10" x14ac:dyDescent="0.25">
      <c r="B193" s="52" t="s">
        <v>22</v>
      </c>
      <c r="C193" s="57">
        <v>11409.619000000001</v>
      </c>
      <c r="D193" s="58">
        <v>740.18200000000002</v>
      </c>
      <c r="E193" s="58">
        <v>377.05200000000002</v>
      </c>
      <c r="F193" s="56">
        <f t="shared" ref="F193:F204" si="5">SUM(C193:E193)</f>
        <v>12526.853000000001</v>
      </c>
      <c r="G193" s="9"/>
      <c r="H193" s="9"/>
      <c r="I193" s="11"/>
      <c r="J193" s="8"/>
    </row>
    <row r="194" spans="2:10" x14ac:dyDescent="0.25">
      <c r="B194" s="52" t="s">
        <v>23</v>
      </c>
      <c r="C194" s="57">
        <v>10333.199000000001</v>
      </c>
      <c r="D194" s="58">
        <v>752.83600000000001</v>
      </c>
      <c r="E194" s="58">
        <v>360.815</v>
      </c>
      <c r="F194" s="56">
        <f t="shared" si="5"/>
        <v>11446.85</v>
      </c>
      <c r="H194" s="5"/>
      <c r="I194" s="11"/>
      <c r="J194" s="8"/>
    </row>
    <row r="195" spans="2:10" x14ac:dyDescent="0.25">
      <c r="B195" s="52" t="s">
        <v>24</v>
      </c>
      <c r="C195" s="57">
        <v>11914.181</v>
      </c>
      <c r="D195" s="58">
        <v>868.255</v>
      </c>
      <c r="E195" s="58">
        <v>411.64800000000002</v>
      </c>
      <c r="F195" s="56">
        <f t="shared" si="5"/>
        <v>13194.083999999999</v>
      </c>
      <c r="G195" s="9"/>
      <c r="H195" s="15"/>
      <c r="I195" s="11"/>
      <c r="J195" s="8"/>
    </row>
    <row r="196" spans="2:10" x14ac:dyDescent="0.25">
      <c r="B196" s="52" t="s">
        <v>14</v>
      </c>
      <c r="C196" s="57">
        <v>11435.1</v>
      </c>
      <c r="D196" s="58">
        <v>879.27</v>
      </c>
      <c r="E196" s="58">
        <v>489.53500000000003</v>
      </c>
      <c r="F196" s="56">
        <f t="shared" si="5"/>
        <v>12803.905000000001</v>
      </c>
      <c r="H196" s="15"/>
      <c r="I196" s="11"/>
      <c r="J196" s="8"/>
    </row>
    <row r="197" spans="2:10" x14ac:dyDescent="0.25">
      <c r="B197" s="52" t="s">
        <v>15</v>
      </c>
      <c r="C197" s="57">
        <v>12463</v>
      </c>
      <c r="D197" s="58">
        <v>803</v>
      </c>
      <c r="E197" s="58">
        <v>588</v>
      </c>
      <c r="F197" s="56">
        <f t="shared" si="5"/>
        <v>13854</v>
      </c>
      <c r="H197" s="15"/>
      <c r="I197" s="11"/>
      <c r="J197" s="8"/>
    </row>
    <row r="198" spans="2:10" x14ac:dyDescent="0.25">
      <c r="B198" s="52" t="s">
        <v>25</v>
      </c>
      <c r="C198" s="57">
        <v>10795</v>
      </c>
      <c r="D198" s="58">
        <v>803</v>
      </c>
      <c r="E198" s="58">
        <v>615</v>
      </c>
      <c r="F198" s="56">
        <f t="shared" si="5"/>
        <v>12213</v>
      </c>
      <c r="H198" s="15"/>
      <c r="I198" s="11"/>
      <c r="J198" s="8"/>
    </row>
    <row r="199" spans="2:10" x14ac:dyDescent="0.25">
      <c r="B199" s="52" t="s">
        <v>16</v>
      </c>
      <c r="C199" s="57">
        <v>10493</v>
      </c>
      <c r="D199" s="58">
        <v>901</v>
      </c>
      <c r="E199" s="58">
        <v>526</v>
      </c>
      <c r="F199" s="56">
        <f t="shared" si="5"/>
        <v>11920</v>
      </c>
      <c r="G199" s="8"/>
      <c r="H199" s="15"/>
      <c r="I199" s="11"/>
      <c r="J199" s="8"/>
    </row>
    <row r="200" spans="2:10" x14ac:dyDescent="0.25">
      <c r="B200" s="52" t="s">
        <v>17</v>
      </c>
      <c r="C200" s="57">
        <v>10263.554</v>
      </c>
      <c r="D200" s="58">
        <v>970.07100000000003</v>
      </c>
      <c r="E200" s="58">
        <v>477.97199999999998</v>
      </c>
      <c r="F200" s="56">
        <f t="shared" si="5"/>
        <v>11711.597</v>
      </c>
      <c r="G200" s="8"/>
      <c r="H200" s="15"/>
      <c r="I200" s="11"/>
      <c r="J200" s="8"/>
    </row>
    <row r="201" spans="2:10" x14ac:dyDescent="0.25">
      <c r="B201" s="52" t="s">
        <v>18</v>
      </c>
      <c r="C201" s="57">
        <v>9880.67</v>
      </c>
      <c r="D201" s="58">
        <v>912</v>
      </c>
      <c r="E201" s="58">
        <v>497</v>
      </c>
      <c r="F201" s="56">
        <f t="shared" si="5"/>
        <v>11289.67</v>
      </c>
      <c r="H201" s="15"/>
      <c r="I201" s="11"/>
      <c r="J201" s="8"/>
    </row>
    <row r="202" spans="2:10" x14ac:dyDescent="0.25">
      <c r="B202" s="52" t="s">
        <v>30</v>
      </c>
      <c r="C202" s="57">
        <v>10176.879000000001</v>
      </c>
      <c r="D202" s="58">
        <v>934.30899999999997</v>
      </c>
      <c r="E202" s="58">
        <v>500.65699999999998</v>
      </c>
      <c r="F202" s="56">
        <f t="shared" si="5"/>
        <v>11611.844999999999</v>
      </c>
      <c r="H202" s="15"/>
      <c r="I202" s="11"/>
      <c r="J202" s="8"/>
    </row>
    <row r="203" spans="2:10" x14ac:dyDescent="0.25">
      <c r="B203" s="52" t="s">
        <v>20</v>
      </c>
      <c r="C203" s="57">
        <v>11500.687</v>
      </c>
      <c r="D203" s="58">
        <v>1094.2349999999999</v>
      </c>
      <c r="E203" s="58">
        <v>767.23299999999995</v>
      </c>
      <c r="F203" s="56">
        <f t="shared" si="5"/>
        <v>13362.155000000001</v>
      </c>
      <c r="H203" s="15"/>
      <c r="I203" s="11"/>
      <c r="J203" s="8"/>
    </row>
    <row r="204" spans="2:10" x14ac:dyDescent="0.25">
      <c r="B204" s="52" t="s">
        <v>21</v>
      </c>
      <c r="C204" s="57">
        <v>13710.01</v>
      </c>
      <c r="D204" s="58">
        <v>1191.7639999999999</v>
      </c>
      <c r="E204" s="58">
        <v>677.93100000000004</v>
      </c>
      <c r="F204" s="56">
        <f t="shared" si="5"/>
        <v>15579.705</v>
      </c>
      <c r="H204" s="15"/>
      <c r="I204" s="11"/>
      <c r="J204" s="8"/>
    </row>
    <row r="205" spans="2:10" x14ac:dyDescent="0.25">
      <c r="B205" s="55" t="s">
        <v>39</v>
      </c>
      <c r="C205" s="58">
        <f>C257+C258+C259+C260</f>
        <v>212692.07049999997</v>
      </c>
      <c r="D205" s="58">
        <f>D257+D258+D259+D260</f>
        <v>14731.901</v>
      </c>
      <c r="E205" s="58">
        <f>E257+E258+E259+E260</f>
        <v>17112.808400000002</v>
      </c>
      <c r="F205" s="58">
        <f>F257+F258+F259+F260</f>
        <v>237887.06429999997</v>
      </c>
      <c r="H205" s="15"/>
      <c r="I205" s="11"/>
      <c r="J205" s="8"/>
    </row>
    <row r="206" spans="2:10" x14ac:dyDescent="0.25">
      <c r="B206" s="55" t="s">
        <v>40</v>
      </c>
      <c r="C206" s="58">
        <f>SUM(C291:C294)</f>
        <v>227399.87800000003</v>
      </c>
      <c r="D206" s="58">
        <f>SUM(D291:D294)</f>
        <v>15042.34</v>
      </c>
      <c r="E206" s="58">
        <f>SUM(E291:E294)</f>
        <v>16848.784100000001</v>
      </c>
      <c r="F206" s="58">
        <f>SUM(F291:F294)</f>
        <v>259291.00210000001</v>
      </c>
      <c r="H206" s="15"/>
      <c r="I206" s="11"/>
      <c r="J206" s="8"/>
    </row>
    <row r="207" spans="2:10" x14ac:dyDescent="0.25">
      <c r="B207" s="55" t="s">
        <v>41</v>
      </c>
      <c r="C207" s="58">
        <f>SUM(C297:C300)</f>
        <v>224773.568</v>
      </c>
      <c r="D207" s="58">
        <f>SUM(D297:D300)</f>
        <v>14620.314</v>
      </c>
      <c r="E207" s="58">
        <f>SUM(E297:E300)</f>
        <v>25529.250100000001</v>
      </c>
      <c r="F207" s="58">
        <f>SUM(F297:F300)</f>
        <v>264923.13209999999</v>
      </c>
      <c r="H207" s="15"/>
      <c r="I207" s="11"/>
      <c r="J207" s="8"/>
    </row>
    <row r="208" spans="2:10" x14ac:dyDescent="0.25">
      <c r="B208" s="55" t="s">
        <v>42</v>
      </c>
      <c r="C208" s="58">
        <f>C303+C304+C305+C306</f>
        <v>220106.62900000002</v>
      </c>
      <c r="D208" s="58">
        <f>D303+D304+D305+D306</f>
        <v>16368.629999999997</v>
      </c>
      <c r="E208" s="58">
        <f>E303+E304+E305+E306</f>
        <v>21333.2294</v>
      </c>
      <c r="F208" s="58">
        <f>F303+F304+F305+F306</f>
        <v>257808.48840000003</v>
      </c>
      <c r="H208" s="15"/>
      <c r="I208" s="11"/>
      <c r="J208" s="8"/>
    </row>
    <row r="209" spans="2:10" x14ac:dyDescent="0.25">
      <c r="B209" s="55" t="s">
        <v>44</v>
      </c>
      <c r="C209" s="58">
        <f>C309+C310+C311+C312</f>
        <v>248262.23699999999</v>
      </c>
      <c r="D209" s="58">
        <f>D309+D310+D311+D312</f>
        <v>17913.131000000001</v>
      </c>
      <c r="E209" s="58">
        <f>E309+E310+E311+E312</f>
        <v>20688.196980000001</v>
      </c>
      <c r="F209" s="58">
        <f>F309+F310+F311+F312</f>
        <v>286863.56498000002</v>
      </c>
      <c r="H209" s="15"/>
      <c r="I209" s="11"/>
      <c r="J209" s="8"/>
    </row>
    <row r="210" spans="2:10" x14ac:dyDescent="0.25">
      <c r="B210" s="52"/>
      <c r="C210" s="57"/>
      <c r="D210" s="58"/>
      <c r="E210" s="58"/>
      <c r="F210" s="56"/>
      <c r="H210" s="15"/>
      <c r="I210" s="11"/>
      <c r="J210" s="8"/>
    </row>
    <row r="211" spans="2:10" hidden="1" x14ac:dyDescent="0.25">
      <c r="B211" s="55" t="s">
        <v>36</v>
      </c>
      <c r="C211" s="57"/>
      <c r="D211" s="58"/>
      <c r="E211" s="58"/>
      <c r="F211" s="56"/>
      <c r="H211" s="15"/>
      <c r="I211" s="11"/>
      <c r="J211" s="8"/>
    </row>
    <row r="212" spans="2:10" hidden="1" x14ac:dyDescent="0.25">
      <c r="B212" s="52" t="s">
        <v>8</v>
      </c>
      <c r="C212" s="57">
        <v>45748.103000000003</v>
      </c>
      <c r="D212" s="58">
        <v>3523.6710000000003</v>
      </c>
      <c r="E212" s="58">
        <v>2970.8069999999998</v>
      </c>
      <c r="F212" s="56">
        <v>52242.580999999991</v>
      </c>
      <c r="H212" s="15"/>
      <c r="I212" s="11"/>
      <c r="J212" s="8"/>
    </row>
    <row r="213" spans="2:10" hidden="1" x14ac:dyDescent="0.25">
      <c r="B213" s="52" t="s">
        <v>26</v>
      </c>
      <c r="C213" s="57">
        <v>44569.236999999994</v>
      </c>
      <c r="D213" s="58">
        <v>4658.8710000000001</v>
      </c>
      <c r="E213" s="58">
        <v>3387.8580000000002</v>
      </c>
      <c r="F213" s="56">
        <v>52615.966</v>
      </c>
      <c r="H213" s="15"/>
      <c r="I213" s="11"/>
      <c r="J213" s="8"/>
    </row>
    <row r="214" spans="2:10" hidden="1" x14ac:dyDescent="0.25">
      <c r="B214" s="52" t="s">
        <v>10</v>
      </c>
      <c r="C214" s="57">
        <v>42779.494999999995</v>
      </c>
      <c r="D214" s="58">
        <v>4417.79</v>
      </c>
      <c r="E214" s="58">
        <v>2578.826</v>
      </c>
      <c r="F214" s="56">
        <v>49776.111000000004</v>
      </c>
      <c r="H214" s="15"/>
      <c r="I214" s="11"/>
      <c r="J214" s="8"/>
    </row>
    <row r="215" spans="2:10" hidden="1" x14ac:dyDescent="0.25">
      <c r="B215" s="75" t="s">
        <v>12</v>
      </c>
      <c r="C215" s="57">
        <f>C272+C273+C274</f>
        <v>41999.266000000003</v>
      </c>
      <c r="D215" s="64">
        <f>D272+D273+D274</f>
        <v>4103.3950000000004</v>
      </c>
      <c r="E215" s="64">
        <f>E272+E273+E274</f>
        <v>4395.24</v>
      </c>
      <c r="F215" s="58">
        <f>F272+F273+F274</f>
        <v>50497.900999999998</v>
      </c>
      <c r="G215" s="2"/>
      <c r="H215" s="15"/>
      <c r="I215" s="11"/>
      <c r="J215" s="8"/>
    </row>
    <row r="216" spans="2:10" hidden="1" x14ac:dyDescent="0.25">
      <c r="B216" s="52"/>
      <c r="C216" s="62"/>
      <c r="D216" s="65"/>
      <c r="E216" s="65"/>
      <c r="F216" s="63"/>
      <c r="G216" s="2"/>
      <c r="H216" s="15"/>
      <c r="I216" s="11"/>
      <c r="J216" s="8"/>
    </row>
    <row r="217" spans="2:10" hidden="1" x14ac:dyDescent="0.25">
      <c r="B217" s="55" t="s">
        <v>34</v>
      </c>
      <c r="C217" s="57"/>
      <c r="D217" s="58"/>
      <c r="E217" s="58"/>
      <c r="F217" s="56"/>
      <c r="H217" s="15"/>
      <c r="I217" s="11"/>
      <c r="J217" s="8"/>
    </row>
    <row r="218" spans="2:10" hidden="1" x14ac:dyDescent="0.25">
      <c r="B218" s="52" t="s">
        <v>22</v>
      </c>
      <c r="C218" s="57">
        <v>14070.602999999999</v>
      </c>
      <c r="D218" s="58">
        <v>1346.1849999999999</v>
      </c>
      <c r="E218" s="58">
        <v>619.70579999999995</v>
      </c>
      <c r="F218" s="56">
        <f t="shared" ref="F218:F229" si="6">SUM(C218:E218)</f>
        <v>16036.493799999998</v>
      </c>
      <c r="H218" s="15"/>
      <c r="I218" s="11"/>
      <c r="J218" s="8"/>
    </row>
    <row r="219" spans="2:10" hidden="1" x14ac:dyDescent="0.25">
      <c r="B219" s="52" t="s">
        <v>23</v>
      </c>
      <c r="C219" s="57">
        <v>13024.433000000001</v>
      </c>
      <c r="D219" s="58">
        <v>1217.9449999999999</v>
      </c>
      <c r="E219" s="58">
        <v>486.99099999999999</v>
      </c>
      <c r="F219" s="56">
        <f t="shared" si="6"/>
        <v>14729.369000000001</v>
      </c>
      <c r="H219" s="9"/>
      <c r="I219" s="11"/>
      <c r="J219" s="8"/>
    </row>
    <row r="220" spans="2:10" hidden="1" x14ac:dyDescent="0.25">
      <c r="B220" s="52" t="s">
        <v>24</v>
      </c>
      <c r="C220" s="57">
        <v>14521.927</v>
      </c>
      <c r="D220" s="58">
        <v>1302.385</v>
      </c>
      <c r="E220" s="58">
        <v>508.76400000000001</v>
      </c>
      <c r="F220" s="56">
        <f t="shared" si="6"/>
        <v>16333.075999999999</v>
      </c>
      <c r="H220" s="9"/>
      <c r="I220" s="11"/>
      <c r="J220" s="8"/>
    </row>
    <row r="221" spans="2:10" hidden="1" x14ac:dyDescent="0.25">
      <c r="B221" s="52" t="s">
        <v>14</v>
      </c>
      <c r="C221" s="57">
        <v>14043.107</v>
      </c>
      <c r="D221" s="58">
        <v>1180.527</v>
      </c>
      <c r="E221" s="58">
        <v>672.13400000000001</v>
      </c>
      <c r="F221" s="56">
        <f t="shared" si="6"/>
        <v>15895.768</v>
      </c>
      <c r="H221" s="17"/>
      <c r="I221" s="11"/>
      <c r="J221" s="8"/>
    </row>
    <row r="222" spans="2:10" hidden="1" x14ac:dyDescent="0.25">
      <c r="B222" s="52" t="s">
        <v>15</v>
      </c>
      <c r="C222" s="57">
        <v>14751</v>
      </c>
      <c r="D222" s="58">
        <v>1143</v>
      </c>
      <c r="E222" s="58">
        <v>730</v>
      </c>
      <c r="F222" s="56">
        <f t="shared" si="6"/>
        <v>16624</v>
      </c>
      <c r="H222" s="17"/>
      <c r="I222" s="11"/>
      <c r="J222" s="8"/>
    </row>
    <row r="223" spans="2:10" hidden="1" x14ac:dyDescent="0.25">
      <c r="B223" s="52" t="s">
        <v>25</v>
      </c>
      <c r="C223" s="57">
        <v>13297.415999999999</v>
      </c>
      <c r="D223" s="58">
        <v>1132.636</v>
      </c>
      <c r="E223" s="58">
        <v>747.66020000000003</v>
      </c>
      <c r="F223" s="56">
        <f t="shared" si="6"/>
        <v>15177.7122</v>
      </c>
      <c r="H223" s="17"/>
      <c r="I223" s="11"/>
      <c r="J223" s="8"/>
    </row>
    <row r="224" spans="2:10" hidden="1" x14ac:dyDescent="0.25">
      <c r="B224" s="52" t="s">
        <v>16</v>
      </c>
      <c r="C224" s="57">
        <v>14527.200999999999</v>
      </c>
      <c r="D224" s="58">
        <v>1162.162</v>
      </c>
      <c r="E224" s="58">
        <v>692.726</v>
      </c>
      <c r="F224" s="56">
        <f t="shared" si="6"/>
        <v>16382.089</v>
      </c>
      <c r="H224" s="17"/>
      <c r="I224" s="11"/>
      <c r="J224" s="8"/>
    </row>
    <row r="225" spans="2:10" hidden="1" x14ac:dyDescent="0.25">
      <c r="B225" s="52" t="s">
        <v>17</v>
      </c>
      <c r="C225" s="57">
        <v>14596.477999999999</v>
      </c>
      <c r="D225" s="58">
        <v>1216.8920000000001</v>
      </c>
      <c r="E225" s="58">
        <v>684.60400000000004</v>
      </c>
      <c r="F225" s="56">
        <f t="shared" si="6"/>
        <v>16497.973999999998</v>
      </c>
      <c r="H225" s="17"/>
      <c r="I225" s="11"/>
      <c r="J225" s="8"/>
    </row>
    <row r="226" spans="2:10" hidden="1" x14ac:dyDescent="0.25">
      <c r="B226" s="52" t="s">
        <v>18</v>
      </c>
      <c r="C226" s="57">
        <v>14387</v>
      </c>
      <c r="D226" s="58">
        <v>1061</v>
      </c>
      <c r="E226" s="58">
        <v>606</v>
      </c>
      <c r="F226" s="56">
        <f t="shared" si="6"/>
        <v>16054</v>
      </c>
      <c r="H226" s="17"/>
      <c r="I226" s="11"/>
      <c r="J226" s="8"/>
    </row>
    <row r="227" spans="2:10" hidden="1" x14ac:dyDescent="0.25">
      <c r="B227" s="52" t="s">
        <v>30</v>
      </c>
      <c r="C227" s="57">
        <v>14521.727000000001</v>
      </c>
      <c r="D227" s="58">
        <v>1432.8679999999999</v>
      </c>
      <c r="E227" s="58">
        <v>600.08399999999995</v>
      </c>
      <c r="F227" s="56">
        <f t="shared" si="6"/>
        <v>16554.679</v>
      </c>
      <c r="H227" s="17"/>
      <c r="I227" s="11"/>
      <c r="J227" s="8"/>
    </row>
    <row r="228" spans="2:10" hidden="1" x14ac:dyDescent="0.25">
      <c r="B228" s="52" t="s">
        <v>20</v>
      </c>
      <c r="C228" s="57">
        <v>14108.422</v>
      </c>
      <c r="D228" s="58">
        <v>1261.482</v>
      </c>
      <c r="E228" s="58">
        <v>662.47299999999996</v>
      </c>
      <c r="F228" s="56">
        <f t="shared" si="6"/>
        <v>16032.377</v>
      </c>
      <c r="H228" s="17"/>
      <c r="I228" s="11"/>
      <c r="J228" s="8"/>
    </row>
    <row r="229" spans="2:10" hidden="1" x14ac:dyDescent="0.25">
      <c r="B229" s="52" t="s">
        <v>21</v>
      </c>
      <c r="C229" s="57">
        <v>14371.218000000001</v>
      </c>
      <c r="D229" s="58">
        <v>1263.991</v>
      </c>
      <c r="E229" s="58">
        <v>666.17399999999998</v>
      </c>
      <c r="F229" s="56">
        <f t="shared" si="6"/>
        <v>16301.383000000002</v>
      </c>
      <c r="H229" s="17"/>
      <c r="I229" s="11"/>
      <c r="J229" s="8"/>
    </row>
    <row r="230" spans="2:10" hidden="1" x14ac:dyDescent="0.25">
      <c r="B230" s="52"/>
      <c r="C230" s="57"/>
      <c r="D230" s="58"/>
      <c r="E230" s="58"/>
      <c r="F230" s="56"/>
      <c r="H230" s="17"/>
      <c r="I230" s="11"/>
      <c r="J230" s="8"/>
    </row>
    <row r="231" spans="2:10" hidden="1" x14ac:dyDescent="0.25">
      <c r="B231" s="55" t="s">
        <v>37</v>
      </c>
      <c r="C231" s="57"/>
      <c r="D231" s="58"/>
      <c r="E231" s="58"/>
      <c r="F231" s="56"/>
      <c r="H231" s="17"/>
      <c r="I231" s="11"/>
      <c r="J231" s="8"/>
    </row>
    <row r="232" spans="2:10" hidden="1" x14ac:dyDescent="0.25">
      <c r="B232" s="52" t="s">
        <v>68</v>
      </c>
      <c r="C232" s="58">
        <f>SUM(C277:C279)</f>
        <v>50044.990999999995</v>
      </c>
      <c r="D232" s="58">
        <f>SUM(D277:D279)</f>
        <v>2849.2719999999999</v>
      </c>
      <c r="E232" s="58">
        <f>SUM(E277:E279)</f>
        <v>4713.5470000000005</v>
      </c>
      <c r="F232" s="58">
        <f>SUM(F277:F279)</f>
        <v>57607.810000000005</v>
      </c>
      <c r="H232" s="17"/>
      <c r="I232" s="11"/>
      <c r="J232" s="8"/>
    </row>
    <row r="233" spans="2:10" hidden="1" x14ac:dyDescent="0.25">
      <c r="B233" s="52" t="s">
        <v>26</v>
      </c>
      <c r="C233" s="57">
        <f>C280+C281+C282</f>
        <v>52807.7961</v>
      </c>
      <c r="D233" s="58">
        <f>D280+D281+D282</f>
        <v>3264.7249999999999</v>
      </c>
      <c r="E233" s="64">
        <f>E280+E281+E282</f>
        <v>4079.09</v>
      </c>
      <c r="F233" s="58">
        <f>F280+F281+F282</f>
        <v>60151.611100000002</v>
      </c>
      <c r="G233" s="1"/>
      <c r="H233" s="17"/>
      <c r="I233" s="11"/>
      <c r="J233" s="8"/>
    </row>
    <row r="234" spans="2:10" hidden="1" x14ac:dyDescent="0.25">
      <c r="B234" s="52" t="s">
        <v>10</v>
      </c>
      <c r="C234" s="58">
        <f>C283+C284+C285</f>
        <v>51841.846600000004</v>
      </c>
      <c r="D234" s="58">
        <f>D283+D284+D285</f>
        <v>4432.3560000000007</v>
      </c>
      <c r="E234" s="58">
        <f>E283+E284+E285</f>
        <v>2821.17211</v>
      </c>
      <c r="F234" s="68">
        <f>F283+F284+F285</f>
        <v>59095.374710000004</v>
      </c>
      <c r="G234" s="2"/>
      <c r="H234" s="17"/>
      <c r="I234" s="11"/>
      <c r="J234" s="8"/>
    </row>
    <row r="235" spans="2:10" s="28" customFormat="1" hidden="1" x14ac:dyDescent="0.25">
      <c r="B235" s="75" t="s">
        <v>12</v>
      </c>
      <c r="C235" s="76">
        <f>C286+C287+C288</f>
        <v>53534.797999999995</v>
      </c>
      <c r="D235" s="76">
        <f>D286+D287+D288</f>
        <v>4124.2690000000002</v>
      </c>
      <c r="E235" s="76">
        <f>E286+E287+E288</f>
        <v>3736.6588999999994</v>
      </c>
      <c r="F235" s="76">
        <f>F286+F287+F288</f>
        <v>61395.72589999999</v>
      </c>
      <c r="G235" s="7"/>
      <c r="H235" s="25"/>
      <c r="I235" s="26"/>
      <c r="J235" s="27"/>
    </row>
    <row r="236" spans="2:10" hidden="1" x14ac:dyDescent="0.25">
      <c r="B236" s="55" t="s">
        <v>35</v>
      </c>
      <c r="C236" s="57"/>
      <c r="D236" s="58"/>
      <c r="E236" s="58"/>
      <c r="F236" s="56"/>
      <c r="H236" s="17"/>
      <c r="I236" s="11"/>
      <c r="J236" s="8"/>
    </row>
    <row r="237" spans="2:10" hidden="1" x14ac:dyDescent="0.25">
      <c r="B237" s="52" t="s">
        <v>22</v>
      </c>
      <c r="C237" s="57">
        <v>14122.183999999999</v>
      </c>
      <c r="D237" s="58">
        <v>1344.893</v>
      </c>
      <c r="E237" s="58">
        <v>736.34100000000001</v>
      </c>
      <c r="F237" s="56">
        <f t="shared" ref="F237:F248" si="7">SUM(C237:E237)</f>
        <v>16203.418</v>
      </c>
      <c r="H237" s="17"/>
      <c r="I237" s="11"/>
      <c r="J237" s="8"/>
    </row>
    <row r="238" spans="2:10" hidden="1" x14ac:dyDescent="0.25">
      <c r="B238" s="52" t="s">
        <v>23</v>
      </c>
      <c r="C238" s="57">
        <v>13372.107</v>
      </c>
      <c r="D238" s="58">
        <v>1230.989</v>
      </c>
      <c r="E238" s="58">
        <v>892.51700000000005</v>
      </c>
      <c r="F238" s="56">
        <f t="shared" si="7"/>
        <v>15495.612999999999</v>
      </c>
      <c r="H238" s="17"/>
      <c r="I238" s="11"/>
      <c r="J238" s="8"/>
    </row>
    <row r="239" spans="2:10" hidden="1" x14ac:dyDescent="0.25">
      <c r="B239" s="52" t="s">
        <v>24</v>
      </c>
      <c r="C239" s="57">
        <v>14679.373</v>
      </c>
      <c r="D239" s="58">
        <v>1063.8889999999999</v>
      </c>
      <c r="E239" s="58">
        <v>1033.9690000000001</v>
      </c>
      <c r="F239" s="56">
        <f t="shared" si="7"/>
        <v>16777.231</v>
      </c>
      <c r="H239" s="17"/>
      <c r="I239" s="11"/>
      <c r="J239" s="8"/>
    </row>
    <row r="240" spans="2:10" hidden="1" x14ac:dyDescent="0.25">
      <c r="B240" s="52" t="s">
        <v>14</v>
      </c>
      <c r="C240" s="57">
        <v>15126.401</v>
      </c>
      <c r="D240" s="58">
        <v>771.73199999999997</v>
      </c>
      <c r="E240" s="58">
        <v>1084.6420000000001</v>
      </c>
      <c r="F240" s="56">
        <f t="shared" si="7"/>
        <v>16982.775000000001</v>
      </c>
      <c r="H240" s="17"/>
      <c r="I240" s="11"/>
      <c r="J240" s="8"/>
    </row>
    <row r="241" spans="2:10" hidden="1" x14ac:dyDescent="0.25">
      <c r="B241" s="52" t="s">
        <v>15</v>
      </c>
      <c r="C241" s="57">
        <v>15617.891</v>
      </c>
      <c r="D241" s="58">
        <v>843.48900000000003</v>
      </c>
      <c r="E241" s="58">
        <v>1068.557</v>
      </c>
      <c r="F241" s="56">
        <f t="shared" si="7"/>
        <v>17529.937000000002</v>
      </c>
      <c r="H241" s="17"/>
      <c r="I241" s="11"/>
      <c r="J241" s="8"/>
    </row>
    <row r="242" spans="2:10" hidden="1" x14ac:dyDescent="0.25">
      <c r="B242" s="52" t="s">
        <v>25</v>
      </c>
      <c r="C242" s="57">
        <v>15370.027</v>
      </c>
      <c r="D242" s="58">
        <v>1243.3989999999999</v>
      </c>
      <c r="E242" s="58">
        <v>512.28800000000001</v>
      </c>
      <c r="F242" s="56">
        <f t="shared" si="7"/>
        <v>17125.714</v>
      </c>
      <c r="H242" s="15"/>
      <c r="I242" s="11"/>
      <c r="J242" s="8"/>
    </row>
    <row r="243" spans="2:10" hidden="1" x14ac:dyDescent="0.25">
      <c r="B243" s="52" t="s">
        <v>16</v>
      </c>
      <c r="C243" s="57">
        <v>15757.120999999999</v>
      </c>
      <c r="D243" s="58">
        <v>1116.383</v>
      </c>
      <c r="E243" s="58">
        <v>800.76599999999996</v>
      </c>
      <c r="F243" s="56">
        <f t="shared" si="7"/>
        <v>17674.27</v>
      </c>
      <c r="H243" s="17"/>
      <c r="I243" s="11"/>
      <c r="J243" s="8"/>
    </row>
    <row r="244" spans="2:10" hidden="1" x14ac:dyDescent="0.25">
      <c r="B244" s="52" t="s">
        <v>17</v>
      </c>
      <c r="C244" s="57">
        <v>16205.876</v>
      </c>
      <c r="D244" s="58">
        <v>1147.2249999999999</v>
      </c>
      <c r="E244" s="58">
        <v>695.62</v>
      </c>
      <c r="F244" s="56">
        <f t="shared" si="7"/>
        <v>18048.720999999998</v>
      </c>
      <c r="H244" s="17"/>
      <c r="I244" s="11"/>
      <c r="J244" s="8"/>
    </row>
    <row r="245" spans="2:10" hidden="1" x14ac:dyDescent="0.25">
      <c r="B245" s="52" t="s">
        <v>18</v>
      </c>
      <c r="C245" s="57">
        <v>15669.245000000001</v>
      </c>
      <c r="D245" s="58">
        <v>1159.8969999999999</v>
      </c>
      <c r="E245" s="58">
        <v>624.71900000000005</v>
      </c>
      <c r="F245" s="56">
        <f t="shared" si="7"/>
        <v>17453.861000000001</v>
      </c>
      <c r="H245" s="17"/>
      <c r="I245" s="11"/>
      <c r="J245" s="8"/>
    </row>
    <row r="246" spans="2:10" hidden="1" x14ac:dyDescent="0.25">
      <c r="B246" s="52" t="s">
        <v>30</v>
      </c>
      <c r="C246" s="57">
        <v>16007.285</v>
      </c>
      <c r="D246" s="58">
        <v>926.64099999999996</v>
      </c>
      <c r="E246" s="58">
        <v>838.95</v>
      </c>
      <c r="F246" s="56">
        <f t="shared" si="7"/>
        <v>17772.876</v>
      </c>
      <c r="H246" s="17"/>
      <c r="I246" s="11"/>
      <c r="J246" s="8"/>
    </row>
    <row r="247" spans="2:10" hidden="1" x14ac:dyDescent="0.25">
      <c r="B247" s="52" t="s">
        <v>20</v>
      </c>
      <c r="C247" s="57">
        <v>16034.53</v>
      </c>
      <c r="D247" s="58">
        <v>729.27200000000005</v>
      </c>
      <c r="E247" s="58">
        <v>844.49699999999996</v>
      </c>
      <c r="F247" s="56">
        <f t="shared" si="7"/>
        <v>17608.298999999999</v>
      </c>
      <c r="H247" s="9"/>
      <c r="I247" s="11"/>
      <c r="J247" s="8"/>
    </row>
    <row r="248" spans="2:10" hidden="1" x14ac:dyDescent="0.25">
      <c r="B248" s="52" t="s">
        <v>21</v>
      </c>
      <c r="C248" s="57">
        <v>15961.964</v>
      </c>
      <c r="D248" s="58">
        <v>1089.941</v>
      </c>
      <c r="E248" s="58">
        <v>703.80200000000002</v>
      </c>
      <c r="F248" s="56">
        <f t="shared" si="7"/>
        <v>17755.706999999999</v>
      </c>
      <c r="H248" s="17"/>
      <c r="I248" s="11"/>
      <c r="J248" s="8"/>
    </row>
    <row r="249" spans="2:10" hidden="1" x14ac:dyDescent="0.25">
      <c r="B249" s="52"/>
      <c r="C249" s="57"/>
      <c r="D249" s="58"/>
      <c r="E249" s="58"/>
      <c r="F249" s="56"/>
      <c r="H249" s="17"/>
      <c r="I249" s="11"/>
      <c r="J249" s="8"/>
    </row>
    <row r="250" spans="2:10" hidden="1" x14ac:dyDescent="0.25">
      <c r="B250" s="55" t="s">
        <v>38</v>
      </c>
      <c r="C250" s="57"/>
      <c r="D250" s="58"/>
      <c r="E250" s="58"/>
      <c r="F250" s="56"/>
      <c r="H250" s="17"/>
      <c r="I250" s="11"/>
      <c r="J250" s="8"/>
    </row>
    <row r="251" spans="2:10" hidden="1" x14ac:dyDescent="0.25">
      <c r="B251" s="52" t="s">
        <v>68</v>
      </c>
      <c r="C251" s="57">
        <f>SUM(C319:C321)</f>
        <v>55642.762000000002</v>
      </c>
      <c r="D251" s="64">
        <f>SUM(D319:D321)</f>
        <v>3448.2330000000002</v>
      </c>
      <c r="E251" s="64">
        <f>SUM(E319:E321)</f>
        <v>4117.0132000000003</v>
      </c>
      <c r="F251" s="58">
        <f>SUM(F319:F321)</f>
        <v>63208.008199999997</v>
      </c>
      <c r="G251" s="1"/>
      <c r="H251" s="17"/>
      <c r="I251" s="11"/>
      <c r="J251" s="8"/>
    </row>
    <row r="252" spans="2:10" hidden="1" x14ac:dyDescent="0.25">
      <c r="B252" s="52" t="s">
        <v>26</v>
      </c>
      <c r="C252" s="58">
        <f>SUM(C322:C324)</f>
        <v>56624.986499999992</v>
      </c>
      <c r="D252" s="58">
        <f>SUM(D322:D324)</f>
        <v>3598.0985999999998</v>
      </c>
      <c r="E252" s="58">
        <f>SUM(E322:E324)</f>
        <v>4918.7769719999997</v>
      </c>
      <c r="F252" s="58">
        <f>SUM(F322:F324)</f>
        <v>65141.862071999989</v>
      </c>
      <c r="G252" s="2"/>
      <c r="H252" s="17"/>
      <c r="I252" s="11"/>
      <c r="J252" s="8"/>
    </row>
    <row r="253" spans="2:10" hidden="1" x14ac:dyDescent="0.25">
      <c r="B253" s="52" t="s">
        <v>61</v>
      </c>
      <c r="C253" s="58">
        <f>SUM(C325:C327)</f>
        <v>49714.147000000004</v>
      </c>
      <c r="D253" s="58">
        <f>SUM(D325:D327)</f>
        <v>4240.9459999999999</v>
      </c>
      <c r="E253" s="58">
        <f>SUM(E325:E327)</f>
        <v>4617.3226400000003</v>
      </c>
      <c r="F253" s="58">
        <f>SUM(F325:F327)</f>
        <v>58572.415640000007</v>
      </c>
      <c r="G253" s="2"/>
      <c r="H253" s="17"/>
      <c r="I253" s="11"/>
      <c r="J253" s="8"/>
    </row>
    <row r="254" spans="2:10" hidden="1" x14ac:dyDescent="0.25">
      <c r="B254" s="75" t="s">
        <v>12</v>
      </c>
      <c r="C254" s="58">
        <f>SUM(C328:C330)</f>
        <v>48519.833500000001</v>
      </c>
      <c r="D254" s="58">
        <f>SUM(D328:D330)</f>
        <v>3862.8700000000003</v>
      </c>
      <c r="E254" s="58">
        <f>SUM(E328:E330)</f>
        <v>5000.4080000000004</v>
      </c>
      <c r="F254" s="58">
        <f>SUM(F328:F330)</f>
        <v>57383.111499999999</v>
      </c>
      <c r="G254" s="2"/>
      <c r="H254" s="17"/>
      <c r="I254" s="11"/>
      <c r="J254" s="8"/>
    </row>
    <row r="255" spans="2:10" hidden="1" x14ac:dyDescent="0.25">
      <c r="B255" s="52"/>
      <c r="C255" s="57"/>
      <c r="D255" s="58"/>
      <c r="E255" s="58"/>
      <c r="F255" s="56"/>
      <c r="H255" s="17"/>
      <c r="I255" s="11"/>
      <c r="J255" s="8"/>
    </row>
    <row r="256" spans="2:10" hidden="1" x14ac:dyDescent="0.25">
      <c r="B256" s="55" t="s">
        <v>39</v>
      </c>
      <c r="C256" s="57"/>
      <c r="D256" s="58"/>
      <c r="E256" s="58"/>
      <c r="F256" s="56"/>
      <c r="H256" s="17"/>
      <c r="I256" s="11"/>
      <c r="J256" s="8"/>
    </row>
    <row r="257" spans="2:10" hidden="1" x14ac:dyDescent="0.25">
      <c r="B257" s="52" t="s">
        <v>69</v>
      </c>
      <c r="C257" s="58">
        <f>SUM(C333:C335)</f>
        <v>55413.986499999999</v>
      </c>
      <c r="D257" s="58">
        <f>SUM(D333:D335)</f>
        <v>3413.5509999999995</v>
      </c>
      <c r="E257" s="58">
        <f>SUM(E333:E335)</f>
        <v>4578.7329000000009</v>
      </c>
      <c r="F257" s="58">
        <f>SUM(F333:F335)</f>
        <v>63406.270399999994</v>
      </c>
      <c r="G257" s="1"/>
      <c r="H257" s="17"/>
      <c r="I257" s="11"/>
      <c r="J257" s="8"/>
    </row>
    <row r="258" spans="2:10" hidden="1" x14ac:dyDescent="0.25">
      <c r="B258" s="52" t="s">
        <v>26</v>
      </c>
      <c r="C258" s="58">
        <f>SUM(C336:C338)</f>
        <v>56587.966</v>
      </c>
      <c r="D258" s="58">
        <f>SUM(D336:D338)</f>
        <v>3565.9950000000003</v>
      </c>
      <c r="E258" s="58">
        <f>SUM(E336:E338)</f>
        <v>4789.0205999999998</v>
      </c>
      <c r="F258" s="58">
        <f>SUM(F339:F341)</f>
        <v>58293.265999999996</v>
      </c>
      <c r="G258" s="2"/>
      <c r="H258" s="17"/>
      <c r="I258" s="11"/>
      <c r="J258" s="8"/>
    </row>
    <row r="259" spans="2:10" hidden="1" x14ac:dyDescent="0.25">
      <c r="B259" s="52" t="s">
        <v>61</v>
      </c>
      <c r="C259" s="58">
        <f>SUM(C339:C341)</f>
        <v>50504.752999999997</v>
      </c>
      <c r="D259" s="58">
        <f>SUM(D339:D341)</f>
        <v>3941.3109999999997</v>
      </c>
      <c r="E259" s="58">
        <f>SUM(E339:E341)</f>
        <v>3847.2020000000002</v>
      </c>
      <c r="F259" s="58">
        <f>SUM(F339:F341)</f>
        <v>58293.265999999996</v>
      </c>
      <c r="G259" s="2"/>
      <c r="H259" s="17"/>
      <c r="I259" s="11"/>
      <c r="J259" s="8"/>
    </row>
    <row r="260" spans="2:10" hidden="1" x14ac:dyDescent="0.25">
      <c r="B260" s="52" t="s">
        <v>11</v>
      </c>
      <c r="C260" s="58">
        <f>SUM(C342:C344)</f>
        <v>50185.365000000005</v>
      </c>
      <c r="D260" s="58">
        <f>SUM(D342:D344)</f>
        <v>3811.0439999999999</v>
      </c>
      <c r="E260" s="58">
        <f>SUM(E342:E344)</f>
        <v>3897.8528999999999</v>
      </c>
      <c r="F260" s="58">
        <f>SUM(F342:F344)</f>
        <v>57894.261899999998</v>
      </c>
      <c r="G260" s="2"/>
      <c r="H260" s="17"/>
      <c r="I260" s="11"/>
      <c r="J260" s="8"/>
    </row>
    <row r="261" spans="2:10" hidden="1" x14ac:dyDescent="0.25">
      <c r="B261" s="52"/>
      <c r="C261" s="57"/>
      <c r="D261" s="58"/>
      <c r="E261" s="58"/>
      <c r="F261" s="56"/>
      <c r="H261" s="17"/>
      <c r="I261" s="11"/>
      <c r="J261" s="8"/>
    </row>
    <row r="262" spans="2:10" hidden="1" x14ac:dyDescent="0.25">
      <c r="B262" s="55" t="s">
        <v>36</v>
      </c>
      <c r="C262" s="57"/>
      <c r="D262" s="58"/>
      <c r="E262" s="58"/>
      <c r="F262" s="56"/>
      <c r="H262" s="17"/>
      <c r="I262" s="11"/>
      <c r="J262" s="8"/>
    </row>
    <row r="263" spans="2:10" hidden="1" x14ac:dyDescent="0.25">
      <c r="B263" s="52" t="s">
        <v>22</v>
      </c>
      <c r="C263" s="57">
        <v>15961</v>
      </c>
      <c r="D263" s="58">
        <v>890.78700000000003</v>
      </c>
      <c r="E263" s="58">
        <v>905.96400000000006</v>
      </c>
      <c r="F263" s="56">
        <f t="shared" ref="F263:F274" si="8">SUM(C263:E263)</f>
        <v>17757.751</v>
      </c>
      <c r="H263" s="17"/>
      <c r="I263" s="11"/>
      <c r="J263" s="8"/>
    </row>
    <row r="264" spans="2:10" hidden="1" x14ac:dyDescent="0.25">
      <c r="B264" s="52" t="s">
        <v>23</v>
      </c>
      <c r="C264" s="57">
        <v>13740.614</v>
      </c>
      <c r="D264" s="58">
        <v>1342.2539999999999</v>
      </c>
      <c r="E264" s="58">
        <v>911.30799999999999</v>
      </c>
      <c r="F264" s="56">
        <f t="shared" si="8"/>
        <v>15994.175999999999</v>
      </c>
      <c r="H264" s="17"/>
      <c r="I264" s="11"/>
      <c r="J264" s="8"/>
    </row>
    <row r="265" spans="2:10" hidden="1" x14ac:dyDescent="0.25">
      <c r="B265" s="52" t="s">
        <v>24</v>
      </c>
      <c r="C265" s="57">
        <v>16046.489</v>
      </c>
      <c r="D265" s="58">
        <v>1290.6300000000001</v>
      </c>
      <c r="E265" s="58">
        <v>1153.5350000000001</v>
      </c>
      <c r="F265" s="56">
        <f t="shared" si="8"/>
        <v>18490.653999999999</v>
      </c>
      <c r="H265" s="17"/>
      <c r="I265" s="11"/>
      <c r="J265" s="8"/>
    </row>
    <row r="266" spans="2:10" hidden="1" x14ac:dyDescent="0.25">
      <c r="B266" s="52" t="s">
        <v>14</v>
      </c>
      <c r="C266" s="57">
        <v>14140.269</v>
      </c>
      <c r="D266" s="58">
        <v>1468.53</v>
      </c>
      <c r="E266" s="58">
        <v>1224.057</v>
      </c>
      <c r="F266" s="56">
        <f t="shared" si="8"/>
        <v>16832.856</v>
      </c>
      <c r="H266" s="17"/>
      <c r="I266" s="11"/>
      <c r="J266" s="8"/>
    </row>
    <row r="267" spans="2:10" hidden="1" x14ac:dyDescent="0.25">
      <c r="B267" s="52" t="s">
        <v>15</v>
      </c>
      <c r="C267" s="57">
        <v>15476.040999999999</v>
      </c>
      <c r="D267" s="58">
        <v>1656.1320000000001</v>
      </c>
      <c r="E267" s="58">
        <v>1301.26</v>
      </c>
      <c r="F267" s="56">
        <f t="shared" si="8"/>
        <v>18433.432999999997</v>
      </c>
      <c r="H267" s="17"/>
      <c r="I267" s="11"/>
      <c r="J267" s="8"/>
    </row>
    <row r="268" spans="2:10" hidden="1" x14ac:dyDescent="0.25">
      <c r="B268" s="52" t="s">
        <v>25</v>
      </c>
      <c r="C268" s="57">
        <v>14952.927</v>
      </c>
      <c r="D268" s="58">
        <v>1534.2090000000001</v>
      </c>
      <c r="E268" s="58">
        <v>862.54100000000005</v>
      </c>
      <c r="F268" s="56">
        <f t="shared" si="8"/>
        <v>17349.677</v>
      </c>
      <c r="H268" s="17"/>
      <c r="I268" s="11"/>
      <c r="J268" s="8"/>
    </row>
    <row r="269" spans="2:10" hidden="1" x14ac:dyDescent="0.25">
      <c r="B269" s="52" t="s">
        <v>16</v>
      </c>
      <c r="C269" s="57">
        <v>15618.200999999999</v>
      </c>
      <c r="D269" s="58">
        <v>1565.979</v>
      </c>
      <c r="E269" s="58">
        <v>719.50300000000004</v>
      </c>
      <c r="F269" s="56">
        <f t="shared" si="8"/>
        <v>17903.683000000001</v>
      </c>
      <c r="H269" s="17"/>
      <c r="I269" s="11"/>
      <c r="J269" s="8"/>
    </row>
    <row r="270" spans="2:10" hidden="1" x14ac:dyDescent="0.25">
      <c r="B270" s="52" t="s">
        <v>17</v>
      </c>
      <c r="C270" s="57">
        <f>15253.886+697.8</f>
        <v>15951.686</v>
      </c>
      <c r="D270" s="58">
        <v>1555.8910000000001</v>
      </c>
      <c r="E270" s="58">
        <v>748.16300000000001</v>
      </c>
      <c r="F270" s="56">
        <f t="shared" si="8"/>
        <v>18255.740000000002</v>
      </c>
      <c r="H270" s="17"/>
      <c r="I270" s="11"/>
      <c r="J270" s="8"/>
    </row>
    <row r="271" spans="2:10" hidden="1" x14ac:dyDescent="0.25">
      <c r="B271" s="52" t="s">
        <v>18</v>
      </c>
      <c r="C271" s="57">
        <f>11907.408+870.54</f>
        <v>12777.948</v>
      </c>
      <c r="D271" s="58">
        <v>1295.92</v>
      </c>
      <c r="E271" s="58">
        <v>1111.1600000000001</v>
      </c>
      <c r="F271" s="56">
        <f t="shared" si="8"/>
        <v>15185.028</v>
      </c>
      <c r="H271" s="19"/>
      <c r="I271" s="11"/>
      <c r="J271" s="8"/>
    </row>
    <row r="272" spans="2:10" ht="15.75" hidden="1" customHeight="1" x14ac:dyDescent="0.25">
      <c r="B272" s="52" t="s">
        <v>30</v>
      </c>
      <c r="C272" s="57">
        <f>11342.325+908.55</f>
        <v>12250.875</v>
      </c>
      <c r="D272" s="58">
        <v>1340.549</v>
      </c>
      <c r="E272" s="58">
        <v>1473.2449999999999</v>
      </c>
      <c r="F272" s="56">
        <f t="shared" si="8"/>
        <v>15064.668999999998</v>
      </c>
      <c r="H272" s="19"/>
      <c r="I272" s="11"/>
      <c r="J272" s="8"/>
    </row>
    <row r="273" spans="2:10" hidden="1" x14ac:dyDescent="0.25">
      <c r="B273" s="52" t="s">
        <v>20</v>
      </c>
      <c r="C273" s="57">
        <f>12965.319+785.25</f>
        <v>13750.569</v>
      </c>
      <c r="D273" s="58">
        <v>1399.367</v>
      </c>
      <c r="E273" s="58">
        <v>1409.454</v>
      </c>
      <c r="F273" s="56">
        <f t="shared" si="8"/>
        <v>16559.39</v>
      </c>
      <c r="H273" s="19"/>
      <c r="I273" s="11"/>
      <c r="J273" s="8"/>
    </row>
    <row r="274" spans="2:10" hidden="1" x14ac:dyDescent="0.25">
      <c r="B274" s="52" t="s">
        <v>21</v>
      </c>
      <c r="C274" s="68">
        <f>14891.122+1106.7</f>
        <v>15997.822</v>
      </c>
      <c r="D274" s="58">
        <v>1363.479</v>
      </c>
      <c r="E274" s="58">
        <v>1512.5409999999999</v>
      </c>
      <c r="F274" s="56">
        <f t="shared" si="8"/>
        <v>18873.842000000001</v>
      </c>
      <c r="H274" s="19"/>
      <c r="I274" s="11"/>
      <c r="J274" s="8"/>
    </row>
    <row r="275" spans="2:10" hidden="1" x14ac:dyDescent="0.25">
      <c r="B275" s="43"/>
      <c r="C275" s="68"/>
      <c r="D275" s="58"/>
      <c r="E275" s="58"/>
      <c r="F275" s="56"/>
      <c r="G275" s="24"/>
      <c r="H275" s="21"/>
      <c r="I275" s="22"/>
      <c r="J275" s="20">
        <v>1178.22</v>
      </c>
    </row>
    <row r="276" spans="2:10" hidden="1" x14ac:dyDescent="0.25">
      <c r="B276" s="55" t="s">
        <v>37</v>
      </c>
      <c r="C276" s="68"/>
      <c r="D276" s="58"/>
      <c r="E276" s="58"/>
      <c r="F276" s="56"/>
      <c r="H276" s="19"/>
      <c r="I276" s="11"/>
      <c r="J276" s="8"/>
    </row>
    <row r="277" spans="2:10" hidden="1" x14ac:dyDescent="0.25">
      <c r="B277" s="52" t="s">
        <v>22</v>
      </c>
      <c r="C277" s="68">
        <f>(3522.32+4919.814+2006.661+5373+1178.22-639.709)</f>
        <v>16360.305999999999</v>
      </c>
      <c r="D277" s="58">
        <f>(330.58+639.709)</f>
        <v>970.28899999999999</v>
      </c>
      <c r="E277" s="58">
        <f>1070.685+506.97+252.015+119.208</f>
        <v>1948.8780000000002</v>
      </c>
      <c r="F277" s="56">
        <f t="shared" ref="F277:F288" si="9">SUM(C277:E277)</f>
        <v>19279.472999999998</v>
      </c>
      <c r="H277" s="19"/>
      <c r="I277" s="11"/>
      <c r="J277" s="8"/>
    </row>
    <row r="278" spans="2:10" hidden="1" x14ac:dyDescent="0.25">
      <c r="B278" s="52" t="s">
        <v>23</v>
      </c>
      <c r="C278" s="68">
        <f>3686.855+4200.04+4954+2019.699+1248.76-559.691</f>
        <v>15549.663</v>
      </c>
      <c r="D278" s="58">
        <f>307.204+559.691</f>
        <v>866.89499999999998</v>
      </c>
      <c r="E278" s="58">
        <f>516.39+147.195+107.913+542.813</f>
        <v>1314.3110000000001</v>
      </c>
      <c r="F278" s="56">
        <f t="shared" si="9"/>
        <v>17730.869000000002</v>
      </c>
      <c r="H278" s="19"/>
      <c r="I278" s="11"/>
      <c r="J278" s="8"/>
    </row>
    <row r="279" spans="2:10" hidden="1" x14ac:dyDescent="0.25">
      <c r="B279" s="52" t="s">
        <v>24</v>
      </c>
      <c r="C279" s="68">
        <f>4297.02+5179.083+6070+2256.675+1008.88-676.636</f>
        <v>18135.022000000001</v>
      </c>
      <c r="D279" s="58">
        <f>335.452+676.636</f>
        <v>1012.088</v>
      </c>
      <c r="E279" s="58">
        <f>615.52+257.565+102.432+474.841</f>
        <v>1450.3580000000002</v>
      </c>
      <c r="F279" s="56">
        <f t="shared" si="9"/>
        <v>20597.468000000001</v>
      </c>
      <c r="H279" s="19"/>
      <c r="I279" s="11"/>
      <c r="J279" s="8"/>
    </row>
    <row r="280" spans="2:10" hidden="1" x14ac:dyDescent="0.25">
      <c r="B280" s="52" t="s">
        <v>14</v>
      </c>
      <c r="C280" s="68">
        <f>(4495.89+4212.2518+5961+2208.5+959.62-667.154)</f>
        <v>17170.107800000002</v>
      </c>
      <c r="D280" s="58">
        <f>(310.686+667.154)</f>
        <v>977.83999999999992</v>
      </c>
      <c r="E280" s="58">
        <f>(587.84+166.335+110.976+463.188)</f>
        <v>1328.3389999999999</v>
      </c>
      <c r="F280" s="56">
        <f t="shared" si="9"/>
        <v>19476.286800000002</v>
      </c>
      <c r="H280" s="19"/>
      <c r="I280" s="11"/>
      <c r="J280" s="8"/>
    </row>
    <row r="281" spans="2:10" hidden="1" x14ac:dyDescent="0.25">
      <c r="B281" s="52" t="s">
        <v>15</v>
      </c>
      <c r="C281" s="68">
        <f>(4727.86+4303.1603+6411+2225.307+826.24-663.055)</f>
        <v>17830.512300000002</v>
      </c>
      <c r="D281" s="58">
        <f>(337.63+663.055)</f>
        <v>1000.6849999999999</v>
      </c>
      <c r="E281" s="58">
        <f>(565.946+246.435+118.116+598.772)</f>
        <v>1529.2690000000002</v>
      </c>
      <c r="F281" s="56">
        <f t="shared" si="9"/>
        <v>20360.466300000004</v>
      </c>
      <c r="H281" s="19"/>
      <c r="I281" s="11"/>
      <c r="J281" s="8"/>
    </row>
    <row r="282" spans="2:10" hidden="1" x14ac:dyDescent="0.25">
      <c r="B282" s="52" t="s">
        <v>25</v>
      </c>
      <c r="C282" s="68">
        <f>(5834.57+3834.784+2157.399+6578+401.15-998.727)</f>
        <v>17807.175999999999</v>
      </c>
      <c r="D282" s="58">
        <v>1286.2</v>
      </c>
      <c r="E282" s="58">
        <f>578.393+409.49+104.655+128.944</f>
        <v>1221.482</v>
      </c>
      <c r="F282" s="56">
        <f t="shared" si="9"/>
        <v>20314.858</v>
      </c>
      <c r="H282" s="19"/>
      <c r="I282" s="11"/>
      <c r="J282" s="8"/>
    </row>
    <row r="283" spans="2:10" hidden="1" x14ac:dyDescent="0.25">
      <c r="B283" s="52" t="s">
        <v>16</v>
      </c>
      <c r="C283" s="72">
        <f>(6402.38+3317.9566+2144.813+6778+345.98-1135.582)</f>
        <v>17853.547600000002</v>
      </c>
      <c r="D283" s="58">
        <f>1135.582+346.72</f>
        <v>1482.3020000000001</v>
      </c>
      <c r="E283" s="72">
        <f>345.2211+66.615+133.548+538.453</f>
        <v>1083.8371</v>
      </c>
      <c r="F283" s="51">
        <f t="shared" si="9"/>
        <v>20419.686700000002</v>
      </c>
      <c r="H283" s="19"/>
      <c r="I283" s="11"/>
      <c r="J283" s="8"/>
    </row>
    <row r="284" spans="2:10" hidden="1" x14ac:dyDescent="0.25">
      <c r="B284" s="52" t="s">
        <v>17</v>
      </c>
      <c r="C284" s="77">
        <f>7295.75+1636.2+6193+2422.485+754.97-1131.218</f>
        <v>17171.187000000002</v>
      </c>
      <c r="D284" s="32">
        <f>1131.218+331.62</f>
        <v>1462.8380000000002</v>
      </c>
      <c r="E284" s="43">
        <f>273.641+79.185+126.048+473.575</f>
        <v>952.44900000000007</v>
      </c>
      <c r="F284" s="51">
        <f t="shared" si="9"/>
        <v>19586.474000000002</v>
      </c>
      <c r="H284" s="19"/>
      <c r="I284" s="11"/>
      <c r="J284" s="8"/>
    </row>
    <row r="285" spans="2:10" hidden="1" x14ac:dyDescent="0.25">
      <c r="B285" s="52" t="s">
        <v>18</v>
      </c>
      <c r="C285" s="77">
        <f>8317.28+0+5823+2147.541+861.06+653.758-985.527</f>
        <v>16817.112000000001</v>
      </c>
      <c r="D285" s="32">
        <f>1131.218+355.998</f>
        <v>1487.2160000000001</v>
      </c>
      <c r="E285" s="43">
        <f>308.34801+70.905+109.848+295.785</f>
        <v>784.88601000000006</v>
      </c>
      <c r="F285" s="51">
        <f t="shared" si="9"/>
        <v>19089.21401</v>
      </c>
      <c r="H285" s="19"/>
      <c r="I285" s="11"/>
      <c r="J285" s="8"/>
    </row>
    <row r="286" spans="2:10" hidden="1" x14ac:dyDescent="0.25">
      <c r="B286" s="52" t="s">
        <v>30</v>
      </c>
      <c r="C286" s="77">
        <f>5058.55+0+5966+2370.475+355.3+1900.159-1009.364</f>
        <v>14641.119999999999</v>
      </c>
      <c r="D286" s="32">
        <f>1009.364+367.388</f>
        <v>1376.752</v>
      </c>
      <c r="E286" s="43">
        <f>307.1103+32.625+121.224+815.265</f>
        <v>1276.2242999999999</v>
      </c>
      <c r="F286" s="51">
        <f t="shared" si="9"/>
        <v>17294.096299999997</v>
      </c>
      <c r="H286" s="19"/>
      <c r="I286" s="11"/>
      <c r="J286" s="8"/>
    </row>
    <row r="287" spans="2:10" hidden="1" x14ac:dyDescent="0.25">
      <c r="B287" s="52" t="s">
        <v>20</v>
      </c>
      <c r="C287" s="77">
        <f>4144.31+3798.48+6384+1765.374+1049.58+3837.94-908.564</f>
        <v>20071.12</v>
      </c>
      <c r="D287" s="32">
        <f>466.942+908.564</f>
        <v>1375.5059999999999</v>
      </c>
      <c r="E287" s="43">
        <f>349.646+36.96+127.692+776.851</f>
        <v>1291.1489999999999</v>
      </c>
      <c r="F287" s="51">
        <f t="shared" si="9"/>
        <v>22737.775000000001</v>
      </c>
      <c r="H287" s="19"/>
      <c r="I287" s="11"/>
      <c r="J287" s="8"/>
    </row>
    <row r="288" spans="2:10" hidden="1" x14ac:dyDescent="0.25">
      <c r="B288" s="52" t="s">
        <v>21</v>
      </c>
      <c r="C288" s="77">
        <f>3987.45+4324.11+7011+2197.649+936.69+1217.986-852.327</f>
        <v>18822.557999999997</v>
      </c>
      <c r="D288" s="32">
        <f>852.327+519.684</f>
        <v>1372.011</v>
      </c>
      <c r="E288" s="43">
        <f>402.2886+85.545+73.248+608.204</f>
        <v>1169.2855999999999</v>
      </c>
      <c r="F288" s="51">
        <f t="shared" si="9"/>
        <v>21363.854599999995</v>
      </c>
      <c r="H288" s="19"/>
      <c r="I288" s="11"/>
      <c r="J288" s="8"/>
    </row>
    <row r="289" spans="2:10" hidden="1" x14ac:dyDescent="0.25">
      <c r="B289" s="52"/>
      <c r="C289" s="77"/>
      <c r="D289" s="32"/>
      <c r="E289" s="43"/>
      <c r="F289" s="51"/>
      <c r="H289" s="19"/>
      <c r="I289" s="11"/>
      <c r="J289" s="8"/>
    </row>
    <row r="290" spans="2:10" hidden="1" x14ac:dyDescent="0.25">
      <c r="B290" s="55" t="s">
        <v>40</v>
      </c>
      <c r="C290" s="77"/>
      <c r="D290" s="32"/>
      <c r="E290" s="43"/>
      <c r="F290" s="51"/>
      <c r="H290" s="19"/>
      <c r="I290" s="11"/>
      <c r="J290" s="8"/>
    </row>
    <row r="291" spans="2:10" hidden="1" x14ac:dyDescent="0.25">
      <c r="B291" s="52" t="s">
        <v>69</v>
      </c>
      <c r="C291" s="78">
        <f>SUM(C347:C349)</f>
        <v>51160.862000000008</v>
      </c>
      <c r="D291" s="78">
        <f>SUM(D347:D349)</f>
        <v>3400.3599999999997</v>
      </c>
      <c r="E291" s="78">
        <f>SUM(E347:E349)</f>
        <v>4054.2561999999998</v>
      </c>
      <c r="F291" s="78">
        <f>SUM(F347:F349)</f>
        <v>58615.478200000005</v>
      </c>
      <c r="H291" s="19"/>
      <c r="I291" s="11"/>
      <c r="J291" s="8"/>
    </row>
    <row r="292" spans="2:10" hidden="1" x14ac:dyDescent="0.25">
      <c r="B292" s="85" t="str">
        <f>B258</f>
        <v xml:space="preserve">  2ème Trim.</v>
      </c>
      <c r="C292" s="78">
        <f>SUM(C350:C352)</f>
        <v>58353.801999999996</v>
      </c>
      <c r="D292" s="78">
        <f>SUM(D350:D352)</f>
        <v>4313.5829999999996</v>
      </c>
      <c r="E292" s="78">
        <f>SUM(E350:E352)</f>
        <v>3981.6255000000001</v>
      </c>
      <c r="F292" s="84">
        <f>SUM(F350:F352)</f>
        <v>66649.010500000004</v>
      </c>
      <c r="H292" s="19"/>
      <c r="I292" s="11"/>
      <c r="J292" s="8"/>
    </row>
    <row r="293" spans="2:10" hidden="1" x14ac:dyDescent="0.25">
      <c r="B293" s="85" t="s">
        <v>61</v>
      </c>
      <c r="C293" s="78">
        <f>SUM(C353:C355)</f>
        <v>60852.677000000003</v>
      </c>
      <c r="D293" s="78">
        <f>SUM(D353:D355)</f>
        <v>3820.277</v>
      </c>
      <c r="E293" s="78">
        <f>SUM(E353:E355)</f>
        <v>3613.9454999999998</v>
      </c>
      <c r="F293" s="78">
        <f>SUM(F353:F355)</f>
        <v>68286.8995</v>
      </c>
      <c r="H293" s="19"/>
      <c r="I293" s="11"/>
      <c r="J293" s="8"/>
    </row>
    <row r="294" spans="2:10" hidden="1" x14ac:dyDescent="0.25">
      <c r="B294" s="85" t="s">
        <v>11</v>
      </c>
      <c r="C294" s="78">
        <f>SUM(C356:C358)</f>
        <v>57032.536999999997</v>
      </c>
      <c r="D294" s="78">
        <f>SUM(D356:D358)</f>
        <v>3508.12</v>
      </c>
      <c r="E294" s="78">
        <f>SUM(E356:E358)</f>
        <v>5198.9569000000001</v>
      </c>
      <c r="F294" s="78">
        <f>SUM(F356:F358)</f>
        <v>65739.613899999997</v>
      </c>
      <c r="H294" s="19"/>
      <c r="I294" s="11"/>
      <c r="J294" s="8"/>
    </row>
    <row r="295" spans="2:10" hidden="1" x14ac:dyDescent="0.25">
      <c r="B295" s="52"/>
      <c r="C295" s="92"/>
      <c r="D295" s="93"/>
      <c r="E295" s="78"/>
      <c r="F295" s="78"/>
      <c r="H295" s="19"/>
      <c r="I295" s="11"/>
      <c r="J295" s="8"/>
    </row>
    <row r="296" spans="2:10" x14ac:dyDescent="0.25">
      <c r="B296" s="55" t="s">
        <v>41</v>
      </c>
      <c r="C296" s="92"/>
      <c r="D296" s="93"/>
      <c r="E296" s="78"/>
      <c r="F296" s="78"/>
      <c r="H296" s="19"/>
      <c r="I296" s="11"/>
      <c r="J296" s="8"/>
    </row>
    <row r="297" spans="2:10" hidden="1" x14ac:dyDescent="0.25">
      <c r="B297" s="85" t="s">
        <v>69</v>
      </c>
      <c r="C297" s="78">
        <f>C361+C362+C363</f>
        <v>60543.67300000001</v>
      </c>
      <c r="D297" s="78">
        <f>D361+D362+D363</f>
        <v>3546.3830000000003</v>
      </c>
      <c r="E297" s="78">
        <f>E361+E362+E363</f>
        <v>5076.8455000000004</v>
      </c>
      <c r="F297" s="78">
        <f>F361+F362+F363</f>
        <v>69166.901500000007</v>
      </c>
      <c r="H297" s="19"/>
      <c r="I297" s="11"/>
      <c r="J297" s="8"/>
    </row>
    <row r="298" spans="2:10" x14ac:dyDescent="0.25">
      <c r="B298" s="85" t="s">
        <v>26</v>
      </c>
      <c r="C298" s="78">
        <f>C364+C365+C366</f>
        <v>59215.636999999995</v>
      </c>
      <c r="D298" s="78">
        <f>D364+D365+D366</f>
        <v>4086.1410000000001</v>
      </c>
      <c r="E298" s="78">
        <f>E364+E365+E366</f>
        <v>6867.4882000000007</v>
      </c>
      <c r="F298" s="78">
        <f>F364+F365+F366</f>
        <v>70169.266199999984</v>
      </c>
      <c r="H298" s="19"/>
      <c r="I298" s="11"/>
      <c r="J298" s="8"/>
    </row>
    <row r="299" spans="2:10" x14ac:dyDescent="0.25">
      <c r="B299" s="85" t="s">
        <v>61</v>
      </c>
      <c r="C299" s="78">
        <f>C367+C368+C369</f>
        <v>49539.817999999999</v>
      </c>
      <c r="D299" s="78">
        <f>D367+D368+D369</f>
        <v>3422.3700000000003</v>
      </c>
      <c r="E299" s="78">
        <f>E367+E368+E369</f>
        <v>7394.9867000000004</v>
      </c>
      <c r="F299" s="78">
        <f>F367+F368+F369</f>
        <v>60357.174700000003</v>
      </c>
      <c r="H299" s="19"/>
      <c r="I299" s="11"/>
      <c r="J299" s="8"/>
    </row>
    <row r="300" spans="2:10" x14ac:dyDescent="0.25">
      <c r="B300" s="85" t="s">
        <v>11</v>
      </c>
      <c r="C300" s="78">
        <f>C370+C371+C372</f>
        <v>55474.439999999995</v>
      </c>
      <c r="D300" s="78">
        <f>D370+D371+D372</f>
        <v>3565.42</v>
      </c>
      <c r="E300" s="78">
        <f>E370+E371+E372</f>
        <v>6189.9297000000006</v>
      </c>
      <c r="F300" s="78">
        <f>F370+F371+F372</f>
        <v>65229.789700000008</v>
      </c>
      <c r="H300" s="19"/>
      <c r="I300" s="11"/>
      <c r="J300" s="8"/>
    </row>
    <row r="301" spans="2:10" x14ac:dyDescent="0.25">
      <c r="B301" s="52"/>
      <c r="C301" s="92"/>
      <c r="D301" s="78"/>
      <c r="E301" s="78"/>
      <c r="F301" s="78"/>
      <c r="H301" s="19"/>
      <c r="I301" s="11"/>
      <c r="J301" s="8"/>
    </row>
    <row r="302" spans="2:10" x14ac:dyDescent="0.25">
      <c r="B302" s="55" t="s">
        <v>42</v>
      </c>
      <c r="C302" s="92"/>
      <c r="D302" s="78"/>
      <c r="E302" s="78"/>
      <c r="F302" s="78"/>
      <c r="H302" s="19"/>
      <c r="I302" s="11"/>
      <c r="J302" s="8"/>
    </row>
    <row r="303" spans="2:10" x14ac:dyDescent="0.25">
      <c r="B303" s="85" t="s">
        <v>69</v>
      </c>
      <c r="C303" s="78">
        <f>C375+C376+C377</f>
        <v>56594.020000000004</v>
      </c>
      <c r="D303" s="78">
        <f>D375+D376+D377</f>
        <v>3483.8999999999996</v>
      </c>
      <c r="E303" s="78">
        <f>E375+E376+E377</f>
        <v>4981.4310000000005</v>
      </c>
      <c r="F303" s="78">
        <f>F375+F376+F377</f>
        <v>65059.351000000002</v>
      </c>
      <c r="H303" s="19"/>
      <c r="I303" s="11"/>
      <c r="J303" s="8"/>
    </row>
    <row r="304" spans="2:10" x14ac:dyDescent="0.25">
      <c r="B304" s="85" t="s">
        <v>26</v>
      </c>
      <c r="C304" s="78">
        <f>C378+C379+C380</f>
        <v>54324.368000000002</v>
      </c>
      <c r="D304" s="78">
        <f>D378+D379+D380</f>
        <v>4211.8209999999999</v>
      </c>
      <c r="E304" s="78">
        <f>E378+E379+E380</f>
        <v>7133.6684000000005</v>
      </c>
      <c r="F304" s="78">
        <f>F378+F379+F380</f>
        <v>65669.857400000008</v>
      </c>
      <c r="H304" s="19"/>
      <c r="I304" s="11"/>
      <c r="J304" s="8"/>
    </row>
    <row r="305" spans="2:10" x14ac:dyDescent="0.25">
      <c r="B305" s="85" t="s">
        <v>61</v>
      </c>
      <c r="C305" s="78">
        <f>C381+C382+C383</f>
        <v>54667.506999999998</v>
      </c>
      <c r="D305" s="78">
        <f>D381+D382+D383</f>
        <v>4613.2719999999999</v>
      </c>
      <c r="E305" s="78">
        <f>E381+E382+E383</f>
        <v>4606.2859999999991</v>
      </c>
      <c r="F305" s="78">
        <f>F381+F382+F383</f>
        <v>63887.064999999995</v>
      </c>
      <c r="H305" s="19"/>
      <c r="I305" s="11"/>
      <c r="J305" s="8"/>
    </row>
    <row r="306" spans="2:10" x14ac:dyDescent="0.25">
      <c r="B306" s="85" t="s">
        <v>11</v>
      </c>
      <c r="C306" s="78">
        <f>C384+C385+C386</f>
        <v>54520.733999999997</v>
      </c>
      <c r="D306" s="78">
        <f>D384+D385+D386</f>
        <v>4059.6369999999997</v>
      </c>
      <c r="E306" s="78">
        <f>E384+E385+E386</f>
        <v>4611.8440000000001</v>
      </c>
      <c r="F306" s="78">
        <f>F384+F385+F386</f>
        <v>63192.215000000011</v>
      </c>
      <c r="H306" s="19"/>
      <c r="I306" s="11"/>
      <c r="J306" s="8"/>
    </row>
    <row r="307" spans="2:10" x14ac:dyDescent="0.25">
      <c r="B307" s="52"/>
      <c r="C307" s="92"/>
      <c r="D307" s="78"/>
      <c r="E307" s="78"/>
      <c r="F307" s="78"/>
      <c r="H307" s="19"/>
      <c r="I307" s="11"/>
      <c r="J307" s="8"/>
    </row>
    <row r="308" spans="2:10" x14ac:dyDescent="0.25">
      <c r="B308" s="55" t="s">
        <v>44</v>
      </c>
      <c r="C308" s="92"/>
      <c r="D308" s="78"/>
      <c r="E308" s="78"/>
      <c r="F308" s="78"/>
      <c r="H308" s="19"/>
      <c r="I308" s="11"/>
      <c r="J308" s="8"/>
    </row>
    <row r="309" spans="2:10" x14ac:dyDescent="0.25">
      <c r="B309" s="85" t="s">
        <v>69</v>
      </c>
      <c r="C309" s="78">
        <f>C389+C390+C391</f>
        <v>60828.577000000005</v>
      </c>
      <c r="D309" s="78">
        <f>D389+D390+D391</f>
        <v>3040.9850000000001</v>
      </c>
      <c r="E309" s="78">
        <f>E389+E390+E391</f>
        <v>5439.8954000000003</v>
      </c>
      <c r="F309" s="78">
        <f>F389+F390+F391</f>
        <v>69309.457400000014</v>
      </c>
      <c r="H309" s="19"/>
      <c r="I309" s="11"/>
      <c r="J309" s="8"/>
    </row>
    <row r="310" spans="2:10" x14ac:dyDescent="0.25">
      <c r="B310" s="85" t="s">
        <v>26</v>
      </c>
      <c r="C310" s="78">
        <f>C392+C393+C394</f>
        <v>64646.062000000005</v>
      </c>
      <c r="D310" s="78">
        <f>D392+D393+D394</f>
        <v>5195.9479999999994</v>
      </c>
      <c r="E310" s="78">
        <f>E392+E393+E394</f>
        <v>4736.7578400000002</v>
      </c>
      <c r="F310" s="78">
        <f>F392+F393+F394</f>
        <v>74578.76784</v>
      </c>
      <c r="H310" s="19"/>
      <c r="I310" s="11"/>
      <c r="J310" s="8"/>
    </row>
    <row r="311" spans="2:10" x14ac:dyDescent="0.25">
      <c r="B311" s="85" t="s">
        <v>61</v>
      </c>
      <c r="C311" s="78">
        <f>C395+C396+C397</f>
        <v>62196.638999999996</v>
      </c>
      <c r="D311" s="78">
        <f>D395+D396+D397</f>
        <v>4870.9920000000002</v>
      </c>
      <c r="E311" s="78">
        <f>E395+E396+E397</f>
        <v>4774.6076400000002</v>
      </c>
      <c r="F311" s="78">
        <f>F395+F396+F397</f>
        <v>71842.238639999996</v>
      </c>
      <c r="H311" s="19"/>
      <c r="I311" s="11"/>
      <c r="J311" s="8"/>
    </row>
    <row r="312" spans="2:10" x14ac:dyDescent="0.25">
      <c r="B312" s="85" t="s">
        <v>11</v>
      </c>
      <c r="C312" s="78">
        <f>C398+C399+C400</f>
        <v>60590.95900000001</v>
      </c>
      <c r="D312" s="78">
        <f>D398+D399+D400</f>
        <v>4805.2060000000001</v>
      </c>
      <c r="E312" s="78">
        <f>E398+E399+E400</f>
        <v>5736.9360999999999</v>
      </c>
      <c r="F312" s="78">
        <f>F398+F399+F400</f>
        <v>71133.1011</v>
      </c>
      <c r="H312" s="19"/>
      <c r="I312" s="11"/>
      <c r="J312" s="8"/>
    </row>
    <row r="313" spans="2:10" x14ac:dyDescent="0.25">
      <c r="B313" s="85"/>
      <c r="C313" s="92"/>
      <c r="D313" s="78"/>
      <c r="E313" s="78"/>
      <c r="F313" s="78"/>
      <c r="H313" s="19"/>
      <c r="I313" s="11"/>
      <c r="J313" s="8"/>
    </row>
    <row r="314" spans="2:10" x14ac:dyDescent="0.25">
      <c r="B314" s="55" t="s">
        <v>45</v>
      </c>
      <c r="C314" s="92"/>
      <c r="D314" s="78"/>
      <c r="E314" s="78"/>
      <c r="F314" s="78"/>
      <c r="H314" s="19"/>
      <c r="I314" s="11"/>
      <c r="J314" s="8"/>
    </row>
    <row r="315" spans="2:10" x14ac:dyDescent="0.25">
      <c r="B315" s="85" t="s">
        <v>69</v>
      </c>
      <c r="C315" s="78">
        <f>C403+C404+C405</f>
        <v>55236.894</v>
      </c>
      <c r="D315" s="78">
        <f>D403+D404+D405</f>
        <v>4492.4079999999994</v>
      </c>
      <c r="E315" s="78">
        <f>E403+E404+E405</f>
        <v>6330.9822899999999</v>
      </c>
      <c r="F315" s="78">
        <f>F403+F404+F405</f>
        <v>66060.284290000011</v>
      </c>
      <c r="H315" s="19"/>
      <c r="I315" s="11"/>
      <c r="J315" s="8"/>
    </row>
    <row r="316" spans="2:10" x14ac:dyDescent="0.25">
      <c r="B316" s="85" t="s">
        <v>26</v>
      </c>
      <c r="C316" s="78">
        <f>C406+C407+C408</f>
        <v>50019.441999999995</v>
      </c>
      <c r="D316" s="78">
        <f>D406+D407+D408</f>
        <v>4014.527</v>
      </c>
      <c r="E316" s="78">
        <f>E406+E407+E408</f>
        <v>5976.2021799999993</v>
      </c>
      <c r="F316" s="78">
        <f>F406+F407+F408</f>
        <v>60010.171179999998</v>
      </c>
      <c r="H316" s="19"/>
      <c r="I316" s="11"/>
      <c r="J316" s="8"/>
    </row>
    <row r="317" spans="2:10" x14ac:dyDescent="0.25">
      <c r="B317" s="52"/>
      <c r="C317" s="77"/>
      <c r="D317" s="78"/>
      <c r="E317" s="78"/>
      <c r="F317" s="78"/>
      <c r="H317" s="19"/>
      <c r="I317" s="11"/>
      <c r="J317" s="8"/>
    </row>
    <row r="318" spans="2:10" hidden="1" x14ac:dyDescent="0.25">
      <c r="B318" s="55" t="s">
        <v>38</v>
      </c>
      <c r="C318" s="72"/>
      <c r="D318" s="58"/>
      <c r="E318" s="58"/>
      <c r="F318" s="51"/>
      <c r="H318" s="19"/>
      <c r="I318" s="11"/>
      <c r="J318" s="8"/>
    </row>
    <row r="319" spans="2:10" hidden="1" x14ac:dyDescent="0.25">
      <c r="B319" s="52" t="s">
        <v>22</v>
      </c>
      <c r="C319" s="68">
        <f>3397.58+3944.01+7130+2382.556+1080.26+1255.371-723.927</f>
        <v>18465.849999999999</v>
      </c>
      <c r="D319" s="58">
        <f>723.927+504</f>
        <v>1227.9270000000001</v>
      </c>
      <c r="E319" s="58">
        <f>418.3714+85.395+126.876+713.222</f>
        <v>1343.8643999999999</v>
      </c>
      <c r="F319" s="51">
        <f t="shared" ref="F319:F330" si="10">SUM(C319:E319)</f>
        <v>21037.641399999997</v>
      </c>
      <c r="H319" s="19"/>
      <c r="I319" s="11"/>
      <c r="J319" s="8"/>
    </row>
    <row r="320" spans="2:10" hidden="1" x14ac:dyDescent="0.25">
      <c r="B320" s="52" t="s">
        <v>23</v>
      </c>
      <c r="C320" s="72">
        <f>3337.24+3779.727+6835+1551.847+995.49+1117.37-530.137</f>
        <v>17086.537</v>
      </c>
      <c r="D320" s="43">
        <f>530.137+558.302</f>
        <v>1088.4389999999999</v>
      </c>
      <c r="E320" s="58">
        <f>374.6014+59.04+116.844+659.229</f>
        <v>1209.7144000000001</v>
      </c>
      <c r="F320" s="51">
        <f t="shared" si="10"/>
        <v>19384.690399999999</v>
      </c>
      <c r="H320" s="19"/>
      <c r="I320" s="11"/>
      <c r="J320" s="8"/>
    </row>
    <row r="321" spans="2:10" hidden="1" x14ac:dyDescent="0.25">
      <c r="B321" s="52" t="s">
        <v>24</v>
      </c>
      <c r="C321" s="34">
        <f>3407.41+5001.465+7650+2428.745+957.92+1161.162-516.327</f>
        <v>20090.374999999996</v>
      </c>
      <c r="D321" s="43">
        <f>516.327+615.54</f>
        <v>1131.867</v>
      </c>
      <c r="E321" s="58">
        <f>533.4184+64.23+117.48+848.306</f>
        <v>1563.4344000000001</v>
      </c>
      <c r="F321" s="51">
        <f t="shared" si="10"/>
        <v>22785.676399999997</v>
      </c>
      <c r="H321" s="19"/>
      <c r="I321" s="11"/>
      <c r="J321" s="8"/>
    </row>
    <row r="322" spans="2:10" hidden="1" x14ac:dyDescent="0.25">
      <c r="B322" s="52" t="s">
        <v>60</v>
      </c>
      <c r="C322" s="34">
        <f>4263.27+4409.882+6775+2218.024+1203.71+758.882-772.418</f>
        <v>18856.349999999999</v>
      </c>
      <c r="D322" s="43">
        <f>772.418+258.044</f>
        <v>1030.462</v>
      </c>
      <c r="E322" s="58">
        <f>587.777+64.23+127.488+836.383</f>
        <v>1615.8780000000002</v>
      </c>
      <c r="F322" s="51">
        <f t="shared" si="10"/>
        <v>21502.69</v>
      </c>
      <c r="H322" s="19"/>
      <c r="I322" s="11"/>
      <c r="J322" s="8"/>
    </row>
    <row r="323" spans="2:10" hidden="1" x14ac:dyDescent="0.25">
      <c r="B323" s="52" t="s">
        <v>15</v>
      </c>
      <c r="C323" s="34">
        <f>5662.69+4334.6085+6967+2260.836+1384.46-865.145</f>
        <v>19744.449499999999</v>
      </c>
      <c r="D323" s="43">
        <f>865.145+399.4986</f>
        <v>1264.6435999999999</v>
      </c>
      <c r="E323" s="58">
        <f>536.5206+130.896+1114.071456</f>
        <v>1781.4880559999997</v>
      </c>
      <c r="F323" s="51">
        <f t="shared" si="10"/>
        <v>22790.581155999997</v>
      </c>
      <c r="H323" s="19"/>
      <c r="I323" s="11"/>
      <c r="J323" s="8"/>
    </row>
    <row r="324" spans="2:10" hidden="1" x14ac:dyDescent="0.25">
      <c r="B324" s="52" t="s">
        <v>25</v>
      </c>
      <c r="C324" s="34">
        <f>6460.59+3000.375+6460+1781.797+1248.37-926.945</f>
        <v>18024.186999999998</v>
      </c>
      <c r="D324" s="43">
        <f>376.048+926.945</f>
        <v>1302.9929999999999</v>
      </c>
      <c r="E324" s="58">
        <f>299.7689+82.92+124.74+1013.982016</f>
        <v>1521.410916</v>
      </c>
      <c r="F324" s="51">
        <f t="shared" si="10"/>
        <v>20848.590915999997</v>
      </c>
      <c r="H324" s="19"/>
      <c r="I324" s="11"/>
      <c r="J324" s="8"/>
    </row>
    <row r="325" spans="2:10" hidden="1" x14ac:dyDescent="0.25">
      <c r="B325" s="52" t="s">
        <v>16</v>
      </c>
      <c r="C325" s="34">
        <f>6877.57+2786.742+6645+2154.803+948.56-1185.764</f>
        <v>18226.911</v>
      </c>
      <c r="D325" s="43">
        <f>266.24+1185.764</f>
        <v>1452.0039999999999</v>
      </c>
      <c r="E325" s="58">
        <f>322.3428+88.05+129.444+1291.76888</f>
        <v>1831.6056800000001</v>
      </c>
      <c r="F325" s="51">
        <f t="shared" si="10"/>
        <v>21510.520680000001</v>
      </c>
      <c r="H325" s="19"/>
      <c r="I325" s="11"/>
      <c r="J325" s="8"/>
    </row>
    <row r="326" spans="2:10" hidden="1" x14ac:dyDescent="0.25">
      <c r="B326" s="52" t="s">
        <v>17</v>
      </c>
      <c r="C326" s="34">
        <f>7467.35+2560.95+5510+2200.249-1098.982</f>
        <v>16639.566999999999</v>
      </c>
      <c r="D326" s="43">
        <f>342.848+1098.982</f>
        <v>1441.83</v>
      </c>
      <c r="E326" s="58">
        <f>262.4241+54.12+122.496+937.66928</f>
        <v>1376.70938</v>
      </c>
      <c r="F326" s="51">
        <f t="shared" si="10"/>
        <v>19458.106379999997</v>
      </c>
      <c r="H326" s="19"/>
      <c r="I326" s="11"/>
      <c r="J326" s="8"/>
    </row>
    <row r="327" spans="2:10" hidden="1" x14ac:dyDescent="0.25">
      <c r="B327" s="52" t="s">
        <v>62</v>
      </c>
      <c r="C327" s="34">
        <f>4755.63+3098.182+6095+1661.959+247.68-1010.782</f>
        <v>14847.669000000002</v>
      </c>
      <c r="D327" s="43">
        <f>336.33+1010.782</f>
        <v>1347.1120000000001</v>
      </c>
      <c r="E327" s="58">
        <f>285.27+67.53+112.692+943.51558</f>
        <v>1409.00758</v>
      </c>
      <c r="F327" s="51">
        <f t="shared" si="10"/>
        <v>17603.788580000004</v>
      </c>
      <c r="H327" s="19"/>
      <c r="I327" s="11"/>
      <c r="J327" s="8"/>
    </row>
    <row r="328" spans="2:10" hidden="1" x14ac:dyDescent="0.25">
      <c r="B328" s="52" t="s">
        <v>30</v>
      </c>
      <c r="C328" s="34">
        <f>3485.55+3495.9645+6457+1915.847+543.72-1193.782</f>
        <v>14704.299500000001</v>
      </c>
      <c r="D328" s="43">
        <f>355.696+1193.782</f>
        <v>1549.4780000000001</v>
      </c>
      <c r="E328" s="58">
        <f>382.327+184.02+110.028+1090.8171</f>
        <v>1767.1921</v>
      </c>
      <c r="F328" s="51">
        <f t="shared" si="10"/>
        <v>18020.9696</v>
      </c>
      <c r="H328" s="19"/>
      <c r="I328" s="11"/>
      <c r="J328" s="8"/>
    </row>
    <row r="329" spans="2:10" hidden="1" x14ac:dyDescent="0.25">
      <c r="B329" s="52" t="s">
        <v>63</v>
      </c>
      <c r="C329" s="34">
        <f>3654.28+4703.045+6298+1674.189+20.86-833.073</f>
        <v>15517.301000000001</v>
      </c>
      <c r="D329" s="43">
        <f>355.696+833.073</f>
        <v>1188.769</v>
      </c>
      <c r="E329" s="58">
        <f>534.1557+227+415+116.46+868.7759</f>
        <v>2161.3915999999999</v>
      </c>
      <c r="F329" s="51">
        <f t="shared" si="10"/>
        <v>18867.461599999999</v>
      </c>
      <c r="H329" s="19"/>
      <c r="I329" s="11"/>
      <c r="J329" s="8"/>
    </row>
    <row r="330" spans="2:10" hidden="1" x14ac:dyDescent="0.25">
      <c r="B330" s="52" t="s">
        <v>21</v>
      </c>
      <c r="C330" s="34">
        <f>4343.73+5460.682+6790+2278.13-574.309</f>
        <v>18298.233</v>
      </c>
      <c r="D330" s="43">
        <f>574.309+550.314</f>
        <v>1124.623</v>
      </c>
      <c r="E330" s="58">
        <f>628.0883+302.7+141.036</f>
        <v>1071.8243</v>
      </c>
      <c r="F330" s="51">
        <f t="shared" si="10"/>
        <v>20494.6803</v>
      </c>
      <c r="H330" s="19"/>
      <c r="I330" s="11"/>
      <c r="J330" s="8"/>
    </row>
    <row r="331" spans="2:10" hidden="1" x14ac:dyDescent="0.25">
      <c r="B331" s="52"/>
      <c r="C331" s="34"/>
      <c r="D331" s="43"/>
      <c r="E331" s="58"/>
      <c r="F331" s="51"/>
      <c r="H331" s="19"/>
      <c r="I331" s="11"/>
      <c r="J331" s="8"/>
    </row>
    <row r="332" spans="2:10" hidden="1" x14ac:dyDescent="0.25">
      <c r="B332" s="55" t="s">
        <v>39</v>
      </c>
      <c r="C332" s="34"/>
      <c r="D332" s="43"/>
      <c r="E332" s="58"/>
      <c r="F332" s="51"/>
      <c r="H332" s="19"/>
      <c r="I332" s="11"/>
      <c r="J332" s="8"/>
    </row>
    <row r="333" spans="2:10" hidden="1" x14ac:dyDescent="0.25">
      <c r="B333" s="52" t="s">
        <v>22</v>
      </c>
      <c r="C333" s="34">
        <f>6466.02+4421.928+7489+846.299-915</f>
        <v>18308.246999999999</v>
      </c>
      <c r="D333" s="43">
        <f>915+371.814</f>
        <v>1286.8140000000001</v>
      </c>
      <c r="E333" s="58">
        <f>346.4746+110.49+144.924+866.428</f>
        <v>1468.3166000000001</v>
      </c>
      <c r="F333" s="51">
        <f t="shared" ref="F333:F342" si="11">SUM(C333:E333)</f>
        <v>21063.3776</v>
      </c>
      <c r="H333" s="19"/>
      <c r="I333" s="11"/>
      <c r="J333" s="8"/>
    </row>
    <row r="334" spans="2:10" hidden="1" x14ac:dyDescent="0.25">
      <c r="B334" s="52" t="s">
        <v>23</v>
      </c>
      <c r="C334" s="34">
        <f>6188.07+5857.7085+6851-713.836</f>
        <v>18182.942500000001</v>
      </c>
      <c r="D334" s="43">
        <f>713.836+309.782</f>
        <v>1023.6179999999999</v>
      </c>
      <c r="E334" s="58">
        <f>490.4942+67.125+129.24+858.118</f>
        <v>1544.9772</v>
      </c>
      <c r="F334" s="51">
        <f t="shared" si="11"/>
        <v>20751.537700000001</v>
      </c>
      <c r="H334" s="19"/>
      <c r="I334" s="11"/>
      <c r="J334" s="8"/>
    </row>
    <row r="335" spans="2:10" hidden="1" x14ac:dyDescent="0.25">
      <c r="B335" s="52" t="s">
        <v>24</v>
      </c>
      <c r="C335" s="34">
        <f>4750.032+6208.43+7070+1827.39-933.055</f>
        <v>18922.796999999999</v>
      </c>
      <c r="D335" s="43">
        <f>170.064+933.055</f>
        <v>1103.1189999999999</v>
      </c>
      <c r="E335" s="58">
        <f>671.8341+79.8+134.184+679.621</f>
        <v>1565.4391000000001</v>
      </c>
      <c r="F335" s="51">
        <f t="shared" si="11"/>
        <v>21591.355099999997</v>
      </c>
      <c r="H335" s="19"/>
      <c r="I335" s="11"/>
      <c r="J335" s="8"/>
    </row>
    <row r="336" spans="2:10" hidden="1" x14ac:dyDescent="0.25">
      <c r="B336" s="52" t="s">
        <v>60</v>
      </c>
      <c r="C336" s="34">
        <f>5474.37+5104.407+6590+2353.282-778.8</f>
        <v>18743.259000000002</v>
      </c>
      <c r="D336" s="43">
        <f>295.62+778.8</f>
        <v>1074.42</v>
      </c>
      <c r="E336" s="58">
        <f>531.9212+119.415+134.28+672.567</f>
        <v>1458.1831999999999</v>
      </c>
      <c r="F336" s="51">
        <f t="shared" si="11"/>
        <v>21275.862200000003</v>
      </c>
      <c r="H336" s="19"/>
      <c r="I336" s="11"/>
      <c r="J336" s="8"/>
    </row>
    <row r="337" spans="2:10" hidden="1" x14ac:dyDescent="0.25">
      <c r="B337" s="52" t="s">
        <v>65</v>
      </c>
      <c r="C337" s="34">
        <f>4716.35+5481.441+6920+2489.455-442.145</f>
        <v>19165.100999999999</v>
      </c>
      <c r="D337" s="43">
        <f>719.872+442.142</f>
        <v>1162.0139999999999</v>
      </c>
      <c r="E337" s="58">
        <f>628.1929+205.5+139.116+851.801</f>
        <v>1824.6098999999999</v>
      </c>
      <c r="F337" s="51">
        <f t="shared" si="11"/>
        <v>22151.724899999997</v>
      </c>
      <c r="H337" s="19"/>
      <c r="I337" s="11"/>
      <c r="J337" s="8"/>
    </row>
    <row r="338" spans="2:10" hidden="1" x14ac:dyDescent="0.25">
      <c r="B338" s="52" t="s">
        <v>25</v>
      </c>
      <c r="C338" s="34">
        <f>5966.41+4054.134+6941+2319.027+63.89-664.855</f>
        <v>18679.606000000003</v>
      </c>
      <c r="D338" s="43">
        <f>664.706+664.855</f>
        <v>1329.5610000000001</v>
      </c>
      <c r="E338" s="58">
        <f>531.0885+87.03+64.8+823.309</f>
        <v>1506.2275</v>
      </c>
      <c r="F338" s="51">
        <f t="shared" si="11"/>
        <v>21515.394500000006</v>
      </c>
      <c r="H338" s="19"/>
      <c r="I338" s="11"/>
      <c r="J338" s="8"/>
    </row>
    <row r="339" spans="2:10" hidden="1" x14ac:dyDescent="0.25">
      <c r="B339" s="52" t="s">
        <v>16</v>
      </c>
      <c r="C339" s="34">
        <f>5433.83+3247.604+7117+2315.415+367.54-636.055</f>
        <v>17845.333999999999</v>
      </c>
      <c r="D339" s="43">
        <f>636.055+697.036</f>
        <v>1333.0909999999999</v>
      </c>
      <c r="E339" s="58">
        <f>436.785+95.205+65.004+824.146</f>
        <v>1421.1399999999999</v>
      </c>
      <c r="F339" s="51">
        <f t="shared" si="11"/>
        <v>20599.564999999999</v>
      </c>
      <c r="H339" s="19"/>
      <c r="I339" s="11"/>
      <c r="J339" s="8"/>
    </row>
    <row r="340" spans="2:10" hidden="1" x14ac:dyDescent="0.25">
      <c r="B340" s="52" t="s">
        <v>17</v>
      </c>
      <c r="C340" s="34">
        <f>4980.1+2900.288+6892+2199.653+573.92-842.564</f>
        <v>16703.397000000001</v>
      </c>
      <c r="D340" s="43">
        <f>547.718+842.564</f>
        <v>1390.2819999999999</v>
      </c>
      <c r="E340" s="58">
        <f>380.9675+77.66+104.436+774.745</f>
        <v>1337.8085000000001</v>
      </c>
      <c r="F340" s="51">
        <f t="shared" si="11"/>
        <v>19431.487499999999</v>
      </c>
      <c r="H340" s="19"/>
      <c r="I340" s="11"/>
      <c r="J340" s="8"/>
    </row>
    <row r="341" spans="2:10" hidden="1" x14ac:dyDescent="0.25">
      <c r="B341" s="52" t="s">
        <v>62</v>
      </c>
      <c r="C341" s="34">
        <f>4656.15+2948.295+6799+1468.811+712.13-628.364</f>
        <v>15956.021999999999</v>
      </c>
      <c r="D341" s="43">
        <f>589.574+628.364</f>
        <v>1217.9380000000001</v>
      </c>
      <c r="E341" s="58">
        <f>366.2825+58.38+118.104+545.487</f>
        <v>1088.2535</v>
      </c>
      <c r="F341" s="51">
        <f t="shared" si="11"/>
        <v>18262.213499999998</v>
      </c>
      <c r="H341" s="19"/>
      <c r="I341" s="11"/>
      <c r="J341" s="8"/>
    </row>
    <row r="342" spans="2:10" hidden="1" x14ac:dyDescent="0.25">
      <c r="B342" s="52" t="s">
        <v>30</v>
      </c>
      <c r="C342" s="34">
        <f>5012.17+3881.829+6300+2004.544+480.65-612.255</f>
        <v>17066.938000000002</v>
      </c>
      <c r="D342" s="43">
        <f>612.255+593.646</f>
        <v>1205.9009999999998</v>
      </c>
      <c r="E342" s="58">
        <f>364.058+45.21+111.096+745.346</f>
        <v>1265.71</v>
      </c>
      <c r="F342" s="51">
        <f t="shared" si="11"/>
        <v>19538.548999999999</v>
      </c>
      <c r="H342" s="19"/>
      <c r="I342" s="11"/>
      <c r="J342" s="8"/>
    </row>
    <row r="343" spans="2:10" hidden="1" x14ac:dyDescent="0.25">
      <c r="B343" s="52" t="s">
        <v>63</v>
      </c>
      <c r="C343" s="34">
        <f>4668.86+3869.717+6401+1355.845+248.47-480.42</f>
        <v>16063.472</v>
      </c>
      <c r="D343" s="43">
        <f>480.42+743.69</f>
        <v>1224.1100000000001</v>
      </c>
      <c r="E343" s="58">
        <f>327.604+108.48+114.696+829.478</f>
        <v>1380.2579999999998</v>
      </c>
      <c r="F343" s="51">
        <f>SUM(C343:E343)</f>
        <v>18667.839999999997</v>
      </c>
      <c r="H343" s="19"/>
      <c r="I343" s="11"/>
      <c r="J343" s="8"/>
    </row>
    <row r="344" spans="2:10" hidden="1" x14ac:dyDescent="0.25">
      <c r="B344" s="52" t="s">
        <v>21</v>
      </c>
      <c r="C344" s="34">
        <f>3546.64+4811.394+6609+2163.03+441-516.109</f>
        <v>17054.954999999998</v>
      </c>
      <c r="D344" s="43">
        <f>516.109+864.924</f>
        <v>1381.0329999999999</v>
      </c>
      <c r="E344" s="58">
        <f>133.3279+139.2+133.956+845.401</f>
        <v>1251.8849</v>
      </c>
      <c r="F344" s="51">
        <f>SUM(C344:E344)</f>
        <v>19687.872899999998</v>
      </c>
      <c r="H344" s="19"/>
      <c r="I344" s="11"/>
      <c r="J344" s="8"/>
    </row>
    <row r="345" spans="2:10" hidden="1" x14ac:dyDescent="0.25">
      <c r="B345" s="52"/>
      <c r="C345" s="34"/>
      <c r="D345" s="43"/>
      <c r="E345" s="58"/>
      <c r="F345" s="51"/>
      <c r="H345" s="19"/>
      <c r="I345" s="11"/>
      <c r="J345" s="8"/>
    </row>
    <row r="346" spans="2:10" hidden="1" x14ac:dyDescent="0.25">
      <c r="B346" s="55" t="s">
        <v>40</v>
      </c>
      <c r="C346" s="34"/>
      <c r="D346" s="43"/>
      <c r="E346" s="58"/>
      <c r="F346" s="51"/>
      <c r="H346" s="19"/>
      <c r="I346" s="11"/>
      <c r="J346" s="8"/>
    </row>
    <row r="347" spans="2:10" hidden="1" x14ac:dyDescent="0.25">
      <c r="B347" s="52" t="s">
        <v>22</v>
      </c>
      <c r="C347" s="34">
        <f>3272.86+4730.523+7036+2306.279+483.83-554.564</f>
        <v>17274.928000000004</v>
      </c>
      <c r="D347" s="43">
        <f>663.924+554.564</f>
        <v>1218.4879999999998</v>
      </c>
      <c r="E347" s="58">
        <f>156.8983+219.255+90.768+799.571</f>
        <v>1266.4922999999999</v>
      </c>
      <c r="F347" s="51">
        <f t="shared" ref="F347:F353" si="12">SUM(C347:E347)</f>
        <v>19759.908300000003</v>
      </c>
      <c r="H347" s="19"/>
      <c r="I347" s="11"/>
      <c r="J347" s="8"/>
    </row>
    <row r="348" spans="2:10" hidden="1" x14ac:dyDescent="0.25">
      <c r="B348" s="52" t="s">
        <v>23</v>
      </c>
      <c r="C348" s="34">
        <f>3558.67+4185.783+7104+985.657+332.32-247.745</f>
        <v>15918.684999999999</v>
      </c>
      <c r="D348" s="43">
        <f>743.78+247.745</f>
        <v>991.52499999999998</v>
      </c>
      <c r="E348" s="58">
        <f>465.18+128.145+73.008+702.294</f>
        <v>1368.627</v>
      </c>
      <c r="F348" s="51">
        <f t="shared" si="12"/>
        <v>18278.837</v>
      </c>
      <c r="H348" s="19"/>
      <c r="I348" s="11"/>
      <c r="J348" s="8"/>
    </row>
    <row r="349" spans="2:10" hidden="1" x14ac:dyDescent="0.25">
      <c r="B349" s="52" t="s">
        <v>24</v>
      </c>
      <c r="C349" s="34">
        <f>4978.57+4875.906+7794+80.668+485.85-247.745</f>
        <v>17967.249</v>
      </c>
      <c r="D349" s="43">
        <f>942.602+247.745</f>
        <v>1190.347</v>
      </c>
      <c r="E349" s="58">
        <f>512.5759+134.625+771.936</f>
        <v>1419.1369</v>
      </c>
      <c r="F349" s="51">
        <f t="shared" si="12"/>
        <v>20576.732900000003</v>
      </c>
      <c r="H349" s="19"/>
      <c r="I349" s="11"/>
      <c r="J349" s="8"/>
    </row>
    <row r="350" spans="2:10" hidden="1" x14ac:dyDescent="0.25">
      <c r="B350" s="52" t="s">
        <v>60</v>
      </c>
      <c r="C350" s="34">
        <f>3384.58+5674.095+6680+2363.632+889.824-409.8</f>
        <v>18582.331000000002</v>
      </c>
      <c r="D350" s="43">
        <f>883.254+409.8</f>
        <v>1293.0540000000001</v>
      </c>
      <c r="E350" s="58">
        <f>454.6412+214.74+88.488+813.953</f>
        <v>1571.8222000000001</v>
      </c>
      <c r="F350" s="51">
        <f t="shared" si="12"/>
        <v>21447.207200000001</v>
      </c>
      <c r="H350" s="19"/>
      <c r="I350" s="11"/>
      <c r="J350" s="8"/>
    </row>
    <row r="351" spans="2:10" hidden="1" x14ac:dyDescent="0.25">
      <c r="B351" s="52" t="s">
        <v>65</v>
      </c>
      <c r="C351" s="34">
        <f>5734.59+4844.637+7123+2274.613+59.47+1391.387-746.073</f>
        <v>20681.624</v>
      </c>
      <c r="D351" s="43">
        <f>960.756+746.073</f>
        <v>1706.829</v>
      </c>
      <c r="E351" s="58">
        <f>45.59+189.645+76.236+657.445</f>
        <v>968.91600000000005</v>
      </c>
      <c r="F351" s="51">
        <f t="shared" si="12"/>
        <v>23357.369000000002</v>
      </c>
      <c r="H351" s="19"/>
      <c r="I351" s="11"/>
      <c r="J351" s="8"/>
    </row>
    <row r="352" spans="2:10" hidden="1" x14ac:dyDescent="0.25">
      <c r="B352" s="52" t="s">
        <v>25</v>
      </c>
      <c r="C352" s="34">
        <f>5653.12+3462.627+6630+2204.602+92.04+1540.658-493.2</f>
        <v>19089.846999999998</v>
      </c>
      <c r="D352" s="43">
        <f>493.2+820.5</f>
        <v>1313.7</v>
      </c>
      <c r="E352" s="58">
        <f>353.5273+130.77+82.296+874.294</f>
        <v>1440.8873000000001</v>
      </c>
      <c r="F352" s="51">
        <f t="shared" si="12"/>
        <v>21844.434299999997</v>
      </c>
      <c r="H352" s="19"/>
      <c r="I352" s="11"/>
      <c r="J352" s="8"/>
    </row>
    <row r="353" spans="2:10" hidden="1" x14ac:dyDescent="0.25">
      <c r="B353" s="52" t="s">
        <v>16</v>
      </c>
      <c r="C353" s="34">
        <f>7051.39+2921.016+6981+2122.132+36.51+1552.156-604.855</f>
        <v>20059.349000000002</v>
      </c>
      <c r="D353" s="43">
        <f>604.855+711.858</f>
        <v>1316.713</v>
      </c>
      <c r="E353" s="58">
        <f>356.891+87.075+83.532+514.272</f>
        <v>1041.77</v>
      </c>
      <c r="F353" s="51">
        <f t="shared" si="12"/>
        <v>22417.832000000002</v>
      </c>
      <c r="H353" s="19"/>
      <c r="I353" s="11"/>
      <c r="J353" s="8"/>
    </row>
    <row r="354" spans="2:10" hidden="1" x14ac:dyDescent="0.25">
      <c r="B354" s="52" t="s">
        <v>17</v>
      </c>
      <c r="C354" s="34">
        <f>7232.02+2912.721+6376+2353.427+689.282+1559.996-630.982</f>
        <v>20492.464</v>
      </c>
      <c r="D354" s="43">
        <f>630.982+652.392</f>
        <v>1283.374</v>
      </c>
      <c r="E354" s="58">
        <f>338.201+52.38+70.776+861.179</f>
        <v>1322.5360000000001</v>
      </c>
      <c r="F354" s="51">
        <f>SUM(C354:E354)</f>
        <v>23098.374</v>
      </c>
      <c r="H354" s="19"/>
      <c r="I354" s="11"/>
      <c r="J354" s="8"/>
    </row>
    <row r="355" spans="2:10" hidden="1" x14ac:dyDescent="0.25">
      <c r="B355" s="52" t="s">
        <v>62</v>
      </c>
      <c r="C355" s="34">
        <f>6783.74+2905.539+6413+2086.83+1295.534+1492.039-675.818</f>
        <v>20300.864000000001</v>
      </c>
      <c r="D355" s="43">
        <f>675.818+544.372</f>
        <v>1220.19</v>
      </c>
      <c r="E355" s="58">
        <f>320.1225+34.365+81.684+813.468</f>
        <v>1249.6395</v>
      </c>
      <c r="F355" s="51">
        <f>SUM(C355:E355)</f>
        <v>22770.693500000001</v>
      </c>
      <c r="H355" s="19"/>
      <c r="I355" s="11"/>
      <c r="J355" s="8"/>
    </row>
    <row r="356" spans="2:10" hidden="1" x14ac:dyDescent="0.25">
      <c r="B356" s="52" t="s">
        <v>30</v>
      </c>
      <c r="C356" s="86">
        <f>7395.97+3148.74+7147+1939.081+802.308+1371.764-713.564</f>
        <v>21091.298999999999</v>
      </c>
      <c r="D356" s="43">
        <f>601.832+713.564</f>
        <v>1315.396</v>
      </c>
      <c r="E356" s="58">
        <f>69.122+347.43+83.7+781.229+181.685</f>
        <v>1463.1659999999999</v>
      </c>
      <c r="F356" s="51">
        <f>SUM(C356:E356)</f>
        <v>23869.861000000001</v>
      </c>
      <c r="H356" s="19"/>
      <c r="I356" s="11"/>
      <c r="J356" s="8"/>
    </row>
    <row r="357" spans="2:10" hidden="1" x14ac:dyDescent="0.25">
      <c r="B357" s="52" t="s">
        <v>63</v>
      </c>
      <c r="C357" s="87">
        <f>4001.655+4448.8+5770+1852.2-574.091</f>
        <v>15498.564</v>
      </c>
      <c r="D357" s="43">
        <f>574.091+620.432</f>
        <v>1194.5230000000001</v>
      </c>
      <c r="E357" s="58">
        <f>421.775+115.075+79.764+819.425+202.519</f>
        <v>1638.558</v>
      </c>
      <c r="F357" s="51">
        <f>SUM(C357:E357)</f>
        <v>18331.645</v>
      </c>
      <c r="H357" s="19"/>
      <c r="I357" s="11"/>
      <c r="J357" s="8"/>
    </row>
    <row r="358" spans="2:10" hidden="1" x14ac:dyDescent="0.25">
      <c r="B358" s="52" t="s">
        <v>21</v>
      </c>
      <c r="C358" s="88">
        <f>(3995.41+5286.519+2016.102+5589+41.791+2528.267+1559.676-574.091)</f>
        <v>20442.674000000003</v>
      </c>
      <c r="D358" s="43">
        <f>574.091+424.11</f>
        <v>998.20100000000002</v>
      </c>
      <c r="E358" s="58">
        <f>604.6869+201.945+90.756+960.337+239.508</f>
        <v>2097.2329</v>
      </c>
      <c r="F358" s="51">
        <f>SUM(C358:E358)</f>
        <v>23538.107900000003</v>
      </c>
      <c r="H358" s="19"/>
      <c r="I358" s="11"/>
      <c r="J358" s="8"/>
    </row>
    <row r="359" spans="2:10" hidden="1" x14ac:dyDescent="0.25">
      <c r="B359" s="52"/>
      <c r="C359" s="89"/>
      <c r="D359" s="43"/>
      <c r="E359" s="58"/>
      <c r="F359" s="51"/>
      <c r="H359" s="19"/>
      <c r="I359" s="11"/>
      <c r="J359" s="8"/>
    </row>
    <row r="360" spans="2:10" hidden="1" x14ac:dyDescent="0.25">
      <c r="B360" s="55" t="s">
        <v>41</v>
      </c>
      <c r="C360" s="89"/>
      <c r="D360" s="43"/>
      <c r="E360" s="58"/>
      <c r="F360" s="51"/>
      <c r="H360" s="19"/>
      <c r="I360" s="11"/>
      <c r="J360" s="8"/>
    </row>
    <row r="361" spans="2:10" hidden="1" x14ac:dyDescent="0.25">
      <c r="B361" s="52" t="s">
        <v>22</v>
      </c>
      <c r="C361" s="89">
        <f>4504.14+5472.432+6758+1679.2+54.38+1192.329+1559.716-421.255</f>
        <v>20798.942000000003</v>
      </c>
      <c r="D361" s="43">
        <f>421.255+713.33</f>
        <v>1134.585</v>
      </c>
      <c r="E361" s="58">
        <f>578.252+85.47+229.152+995.162+258.929</f>
        <v>2146.9650000000001</v>
      </c>
      <c r="F361" s="51">
        <f t="shared" ref="F361:F371" si="13">SUM(C361:E361)</f>
        <v>24080.492000000002</v>
      </c>
      <c r="H361" s="19"/>
      <c r="I361" s="11"/>
      <c r="J361" s="8"/>
    </row>
    <row r="362" spans="2:10" hidden="1" x14ac:dyDescent="0.25">
      <c r="B362" s="52" t="s">
        <v>23</v>
      </c>
      <c r="C362" s="90">
        <f>6046.87+5211.192+4774+968.46+96.95+220.786+1536.916-309.109</f>
        <v>18546.065000000002</v>
      </c>
      <c r="D362" s="43">
        <f>760.254+309.109</f>
        <v>1069.3630000000001</v>
      </c>
      <c r="E362" s="58">
        <f>524.4393+160.455+79.74+455.982+192.243</f>
        <v>1412.8593000000001</v>
      </c>
      <c r="F362" s="51">
        <f t="shared" si="13"/>
        <v>21028.287300000004</v>
      </c>
      <c r="H362" s="19"/>
      <c r="I362" s="11"/>
      <c r="J362" s="8"/>
    </row>
    <row r="363" spans="2:10" hidden="1" x14ac:dyDescent="0.25">
      <c r="B363" s="52" t="s">
        <v>24</v>
      </c>
      <c r="C363" s="91">
        <f>6813.88+5395.968+6047+1353.113+554.971+1559.989-526.255</f>
        <v>21198.666000000001</v>
      </c>
      <c r="D363" s="43">
        <f>816.18+526.255</f>
        <v>1342.4349999999999</v>
      </c>
      <c r="E363" s="58">
        <f>576.5832+148.935+91.968+448.665+250.87</f>
        <v>1517.0212000000001</v>
      </c>
      <c r="F363" s="51">
        <f t="shared" si="13"/>
        <v>24058.122200000002</v>
      </c>
      <c r="H363" s="19"/>
      <c r="I363" s="11"/>
      <c r="J363" s="8"/>
    </row>
    <row r="364" spans="2:10" hidden="1" x14ac:dyDescent="0.25">
      <c r="B364" s="52" t="s">
        <v>60</v>
      </c>
      <c r="C364" s="94">
        <f>4785.54+5607.187+6426+2026.4+88.11+704.179+1559.256-444.218</f>
        <v>20752.454000000002</v>
      </c>
      <c r="D364" s="43">
        <f>895.484+444.218</f>
        <v>1339.702</v>
      </c>
      <c r="E364" s="58">
        <f>656.8628+82.05+71.892+670.69+236.42</f>
        <v>1717.9148</v>
      </c>
      <c r="F364" s="51">
        <f t="shared" si="13"/>
        <v>23810.070800000001</v>
      </c>
      <c r="H364" s="19"/>
      <c r="I364" s="11"/>
      <c r="J364" s="8"/>
    </row>
    <row r="365" spans="2:10" hidden="1" x14ac:dyDescent="0.25">
      <c r="B365" s="52" t="s">
        <v>65</v>
      </c>
      <c r="C365" s="95">
        <f>5546.21+4477.838+6335+2104.102+444.12+415.727+1559.639-694.473</f>
        <v>20188.162999999993</v>
      </c>
      <c r="D365" s="43">
        <f>691.24+694.473</f>
        <v>1385.713</v>
      </c>
      <c r="E365" s="58">
        <f>525.2622+76.5+88.332+1681.583+228.867</f>
        <v>2600.5442000000003</v>
      </c>
      <c r="F365" s="51">
        <f t="shared" si="13"/>
        <v>24174.420199999993</v>
      </c>
      <c r="H365" s="19"/>
      <c r="I365" s="11"/>
      <c r="J365" s="8"/>
    </row>
    <row r="366" spans="2:10" hidden="1" x14ac:dyDescent="0.25">
      <c r="B366" s="85" t="s">
        <v>25</v>
      </c>
      <c r="C366" s="96">
        <f>4945.92+3921.732+5873+2145.117+70.94+464.73+1559.999-706.418</f>
        <v>18275.019999999997</v>
      </c>
      <c r="D366" s="43">
        <f>654.308+706.418</f>
        <v>1360.7260000000001</v>
      </c>
      <c r="E366" s="51">
        <f>345.6842+64.8+123.3+1760.47+254.775</f>
        <v>2549.0291999999999</v>
      </c>
      <c r="F366" s="51">
        <f t="shared" si="13"/>
        <v>22184.775199999996</v>
      </c>
      <c r="H366" s="19"/>
      <c r="I366" s="11"/>
      <c r="J366" s="8"/>
    </row>
    <row r="367" spans="2:10" hidden="1" x14ac:dyDescent="0.25">
      <c r="B367" s="85" t="s">
        <v>16</v>
      </c>
      <c r="C367" s="97">
        <f>4180.76+3120.336+5860+2058.991+125.94+511.129+1559.998-632.618</f>
        <v>16784.536000000004</v>
      </c>
      <c r="D367" s="43">
        <f>571.38+632.618</f>
        <v>1203.998</v>
      </c>
      <c r="E367" s="51">
        <f>333.5119+81.33+122.4+1912.839+161.282</f>
        <v>2611.3629000000001</v>
      </c>
      <c r="F367" s="51">
        <f t="shared" si="13"/>
        <v>20599.896900000003</v>
      </c>
      <c r="H367" s="19"/>
      <c r="I367" s="11"/>
      <c r="J367" s="8"/>
    </row>
    <row r="368" spans="2:10" hidden="1" x14ac:dyDescent="0.25">
      <c r="B368" s="85" t="s">
        <v>17</v>
      </c>
      <c r="C368" s="98">
        <f>3246.46+3048.57+5070+2251.189+57.11+335.51+3153.757-924.109</f>
        <v>16238.487000000001</v>
      </c>
      <c r="D368" s="43">
        <f>164.136+924.109</f>
        <v>1088.2450000000001</v>
      </c>
      <c r="E368" s="51">
        <f>285.0419+104.676+1783.259+120.7</f>
        <v>2293.6768999999999</v>
      </c>
      <c r="F368" s="51">
        <f t="shared" si="13"/>
        <v>19620.408899999999</v>
      </c>
      <c r="H368" s="19"/>
      <c r="I368" s="11"/>
      <c r="J368" s="8"/>
    </row>
    <row r="369" spans="2:10" hidden="1" x14ac:dyDescent="0.25">
      <c r="B369" s="85" t="s">
        <v>62</v>
      </c>
      <c r="C369" s="99">
        <f>3041.88+3387.72+5098+2266.362+19.91+13.535+3219.679-530.291</f>
        <v>16516.794999999998</v>
      </c>
      <c r="D369" s="43">
        <f>599.836+530.291</f>
        <v>1130.127</v>
      </c>
      <c r="E369" s="51">
        <f>349.6309+70.635+108.12+1703.761+257.8</f>
        <v>2489.9468999999999</v>
      </c>
      <c r="F369" s="51">
        <f t="shared" si="13"/>
        <v>20136.868899999998</v>
      </c>
      <c r="H369" s="19"/>
      <c r="I369" s="11"/>
      <c r="J369" s="8"/>
    </row>
    <row r="370" spans="2:10" hidden="1" x14ac:dyDescent="0.25">
      <c r="B370" s="85" t="s">
        <v>30</v>
      </c>
      <c r="C370" s="100">
        <f>3215.91+4230.114+5165+2224.2+293.733+3219.231-496.964</f>
        <v>17851.223999999998</v>
      </c>
      <c r="D370" s="43">
        <f>759.58+496.964</f>
        <v>1256.5440000000001</v>
      </c>
      <c r="E370" s="51">
        <f>501.8991+93.825+78.816+1356.635+264.8</f>
        <v>2295.9751000000001</v>
      </c>
      <c r="F370" s="51">
        <f t="shared" si="13"/>
        <v>21403.7431</v>
      </c>
      <c r="H370" s="19"/>
      <c r="I370" s="11"/>
      <c r="J370" s="8"/>
    </row>
    <row r="371" spans="2:10" hidden="1" x14ac:dyDescent="0.25">
      <c r="B371" s="85" t="s">
        <v>63</v>
      </c>
      <c r="C371" s="101">
        <f>3423.02+3983.196+5130+2028.2+525.542+3138.307-449.127</f>
        <v>17779.137999999999</v>
      </c>
      <c r="D371" s="43">
        <f>662.328+449.127</f>
        <v>1111.4549999999999</v>
      </c>
      <c r="E371" s="51">
        <f>510.52+53.235+85.284+1051.644+268</f>
        <v>1968.683</v>
      </c>
      <c r="F371" s="51">
        <f t="shared" si="13"/>
        <v>20859.276000000002</v>
      </c>
      <c r="H371" s="19"/>
      <c r="I371" s="11"/>
      <c r="J371" s="8"/>
    </row>
    <row r="372" spans="2:10" hidden="1" x14ac:dyDescent="0.25">
      <c r="B372" s="85" t="s">
        <v>21</v>
      </c>
      <c r="C372" s="102">
        <f>3879.05+4955.559+6162+1531.8+470.145+3214.033-368.509</f>
        <v>19844.078000000001</v>
      </c>
      <c r="D372" s="43">
        <f>828.912+368.509</f>
        <v>1197.421</v>
      </c>
      <c r="E372" s="51">
        <f>559.8186+127.95+95.22+973.683+168.6</f>
        <v>1925.2716</v>
      </c>
      <c r="F372" s="51">
        <f>SUM(C372:E372)</f>
        <v>22966.7706</v>
      </c>
      <c r="H372" s="19"/>
      <c r="I372" s="11"/>
      <c r="J372" s="8"/>
    </row>
    <row r="373" spans="2:10" hidden="1" x14ac:dyDescent="0.25">
      <c r="B373" s="52"/>
      <c r="C373" s="103"/>
      <c r="D373" s="43"/>
      <c r="E373" s="51"/>
      <c r="F373" s="51"/>
      <c r="H373" s="19"/>
      <c r="I373" s="11"/>
      <c r="J373" s="8"/>
    </row>
    <row r="374" spans="2:10" x14ac:dyDescent="0.25">
      <c r="B374" s="55" t="s">
        <v>42</v>
      </c>
      <c r="C374" s="103"/>
      <c r="D374" s="43"/>
      <c r="E374" s="51"/>
      <c r="F374" s="51"/>
      <c r="H374" s="19"/>
      <c r="I374" s="11"/>
      <c r="J374" s="8"/>
    </row>
    <row r="375" spans="2:10" ht="15.75" hidden="1" customHeight="1" x14ac:dyDescent="0.25">
      <c r="B375" s="85" t="s">
        <v>22</v>
      </c>
      <c r="C375" s="103">
        <f>4833.85+5146.617+6249+2204+248.612+1559.998-253.309</f>
        <v>19988.768</v>
      </c>
      <c r="D375" s="43">
        <f>881.028+253.309</f>
        <v>1134.337</v>
      </c>
      <c r="E375" s="51">
        <f>667.9+101.01+86.316+807.543+159</f>
        <v>1821.769</v>
      </c>
      <c r="F375" s="51">
        <f t="shared" ref="F375:F386" si="14">SUM(C375:E375)</f>
        <v>22944.874</v>
      </c>
      <c r="H375" s="19"/>
      <c r="I375" s="11"/>
      <c r="J375" s="8"/>
    </row>
    <row r="376" spans="2:10" hidden="1" x14ac:dyDescent="0.25">
      <c r="B376" s="85" t="s">
        <v>23</v>
      </c>
      <c r="C376" s="104">
        <f>5188.47+4683.735+4740+1428.2+220.515+1559.999-324.873</f>
        <v>17496.046000000002</v>
      </c>
      <c r="D376" s="43">
        <f>789.128+324.873</f>
        <v>1114.001</v>
      </c>
      <c r="E376" s="51">
        <f>589.0944+88.995+81.54+327.677+204.4</f>
        <v>1291.7064</v>
      </c>
      <c r="F376" s="51">
        <f t="shared" si="14"/>
        <v>19901.753400000001</v>
      </c>
      <c r="H376" s="19"/>
      <c r="I376" s="11"/>
      <c r="J376" s="8"/>
    </row>
    <row r="377" spans="2:10" hidden="1" x14ac:dyDescent="0.25">
      <c r="B377" s="85" t="s">
        <v>24</v>
      </c>
      <c r="C377" s="43">
        <f>5939.29+4666.935+7234+83.61+1559.989-374.618</f>
        <v>19109.206000000002</v>
      </c>
      <c r="D377" s="105">
        <f>860.944+374.618</f>
        <v>1235.5619999999999</v>
      </c>
      <c r="E377" s="51">
        <f>651.3406+90+82.068+852.447+192.1</f>
        <v>1867.9555999999998</v>
      </c>
      <c r="F377" s="51">
        <f t="shared" si="14"/>
        <v>22212.723600000005</v>
      </c>
      <c r="H377" s="19"/>
      <c r="I377" s="11"/>
      <c r="J377" s="8"/>
    </row>
    <row r="378" spans="2:10" hidden="1" x14ac:dyDescent="0.25">
      <c r="B378" s="85" t="s">
        <v>60</v>
      </c>
      <c r="C378" s="43">
        <f>4844.43+5841.927+5803+1322.044+1489.284-447.327</f>
        <v>18853.358</v>
      </c>
      <c r="D378" s="106">
        <f>447.327+890.812</f>
        <v>1338.1390000000001</v>
      </c>
      <c r="E378" s="51">
        <f>669.168+167.7+53.976+1274.681+147.4</f>
        <v>2312.9250000000002</v>
      </c>
      <c r="F378" s="51">
        <f t="shared" si="14"/>
        <v>22504.421999999999</v>
      </c>
      <c r="H378" s="19"/>
      <c r="I378" s="11"/>
      <c r="J378" s="8"/>
    </row>
    <row r="379" spans="2:10" hidden="1" x14ac:dyDescent="0.25">
      <c r="B379" s="85" t="s">
        <v>65</v>
      </c>
      <c r="C379" s="43">
        <f>3569.88+5612.652+5589+1814.43+1536.023-534.273</f>
        <v>17587.712</v>
      </c>
      <c r="D379" s="107">
        <f>880.276+534.273</f>
        <v>1414.549</v>
      </c>
      <c r="E379" s="51">
        <f>694.8257+239.55+1494.074+306</f>
        <v>2734.4497000000001</v>
      </c>
      <c r="F379" s="51">
        <f t="shared" si="14"/>
        <v>21736.7107</v>
      </c>
      <c r="H379" s="19"/>
      <c r="I379" s="11"/>
      <c r="J379" s="8"/>
    </row>
    <row r="380" spans="2:10" hidden="1" x14ac:dyDescent="0.25">
      <c r="B380" s="85" t="s">
        <v>25</v>
      </c>
      <c r="C380" s="43">
        <f>4761.41+4581.216+5754+2025.227+1559.99-798.545</f>
        <v>17883.298000000003</v>
      </c>
      <c r="D380" s="43">
        <f>798.545+660.588</f>
        <v>1459.1329999999998</v>
      </c>
      <c r="E380" s="51">
        <f>618.0647+1202.679+265.55</f>
        <v>2086.2937000000002</v>
      </c>
      <c r="F380" s="51">
        <f t="shared" si="14"/>
        <v>21428.724700000006</v>
      </c>
      <c r="G380" s="43"/>
      <c r="H380" s="19"/>
      <c r="I380" s="11"/>
      <c r="J380" s="8"/>
    </row>
    <row r="381" spans="2:10" s="28" customFormat="1" x14ac:dyDescent="0.25">
      <c r="B381" s="113" t="s">
        <v>16</v>
      </c>
      <c r="C381" s="108">
        <f>6189.78+4581.216+6297+2097.586+16.187+1559.994-1190.291</f>
        <v>19551.471999999998</v>
      </c>
      <c r="D381" s="109">
        <f>1190.291+510.204</f>
        <v>1700.4949999999999</v>
      </c>
      <c r="E381" s="110">
        <f>404.515+90.805+1219.963+262.7</f>
        <v>1977.9829999999999</v>
      </c>
      <c r="F381" s="110">
        <f t="shared" si="14"/>
        <v>23229.949999999997</v>
      </c>
      <c r="G381" s="108"/>
      <c r="H381" s="111"/>
      <c r="I381" s="112"/>
      <c r="J381" s="27"/>
    </row>
    <row r="382" spans="2:10" s="28" customFormat="1" x14ac:dyDescent="0.25">
      <c r="B382" s="113" t="s">
        <v>17</v>
      </c>
      <c r="C382" s="108">
        <f>5269.81+3935.862+5765+1996.965+195.137+2484.732-1150.364</f>
        <v>18497.141999999996</v>
      </c>
      <c r="D382" s="109">
        <f>1150.364+382.94</f>
        <v>1533.3040000000001</v>
      </c>
      <c r="E382" s="110">
        <f>331.1863+61.95+979.01+234</f>
        <v>1606.1462999999999</v>
      </c>
      <c r="F382" s="110">
        <f t="shared" si="14"/>
        <v>21636.592299999997</v>
      </c>
      <c r="G382" s="108"/>
      <c r="H382" s="111"/>
      <c r="I382" s="112"/>
      <c r="J382" s="27"/>
    </row>
    <row r="383" spans="2:10" s="28" customFormat="1" x14ac:dyDescent="0.25">
      <c r="B383" s="113" t="s">
        <v>62</v>
      </c>
      <c r="C383" s="108">
        <f>3005.25+2997.519+5629+2117.167+797.788+2988.042-915.873</f>
        <v>16618.893</v>
      </c>
      <c r="D383" s="109">
        <f>915.873+463.6</f>
        <v>1379.473</v>
      </c>
      <c r="E383" s="110">
        <f>296.7487+31.65+480.358+213.4</f>
        <v>1022.1566999999999</v>
      </c>
      <c r="F383" s="110">
        <f t="shared" si="14"/>
        <v>19020.522700000001</v>
      </c>
      <c r="G383" s="108"/>
      <c r="H383" s="111"/>
      <c r="I383" s="112"/>
      <c r="J383" s="27"/>
    </row>
    <row r="384" spans="2:10" s="28" customFormat="1" x14ac:dyDescent="0.25">
      <c r="B384" s="113" t="s">
        <v>30</v>
      </c>
      <c r="C384" s="108">
        <f>2862.95+3919.5+5815+1954.4+755.333+3353.039-919.636</f>
        <v>17740.586000000003</v>
      </c>
      <c r="D384" s="109">
        <f>919.636+480.6</f>
        <v>1400.2359999999999</v>
      </c>
      <c r="E384" s="110">
        <f>501.188+36.03+494.58+252.3</f>
        <v>1284.098</v>
      </c>
      <c r="F384" s="110">
        <f t="shared" si="14"/>
        <v>20424.920000000006</v>
      </c>
      <c r="G384" s="108"/>
      <c r="H384" s="111"/>
      <c r="I384" s="112"/>
      <c r="J384" s="27"/>
    </row>
    <row r="385" spans="2:10" s="28" customFormat="1" x14ac:dyDescent="0.25">
      <c r="B385" s="113" t="s">
        <v>63</v>
      </c>
      <c r="C385" s="108">
        <f>2191.1+4932.312+5787+1878.912+509.282+3078.256-712.309</f>
        <v>17664.553</v>
      </c>
      <c r="D385" s="109">
        <f>628.928+712.309</f>
        <v>1341.2370000000001</v>
      </c>
      <c r="E385" s="110">
        <f>634.043+93.405+672.204+237.5</f>
        <v>1637.152</v>
      </c>
      <c r="F385" s="110">
        <f t="shared" si="14"/>
        <v>20642.942000000003</v>
      </c>
      <c r="G385" s="108"/>
      <c r="H385" s="111"/>
      <c r="I385" s="112"/>
      <c r="J385" s="27"/>
    </row>
    <row r="386" spans="2:10" s="28" customFormat="1" x14ac:dyDescent="0.25">
      <c r="B386" s="113" t="s">
        <v>21</v>
      </c>
      <c r="C386" s="108">
        <f>3199.28+5122.026+6351+1837.992+128.251+3014.046-537</f>
        <v>19115.594999999998</v>
      </c>
      <c r="D386" s="109">
        <f>781.164+537</f>
        <v>1318.164</v>
      </c>
      <c r="E386" s="110">
        <f>681.426+188.34+563.328+257.5</f>
        <v>1690.5940000000001</v>
      </c>
      <c r="F386" s="110">
        <f t="shared" si="14"/>
        <v>22124.352999999999</v>
      </c>
      <c r="G386" s="108"/>
      <c r="H386" s="111"/>
      <c r="I386" s="112"/>
      <c r="J386" s="27"/>
    </row>
    <row r="387" spans="2:10" s="28" customFormat="1" x14ac:dyDescent="0.25">
      <c r="B387" s="75"/>
      <c r="C387" s="108"/>
      <c r="D387" s="109"/>
      <c r="E387" s="110"/>
      <c r="F387" s="110"/>
      <c r="G387" s="108"/>
      <c r="H387" s="111"/>
      <c r="I387" s="112"/>
      <c r="J387" s="27"/>
    </row>
    <row r="388" spans="2:10" s="28" customFormat="1" x14ac:dyDescent="0.25">
      <c r="B388" s="55" t="s">
        <v>44</v>
      </c>
      <c r="C388" s="108"/>
      <c r="D388" s="109"/>
      <c r="E388" s="110"/>
      <c r="F388" s="110"/>
      <c r="G388" s="108"/>
      <c r="H388" s="111"/>
      <c r="I388" s="112"/>
      <c r="J388" s="27"/>
    </row>
    <row r="389" spans="2:10" s="28" customFormat="1" x14ac:dyDescent="0.25">
      <c r="B389" s="85" t="s">
        <v>22</v>
      </c>
      <c r="C389" s="108">
        <f>3629.22+5158.86+7711+1929.352+72.348+1700.348-773.673</f>
        <v>19427.455000000005</v>
      </c>
      <c r="D389" s="109">
        <f>637.276+773.673</f>
        <v>1410.9490000000001</v>
      </c>
      <c r="E389" s="110">
        <f>634.3696+81.63+925.28+200.6</f>
        <v>1841.8795999999998</v>
      </c>
      <c r="F389" s="110">
        <f t="shared" ref="F389:F400" si="15">SUM(C389:E389)</f>
        <v>22680.283600000006</v>
      </c>
      <c r="G389" s="108"/>
      <c r="H389" s="111"/>
      <c r="I389" s="112"/>
      <c r="J389" s="27"/>
    </row>
    <row r="390" spans="2:10" s="28" customFormat="1" x14ac:dyDescent="0.25">
      <c r="B390" s="85" t="s">
        <v>23</v>
      </c>
      <c r="C390" s="108">
        <f>3569.14+4699.758+8708+1909.396+35.298+1559.897-135.709</f>
        <v>20345.780000000002</v>
      </c>
      <c r="D390" s="109">
        <f>0+135.709</f>
        <v>135.709</v>
      </c>
      <c r="E390" s="110">
        <f>670.2354+150.99+828.167+196.3</f>
        <v>1845.6924000000001</v>
      </c>
      <c r="F390" s="110">
        <f t="shared" si="15"/>
        <v>22327.181400000001</v>
      </c>
      <c r="G390" s="108"/>
      <c r="H390" s="111"/>
      <c r="I390" s="112"/>
      <c r="J390" s="27"/>
    </row>
    <row r="391" spans="2:10" s="28" customFormat="1" x14ac:dyDescent="0.25">
      <c r="B391" s="85" t="s">
        <v>24</v>
      </c>
      <c r="C391" s="108">
        <f>5435.98+5232.633+9005+1469.553+132.654+1273.849-1494.327</f>
        <v>21055.341999999993</v>
      </c>
      <c r="D391" s="109">
        <f>0+1494.327</f>
        <v>1494.327</v>
      </c>
      <c r="E391" s="110">
        <f>722.3244+131.67+642.529+255.8</f>
        <v>1752.3234</v>
      </c>
      <c r="F391" s="110">
        <f t="shared" si="15"/>
        <v>24301.992399999996</v>
      </c>
      <c r="G391" s="108"/>
      <c r="H391" s="111"/>
      <c r="I391" s="112"/>
      <c r="J391" s="27"/>
    </row>
    <row r="392" spans="2:10" s="28" customFormat="1" x14ac:dyDescent="0.25">
      <c r="B392" s="85" t="s">
        <v>60</v>
      </c>
      <c r="C392" s="108">
        <f>7805.01+5168.457+7189+2079.146+97.977+366.688-1341.491</f>
        <v>21364.786999999997</v>
      </c>
      <c r="D392" s="109">
        <f>359.2+1341.491</f>
        <v>1700.691</v>
      </c>
      <c r="E392" s="110">
        <f>455.539+131.805+741.875+248.4</f>
        <v>1577.6190000000001</v>
      </c>
      <c r="F392" s="110">
        <f t="shared" si="15"/>
        <v>24643.096999999994</v>
      </c>
      <c r="G392" s="108"/>
      <c r="H392" s="111"/>
      <c r="I392" s="112"/>
      <c r="J392" s="27"/>
    </row>
    <row r="393" spans="2:10" s="28" customFormat="1" x14ac:dyDescent="0.25">
      <c r="B393" s="85" t="s">
        <v>65</v>
      </c>
      <c r="C393" s="108">
        <f>7469.18+5100.123+7941+2318.045+64.292+620.182-1241.321</f>
        <v>22271.501</v>
      </c>
      <c r="D393" s="109">
        <f>620.58+1241.321</f>
        <v>1861.9009999999998</v>
      </c>
      <c r="E393" s="110">
        <f>595.2844+132.495+606.51104+308.8</f>
        <v>1643.0904399999999</v>
      </c>
      <c r="F393" s="110">
        <f t="shared" si="15"/>
        <v>25776.492440000002</v>
      </c>
      <c r="G393" s="108"/>
      <c r="H393" s="111"/>
      <c r="I393" s="112"/>
      <c r="J393" s="27"/>
    </row>
    <row r="394" spans="2:10" s="28" customFormat="1" x14ac:dyDescent="0.25">
      <c r="B394" s="85" t="s">
        <v>25</v>
      </c>
      <c r="C394" s="108">
        <f>6281.46+3489.84+8303+2427.878+77.88+1452.552-1022.836</f>
        <v>21009.774000000001</v>
      </c>
      <c r="D394" s="109">
        <f>610.52+1022.836</f>
        <v>1633.356</v>
      </c>
      <c r="E394" s="110">
        <f>326.527+75.54+9.336+828.2454+276.4</f>
        <v>1516.0484000000001</v>
      </c>
      <c r="F394" s="110">
        <f t="shared" si="15"/>
        <v>24159.178400000001</v>
      </c>
      <c r="G394" s="108"/>
      <c r="H394" s="111"/>
      <c r="I394" s="112"/>
      <c r="J394" s="27"/>
    </row>
    <row r="395" spans="2:10" s="28" customFormat="1" x14ac:dyDescent="0.25">
      <c r="B395" s="85" t="s">
        <v>16</v>
      </c>
      <c r="C395" s="108">
        <f>7362.07+3154.179+7693+2291.941+165.989+1559.859-897.709</f>
        <v>21329.329000000002</v>
      </c>
      <c r="D395" s="109">
        <f>689.2+897.709</f>
        <v>1586.9090000000001</v>
      </c>
      <c r="E395" s="110">
        <f>361.431+75.195+712.68544+287.9</f>
        <v>1437.21144</v>
      </c>
      <c r="F395" s="110">
        <f t="shared" si="15"/>
        <v>24353.44944</v>
      </c>
      <c r="G395" s="108"/>
      <c r="H395" s="111"/>
      <c r="I395" s="112"/>
      <c r="J395" s="27"/>
    </row>
    <row r="396" spans="2:10" s="28" customFormat="1" x14ac:dyDescent="0.25">
      <c r="B396" s="85" t="s">
        <v>17</v>
      </c>
      <c r="C396" s="108">
        <f>6780.82+2516.619+7813+2368.299+160.385+2242.066-1090.691</f>
        <v>20790.497999999996</v>
      </c>
      <c r="D396" s="109">
        <f>597.7+1090.691</f>
        <v>1688.3910000000001</v>
      </c>
      <c r="E396" s="110">
        <f>330.871+41.895+1168.21024+267</f>
        <v>1807.97624</v>
      </c>
      <c r="F396" s="110">
        <f t="shared" si="15"/>
        <v>24286.865239999996</v>
      </c>
      <c r="G396" s="108"/>
      <c r="H396" s="111"/>
      <c r="I396" s="112"/>
      <c r="J396" s="27"/>
    </row>
    <row r="397" spans="2:10" s="28" customFormat="1" x14ac:dyDescent="0.25">
      <c r="B397" s="85" t="s">
        <v>62</v>
      </c>
      <c r="C397" s="108">
        <f>5852.99+2500.113+7878+2162.253+144.387+2790.069-1251</f>
        <v>20076.811999999998</v>
      </c>
      <c r="D397" s="109">
        <f>344.692+1251</f>
        <v>1595.692</v>
      </c>
      <c r="E397" s="110">
        <f>297.291+1115.28396+116.845</f>
        <v>1529.4199599999999</v>
      </c>
      <c r="F397" s="110">
        <f t="shared" si="15"/>
        <v>23201.923959999996</v>
      </c>
      <c r="G397" s="108"/>
      <c r="H397" s="111"/>
      <c r="I397" s="112"/>
      <c r="J397" s="27"/>
    </row>
    <row r="398" spans="2:10" s="28" customFormat="1" x14ac:dyDescent="0.25">
      <c r="B398" s="85" t="s">
        <v>30</v>
      </c>
      <c r="C398" s="108">
        <f>5687.02+2965.683+8138+2577.804+269.801+2856.764-1222.636</f>
        <v>21272.436000000002</v>
      </c>
      <c r="D398" s="109">
        <f>428.228+1222.636</f>
        <v>1650.864</v>
      </c>
      <c r="E398" s="110">
        <f>399.404+71.025+0+1190.35472+225.8</f>
        <v>1886.5837199999999</v>
      </c>
      <c r="F398" s="110">
        <f t="shared" si="15"/>
        <v>24809.883720000002</v>
      </c>
      <c r="G398" s="108"/>
      <c r="H398" s="111"/>
      <c r="I398" s="112"/>
      <c r="J398" s="27"/>
    </row>
    <row r="399" spans="2:10" s="28" customFormat="1" x14ac:dyDescent="0.25">
      <c r="B399" s="85" t="s">
        <v>63</v>
      </c>
      <c r="C399" s="108">
        <f>5304.72+3020.199+7021+2372.422+270.702+3040.159-1092.818</f>
        <v>19936.384000000002</v>
      </c>
      <c r="D399" s="109">
        <f>537.132+1092.818</f>
        <v>1629.9499999999998</v>
      </c>
      <c r="E399" s="110">
        <f>446.1989+50.94+12.984+1157.14788+252.6</f>
        <v>1919.8707799999997</v>
      </c>
      <c r="F399" s="110">
        <f t="shared" si="15"/>
        <v>23486.204780000004</v>
      </c>
      <c r="G399" s="108"/>
      <c r="H399" s="111"/>
      <c r="I399" s="112"/>
      <c r="J399" s="27"/>
    </row>
    <row r="400" spans="2:10" s="28" customFormat="1" x14ac:dyDescent="0.25">
      <c r="B400" s="85" t="s">
        <v>21</v>
      </c>
      <c r="C400" s="108">
        <f>4998.66+3573.696+6975+1651.198+325.269+2806.916-948.6</f>
        <v>19382.139000000003</v>
      </c>
      <c r="D400" s="109">
        <f>575.792+948.6</f>
        <v>1524.3920000000001</v>
      </c>
      <c r="E400" s="110">
        <f>416.6762+18.816+1234.9894+260</f>
        <v>1930.4815999999998</v>
      </c>
      <c r="F400" s="110">
        <f t="shared" si="15"/>
        <v>22837.012600000002</v>
      </c>
      <c r="G400" s="108"/>
      <c r="H400" s="111"/>
      <c r="I400" s="112"/>
      <c r="J400" s="27"/>
    </row>
    <row r="401" spans="2:11" s="28" customFormat="1" x14ac:dyDescent="0.25">
      <c r="B401" s="85"/>
      <c r="C401" s="108"/>
      <c r="D401" s="109"/>
      <c r="E401" s="110"/>
      <c r="F401" s="110"/>
      <c r="G401" s="108"/>
      <c r="H401" s="111"/>
      <c r="I401" s="112"/>
      <c r="J401" s="27"/>
    </row>
    <row r="402" spans="2:11" s="28" customFormat="1" x14ac:dyDescent="0.25">
      <c r="B402" s="55" t="s">
        <v>45</v>
      </c>
      <c r="C402" s="108"/>
      <c r="D402" s="109"/>
      <c r="E402" s="110"/>
      <c r="F402" s="110"/>
      <c r="G402" s="108"/>
      <c r="H402" s="111"/>
      <c r="I402" s="112"/>
      <c r="J402" s="27"/>
    </row>
    <row r="403" spans="2:11" s="28" customFormat="1" x14ac:dyDescent="0.25">
      <c r="B403" s="85" t="s">
        <v>22</v>
      </c>
      <c r="C403" s="108">
        <f>3247.13+4270.413+7551+1925.521+336.913+2965.146-583.826-906.818</f>
        <v>18805.478999999999</v>
      </c>
      <c r="D403" s="109">
        <f>583.826+906.818</f>
        <v>1490.644</v>
      </c>
      <c r="E403" s="110">
        <f>543.2743+35.415+1296.45152+260.9</f>
        <v>2136.0408200000002</v>
      </c>
      <c r="F403" s="110">
        <f t="shared" ref="F403:F409" si="16">SUM(C403:E403)</f>
        <v>22432.163820000002</v>
      </c>
      <c r="G403" s="108"/>
      <c r="H403" s="111"/>
      <c r="I403" s="112"/>
      <c r="J403" s="27"/>
    </row>
    <row r="404" spans="2:11" s="28" customFormat="1" x14ac:dyDescent="0.25">
      <c r="B404" s="85" t="s">
        <v>23</v>
      </c>
      <c r="C404" s="108">
        <f>3695.055+3033.2+5784+2178.864+324.647+2831.452-820.745</f>
        <v>17026.473000000002</v>
      </c>
      <c r="D404" s="109">
        <f>532.026+820.745</f>
        <v>1352.771</v>
      </c>
      <c r="E404" s="110">
        <f>460.0747+35.19+1333.33777+248.8</f>
        <v>2077.40247</v>
      </c>
      <c r="F404" s="110">
        <f t="shared" si="16"/>
        <v>20456.646470000003</v>
      </c>
      <c r="G404" s="108"/>
      <c r="H404" s="111"/>
      <c r="I404" s="112"/>
      <c r="J404" s="27"/>
    </row>
    <row r="405" spans="2:11" s="28" customFormat="1" x14ac:dyDescent="0.25">
      <c r="B405" s="85" t="s">
        <v>24</v>
      </c>
      <c r="C405" s="108">
        <f>3396.93+4778.991+6232+2372.81+396.611+3199.873-972.273</f>
        <v>19404.941999999999</v>
      </c>
      <c r="D405" s="109">
        <f>676.72+972.273</f>
        <v>1648.9929999999999</v>
      </c>
      <c r="E405" s="110">
        <f>632.7084+178.86+0+1036.9706+269</f>
        <v>2117.5390000000002</v>
      </c>
      <c r="F405" s="110">
        <f t="shared" si="16"/>
        <v>23171.473999999998</v>
      </c>
      <c r="G405" s="108"/>
      <c r="H405" s="111"/>
      <c r="I405" s="112"/>
      <c r="J405" s="27"/>
    </row>
    <row r="406" spans="2:11" s="28" customFormat="1" x14ac:dyDescent="0.25">
      <c r="B406" s="85" t="s">
        <v>60</v>
      </c>
      <c r="C406" s="108">
        <f>3596+3906.462+5872+2171.995+150.302+2599.913-788.673</f>
        <v>17507.999</v>
      </c>
      <c r="D406" s="109">
        <f>304.648+788.673</f>
        <v>1093.3209999999999</v>
      </c>
      <c r="E406" s="110">
        <f>100.44+1478.53222+215.8</f>
        <v>1794.7722200000001</v>
      </c>
      <c r="F406" s="110">
        <f t="shared" si="16"/>
        <v>20396.092219999999</v>
      </c>
      <c r="G406" s="108"/>
      <c r="H406" s="111"/>
      <c r="I406" s="112"/>
      <c r="J406" s="27"/>
    </row>
    <row r="407" spans="2:11" s="28" customFormat="1" x14ac:dyDescent="0.25">
      <c r="B407" s="85" t="s">
        <v>65</v>
      </c>
      <c r="C407" s="108">
        <f>3835.47+3042.743+6101+1943.694+146.406+3403.518-1188.382</f>
        <v>17284.448999999997</v>
      </c>
      <c r="D407" s="109">
        <f>297.392+1188.382</f>
        <v>1485.7740000000001</v>
      </c>
      <c r="E407" s="110">
        <f>483.5875+120.3+1500.73378+144.1</f>
        <v>2248.7212799999998</v>
      </c>
      <c r="F407" s="110">
        <f t="shared" si="16"/>
        <v>21018.944279999996</v>
      </c>
      <c r="G407" s="108"/>
      <c r="H407" s="111"/>
      <c r="I407" s="112"/>
      <c r="J407" s="27"/>
    </row>
    <row r="408" spans="2:11" s="28" customFormat="1" x14ac:dyDescent="0.25">
      <c r="B408" s="85" t="s">
        <v>25</v>
      </c>
      <c r="C408" s="108">
        <f>3685.83+2309.601+4715+1974.258+304.877+3421.228-1183.8</f>
        <v>15226.994000000002</v>
      </c>
      <c r="D408" s="109">
        <f>251.632+1183.8</f>
        <v>1435.432</v>
      </c>
      <c r="E408" s="110">
        <f>307.3432+73.26+1483.90548+68.2</f>
        <v>1932.70868</v>
      </c>
      <c r="F408" s="110">
        <f t="shared" si="16"/>
        <v>18595.134680000003</v>
      </c>
      <c r="G408" s="108"/>
      <c r="H408" s="111"/>
      <c r="I408" s="112"/>
      <c r="J408" s="27"/>
    </row>
    <row r="409" spans="2:11" s="28" customFormat="1" x14ac:dyDescent="0.25">
      <c r="B409" s="85" t="s">
        <v>16</v>
      </c>
      <c r="C409" s="108">
        <f>3833.99+1967.343+4603+2068.612+573.417+3818.041-1116.655</f>
        <v>15747.747999999998</v>
      </c>
      <c r="D409" s="109">
        <f>348.828+1116.655</f>
        <v>1465.4829999999999</v>
      </c>
      <c r="E409" s="110">
        <f>276.5338+67.575+1690.31368+204.2</f>
        <v>2238.62248</v>
      </c>
      <c r="F409" s="110">
        <f t="shared" si="16"/>
        <v>19451.853479999998</v>
      </c>
      <c r="G409" s="108"/>
      <c r="H409" s="111"/>
      <c r="I409" s="112"/>
      <c r="J409" s="27"/>
    </row>
    <row r="410" spans="2:11" x14ac:dyDescent="0.25">
      <c r="B410" s="52"/>
      <c r="C410" s="34"/>
      <c r="D410" s="43"/>
      <c r="E410" s="58"/>
      <c r="F410" s="79"/>
      <c r="H410" s="19"/>
      <c r="I410" s="11"/>
      <c r="J410" s="8"/>
    </row>
    <row r="411" spans="2:11" x14ac:dyDescent="0.25">
      <c r="B411" s="80"/>
      <c r="C411" s="81"/>
      <c r="D411" s="81"/>
      <c r="E411" s="81"/>
      <c r="F411" s="56"/>
      <c r="H411" s="17"/>
      <c r="I411" s="14"/>
      <c r="J411" s="8"/>
    </row>
    <row r="412" spans="2:11" x14ac:dyDescent="0.25">
      <c r="B412" s="114" t="s">
        <v>71</v>
      </c>
      <c r="C412" s="72"/>
      <c r="D412" s="72"/>
      <c r="E412" s="72"/>
      <c r="F412" s="82"/>
      <c r="H412" s="17"/>
      <c r="I412" s="9"/>
      <c r="J412" s="12"/>
      <c r="K412" s="8"/>
    </row>
    <row r="413" spans="2:11" x14ac:dyDescent="0.25">
      <c r="B413" s="83"/>
      <c r="C413" s="38"/>
      <c r="D413" s="38"/>
      <c r="E413" s="38"/>
      <c r="F413" s="39"/>
      <c r="G413" s="8"/>
      <c r="H413" s="17"/>
    </row>
    <row r="414" spans="2:11" x14ac:dyDescent="0.25">
      <c r="C414" s="2"/>
      <c r="D414" s="10"/>
      <c r="E414" s="2"/>
      <c r="F414" s="5"/>
      <c r="G414" s="9"/>
    </row>
    <row r="415" spans="2:11" x14ac:dyDescent="0.25">
      <c r="D415" s="8"/>
      <c r="F415" s="8"/>
      <c r="G415" s="9"/>
    </row>
    <row r="416" spans="2:11" x14ac:dyDescent="0.25">
      <c r="E416" s="5"/>
    </row>
    <row r="417" spans="3:8" x14ac:dyDescent="0.25">
      <c r="D417" s="3"/>
      <c r="G417" s="9"/>
      <c r="H417" s="9"/>
    </row>
    <row r="418" spans="3:8" x14ac:dyDescent="0.25">
      <c r="C418" s="6"/>
    </row>
    <row r="419" spans="3:8" x14ac:dyDescent="0.25">
      <c r="E419" s="3"/>
      <c r="F419" s="3"/>
      <c r="H419" s="9"/>
    </row>
    <row r="420" spans="3:8" x14ac:dyDescent="0.25">
      <c r="E420" s="8"/>
      <c r="F420" s="8"/>
    </row>
    <row r="428" spans="3:8" x14ac:dyDescent="0.25">
      <c r="E428" s="6"/>
    </row>
    <row r="430" spans="3:8" x14ac:dyDescent="0.25">
      <c r="E430" s="8"/>
    </row>
  </sheetData>
  <mergeCells count="2">
    <mergeCell ref="B4:F4"/>
    <mergeCell ref="B5:F5"/>
  </mergeCells>
  <phoneticPr fontId="0" type="noConversion"/>
  <printOptions horizontalCentered="1" verticalCentered="1" gridLinesSet="0"/>
  <pageMargins left="0.51181102362204722" right="0.70866141732283472" top="0.51181102362204722" bottom="0.55118110236220474" header="0.51181102362204722" footer="0.51181102362204722"/>
  <pageSetup paperSize="9"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0"/>
  <sheetViews>
    <sheetView topLeftCell="B166" workbookViewId="0">
      <selection activeCell="C27" sqref="C27"/>
    </sheetView>
  </sheetViews>
  <sheetFormatPr baseColWidth="10" defaultColWidth="12.6640625" defaultRowHeight="15.75" x14ac:dyDescent="0.25"/>
  <cols>
    <col min="1" max="1" width="10.77734375" hidden="1" customWidth="1"/>
    <col min="2" max="2" width="13.5546875" customWidth="1"/>
    <col min="3" max="3" width="17.5546875" customWidth="1"/>
    <col min="4" max="4" width="18.21875" customWidth="1"/>
    <col min="5" max="5" width="19.21875" customWidth="1"/>
    <col min="6" max="6" width="18.109375" customWidth="1"/>
    <col min="7" max="7" width="16.88671875" customWidth="1"/>
    <col min="8" max="8" width="17.88671875" customWidth="1"/>
  </cols>
  <sheetData>
    <row r="1" spans="2:8" x14ac:dyDescent="0.25">
      <c r="B1" s="29"/>
      <c r="C1" s="30"/>
      <c r="D1" s="30"/>
      <c r="E1" s="30"/>
      <c r="F1" s="31"/>
    </row>
    <row r="2" spans="2:8" x14ac:dyDescent="0.25">
      <c r="B2" s="32"/>
      <c r="C2" s="33" t="s">
        <v>0</v>
      </c>
      <c r="D2" s="107"/>
      <c r="E2" s="107"/>
      <c r="F2" s="35" t="s">
        <v>64</v>
      </c>
    </row>
    <row r="3" spans="2:8" x14ac:dyDescent="0.25">
      <c r="B3" s="32"/>
      <c r="C3" s="107"/>
      <c r="D3" s="107"/>
      <c r="E3" s="107"/>
      <c r="F3" s="36"/>
    </row>
    <row r="4" spans="2:8" x14ac:dyDescent="0.25">
      <c r="B4" s="176" t="s">
        <v>56</v>
      </c>
      <c r="C4" s="177"/>
      <c r="D4" s="177"/>
      <c r="E4" s="177"/>
      <c r="F4" s="178"/>
      <c r="G4" t="s">
        <v>43</v>
      </c>
    </row>
    <row r="5" spans="2:8" x14ac:dyDescent="0.25">
      <c r="B5" s="179" t="s">
        <v>59</v>
      </c>
      <c r="C5" s="180"/>
      <c r="D5" s="180"/>
      <c r="E5" s="180"/>
      <c r="F5" s="181"/>
      <c r="H5" s="9"/>
    </row>
    <row r="6" spans="2:8" x14ac:dyDescent="0.25">
      <c r="B6" s="37"/>
      <c r="C6" s="38"/>
      <c r="D6" s="38"/>
      <c r="E6" s="38"/>
      <c r="F6" s="39"/>
      <c r="H6" s="8"/>
    </row>
    <row r="7" spans="2:8" x14ac:dyDescent="0.25">
      <c r="B7" s="115"/>
      <c r="C7" s="40"/>
      <c r="D7" s="41"/>
      <c r="E7" s="41"/>
      <c r="F7" s="42"/>
    </row>
    <row r="8" spans="2:8" x14ac:dyDescent="0.25">
      <c r="B8" s="116" t="s">
        <v>70</v>
      </c>
      <c r="C8" s="44" t="s">
        <v>1</v>
      </c>
      <c r="D8" s="45" t="s">
        <v>2</v>
      </c>
      <c r="E8" s="45" t="s">
        <v>67</v>
      </c>
      <c r="F8" s="46" t="s">
        <v>3</v>
      </c>
    </row>
    <row r="9" spans="2:8" x14ac:dyDescent="0.25">
      <c r="B9" s="117" t="s">
        <v>66</v>
      </c>
      <c r="C9" s="38"/>
      <c r="D9" s="47"/>
      <c r="E9" s="47"/>
      <c r="F9" s="47"/>
      <c r="G9" s="4"/>
      <c r="H9" s="2"/>
    </row>
    <row r="10" spans="2:8" x14ac:dyDescent="0.25">
      <c r="B10" s="41"/>
      <c r="C10" s="48"/>
      <c r="D10" s="49"/>
      <c r="E10" s="49"/>
      <c r="F10" s="49"/>
    </row>
    <row r="11" spans="2:8" x14ac:dyDescent="0.25">
      <c r="B11" s="43"/>
      <c r="C11" s="50"/>
      <c r="D11" s="51"/>
      <c r="E11" s="51"/>
      <c r="F11" s="51"/>
    </row>
    <row r="12" spans="2:8" x14ac:dyDescent="0.25">
      <c r="B12" s="52" t="s">
        <v>4</v>
      </c>
      <c r="C12" s="50">
        <v>117827</v>
      </c>
      <c r="D12" s="51">
        <v>3806</v>
      </c>
      <c r="E12" s="51">
        <v>6886</v>
      </c>
      <c r="F12" s="51">
        <v>128519</v>
      </c>
    </row>
    <row r="13" spans="2:8" x14ac:dyDescent="0.25">
      <c r="B13" s="52" t="s">
        <v>5</v>
      </c>
      <c r="C13" s="50">
        <v>90365</v>
      </c>
      <c r="D13" s="51">
        <v>4457</v>
      </c>
      <c r="E13" s="51">
        <v>5963</v>
      </c>
      <c r="F13" s="51">
        <f t="shared" ref="F13:F18" si="0">SUM(C13:E13)</f>
        <v>100785</v>
      </c>
    </row>
    <row r="14" spans="2:8" x14ac:dyDescent="0.25">
      <c r="B14" s="53">
        <v>1997</v>
      </c>
      <c r="C14" s="50">
        <v>118824</v>
      </c>
      <c r="D14" s="51">
        <v>3888</v>
      </c>
      <c r="E14" s="51">
        <v>5917</v>
      </c>
      <c r="F14" s="51">
        <f t="shared" si="0"/>
        <v>128629</v>
      </c>
    </row>
    <row r="15" spans="2:8" x14ac:dyDescent="0.25">
      <c r="B15" s="52" t="s">
        <v>6</v>
      </c>
      <c r="C15" s="50">
        <v>123720</v>
      </c>
      <c r="D15" s="51">
        <v>8775</v>
      </c>
      <c r="E15" s="51">
        <v>8068</v>
      </c>
      <c r="F15" s="51">
        <f t="shared" si="0"/>
        <v>140563</v>
      </c>
      <c r="G15" s="7"/>
      <c r="H15" s="2"/>
    </row>
    <row r="16" spans="2:8" x14ac:dyDescent="0.25">
      <c r="B16" s="52" t="s">
        <v>7</v>
      </c>
      <c r="C16" s="50">
        <v>130554</v>
      </c>
      <c r="D16" s="51">
        <v>8566</v>
      </c>
      <c r="E16" s="51">
        <v>7867</v>
      </c>
      <c r="F16" s="51">
        <f t="shared" si="0"/>
        <v>146987</v>
      </c>
    </row>
    <row r="17" spans="2:8" x14ac:dyDescent="0.25">
      <c r="B17" s="52" t="s">
        <v>13</v>
      </c>
      <c r="C17" s="50">
        <v>129194.38399999999</v>
      </c>
      <c r="D17" s="51">
        <v>6183.32</v>
      </c>
      <c r="E17" s="51">
        <v>8491.7055</v>
      </c>
      <c r="F17" s="51">
        <f t="shared" si="0"/>
        <v>143869.40950000001</v>
      </c>
      <c r="G17" s="110">
        <v>124597</v>
      </c>
      <c r="H17" s="110">
        <v>3973</v>
      </c>
    </row>
    <row r="18" spans="2:8" x14ac:dyDescent="0.25">
      <c r="B18" s="53">
        <v>2001</v>
      </c>
      <c r="C18" s="54">
        <v>126697</v>
      </c>
      <c r="D18" s="51">
        <v>3786</v>
      </c>
      <c r="E18" s="51">
        <v>9596</v>
      </c>
      <c r="F18" s="51">
        <f t="shared" si="0"/>
        <v>140079</v>
      </c>
      <c r="G18">
        <f>C18-G17</f>
        <v>2100</v>
      </c>
      <c r="H18" s="13"/>
    </row>
    <row r="19" spans="2:8" x14ac:dyDescent="0.25">
      <c r="B19" s="55" t="s">
        <v>28</v>
      </c>
      <c r="C19" s="54">
        <v>142003</v>
      </c>
      <c r="D19" s="51">
        <v>3356</v>
      </c>
      <c r="E19" s="51">
        <v>9035</v>
      </c>
      <c r="F19" s="51">
        <v>154393</v>
      </c>
      <c r="H19" s="13"/>
    </row>
    <row r="20" spans="2:8" x14ac:dyDescent="0.25">
      <c r="B20" s="43"/>
      <c r="C20" s="50"/>
      <c r="D20" s="51"/>
      <c r="E20" s="51"/>
      <c r="F20" s="51"/>
    </row>
    <row r="21" spans="2:8" x14ac:dyDescent="0.25">
      <c r="B21" s="52" t="s">
        <v>6</v>
      </c>
      <c r="C21" s="50"/>
      <c r="D21" s="51"/>
      <c r="E21" s="51"/>
      <c r="F21" s="51"/>
    </row>
    <row r="22" spans="2:8" x14ac:dyDescent="0.25">
      <c r="B22" s="52" t="s">
        <v>8</v>
      </c>
      <c r="C22" s="50">
        <v>28370</v>
      </c>
      <c r="D22" s="51">
        <v>1768</v>
      </c>
      <c r="E22" s="51">
        <v>2266</v>
      </c>
      <c r="F22" s="51">
        <v>32404</v>
      </c>
    </row>
    <row r="23" spans="2:8" x14ac:dyDescent="0.25">
      <c r="B23" s="52" t="s">
        <v>9</v>
      </c>
      <c r="C23" s="50">
        <v>28254</v>
      </c>
      <c r="D23" s="51">
        <v>2247</v>
      </c>
      <c r="E23" s="51">
        <v>2194</v>
      </c>
      <c r="F23" s="51">
        <v>32695</v>
      </c>
    </row>
    <row r="24" spans="2:8" x14ac:dyDescent="0.25">
      <c r="B24" s="52" t="s">
        <v>10</v>
      </c>
      <c r="C24" s="50">
        <v>32595</v>
      </c>
      <c r="D24" s="51">
        <v>2508</v>
      </c>
      <c r="E24" s="51">
        <v>1671</v>
      </c>
      <c r="F24" s="51">
        <v>36774</v>
      </c>
    </row>
    <row r="25" spans="2:8" x14ac:dyDescent="0.25">
      <c r="B25" s="52" t="s">
        <v>11</v>
      </c>
      <c r="C25" s="50">
        <v>34501</v>
      </c>
      <c r="D25" s="51">
        <v>2252</v>
      </c>
      <c r="E25" s="51">
        <v>1937</v>
      </c>
      <c r="F25" s="51">
        <v>38690</v>
      </c>
    </row>
    <row r="26" spans="2:8" x14ac:dyDescent="0.25">
      <c r="B26" s="43"/>
      <c r="C26" s="50"/>
      <c r="D26" s="51"/>
      <c r="E26" s="51"/>
      <c r="F26" s="51"/>
    </row>
    <row r="27" spans="2:8" x14ac:dyDescent="0.25">
      <c r="B27" s="52" t="s">
        <v>7</v>
      </c>
      <c r="C27" s="50"/>
      <c r="D27" s="51"/>
      <c r="E27" s="51"/>
      <c r="F27" s="51"/>
    </row>
    <row r="28" spans="2:8" x14ac:dyDescent="0.25">
      <c r="B28" s="52" t="s">
        <v>8</v>
      </c>
      <c r="C28" s="50">
        <v>32159</v>
      </c>
      <c r="D28" s="51">
        <v>2189</v>
      </c>
      <c r="E28" s="51">
        <v>2230</v>
      </c>
      <c r="F28" s="51">
        <f>SUM(C28:E28)</f>
        <v>36578</v>
      </c>
    </row>
    <row r="29" spans="2:8" x14ac:dyDescent="0.25">
      <c r="B29" s="52" t="s">
        <v>9</v>
      </c>
      <c r="C29" s="50">
        <v>33427</v>
      </c>
      <c r="D29" s="51">
        <v>2498</v>
      </c>
      <c r="E29" s="51">
        <v>1946</v>
      </c>
      <c r="F29" s="51">
        <f>SUM(C29:E29)</f>
        <v>37871</v>
      </c>
    </row>
    <row r="30" spans="2:8" x14ac:dyDescent="0.25">
      <c r="B30" s="52" t="s">
        <v>10</v>
      </c>
      <c r="C30" s="50">
        <v>33824</v>
      </c>
      <c r="D30" s="51">
        <v>1844</v>
      </c>
      <c r="E30" s="51">
        <v>1800</v>
      </c>
      <c r="F30" s="51">
        <f>SUM(C30:E30)</f>
        <v>37468</v>
      </c>
    </row>
    <row r="31" spans="2:8" x14ac:dyDescent="0.25">
      <c r="B31" s="52" t="s">
        <v>12</v>
      </c>
      <c r="C31" s="50">
        <v>31144</v>
      </c>
      <c r="D31" s="51">
        <v>2035</v>
      </c>
      <c r="E31" s="51">
        <v>1891</v>
      </c>
      <c r="F31" s="51">
        <f>SUM(C31:E31)</f>
        <v>35070</v>
      </c>
    </row>
    <row r="32" spans="2:8" x14ac:dyDescent="0.25">
      <c r="B32" s="55" t="s">
        <v>29</v>
      </c>
      <c r="C32" s="50">
        <v>143178.03</v>
      </c>
      <c r="D32" s="51">
        <v>3592.3</v>
      </c>
      <c r="E32" s="51">
        <v>7758.0770000000002</v>
      </c>
      <c r="F32" s="51">
        <f>SUM(C32:E32)</f>
        <v>154528.40699999998</v>
      </c>
      <c r="H32" s="13"/>
    </row>
    <row r="33" spans="2:8" x14ac:dyDescent="0.25">
      <c r="B33" s="55" t="s">
        <v>31</v>
      </c>
      <c r="C33" s="50"/>
      <c r="D33" s="51"/>
      <c r="E33" s="51"/>
      <c r="F33" s="51"/>
    </row>
    <row r="34" spans="2:8" x14ac:dyDescent="0.25">
      <c r="B34" s="55" t="s">
        <v>32</v>
      </c>
      <c r="C34" s="50"/>
      <c r="D34" s="51"/>
      <c r="E34" s="51"/>
      <c r="F34" s="51"/>
    </row>
    <row r="35" spans="2:8" x14ac:dyDescent="0.25">
      <c r="B35" s="55" t="s">
        <v>33</v>
      </c>
      <c r="C35" s="50">
        <v>29721</v>
      </c>
      <c r="D35" s="51">
        <v>2396</v>
      </c>
      <c r="E35" s="51">
        <v>2650</v>
      </c>
      <c r="F35" s="51">
        <f>SUM(C35:E35)</f>
        <v>34767</v>
      </c>
    </row>
    <row r="36" spans="2:8" x14ac:dyDescent="0.25">
      <c r="B36" s="55" t="s">
        <v>34</v>
      </c>
      <c r="C36" s="50">
        <v>32206</v>
      </c>
      <c r="D36" s="51">
        <v>1872</v>
      </c>
      <c r="E36" s="51">
        <v>2515</v>
      </c>
      <c r="F36" s="51">
        <f>SUM(C36:E36)</f>
        <v>36593</v>
      </c>
    </row>
    <row r="37" spans="2:8" x14ac:dyDescent="0.25">
      <c r="B37" s="55" t="s">
        <v>35</v>
      </c>
      <c r="C37" s="50">
        <v>33805.252999999997</v>
      </c>
      <c r="D37" s="51">
        <v>897.03</v>
      </c>
      <c r="E37" s="51">
        <v>1482.9875</v>
      </c>
      <c r="F37" s="51">
        <f>SUM(C37:E37)</f>
        <v>36185.270499999999</v>
      </c>
    </row>
    <row r="38" spans="2:8" x14ac:dyDescent="0.25">
      <c r="B38" s="55" t="s">
        <v>36</v>
      </c>
      <c r="C38" s="50">
        <v>33462.130999999994</v>
      </c>
      <c r="D38" s="51">
        <v>1018.29</v>
      </c>
      <c r="E38" s="51">
        <v>1843.7179999999998</v>
      </c>
      <c r="F38" s="51">
        <f>SUM(C38:E38)</f>
        <v>36324.138999999996</v>
      </c>
    </row>
    <row r="39" spans="2:8" x14ac:dyDescent="0.25">
      <c r="B39" s="55" t="s">
        <v>37</v>
      </c>
      <c r="C39" s="50"/>
      <c r="D39" s="51"/>
      <c r="E39" s="51"/>
      <c r="F39" s="51"/>
    </row>
    <row r="40" spans="2:8" x14ac:dyDescent="0.25">
      <c r="B40" s="55" t="s">
        <v>38</v>
      </c>
      <c r="C40" s="50"/>
      <c r="D40" s="51"/>
      <c r="E40" s="51"/>
      <c r="F40" s="51"/>
    </row>
    <row r="41" spans="2:8" x14ac:dyDescent="0.25">
      <c r="B41" s="55" t="s">
        <v>39</v>
      </c>
      <c r="C41" s="50">
        <v>26469</v>
      </c>
      <c r="D41" s="51">
        <v>821</v>
      </c>
      <c r="E41" s="51">
        <v>2533</v>
      </c>
      <c r="F41" s="51">
        <f>SUM(C41:E41)</f>
        <v>29823</v>
      </c>
    </row>
    <row r="42" spans="2:8" x14ac:dyDescent="0.25">
      <c r="B42" s="55" t="s">
        <v>40</v>
      </c>
      <c r="C42" s="56">
        <v>30891</v>
      </c>
      <c r="D42" s="56">
        <v>1151</v>
      </c>
      <c r="E42" s="56">
        <v>2825.9629999999997</v>
      </c>
      <c r="F42" s="51">
        <f>SUM(C42:E42)</f>
        <v>34867.963000000003</v>
      </c>
    </row>
    <row r="43" spans="2:8" x14ac:dyDescent="0.25">
      <c r="B43" s="55" t="s">
        <v>41</v>
      </c>
      <c r="C43" s="50">
        <v>33029</v>
      </c>
      <c r="D43" s="51">
        <v>1196</v>
      </c>
      <c r="E43" s="51">
        <v>1949.7570000000001</v>
      </c>
      <c r="F43" s="51">
        <f>SUM(C43:E43)</f>
        <v>36174.756999999998</v>
      </c>
    </row>
    <row r="44" spans="2:8" x14ac:dyDescent="0.25">
      <c r="B44" s="55" t="s">
        <v>42</v>
      </c>
      <c r="C44" s="56">
        <v>36307.5</v>
      </c>
      <c r="D44" s="56">
        <v>617.71500000000003</v>
      </c>
      <c r="E44" s="56">
        <v>2287.4210000000003</v>
      </c>
      <c r="F44" s="51">
        <f>SUM(C44:E44)</f>
        <v>39212.635999999999</v>
      </c>
    </row>
    <row r="45" spans="2:8" x14ac:dyDescent="0.25">
      <c r="B45" s="55" t="s">
        <v>31</v>
      </c>
      <c r="C45" s="56">
        <v>147645</v>
      </c>
      <c r="D45" s="56">
        <v>10162.93</v>
      </c>
      <c r="E45" s="56">
        <v>6856</v>
      </c>
      <c r="F45" s="51">
        <v>164664</v>
      </c>
      <c r="H45" s="13"/>
    </row>
    <row r="46" spans="2:8" x14ac:dyDescent="0.25">
      <c r="B46" s="52"/>
      <c r="C46" s="56"/>
      <c r="D46" s="56"/>
      <c r="E46" s="56"/>
      <c r="F46" s="51">
        <f t="shared" ref="F46:F103" si="1">SUM(C46:E46)</f>
        <v>0</v>
      </c>
    </row>
    <row r="47" spans="2:8" x14ac:dyDescent="0.25">
      <c r="B47" s="55" t="s">
        <v>28</v>
      </c>
      <c r="C47" s="56"/>
      <c r="D47" s="56"/>
      <c r="E47" s="56"/>
      <c r="F47" s="51">
        <f t="shared" si="1"/>
        <v>0</v>
      </c>
    </row>
    <row r="48" spans="2:8" x14ac:dyDescent="0.25">
      <c r="B48" s="52" t="s">
        <v>8</v>
      </c>
      <c r="C48" s="57">
        <v>35235.56</v>
      </c>
      <c r="D48" s="51">
        <v>722</v>
      </c>
      <c r="E48" s="51">
        <v>2644.3969999999999</v>
      </c>
      <c r="F48" s="51">
        <f t="shared" si="1"/>
        <v>38601.956999999995</v>
      </c>
    </row>
    <row r="49" spans="2:6" x14ac:dyDescent="0.25">
      <c r="B49" s="52" t="s">
        <v>13</v>
      </c>
      <c r="C49" s="50"/>
      <c r="D49" s="51"/>
      <c r="E49" s="51"/>
      <c r="F49" s="51">
        <f t="shared" si="1"/>
        <v>0</v>
      </c>
    </row>
    <row r="50" spans="2:6" x14ac:dyDescent="0.25">
      <c r="B50" s="52" t="s">
        <v>22</v>
      </c>
      <c r="C50" s="50">
        <v>9816</v>
      </c>
      <c r="D50" s="51">
        <v>844</v>
      </c>
      <c r="E50" s="51">
        <v>827</v>
      </c>
      <c r="F50" s="51">
        <f t="shared" si="1"/>
        <v>11487</v>
      </c>
    </row>
    <row r="51" spans="2:6" x14ac:dyDescent="0.25">
      <c r="B51" s="52" t="s">
        <v>23</v>
      </c>
      <c r="C51" s="50">
        <v>9589</v>
      </c>
      <c r="D51" s="51">
        <v>789</v>
      </c>
      <c r="E51" s="51">
        <v>914</v>
      </c>
      <c r="F51" s="51">
        <f t="shared" si="1"/>
        <v>11292</v>
      </c>
    </row>
    <row r="52" spans="2:6" x14ac:dyDescent="0.25">
      <c r="B52" s="52" t="s">
        <v>24</v>
      </c>
      <c r="C52" s="50">
        <v>10316</v>
      </c>
      <c r="D52" s="51">
        <v>763</v>
      </c>
      <c r="E52" s="51">
        <v>909</v>
      </c>
      <c r="F52" s="51">
        <f t="shared" si="1"/>
        <v>11988</v>
      </c>
    </row>
    <row r="53" spans="2:6" x14ac:dyDescent="0.25">
      <c r="B53" s="52" t="s">
        <v>14</v>
      </c>
      <c r="C53" s="50">
        <v>10113</v>
      </c>
      <c r="D53" s="51">
        <v>608</v>
      </c>
      <c r="E53" s="51">
        <v>874</v>
      </c>
      <c r="F53" s="51">
        <f t="shared" si="1"/>
        <v>11595</v>
      </c>
    </row>
    <row r="54" spans="2:6" x14ac:dyDescent="0.25">
      <c r="B54" s="52" t="s">
        <v>15</v>
      </c>
      <c r="C54" s="50">
        <v>11157</v>
      </c>
      <c r="D54" s="51">
        <v>681</v>
      </c>
      <c r="E54" s="51">
        <v>879</v>
      </c>
      <c r="F54" s="51">
        <f t="shared" si="1"/>
        <v>12717</v>
      </c>
    </row>
    <row r="55" spans="2:6" x14ac:dyDescent="0.25">
      <c r="B55" s="52" t="s">
        <v>25</v>
      </c>
      <c r="C55" s="50">
        <v>10936</v>
      </c>
      <c r="D55" s="51">
        <v>583</v>
      </c>
      <c r="E55" s="51">
        <v>762</v>
      </c>
      <c r="F55" s="51">
        <f t="shared" si="1"/>
        <v>12281</v>
      </c>
    </row>
    <row r="56" spans="2:6" x14ac:dyDescent="0.25">
      <c r="B56" s="52" t="s">
        <v>16</v>
      </c>
      <c r="C56" s="50">
        <v>10657</v>
      </c>
      <c r="D56" s="51">
        <v>384</v>
      </c>
      <c r="E56" s="51">
        <v>490</v>
      </c>
      <c r="F56" s="51">
        <f t="shared" si="1"/>
        <v>11531</v>
      </c>
    </row>
    <row r="57" spans="2:6" x14ac:dyDescent="0.25">
      <c r="B57" s="52" t="s">
        <v>17</v>
      </c>
      <c r="C57" s="50">
        <v>11647.305</v>
      </c>
      <c r="D57" s="51">
        <v>321.98500000000001</v>
      </c>
      <c r="E57" s="51">
        <v>467.98750000000001</v>
      </c>
      <c r="F57" s="51">
        <f t="shared" si="1"/>
        <v>12437.2775</v>
      </c>
    </row>
    <row r="58" spans="2:6" x14ac:dyDescent="0.25">
      <c r="B58" s="52" t="s">
        <v>18</v>
      </c>
      <c r="C58" s="50">
        <v>11500.948</v>
      </c>
      <c r="D58" s="51">
        <v>191.04499999999999</v>
      </c>
      <c r="E58" s="51">
        <v>525</v>
      </c>
      <c r="F58" s="51">
        <f t="shared" si="1"/>
        <v>12216.993</v>
      </c>
    </row>
    <row r="59" spans="2:6" x14ac:dyDescent="0.25">
      <c r="B59" s="52" t="s">
        <v>19</v>
      </c>
      <c r="C59" s="57">
        <v>11197.067999999999</v>
      </c>
      <c r="D59" s="58">
        <v>239.09</v>
      </c>
      <c r="E59" s="58">
        <v>458.048</v>
      </c>
      <c r="F59" s="51">
        <f t="shared" si="1"/>
        <v>11894.206</v>
      </c>
    </row>
    <row r="60" spans="2:6" x14ac:dyDescent="0.25">
      <c r="B60" s="52" t="s">
        <v>20</v>
      </c>
      <c r="C60" s="57">
        <v>10734.816000000001</v>
      </c>
      <c r="D60" s="58">
        <v>352.84500000000003</v>
      </c>
      <c r="E60" s="58">
        <v>613.404</v>
      </c>
      <c r="F60" s="51">
        <f t="shared" si="1"/>
        <v>11701.065000000001</v>
      </c>
    </row>
    <row r="61" spans="2:6" x14ac:dyDescent="0.25">
      <c r="B61" s="52" t="s">
        <v>21</v>
      </c>
      <c r="C61" s="57">
        <v>11530.246999999999</v>
      </c>
      <c r="D61" s="58">
        <v>426</v>
      </c>
      <c r="E61" s="58">
        <v>773</v>
      </c>
      <c r="F61" s="51">
        <f t="shared" si="1"/>
        <v>12729.246999999999</v>
      </c>
    </row>
    <row r="62" spans="2:6" x14ac:dyDescent="0.25">
      <c r="B62" s="52" t="s">
        <v>26</v>
      </c>
      <c r="C62" s="57">
        <v>34833</v>
      </c>
      <c r="D62" s="58">
        <v>876.57500000000005</v>
      </c>
      <c r="E62" s="58">
        <v>2265</v>
      </c>
      <c r="F62" s="51">
        <f t="shared" si="1"/>
        <v>37974.574999999997</v>
      </c>
    </row>
    <row r="63" spans="2:6" x14ac:dyDescent="0.25">
      <c r="B63" s="52" t="s">
        <v>10</v>
      </c>
      <c r="C63" s="57">
        <v>36151.65</v>
      </c>
      <c r="D63" s="58">
        <v>761.29</v>
      </c>
      <c r="E63" s="58">
        <v>1980</v>
      </c>
      <c r="F63" s="51">
        <f t="shared" si="1"/>
        <v>38892.94</v>
      </c>
    </row>
    <row r="64" spans="2:6" x14ac:dyDescent="0.25">
      <c r="B64" s="52" t="s">
        <v>12</v>
      </c>
      <c r="C64" s="57">
        <v>35781.9</v>
      </c>
      <c r="D64" s="58">
        <v>995.61</v>
      </c>
      <c r="E64" s="58">
        <v>2146.09</v>
      </c>
      <c r="F64" s="51">
        <f t="shared" si="1"/>
        <v>38923.600000000006</v>
      </c>
    </row>
    <row r="65" spans="2:8" x14ac:dyDescent="0.25">
      <c r="B65" s="52"/>
      <c r="C65" s="50"/>
      <c r="D65" s="58"/>
      <c r="E65" s="58"/>
      <c r="F65" s="51">
        <f t="shared" si="1"/>
        <v>0</v>
      </c>
    </row>
    <row r="66" spans="2:8" x14ac:dyDescent="0.25">
      <c r="B66" s="55" t="s">
        <v>27</v>
      </c>
      <c r="C66" s="57"/>
      <c r="D66" s="58"/>
      <c r="E66" s="58"/>
      <c r="F66" s="51">
        <f t="shared" si="1"/>
        <v>0</v>
      </c>
    </row>
    <row r="67" spans="2:8" x14ac:dyDescent="0.25">
      <c r="B67" s="52" t="s">
        <v>22</v>
      </c>
      <c r="C67" s="57">
        <v>9497.1859999999997</v>
      </c>
      <c r="D67" s="58">
        <v>160.315</v>
      </c>
      <c r="E67" s="58">
        <v>932.51099999999997</v>
      </c>
      <c r="F67" s="51">
        <f t="shared" si="1"/>
        <v>10590.012000000001</v>
      </c>
    </row>
    <row r="68" spans="2:8" x14ac:dyDescent="0.25">
      <c r="B68" s="52" t="s">
        <v>23</v>
      </c>
      <c r="C68" s="57">
        <v>8202.3379999999997</v>
      </c>
      <c r="D68" s="58">
        <v>184.24799999999999</v>
      </c>
      <c r="E68" s="58">
        <v>968.67399999999998</v>
      </c>
      <c r="F68" s="51">
        <f t="shared" si="1"/>
        <v>9355.2599999999984</v>
      </c>
    </row>
    <row r="69" spans="2:8" x14ac:dyDescent="0.25">
      <c r="B69" s="52" t="s">
        <v>24</v>
      </c>
      <c r="C69" s="57">
        <v>8768.9809999999998</v>
      </c>
      <c r="D69" s="58">
        <v>476.10500000000002</v>
      </c>
      <c r="E69" s="58">
        <v>632</v>
      </c>
      <c r="F69" s="51">
        <f t="shared" si="1"/>
        <v>9877.0859999999993</v>
      </c>
    </row>
    <row r="70" spans="2:8" x14ac:dyDescent="0.25">
      <c r="B70" s="52" t="s">
        <v>14</v>
      </c>
      <c r="C70" s="57">
        <v>8812.6689999999999</v>
      </c>
      <c r="D70" s="58">
        <v>401</v>
      </c>
      <c r="E70" s="58">
        <v>989</v>
      </c>
      <c r="F70" s="51">
        <f t="shared" si="1"/>
        <v>10202.669</v>
      </c>
    </row>
    <row r="71" spans="2:8" x14ac:dyDescent="0.25">
      <c r="B71" s="52" t="s">
        <v>15</v>
      </c>
      <c r="C71" s="57">
        <f>5618+2851+3534-3190</f>
        <v>8813</v>
      </c>
      <c r="D71" s="58">
        <v>400</v>
      </c>
      <c r="E71" s="58">
        <f>125+79+632+144+9</f>
        <v>989</v>
      </c>
      <c r="F71" s="51">
        <f t="shared" si="1"/>
        <v>10202</v>
      </c>
      <c r="H71" s="5"/>
    </row>
    <row r="72" spans="2:8" x14ac:dyDescent="0.25">
      <c r="B72" s="52" t="s">
        <v>15</v>
      </c>
      <c r="C72" s="57">
        <v>11166</v>
      </c>
      <c r="D72" s="58">
        <v>538</v>
      </c>
      <c r="E72" s="58">
        <f>123.96+72.31+608.029+123.884+8.78</f>
        <v>936.96299999999997</v>
      </c>
      <c r="F72" s="51">
        <f t="shared" si="1"/>
        <v>12640.963</v>
      </c>
      <c r="H72" s="6"/>
    </row>
    <row r="73" spans="2:8" x14ac:dyDescent="0.25">
      <c r="B73" s="52" t="s">
        <v>25</v>
      </c>
      <c r="C73" s="57">
        <v>10912</v>
      </c>
      <c r="D73" s="58">
        <v>213</v>
      </c>
      <c r="E73" s="58">
        <v>900</v>
      </c>
      <c r="F73" s="51">
        <f t="shared" si="1"/>
        <v>12025</v>
      </c>
      <c r="H73" s="9"/>
    </row>
    <row r="74" spans="2:8" x14ac:dyDescent="0.25">
      <c r="B74" s="52" t="s">
        <v>16</v>
      </c>
      <c r="C74" s="57">
        <v>11518</v>
      </c>
      <c r="D74" s="58">
        <v>225</v>
      </c>
      <c r="E74" s="58">
        <v>658</v>
      </c>
      <c r="F74" s="51">
        <f t="shared" si="1"/>
        <v>12401</v>
      </c>
      <c r="H74" s="9"/>
    </row>
    <row r="75" spans="2:8" x14ac:dyDescent="0.25">
      <c r="B75" s="52" t="s">
        <v>17</v>
      </c>
      <c r="C75" s="57">
        <v>10108</v>
      </c>
      <c r="D75" s="58">
        <v>844</v>
      </c>
      <c r="E75" s="58">
        <v>637.33100000000002</v>
      </c>
      <c r="F75" s="51">
        <f t="shared" si="1"/>
        <v>11589.331</v>
      </c>
      <c r="H75" s="9"/>
    </row>
    <row r="76" spans="2:8" x14ac:dyDescent="0.25">
      <c r="B76" s="52" t="s">
        <v>18</v>
      </c>
      <c r="C76" s="57">
        <v>11403</v>
      </c>
      <c r="D76" s="58">
        <v>127</v>
      </c>
      <c r="E76" s="58">
        <f>192.058+462.368</f>
        <v>654.42599999999993</v>
      </c>
      <c r="F76" s="51">
        <f t="shared" si="1"/>
        <v>12184.425999999999</v>
      </c>
      <c r="H76" s="9"/>
    </row>
    <row r="77" spans="2:8" x14ac:dyDescent="0.25">
      <c r="B77" s="52" t="s">
        <v>19</v>
      </c>
      <c r="C77" s="57">
        <v>11869.319</v>
      </c>
      <c r="D77" s="58">
        <v>260.89999999999998</v>
      </c>
      <c r="E77" s="58">
        <f>146.94+485+65</f>
        <v>696.94</v>
      </c>
      <c r="F77" s="51">
        <f t="shared" si="1"/>
        <v>12827.159</v>
      </c>
      <c r="H77" s="5"/>
    </row>
    <row r="78" spans="2:8" x14ac:dyDescent="0.25">
      <c r="B78" s="52" t="s">
        <v>20</v>
      </c>
      <c r="C78" s="57">
        <v>12268.598</v>
      </c>
      <c r="D78" s="58">
        <v>223.495</v>
      </c>
      <c r="E78" s="58">
        <v>737.51599999999996</v>
      </c>
      <c r="F78" s="51">
        <f t="shared" si="1"/>
        <v>13229.609</v>
      </c>
      <c r="H78" s="5"/>
    </row>
    <row r="79" spans="2:8" x14ac:dyDescent="0.25">
      <c r="B79" s="52" t="s">
        <v>21</v>
      </c>
      <c r="C79" s="57">
        <v>12169.583000000001</v>
      </c>
      <c r="D79" s="58">
        <v>133.32</v>
      </c>
      <c r="E79" s="58">
        <v>852.96500000000003</v>
      </c>
      <c r="F79" s="51">
        <f t="shared" si="1"/>
        <v>13155.868</v>
      </c>
      <c r="G79">
        <f>C72-C73</f>
        <v>254</v>
      </c>
      <c r="H79" s="5"/>
    </row>
    <row r="80" spans="2:8" x14ac:dyDescent="0.25">
      <c r="B80" s="52"/>
      <c r="C80" s="57"/>
      <c r="D80" s="58"/>
      <c r="E80" s="58"/>
      <c r="F80" s="51">
        <f t="shared" si="1"/>
        <v>0</v>
      </c>
      <c r="G80">
        <f>C67+C68+C69+C70+C72+C74+C75+C76+C77+C78+C79+C73</f>
        <v>126695.674</v>
      </c>
      <c r="H80">
        <f>D67+D68+D69+D70+D72+D74+D75+D76+D77+D78+D79+D73</f>
        <v>3786.3830000000003</v>
      </c>
    </row>
    <row r="81" spans="2:9" x14ac:dyDescent="0.25">
      <c r="B81" s="55" t="s">
        <v>32</v>
      </c>
      <c r="C81" s="57">
        <v>153313</v>
      </c>
      <c r="D81" s="58">
        <v>11451</v>
      </c>
      <c r="E81" s="58">
        <v>6099</v>
      </c>
      <c r="F81" s="51">
        <f t="shared" si="1"/>
        <v>170863</v>
      </c>
      <c r="H81" s="5"/>
    </row>
    <row r="82" spans="2:9" x14ac:dyDescent="0.25">
      <c r="B82" s="55" t="s">
        <v>33</v>
      </c>
      <c r="C82" s="57"/>
      <c r="D82" s="58"/>
      <c r="E82" s="58"/>
      <c r="F82" s="51">
        <f t="shared" si="1"/>
        <v>0</v>
      </c>
      <c r="H82" s="5"/>
    </row>
    <row r="83" spans="2:9" x14ac:dyDescent="0.25">
      <c r="B83" s="55" t="s">
        <v>34</v>
      </c>
      <c r="C83" s="57"/>
      <c r="D83" s="58"/>
      <c r="E83" s="58"/>
      <c r="F83" s="51">
        <f t="shared" si="1"/>
        <v>0</v>
      </c>
      <c r="H83" s="5"/>
    </row>
    <row r="84" spans="2:9" x14ac:dyDescent="0.25">
      <c r="B84" s="55" t="s">
        <v>35</v>
      </c>
      <c r="C84" s="57">
        <v>35165.667000000001</v>
      </c>
      <c r="D84" s="58">
        <v>871.76</v>
      </c>
      <c r="E84" s="58">
        <v>2221.2224000000001</v>
      </c>
      <c r="F84" s="51">
        <f t="shared" si="1"/>
        <v>38258.649400000002</v>
      </c>
      <c r="H84" s="5"/>
    </row>
    <row r="85" spans="2:9" x14ac:dyDescent="0.25">
      <c r="B85" s="55" t="s">
        <v>36</v>
      </c>
      <c r="C85" s="57">
        <v>35528</v>
      </c>
      <c r="D85" s="58">
        <v>822</v>
      </c>
      <c r="E85" s="58">
        <v>2174</v>
      </c>
      <c r="F85" s="51">
        <f t="shared" si="1"/>
        <v>38524</v>
      </c>
      <c r="H85" s="5"/>
    </row>
    <row r="86" spans="2:9" x14ac:dyDescent="0.25">
      <c r="B86" s="55" t="s">
        <v>37</v>
      </c>
      <c r="C86" s="57">
        <v>36329</v>
      </c>
      <c r="D86" s="58">
        <v>1105</v>
      </c>
      <c r="E86" s="58">
        <v>1691</v>
      </c>
      <c r="F86" s="51">
        <f t="shared" si="1"/>
        <v>39125</v>
      </c>
      <c r="H86" s="16"/>
    </row>
    <row r="87" spans="2:9" x14ac:dyDescent="0.25">
      <c r="B87" s="55" t="s">
        <v>38</v>
      </c>
      <c r="C87" s="57">
        <v>36155</v>
      </c>
      <c r="D87" s="58">
        <v>794</v>
      </c>
      <c r="E87" s="58">
        <v>1672</v>
      </c>
      <c r="F87" s="51">
        <f t="shared" si="1"/>
        <v>38621</v>
      </c>
      <c r="H87" s="5"/>
    </row>
    <row r="88" spans="2:9" x14ac:dyDescent="0.25">
      <c r="B88" s="55" t="s">
        <v>39</v>
      </c>
      <c r="C88" s="57">
        <f>SUM(C84:C87)</f>
        <v>143177.66700000002</v>
      </c>
      <c r="D88" s="58">
        <f>SUM(D84:D87)</f>
        <v>3592.76</v>
      </c>
      <c r="E88" s="58">
        <f>SUM(E84:E87)</f>
        <v>7758.2224000000006</v>
      </c>
      <c r="F88" s="51">
        <f t="shared" si="1"/>
        <v>154528.64940000002</v>
      </c>
      <c r="H88" s="5"/>
    </row>
    <row r="89" spans="2:9" x14ac:dyDescent="0.25">
      <c r="B89" s="55" t="s">
        <v>40</v>
      </c>
      <c r="C89" s="57"/>
      <c r="D89" s="58"/>
      <c r="E89" s="58"/>
      <c r="F89" s="51">
        <f t="shared" si="1"/>
        <v>0</v>
      </c>
      <c r="H89" s="5"/>
    </row>
    <row r="90" spans="2:9" x14ac:dyDescent="0.25">
      <c r="B90" s="55" t="s">
        <v>41</v>
      </c>
      <c r="C90" s="59">
        <v>12076</v>
      </c>
      <c r="D90" s="58">
        <v>78</v>
      </c>
      <c r="E90" s="58">
        <v>1014.3049999999999</v>
      </c>
      <c r="F90" s="51">
        <f t="shared" si="1"/>
        <v>13168.305</v>
      </c>
      <c r="H90" s="9"/>
    </row>
    <row r="91" spans="2:9" x14ac:dyDescent="0.25">
      <c r="B91" s="55" t="s">
        <v>42</v>
      </c>
      <c r="C91" s="57">
        <v>11548.358</v>
      </c>
      <c r="D91" s="58">
        <v>322.02499999999998</v>
      </c>
      <c r="E91" s="58">
        <v>908.81899999999996</v>
      </c>
      <c r="F91" s="51">
        <f t="shared" si="1"/>
        <v>12779.201999999999</v>
      </c>
      <c r="H91" s="5"/>
    </row>
    <row r="92" spans="2:9" x14ac:dyDescent="0.25">
      <c r="B92" s="55" t="s">
        <v>44</v>
      </c>
      <c r="C92" s="57">
        <v>11611.002</v>
      </c>
      <c r="D92" s="58">
        <v>322.02499999999998</v>
      </c>
      <c r="E92" s="58">
        <v>721.27300000000002</v>
      </c>
      <c r="F92" s="51">
        <f t="shared" si="1"/>
        <v>12654.3</v>
      </c>
      <c r="H92" s="5"/>
    </row>
    <row r="93" spans="2:9" x14ac:dyDescent="0.25">
      <c r="B93" s="55" t="s">
        <v>45</v>
      </c>
      <c r="C93" s="60">
        <v>9993</v>
      </c>
      <c r="D93" s="58">
        <v>309</v>
      </c>
      <c r="E93" s="61">
        <v>784</v>
      </c>
      <c r="F93" s="51">
        <f t="shared" si="1"/>
        <v>11086</v>
      </c>
      <c r="H93" s="9"/>
      <c r="I93" s="9"/>
    </row>
    <row r="94" spans="2:9" x14ac:dyDescent="0.25">
      <c r="B94" s="55" t="s">
        <v>46</v>
      </c>
      <c r="C94" s="57">
        <v>12714.413</v>
      </c>
      <c r="D94" s="58">
        <v>269.67500000000001</v>
      </c>
      <c r="E94" s="58">
        <v>838.59400000000005</v>
      </c>
      <c r="F94" s="51">
        <f t="shared" si="1"/>
        <v>13822.682000000001</v>
      </c>
      <c r="H94" s="9"/>
    </row>
    <row r="95" spans="2:9" x14ac:dyDescent="0.25">
      <c r="B95" s="55" t="s">
        <v>47</v>
      </c>
      <c r="C95" s="57">
        <v>12126.428</v>
      </c>
      <c r="D95" s="58">
        <v>297.8</v>
      </c>
      <c r="E95" s="58">
        <v>641.69600000000003</v>
      </c>
      <c r="F95" s="51">
        <f t="shared" si="1"/>
        <v>13065.923999999999</v>
      </c>
      <c r="H95" s="8"/>
    </row>
    <row r="96" spans="2:9" x14ac:dyDescent="0.25">
      <c r="B96" s="55" t="s">
        <v>48</v>
      </c>
      <c r="C96" s="57">
        <v>12343.583000000001</v>
      </c>
      <c r="D96" s="58">
        <v>275.35000000000002</v>
      </c>
      <c r="E96" s="58">
        <v>654.13199999999995</v>
      </c>
      <c r="F96" s="51">
        <f t="shared" si="1"/>
        <v>13273.065000000001</v>
      </c>
      <c r="H96" s="8"/>
    </row>
    <row r="97" spans="2:8" x14ac:dyDescent="0.25">
      <c r="B97" s="55" t="s">
        <v>49</v>
      </c>
      <c r="C97" s="57">
        <f>5014.57+3215.949+1613+2307.6</f>
        <v>12151.119000000001</v>
      </c>
      <c r="D97" s="58">
        <v>127.23</v>
      </c>
      <c r="E97" s="58">
        <f>106.62+81.024+387.562+66.827</f>
        <v>642.03300000000002</v>
      </c>
      <c r="F97" s="51">
        <f t="shared" si="1"/>
        <v>12920.382</v>
      </c>
      <c r="H97" s="11"/>
    </row>
    <row r="98" spans="2:8" x14ac:dyDescent="0.25">
      <c r="B98" s="55" t="s">
        <v>50</v>
      </c>
      <c r="C98" s="57">
        <v>11656.752</v>
      </c>
      <c r="D98" s="58">
        <v>358.70499999999998</v>
      </c>
      <c r="E98" s="58">
        <v>684.4</v>
      </c>
      <c r="F98" s="51">
        <f t="shared" si="1"/>
        <v>12699.857</v>
      </c>
      <c r="H98" s="11"/>
    </row>
    <row r="99" spans="2:8" x14ac:dyDescent="0.25">
      <c r="B99" s="55" t="s">
        <v>51</v>
      </c>
      <c r="C99" s="57">
        <v>12033.8</v>
      </c>
      <c r="D99" s="58">
        <v>421.40499999999997</v>
      </c>
      <c r="E99" s="58">
        <v>700.11300000000006</v>
      </c>
      <c r="F99" s="51">
        <f t="shared" si="1"/>
        <v>13155.317999999999</v>
      </c>
      <c r="H99" s="11"/>
    </row>
    <row r="100" spans="2:8" x14ac:dyDescent="0.25">
      <c r="B100" s="55" t="s">
        <v>52</v>
      </c>
      <c r="C100" s="57">
        <v>11491.87</v>
      </c>
      <c r="D100" s="58">
        <v>289.43</v>
      </c>
      <c r="E100" s="58">
        <v>795.75</v>
      </c>
      <c r="F100" s="51">
        <f t="shared" si="1"/>
        <v>12577.050000000001</v>
      </c>
      <c r="H100" s="11"/>
    </row>
    <row r="101" spans="2:8" x14ac:dyDescent="0.25">
      <c r="B101" s="55" t="s">
        <v>53</v>
      </c>
      <c r="C101" s="57">
        <v>12256.226000000001</v>
      </c>
      <c r="D101" s="58">
        <v>284.67500000000001</v>
      </c>
      <c r="E101" s="58">
        <v>650.22500000000002</v>
      </c>
      <c r="F101" s="51">
        <f t="shared" si="1"/>
        <v>13191.126</v>
      </c>
      <c r="H101" s="11"/>
    </row>
    <row r="102" spans="2:8" x14ac:dyDescent="0.25">
      <c r="B102" s="55" t="s">
        <v>54</v>
      </c>
      <c r="C102" s="62"/>
      <c r="D102" s="63"/>
      <c r="E102" s="63"/>
      <c r="F102" s="51">
        <f t="shared" si="1"/>
        <v>0</v>
      </c>
      <c r="H102" s="11"/>
    </row>
    <row r="103" spans="2:8" x14ac:dyDescent="0.25">
      <c r="B103" s="55" t="s">
        <v>55</v>
      </c>
      <c r="C103" s="57"/>
      <c r="D103" s="58"/>
      <c r="E103" s="58"/>
      <c r="F103" s="51">
        <f t="shared" si="1"/>
        <v>0</v>
      </c>
      <c r="H103" s="11"/>
    </row>
    <row r="104" spans="2:8" x14ac:dyDescent="0.25">
      <c r="B104" s="55" t="s">
        <v>33</v>
      </c>
      <c r="C104" s="57">
        <f>C141+C142+C143+C144</f>
        <v>134375.22399999999</v>
      </c>
      <c r="D104" s="64">
        <f>D141+D142+D143+D144</f>
        <v>10849</v>
      </c>
      <c r="E104" s="64">
        <f>E141+E142+E143+E144</f>
        <v>6290</v>
      </c>
      <c r="F104" s="58">
        <f>F141+F142+F143+F144</f>
        <v>151514.22399999999</v>
      </c>
      <c r="G104" s="2"/>
      <c r="H104" s="11"/>
    </row>
    <row r="105" spans="2:8" x14ac:dyDescent="0.25">
      <c r="B105" s="55" t="s">
        <v>34</v>
      </c>
      <c r="C105" s="57"/>
      <c r="D105" s="64"/>
      <c r="E105" s="64"/>
      <c r="F105" s="51"/>
      <c r="G105" s="2"/>
      <c r="H105" s="11"/>
    </row>
    <row r="106" spans="2:8" x14ac:dyDescent="0.25">
      <c r="B106" s="55" t="s">
        <v>35</v>
      </c>
      <c r="C106" s="57"/>
      <c r="D106" s="64"/>
      <c r="E106" s="64"/>
      <c r="F106" s="51"/>
      <c r="G106" s="2"/>
      <c r="H106" s="11"/>
    </row>
    <row r="107" spans="2:8" x14ac:dyDescent="0.25">
      <c r="B107" s="55" t="s">
        <v>36</v>
      </c>
      <c r="C107" s="57"/>
      <c r="D107" s="64"/>
      <c r="E107" s="64"/>
      <c r="F107" s="51"/>
      <c r="G107" s="2"/>
      <c r="H107" s="11"/>
    </row>
    <row r="108" spans="2:8" x14ac:dyDescent="0.25">
      <c r="B108" s="55" t="s">
        <v>37</v>
      </c>
      <c r="C108" s="57"/>
      <c r="D108" s="64"/>
      <c r="E108" s="64"/>
      <c r="F108" s="51"/>
      <c r="G108" s="2"/>
      <c r="H108" s="17"/>
    </row>
    <row r="109" spans="2:8" x14ac:dyDescent="0.25">
      <c r="B109" s="55" t="s">
        <v>38</v>
      </c>
      <c r="C109" s="57">
        <v>35781</v>
      </c>
      <c r="D109" s="64">
        <v>1818</v>
      </c>
      <c r="E109" s="64">
        <v>1906</v>
      </c>
      <c r="F109" s="51">
        <v>39505</v>
      </c>
      <c r="G109" s="2"/>
      <c r="H109" s="17"/>
    </row>
    <row r="110" spans="2:8" x14ac:dyDescent="0.25">
      <c r="B110" s="55" t="s">
        <v>39</v>
      </c>
      <c r="C110" s="57">
        <v>37266</v>
      </c>
      <c r="D110" s="64">
        <v>2542</v>
      </c>
      <c r="E110" s="64">
        <v>2241</v>
      </c>
      <c r="F110" s="51">
        <v>42049</v>
      </c>
      <c r="G110" s="2"/>
      <c r="H110" s="17"/>
    </row>
    <row r="111" spans="2:8" x14ac:dyDescent="0.25">
      <c r="B111" s="55" t="s">
        <v>40</v>
      </c>
      <c r="C111" s="57">
        <v>37804.71</v>
      </c>
      <c r="D111" s="64">
        <f>D156+D155+D154</f>
        <v>2906.4929999999999</v>
      </c>
      <c r="E111" s="64">
        <v>1394.021</v>
      </c>
      <c r="F111" s="51">
        <v>42106</v>
      </c>
      <c r="G111" s="2"/>
      <c r="H111" s="17"/>
    </row>
    <row r="112" spans="2:8" x14ac:dyDescent="0.25">
      <c r="B112" s="55" t="s">
        <v>41</v>
      </c>
      <c r="C112" s="57">
        <v>36792.71</v>
      </c>
      <c r="D112" s="64">
        <v>2896.65</v>
      </c>
      <c r="E112" s="64">
        <v>1314.58</v>
      </c>
      <c r="F112" s="51">
        <v>41005</v>
      </c>
      <c r="G112" s="2"/>
      <c r="H112" s="17"/>
    </row>
    <row r="113" spans="2:8" x14ac:dyDescent="0.25">
      <c r="B113" s="55" t="s">
        <v>42</v>
      </c>
      <c r="C113" s="62"/>
      <c r="D113" s="65"/>
      <c r="E113" s="65"/>
      <c r="F113" s="66"/>
      <c r="G113" s="2"/>
      <c r="H113" s="17"/>
    </row>
    <row r="114" spans="2:8" x14ac:dyDescent="0.25">
      <c r="B114" s="55" t="s">
        <v>44</v>
      </c>
      <c r="C114" s="57"/>
      <c r="D114" s="64"/>
      <c r="E114" s="64"/>
      <c r="F114" s="51"/>
      <c r="G114" s="2"/>
      <c r="H114" s="17"/>
    </row>
    <row r="115" spans="2:8" x14ac:dyDescent="0.25">
      <c r="B115" s="55" t="s">
        <v>45</v>
      </c>
      <c r="C115" s="57">
        <v>11313.022000000001</v>
      </c>
      <c r="D115" s="64">
        <v>344.38499999999999</v>
      </c>
      <c r="E115" s="64">
        <v>782.50199999999995</v>
      </c>
      <c r="F115" s="51">
        <f t="shared" ref="F115:F126" si="2">SUM(C115:E115)</f>
        <v>12439.909000000001</v>
      </c>
      <c r="G115" s="2"/>
      <c r="H115" s="17"/>
    </row>
    <row r="116" spans="2:8" x14ac:dyDescent="0.25">
      <c r="B116" s="55" t="s">
        <v>46</v>
      </c>
      <c r="C116" s="57">
        <v>11380.85</v>
      </c>
      <c r="D116" s="64">
        <v>294.08</v>
      </c>
      <c r="E116" s="64">
        <v>733.34349999999995</v>
      </c>
      <c r="F116" s="51">
        <f t="shared" si="2"/>
        <v>12408.273499999999</v>
      </c>
      <c r="G116" s="2"/>
      <c r="H116" s="17"/>
    </row>
    <row r="117" spans="2:8" x14ac:dyDescent="0.25">
      <c r="B117" s="55" t="s">
        <v>47</v>
      </c>
      <c r="C117" s="57">
        <v>12471.795</v>
      </c>
      <c r="D117" s="64">
        <v>233.29499999999999</v>
      </c>
      <c r="E117" s="64">
        <v>705.37850000000003</v>
      </c>
      <c r="F117" s="51">
        <f t="shared" si="2"/>
        <v>13410.468500000001</v>
      </c>
      <c r="G117" s="2"/>
      <c r="H117" s="17"/>
    </row>
    <row r="118" spans="2:8" x14ac:dyDescent="0.25">
      <c r="B118" s="55" t="s">
        <v>48</v>
      </c>
      <c r="C118" s="57">
        <v>12577</v>
      </c>
      <c r="D118" s="64">
        <v>272</v>
      </c>
      <c r="E118" s="64">
        <v>627</v>
      </c>
      <c r="F118" s="51">
        <f t="shared" si="2"/>
        <v>13476</v>
      </c>
      <c r="G118" s="2"/>
      <c r="H118" s="17"/>
    </row>
    <row r="119" spans="2:8" x14ac:dyDescent="0.25">
      <c r="B119" s="55" t="s">
        <v>49</v>
      </c>
      <c r="C119" s="57">
        <v>12791</v>
      </c>
      <c r="D119" s="64">
        <v>261</v>
      </c>
      <c r="E119" s="64">
        <v>782</v>
      </c>
      <c r="F119" s="51">
        <f t="shared" si="2"/>
        <v>13834</v>
      </c>
      <c r="G119" s="2"/>
      <c r="H119" s="17"/>
    </row>
    <row r="120" spans="2:8" x14ac:dyDescent="0.25">
      <c r="B120" s="55" t="s">
        <v>50</v>
      </c>
      <c r="C120" s="57">
        <v>10160</v>
      </c>
      <c r="D120" s="64">
        <v>289</v>
      </c>
      <c r="E120" s="64">
        <v>765</v>
      </c>
      <c r="F120" s="51">
        <f t="shared" si="2"/>
        <v>11214</v>
      </c>
      <c r="G120" s="2"/>
      <c r="H120" s="18"/>
    </row>
    <row r="121" spans="2:8" x14ac:dyDescent="0.25">
      <c r="B121" s="55" t="s">
        <v>51</v>
      </c>
      <c r="C121" s="57">
        <v>11605.365</v>
      </c>
      <c r="D121" s="64">
        <v>259.53500000000003</v>
      </c>
      <c r="E121" s="64">
        <v>683.84400000000005</v>
      </c>
      <c r="F121" s="51">
        <f t="shared" si="2"/>
        <v>12548.743999999999</v>
      </c>
      <c r="G121" s="2"/>
      <c r="H121" s="18"/>
    </row>
    <row r="122" spans="2:8" x14ac:dyDescent="0.25">
      <c r="B122" s="55" t="s">
        <v>52</v>
      </c>
      <c r="C122" s="57">
        <v>12396</v>
      </c>
      <c r="D122" s="64">
        <v>460</v>
      </c>
      <c r="E122" s="64">
        <v>499</v>
      </c>
      <c r="F122" s="51">
        <f t="shared" si="2"/>
        <v>13355</v>
      </c>
      <c r="G122" s="2"/>
      <c r="H122" s="18"/>
    </row>
    <row r="123" spans="2:8" x14ac:dyDescent="0.25">
      <c r="B123" s="55" t="s">
        <v>53</v>
      </c>
      <c r="C123" s="57">
        <v>12328</v>
      </c>
      <c r="D123" s="64">
        <v>385</v>
      </c>
      <c r="E123" s="64">
        <v>508</v>
      </c>
      <c r="F123" s="51">
        <f t="shared" si="2"/>
        <v>13221</v>
      </c>
      <c r="G123" s="2"/>
      <c r="H123" s="18"/>
    </row>
    <row r="124" spans="2:8" x14ac:dyDescent="0.25">
      <c r="B124" s="55" t="s">
        <v>54</v>
      </c>
      <c r="C124" s="57">
        <v>10634</v>
      </c>
      <c r="D124" s="64">
        <v>284</v>
      </c>
      <c r="E124" s="64">
        <v>637</v>
      </c>
      <c r="F124" s="51">
        <f t="shared" si="2"/>
        <v>11555</v>
      </c>
      <c r="G124" s="2"/>
      <c r="H124" s="17"/>
    </row>
    <row r="125" spans="2:8" x14ac:dyDescent="0.25">
      <c r="B125" s="55" t="s">
        <v>55</v>
      </c>
      <c r="C125" s="57">
        <v>12546</v>
      </c>
      <c r="D125" s="64">
        <v>255</v>
      </c>
      <c r="E125" s="64">
        <v>429</v>
      </c>
      <c r="F125" s="51">
        <f t="shared" si="2"/>
        <v>13230</v>
      </c>
      <c r="G125" s="2"/>
      <c r="H125" s="18"/>
    </row>
    <row r="126" spans="2:8" x14ac:dyDescent="0.25">
      <c r="B126" s="55" t="s">
        <v>57</v>
      </c>
      <c r="C126" s="57">
        <v>12975</v>
      </c>
      <c r="D126" s="64">
        <v>255</v>
      </c>
      <c r="E126" s="64">
        <v>606</v>
      </c>
      <c r="F126" s="51">
        <f t="shared" si="2"/>
        <v>13836</v>
      </c>
      <c r="G126" s="2"/>
      <c r="H126" s="18"/>
    </row>
    <row r="127" spans="2:8" x14ac:dyDescent="0.25">
      <c r="B127" s="55" t="s">
        <v>58</v>
      </c>
      <c r="C127" s="62"/>
      <c r="D127" s="65"/>
      <c r="E127" s="65"/>
      <c r="F127" s="51"/>
      <c r="G127" s="2"/>
      <c r="H127" s="18"/>
    </row>
    <row r="128" spans="2:8" x14ac:dyDescent="0.25">
      <c r="B128" s="55" t="s">
        <v>34</v>
      </c>
      <c r="C128" s="57">
        <v>170220.432</v>
      </c>
      <c r="D128" s="64">
        <v>14721.073</v>
      </c>
      <c r="E128" s="58">
        <v>7677.3159999999989</v>
      </c>
      <c r="F128" s="56">
        <v>192618</v>
      </c>
      <c r="G128" s="2"/>
      <c r="H128" s="18"/>
    </row>
    <row r="129" spans="2:8" x14ac:dyDescent="0.25">
      <c r="B129" s="52"/>
      <c r="C129" s="67"/>
      <c r="D129" s="32"/>
      <c r="E129" s="32"/>
      <c r="F129" s="43"/>
      <c r="G129" s="2"/>
      <c r="H129" s="18"/>
    </row>
    <row r="130" spans="2:8" x14ac:dyDescent="0.25">
      <c r="B130" s="55"/>
      <c r="C130" s="62"/>
      <c r="D130" s="63"/>
      <c r="E130" s="63"/>
      <c r="F130" s="51"/>
      <c r="H130" s="5"/>
    </row>
    <row r="131" spans="2:8" x14ac:dyDescent="0.25">
      <c r="B131" s="55" t="s">
        <v>32</v>
      </c>
      <c r="C131" s="62"/>
      <c r="D131" s="63"/>
      <c r="E131" s="63"/>
      <c r="F131" s="51"/>
      <c r="H131" s="5"/>
    </row>
    <row r="132" spans="2:8" x14ac:dyDescent="0.25">
      <c r="B132" s="52" t="s">
        <v>8</v>
      </c>
      <c r="C132" s="57">
        <v>38817.74</v>
      </c>
      <c r="D132" s="58">
        <v>3261.04</v>
      </c>
      <c r="E132" s="58">
        <v>1561.13</v>
      </c>
      <c r="F132" s="51">
        <v>43639.91</v>
      </c>
      <c r="H132" s="5"/>
    </row>
    <row r="133" spans="2:8" x14ac:dyDescent="0.25">
      <c r="B133" s="52" t="s">
        <v>26</v>
      </c>
      <c r="C133" s="57">
        <v>40001.925000000003</v>
      </c>
      <c r="D133" s="58">
        <v>3062.712</v>
      </c>
      <c r="E133" s="58">
        <v>1798.394</v>
      </c>
      <c r="F133" s="51">
        <v>44863.031000000003</v>
      </c>
      <c r="H133" s="5"/>
    </row>
    <row r="134" spans="2:8" x14ac:dyDescent="0.25">
      <c r="B134" s="52" t="s">
        <v>10</v>
      </c>
      <c r="C134" s="57">
        <f>C199+C200+C201</f>
        <v>30637.224000000002</v>
      </c>
      <c r="D134" s="58">
        <v>2488.7600000000002</v>
      </c>
      <c r="E134" s="58">
        <v>1431.64</v>
      </c>
      <c r="F134" s="51">
        <f>C134+D134+E134</f>
        <v>34557.624000000003</v>
      </c>
      <c r="H134" s="5"/>
    </row>
    <row r="135" spans="2:8" x14ac:dyDescent="0.25">
      <c r="B135" s="52" t="s">
        <v>12</v>
      </c>
      <c r="C135" s="57">
        <v>37310.82</v>
      </c>
      <c r="D135" s="58">
        <v>2638</v>
      </c>
      <c r="E135" s="58">
        <v>1308.06</v>
      </c>
      <c r="F135" s="51">
        <f>C135+D135+E135</f>
        <v>41256.879999999997</v>
      </c>
      <c r="H135" s="5"/>
    </row>
    <row r="136" spans="2:8" x14ac:dyDescent="0.25">
      <c r="B136" s="55" t="s">
        <v>35</v>
      </c>
      <c r="C136" s="68">
        <v>183923.3</v>
      </c>
      <c r="D136" s="57">
        <v>12667.8</v>
      </c>
      <c r="E136" s="58">
        <v>9837.2000000000007</v>
      </c>
      <c r="F136" s="51">
        <v>206428.99400000001</v>
      </c>
      <c r="H136" s="5"/>
    </row>
    <row r="137" spans="2:8" x14ac:dyDescent="0.25">
      <c r="B137" s="52"/>
      <c r="C137" s="68"/>
      <c r="D137" s="57"/>
      <c r="E137" s="58"/>
      <c r="F137" s="51"/>
      <c r="H137" s="5"/>
    </row>
    <row r="138" spans="2:8" x14ac:dyDescent="0.25">
      <c r="B138" s="55" t="s">
        <v>36</v>
      </c>
      <c r="C138" s="68">
        <f>SUM(C263:C274)</f>
        <v>176664.44099999999</v>
      </c>
      <c r="D138" s="58">
        <f>SUM(D263:D274)</f>
        <v>16703.727000000003</v>
      </c>
      <c r="E138" s="58">
        <f>SUM(E263:E274)</f>
        <v>13332.731</v>
      </c>
      <c r="F138" s="58">
        <f>SUM(F263:F274)</f>
        <v>206700.89899999998</v>
      </c>
      <c r="H138" s="5"/>
    </row>
    <row r="139" spans="2:8" x14ac:dyDescent="0.25">
      <c r="B139" s="55">
        <v>2009</v>
      </c>
      <c r="C139" s="68"/>
      <c r="D139" s="69"/>
      <c r="E139" s="58"/>
      <c r="F139" s="51"/>
      <c r="H139" s="5"/>
    </row>
    <row r="140" spans="2:8" x14ac:dyDescent="0.25">
      <c r="B140" s="55">
        <v>2009</v>
      </c>
      <c r="C140" s="68"/>
      <c r="D140" s="69"/>
      <c r="E140" s="58"/>
      <c r="F140" s="51"/>
      <c r="H140" s="5"/>
    </row>
    <row r="141" spans="2:8" x14ac:dyDescent="0.25">
      <c r="B141" s="55">
        <v>2009</v>
      </c>
      <c r="C141" s="68">
        <v>33657</v>
      </c>
      <c r="D141" s="69">
        <v>2361</v>
      </c>
      <c r="E141" s="58">
        <v>1150</v>
      </c>
      <c r="F141" s="51">
        <f>C141+D141+E141</f>
        <v>37168</v>
      </c>
      <c r="H141" s="5"/>
    </row>
    <row r="142" spans="2:8" x14ac:dyDescent="0.25">
      <c r="B142" s="55">
        <v>2009</v>
      </c>
      <c r="C142" s="68">
        <v>34693</v>
      </c>
      <c r="D142" s="69">
        <v>2485</v>
      </c>
      <c r="E142" s="58">
        <v>1693</v>
      </c>
      <c r="F142" s="56">
        <f>C142+D142+E142</f>
        <v>38871</v>
      </c>
      <c r="H142" s="5"/>
    </row>
    <row r="143" spans="2:8" x14ac:dyDescent="0.25">
      <c r="B143" s="55">
        <v>2009</v>
      </c>
      <c r="C143" s="57">
        <f>C199+C200+C201</f>
        <v>30637.224000000002</v>
      </c>
      <c r="D143" s="58">
        <v>2783</v>
      </c>
      <c r="E143" s="58">
        <v>1501</v>
      </c>
      <c r="F143" s="56">
        <f>C143+D143+E143</f>
        <v>34921.224000000002</v>
      </c>
      <c r="H143" s="5"/>
    </row>
    <row r="144" spans="2:8" x14ac:dyDescent="0.25">
      <c r="B144" s="55">
        <v>2009</v>
      </c>
      <c r="C144" s="68">
        <v>35388</v>
      </c>
      <c r="D144" s="69">
        <v>3220</v>
      </c>
      <c r="E144" s="58">
        <v>1946</v>
      </c>
      <c r="F144" s="56">
        <f>C144+D144+E144</f>
        <v>40554</v>
      </c>
      <c r="H144" s="5"/>
    </row>
    <row r="145" spans="2:10" x14ac:dyDescent="0.25">
      <c r="B145" s="55" t="s">
        <v>37</v>
      </c>
      <c r="C145" s="58">
        <f>SUM(C277:C288)</f>
        <v>208229.43169999996</v>
      </c>
      <c r="D145" s="58">
        <f>SUM(D277:D288)</f>
        <v>14670.622000000001</v>
      </c>
      <c r="E145" s="58">
        <f>SUM(E277:E288)</f>
        <v>15350.468010000001</v>
      </c>
      <c r="F145" s="58">
        <f>SUM(F277:F288)</f>
        <v>238250.52170999997</v>
      </c>
      <c r="H145" s="5"/>
    </row>
    <row r="146" spans="2:10" x14ac:dyDescent="0.25">
      <c r="B146" s="55"/>
      <c r="C146" s="57"/>
      <c r="D146" s="58"/>
      <c r="E146" s="58"/>
      <c r="F146" s="56"/>
      <c r="H146" s="15"/>
    </row>
    <row r="147" spans="2:10" x14ac:dyDescent="0.25">
      <c r="B147" s="55" t="s">
        <v>22</v>
      </c>
      <c r="C147" s="57">
        <v>12632</v>
      </c>
      <c r="D147" s="58">
        <v>225</v>
      </c>
      <c r="E147" s="58">
        <v>623</v>
      </c>
      <c r="F147" s="56">
        <f t="shared" ref="F147:F159" si="3">SUM(C147:E147)</f>
        <v>13480</v>
      </c>
      <c r="H147" s="5"/>
    </row>
    <row r="148" spans="2:10" x14ac:dyDescent="0.25">
      <c r="B148" s="55" t="s">
        <v>23</v>
      </c>
      <c r="C148" s="57">
        <v>11490</v>
      </c>
      <c r="D148" s="58">
        <v>765.40800000000002</v>
      </c>
      <c r="E148" s="58">
        <v>626.86500000000001</v>
      </c>
      <c r="F148" s="56">
        <f t="shared" si="3"/>
        <v>12882.272999999999</v>
      </c>
      <c r="H148" s="5"/>
    </row>
    <row r="149" spans="2:10" x14ac:dyDescent="0.25">
      <c r="B149" s="55" t="s">
        <v>24</v>
      </c>
      <c r="C149" s="57">
        <v>11659</v>
      </c>
      <c r="D149" s="58">
        <v>827.78200000000004</v>
      </c>
      <c r="E149" s="58">
        <v>656</v>
      </c>
      <c r="F149" s="56">
        <f t="shared" si="3"/>
        <v>13142.781999999999</v>
      </c>
      <c r="H149" s="11"/>
    </row>
    <row r="150" spans="2:10" x14ac:dyDescent="0.25">
      <c r="B150" s="55" t="s">
        <v>14</v>
      </c>
      <c r="C150" s="57">
        <v>12309.69</v>
      </c>
      <c r="D150" s="58">
        <v>810.09299999999996</v>
      </c>
      <c r="E150" s="58">
        <v>757.35199999999998</v>
      </c>
      <c r="F150" s="56">
        <f t="shared" si="3"/>
        <v>13877.135000000002</v>
      </c>
      <c r="H150" s="11"/>
    </row>
    <row r="151" spans="2:10" x14ac:dyDescent="0.25">
      <c r="B151" s="55" t="s">
        <v>31</v>
      </c>
      <c r="C151" s="57"/>
      <c r="D151" s="58"/>
      <c r="E151" s="58"/>
      <c r="F151" s="56"/>
      <c r="H151" s="11"/>
    </row>
    <row r="152" spans="2:10" x14ac:dyDescent="0.25">
      <c r="B152" s="55" t="s">
        <v>15</v>
      </c>
      <c r="C152" s="57">
        <v>12590</v>
      </c>
      <c r="D152" s="58">
        <v>835.81399999999996</v>
      </c>
      <c r="E152" s="58">
        <v>786.02200000000005</v>
      </c>
      <c r="F152" s="56">
        <f t="shared" si="3"/>
        <v>14211.836000000001</v>
      </c>
      <c r="H152" s="11"/>
    </row>
    <row r="153" spans="2:10" x14ac:dyDescent="0.25">
      <c r="B153" s="55" t="s">
        <v>25</v>
      </c>
      <c r="C153" s="57">
        <v>12365.772000000001</v>
      </c>
      <c r="D153" s="58">
        <v>895.69100000000003</v>
      </c>
      <c r="E153" s="58">
        <v>697.36800000000005</v>
      </c>
      <c r="F153" s="56">
        <f t="shared" si="3"/>
        <v>13958.831000000002</v>
      </c>
      <c r="I153" s="11"/>
      <c r="J153" s="8"/>
    </row>
    <row r="154" spans="2:10" x14ac:dyDescent="0.25">
      <c r="B154" s="55" t="s">
        <v>16</v>
      </c>
      <c r="C154" s="57">
        <v>12552</v>
      </c>
      <c r="D154" s="58">
        <v>1007.625</v>
      </c>
      <c r="E154" s="58">
        <v>491.017</v>
      </c>
      <c r="F154" s="56">
        <f t="shared" si="3"/>
        <v>14050.642</v>
      </c>
      <c r="H154" s="9"/>
      <c r="I154" s="11"/>
      <c r="J154" s="8"/>
    </row>
    <row r="155" spans="2:10" x14ac:dyDescent="0.25">
      <c r="B155" s="55" t="s">
        <v>17</v>
      </c>
      <c r="C155" s="57">
        <v>12347.121999999999</v>
      </c>
      <c r="D155" s="58">
        <v>954.42</v>
      </c>
      <c r="E155" s="58">
        <v>466</v>
      </c>
      <c r="F155" s="56">
        <f t="shared" si="3"/>
        <v>13767.541999999999</v>
      </c>
      <c r="I155" s="11"/>
      <c r="J155" s="8"/>
    </row>
    <row r="156" spans="2:10" x14ac:dyDescent="0.25">
      <c r="B156" s="55" t="s">
        <v>18</v>
      </c>
      <c r="C156" s="68">
        <v>12905.584000000001</v>
      </c>
      <c r="D156" s="69">
        <f>827.782+116.666</f>
        <v>944.44800000000009</v>
      </c>
      <c r="E156" s="58">
        <v>437</v>
      </c>
      <c r="F156" s="56">
        <f t="shared" si="3"/>
        <v>14287.032000000001</v>
      </c>
      <c r="H156" s="8"/>
      <c r="I156" s="11"/>
      <c r="J156" s="8"/>
    </row>
    <row r="157" spans="2:10" x14ac:dyDescent="0.25">
      <c r="B157" s="55" t="s">
        <v>30</v>
      </c>
      <c r="C157" s="68">
        <v>12149.788</v>
      </c>
      <c r="D157" s="69">
        <v>880.80100000000004</v>
      </c>
      <c r="E157" s="58">
        <f>286.987+76.5975+25.44+1.008+4</f>
        <v>394.03250000000003</v>
      </c>
      <c r="F157" s="56">
        <f t="shared" si="3"/>
        <v>13424.621499999999</v>
      </c>
      <c r="H157" s="9"/>
      <c r="I157" s="11"/>
      <c r="J157" s="8"/>
    </row>
    <row r="158" spans="2:10" x14ac:dyDescent="0.25">
      <c r="B158" s="55" t="s">
        <v>20</v>
      </c>
      <c r="C158" s="68">
        <v>11953.56</v>
      </c>
      <c r="D158" s="69">
        <v>941.25900000000001</v>
      </c>
      <c r="E158" s="58">
        <v>470.30200000000002</v>
      </c>
      <c r="F158" s="56">
        <f t="shared" si="3"/>
        <v>13365.120999999999</v>
      </c>
      <c r="H158" s="9"/>
      <c r="I158" s="11"/>
      <c r="J158" s="8"/>
    </row>
    <row r="159" spans="2:10" x14ac:dyDescent="0.25">
      <c r="B159" s="55" t="s">
        <v>21</v>
      </c>
      <c r="C159" s="68">
        <v>12689.358</v>
      </c>
      <c r="D159" s="69">
        <v>1074.586</v>
      </c>
      <c r="E159" s="58">
        <v>450.24099999999999</v>
      </c>
      <c r="F159" s="56">
        <f t="shared" si="3"/>
        <v>14214.184999999999</v>
      </c>
      <c r="H159" s="9"/>
      <c r="I159" s="11"/>
      <c r="J159" s="8"/>
    </row>
    <row r="160" spans="2:10" x14ac:dyDescent="0.25">
      <c r="B160" s="55"/>
      <c r="C160" s="68"/>
      <c r="D160" s="69"/>
      <c r="E160" s="58"/>
      <c r="F160" s="56"/>
      <c r="H160" s="9"/>
      <c r="I160" s="11"/>
      <c r="J160" s="8"/>
    </row>
    <row r="161" spans="2:10" x14ac:dyDescent="0.25">
      <c r="B161" s="55" t="s">
        <v>34</v>
      </c>
      <c r="C161" s="68"/>
      <c r="D161" s="69"/>
      <c r="E161" s="58"/>
      <c r="F161" s="56"/>
      <c r="H161" s="9"/>
      <c r="I161" s="11"/>
      <c r="J161" s="8"/>
    </row>
    <row r="162" spans="2:10" x14ac:dyDescent="0.25">
      <c r="B162" s="55" t="s">
        <v>8</v>
      </c>
      <c r="C162" s="68">
        <v>41616.963000000003</v>
      </c>
      <c r="D162" s="69">
        <v>3866.415</v>
      </c>
      <c r="E162" s="58">
        <v>1615.4607999999998</v>
      </c>
      <c r="F162" s="56">
        <v>47098</v>
      </c>
      <c r="H162" s="9"/>
      <c r="I162" s="11"/>
      <c r="J162" s="8"/>
    </row>
    <row r="163" spans="2:10" x14ac:dyDescent="0.25">
      <c r="B163" s="55" t="s">
        <v>26</v>
      </c>
      <c r="C163" s="68">
        <v>42091</v>
      </c>
      <c r="D163" s="69">
        <v>3457</v>
      </c>
      <c r="E163" s="58">
        <v>2149.7941999999998</v>
      </c>
      <c r="F163" s="56">
        <v>47698</v>
      </c>
      <c r="H163" s="9"/>
      <c r="I163" s="11"/>
      <c r="J163" s="8"/>
    </row>
    <row r="164" spans="2:10" x14ac:dyDescent="0.25">
      <c r="B164" s="55" t="s">
        <v>10</v>
      </c>
      <c r="C164" s="68">
        <v>43510.678999999996</v>
      </c>
      <c r="D164" s="69">
        <v>3440.0540000000001</v>
      </c>
      <c r="E164" s="58">
        <v>1983.33</v>
      </c>
      <c r="F164" s="56">
        <v>48934</v>
      </c>
      <c r="H164" s="9"/>
      <c r="I164" s="11"/>
      <c r="J164" s="8"/>
    </row>
    <row r="165" spans="2:10" x14ac:dyDescent="0.25">
      <c r="B165" s="55" t="s">
        <v>12</v>
      </c>
      <c r="C165" s="68">
        <v>43001.366999999998</v>
      </c>
      <c r="D165" s="69">
        <v>3958.3409999999999</v>
      </c>
      <c r="E165" s="58">
        <v>1928.731</v>
      </c>
      <c r="F165" s="56">
        <v>48888</v>
      </c>
      <c r="H165" s="9"/>
      <c r="I165" s="11"/>
      <c r="J165" s="8"/>
    </row>
    <row r="166" spans="2:10" x14ac:dyDescent="0.25">
      <c r="B166" s="55"/>
      <c r="C166" s="70"/>
      <c r="D166" s="71"/>
      <c r="E166" s="63"/>
      <c r="F166" s="56"/>
      <c r="H166" s="9"/>
      <c r="I166" s="11"/>
      <c r="J166" s="8"/>
    </row>
    <row r="167" spans="2:10" x14ac:dyDescent="0.25">
      <c r="B167" s="55"/>
      <c r="C167" s="72"/>
      <c r="D167" s="72"/>
      <c r="E167" s="72"/>
      <c r="F167" s="36"/>
      <c r="H167" s="9"/>
      <c r="I167" s="11"/>
      <c r="J167" s="8"/>
    </row>
    <row r="168" spans="2:10" x14ac:dyDescent="0.25">
      <c r="B168" s="55"/>
      <c r="C168" s="72"/>
      <c r="D168" s="72"/>
      <c r="E168" s="72"/>
      <c r="F168" s="36"/>
      <c r="H168" s="9"/>
      <c r="I168" s="11"/>
      <c r="J168" s="8"/>
    </row>
    <row r="169" spans="2:10" x14ac:dyDescent="0.25">
      <c r="B169" s="55"/>
      <c r="C169" s="70"/>
      <c r="D169" s="71"/>
      <c r="E169" s="63"/>
      <c r="F169" s="56"/>
      <c r="H169" s="9"/>
      <c r="I169" s="11"/>
      <c r="J169" s="8"/>
    </row>
    <row r="170" spans="2:10" x14ac:dyDescent="0.25">
      <c r="B170" s="55"/>
      <c r="C170" s="68"/>
      <c r="D170" s="69"/>
      <c r="E170" s="58"/>
      <c r="F170" s="56"/>
      <c r="H170" s="9"/>
      <c r="I170" s="11"/>
      <c r="J170" s="8"/>
    </row>
    <row r="171" spans="2:10" x14ac:dyDescent="0.25">
      <c r="B171" s="55" t="s">
        <v>32</v>
      </c>
      <c r="C171" s="68"/>
      <c r="D171" s="69"/>
      <c r="E171" s="58"/>
      <c r="F171" s="56"/>
      <c r="H171" s="9"/>
      <c r="I171" s="11"/>
      <c r="J171" s="8"/>
    </row>
    <row r="172" spans="2:10" x14ac:dyDescent="0.25">
      <c r="B172" s="55" t="s">
        <v>22</v>
      </c>
      <c r="C172" s="68">
        <v>12783.157999999999</v>
      </c>
      <c r="D172" s="69">
        <v>1086.5340000000001</v>
      </c>
      <c r="E172" s="58">
        <v>531.20699999999999</v>
      </c>
      <c r="F172" s="56">
        <f t="shared" ref="F172:F183" si="4">SUM(C172:E172)</f>
        <v>14400.898999999999</v>
      </c>
      <c r="G172" s="23">
        <v>35387</v>
      </c>
      <c r="H172" s="9"/>
      <c r="I172" s="11"/>
      <c r="J172" s="8"/>
    </row>
    <row r="173" spans="2:10" x14ac:dyDescent="0.25">
      <c r="B173" s="55" t="s">
        <v>23</v>
      </c>
      <c r="C173" s="68">
        <v>12331.925999999999</v>
      </c>
      <c r="D173" s="69">
        <v>1041.9849999999999</v>
      </c>
      <c r="E173" s="58">
        <v>547.59849999999994</v>
      </c>
      <c r="F173" s="56">
        <f t="shared" si="4"/>
        <v>13921.5095</v>
      </c>
      <c r="H173" s="9"/>
      <c r="I173" s="11"/>
      <c r="J173" s="8"/>
    </row>
    <row r="174" spans="2:10" x14ac:dyDescent="0.25">
      <c r="B174" s="55" t="s">
        <v>24</v>
      </c>
      <c r="C174" s="68">
        <v>13702.659</v>
      </c>
      <c r="D174" s="69">
        <v>1132.5250000000001</v>
      </c>
      <c r="E174" s="58">
        <v>482.32650000000001</v>
      </c>
      <c r="F174" s="56">
        <f t="shared" si="4"/>
        <v>15317.510499999999</v>
      </c>
      <c r="H174" s="9"/>
      <c r="I174" s="11"/>
      <c r="J174" s="8"/>
    </row>
    <row r="175" spans="2:10" x14ac:dyDescent="0.25">
      <c r="B175" s="55" t="s">
        <v>14</v>
      </c>
      <c r="C175" s="68">
        <v>13030</v>
      </c>
      <c r="D175" s="69">
        <v>988</v>
      </c>
      <c r="E175" s="58">
        <v>567</v>
      </c>
      <c r="F175" s="56">
        <f t="shared" si="4"/>
        <v>14585</v>
      </c>
      <c r="H175" s="5"/>
      <c r="I175" s="11"/>
      <c r="J175" s="8"/>
    </row>
    <row r="176" spans="2:10" x14ac:dyDescent="0.25">
      <c r="B176" s="55" t="s">
        <v>15</v>
      </c>
      <c r="C176" s="68">
        <v>13604.001</v>
      </c>
      <c r="D176" s="69">
        <v>1010.756</v>
      </c>
      <c r="E176" s="58">
        <v>647.40800000000002</v>
      </c>
      <c r="F176" s="56">
        <f t="shared" si="4"/>
        <v>15262.164999999999</v>
      </c>
      <c r="H176" s="5"/>
      <c r="I176" s="11"/>
      <c r="J176" s="8"/>
    </row>
    <row r="177" spans="2:10" x14ac:dyDescent="0.25">
      <c r="B177" s="55" t="s">
        <v>25</v>
      </c>
      <c r="C177" s="68">
        <v>13367.924000000001</v>
      </c>
      <c r="D177" s="69">
        <v>1063.9559999999999</v>
      </c>
      <c r="E177" s="58">
        <v>583.98599999999999</v>
      </c>
      <c r="F177" s="56">
        <f t="shared" si="4"/>
        <v>15015.866000000002</v>
      </c>
      <c r="H177" s="5"/>
      <c r="I177" s="11"/>
      <c r="J177" s="8"/>
    </row>
    <row r="178" spans="2:10" x14ac:dyDescent="0.25">
      <c r="B178" s="55" t="s">
        <v>16</v>
      </c>
      <c r="C178" s="68">
        <v>12993.768</v>
      </c>
      <c r="D178" s="69">
        <v>981.79200000000003</v>
      </c>
      <c r="E178" s="58">
        <v>447.50700000000001</v>
      </c>
      <c r="F178" s="56">
        <f t="shared" si="4"/>
        <v>14423.066999999999</v>
      </c>
      <c r="G178" s="9"/>
      <c r="H178" s="5"/>
      <c r="I178" s="11"/>
      <c r="J178" s="8"/>
    </row>
    <row r="179" spans="2:10" x14ac:dyDescent="0.25">
      <c r="B179" s="55" t="s">
        <v>17</v>
      </c>
      <c r="C179" s="68">
        <v>12557.763999999999</v>
      </c>
      <c r="D179" s="69">
        <v>863.71299999999997</v>
      </c>
      <c r="E179" s="58">
        <v>495.90750000000003</v>
      </c>
      <c r="F179" s="56">
        <f t="shared" si="4"/>
        <v>13917.384499999998</v>
      </c>
      <c r="G179" s="8"/>
      <c r="H179" s="5"/>
      <c r="I179" s="11"/>
      <c r="J179" s="8"/>
    </row>
    <row r="180" spans="2:10" x14ac:dyDescent="0.25">
      <c r="B180" s="55" t="s">
        <v>18</v>
      </c>
      <c r="C180" s="68">
        <v>11631</v>
      </c>
      <c r="D180" s="69">
        <v>643.255</v>
      </c>
      <c r="E180" s="58">
        <v>488.221</v>
      </c>
      <c r="F180" s="56">
        <f t="shared" si="4"/>
        <v>12762.475999999999</v>
      </c>
      <c r="H180" s="5"/>
      <c r="I180" s="11"/>
      <c r="J180" s="8"/>
    </row>
    <row r="181" spans="2:10" x14ac:dyDescent="0.25">
      <c r="B181" s="55" t="s">
        <v>30</v>
      </c>
      <c r="C181" s="68">
        <v>12807.823</v>
      </c>
      <c r="D181" s="69">
        <v>789.39800000000002</v>
      </c>
      <c r="E181" s="58">
        <v>533.63750000000005</v>
      </c>
      <c r="F181" s="56">
        <f t="shared" si="4"/>
        <v>14130.8585</v>
      </c>
      <c r="H181" s="5"/>
      <c r="I181" s="11"/>
      <c r="J181" s="8"/>
    </row>
    <row r="182" spans="2:10" x14ac:dyDescent="0.25">
      <c r="B182" s="55" t="s">
        <v>20</v>
      </c>
      <c r="C182" s="57">
        <v>12272.996999999999</v>
      </c>
      <c r="D182" s="58">
        <v>800.99300000000005</v>
      </c>
      <c r="E182" s="58">
        <v>408.06099999999998</v>
      </c>
      <c r="F182" s="56">
        <f t="shared" si="4"/>
        <v>13482.050999999999</v>
      </c>
      <c r="G182" s="9"/>
      <c r="H182" s="5"/>
      <c r="I182" s="11"/>
      <c r="J182" s="8"/>
    </row>
    <row r="183" spans="2:10" x14ac:dyDescent="0.25">
      <c r="B183" s="55" t="s">
        <v>21</v>
      </c>
      <c r="C183" s="57">
        <v>12230</v>
      </c>
      <c r="D183" s="58">
        <v>1048</v>
      </c>
      <c r="E183" s="58">
        <v>366</v>
      </c>
      <c r="F183" s="56">
        <f t="shared" si="4"/>
        <v>13644</v>
      </c>
      <c r="G183" s="9"/>
      <c r="H183" s="5"/>
      <c r="I183" s="11"/>
      <c r="J183" s="8"/>
    </row>
    <row r="184" spans="2:10" x14ac:dyDescent="0.25">
      <c r="B184" s="55" t="s">
        <v>38</v>
      </c>
      <c r="C184" s="58">
        <f>C251+C252+C253+C254</f>
        <v>210501.72899999999</v>
      </c>
      <c r="D184" s="58">
        <f>D251+D252+D253+D254</f>
        <v>15150.1476</v>
      </c>
      <c r="E184" s="58">
        <f>E251+E252+E253+E254</f>
        <v>18653.520812000002</v>
      </c>
      <c r="F184" s="58">
        <f>F251+F252+F253+F254</f>
        <v>244305.39741199999</v>
      </c>
      <c r="G184" s="9"/>
      <c r="H184" s="5"/>
      <c r="I184" s="11"/>
      <c r="J184" s="8"/>
    </row>
    <row r="185" spans="2:10" x14ac:dyDescent="0.25">
      <c r="B185" s="55" t="s">
        <v>35</v>
      </c>
      <c r="C185" s="57"/>
      <c r="D185" s="58"/>
      <c r="E185" s="58"/>
      <c r="F185" s="56"/>
      <c r="G185" s="9"/>
      <c r="H185" s="5"/>
      <c r="I185" s="11"/>
      <c r="J185" s="8"/>
    </row>
    <row r="186" spans="2:10" x14ac:dyDescent="0.25">
      <c r="B186" s="52" t="s">
        <v>8</v>
      </c>
      <c r="C186" s="57">
        <v>42173</v>
      </c>
      <c r="D186" s="58">
        <v>3639.7710000000002</v>
      </c>
      <c r="E186" s="58">
        <v>2662.8270000000002</v>
      </c>
      <c r="F186" s="56">
        <v>48476.26</v>
      </c>
      <c r="G186" s="9"/>
      <c r="H186" s="5"/>
      <c r="I186" s="11"/>
      <c r="J186" s="8"/>
    </row>
    <row r="187" spans="2:10" x14ac:dyDescent="0.25">
      <c r="B187" s="52" t="s">
        <v>26</v>
      </c>
      <c r="C187" s="57">
        <v>46114.319000000003</v>
      </c>
      <c r="D187" s="58">
        <v>2858.62</v>
      </c>
      <c r="E187" s="58">
        <v>2666</v>
      </c>
      <c r="F187" s="56">
        <v>51639</v>
      </c>
      <c r="G187" s="9"/>
      <c r="H187" s="5"/>
      <c r="I187" s="11"/>
      <c r="J187" s="8"/>
    </row>
    <row r="188" spans="2:10" x14ac:dyDescent="0.25">
      <c r="B188" s="52" t="s">
        <v>10</v>
      </c>
      <c r="C188" s="57">
        <v>47632.241999999998</v>
      </c>
      <c r="D188" s="58">
        <v>3423.5050000000001</v>
      </c>
      <c r="E188" s="58">
        <v>2121.105</v>
      </c>
      <c r="F188" s="73">
        <v>53176.851999999999</v>
      </c>
      <c r="G188" s="9"/>
      <c r="H188" s="5"/>
      <c r="I188" s="11"/>
      <c r="J188" s="8"/>
    </row>
    <row r="189" spans="2:10" x14ac:dyDescent="0.25">
      <c r="B189" s="52" t="s">
        <v>12</v>
      </c>
      <c r="C189" s="57">
        <v>48003.779000000002</v>
      </c>
      <c r="D189" s="58">
        <v>2745.8540000000003</v>
      </c>
      <c r="E189" s="58">
        <v>2387.2490000000003</v>
      </c>
      <c r="F189" s="74">
        <v>53136.881999999998</v>
      </c>
      <c r="G189" s="9"/>
      <c r="H189" s="5"/>
      <c r="I189" s="11"/>
      <c r="J189" s="8"/>
    </row>
    <row r="190" spans="2:10" x14ac:dyDescent="0.25">
      <c r="B190" s="52"/>
      <c r="C190" s="57"/>
      <c r="D190" s="58"/>
      <c r="E190" s="58"/>
      <c r="F190" s="56"/>
      <c r="H190" s="5"/>
      <c r="I190" s="11"/>
      <c r="J190" s="8"/>
    </row>
    <row r="191" spans="2:10" x14ac:dyDescent="0.25">
      <c r="B191" s="55"/>
      <c r="C191" s="57"/>
      <c r="D191" s="58"/>
      <c r="E191" s="58"/>
      <c r="F191" s="56"/>
      <c r="H191" s="5"/>
      <c r="I191" s="11"/>
      <c r="J191" s="8"/>
    </row>
    <row r="192" spans="2:10" x14ac:dyDescent="0.25">
      <c r="B192" s="55" t="s">
        <v>33</v>
      </c>
      <c r="C192" s="72"/>
      <c r="D192" s="58"/>
      <c r="E192" s="58"/>
      <c r="F192" s="56"/>
      <c r="H192" s="5"/>
      <c r="I192" s="11"/>
      <c r="J192" s="8"/>
    </row>
    <row r="193" spans="2:10" x14ac:dyDescent="0.25">
      <c r="B193" s="52" t="s">
        <v>22</v>
      </c>
      <c r="C193" s="57">
        <v>11409.619000000001</v>
      </c>
      <c r="D193" s="58">
        <v>740.18200000000002</v>
      </c>
      <c r="E193" s="58">
        <v>377.05200000000002</v>
      </c>
      <c r="F193" s="56">
        <f t="shared" ref="F193:F204" si="5">SUM(C193:E193)</f>
        <v>12526.853000000001</v>
      </c>
      <c r="G193" s="9"/>
      <c r="H193" s="9"/>
      <c r="I193" s="11"/>
      <c r="J193" s="8"/>
    </row>
    <row r="194" spans="2:10" x14ac:dyDescent="0.25">
      <c r="B194" s="52" t="s">
        <v>23</v>
      </c>
      <c r="C194" s="57">
        <v>10333.199000000001</v>
      </c>
      <c r="D194" s="58">
        <v>752.83600000000001</v>
      </c>
      <c r="E194" s="58">
        <v>360.815</v>
      </c>
      <c r="F194" s="56">
        <f t="shared" si="5"/>
        <v>11446.85</v>
      </c>
      <c r="H194" s="5"/>
      <c r="I194" s="11"/>
      <c r="J194" s="8"/>
    </row>
    <row r="195" spans="2:10" x14ac:dyDescent="0.25">
      <c r="B195" s="52" t="s">
        <v>24</v>
      </c>
      <c r="C195" s="57">
        <v>11914.181</v>
      </c>
      <c r="D195" s="58">
        <v>868.255</v>
      </c>
      <c r="E195" s="58">
        <v>411.64800000000002</v>
      </c>
      <c r="F195" s="56">
        <f t="shared" si="5"/>
        <v>13194.083999999999</v>
      </c>
      <c r="G195" s="9"/>
      <c r="H195" s="15"/>
      <c r="I195" s="11"/>
      <c r="J195" s="8"/>
    </row>
    <row r="196" spans="2:10" x14ac:dyDescent="0.25">
      <c r="B196" s="52" t="s">
        <v>14</v>
      </c>
      <c r="C196" s="57">
        <v>11435.1</v>
      </c>
      <c r="D196" s="58">
        <v>879.27</v>
      </c>
      <c r="E196" s="58">
        <v>489.53500000000003</v>
      </c>
      <c r="F196" s="56">
        <f t="shared" si="5"/>
        <v>12803.905000000001</v>
      </c>
      <c r="H196" s="15"/>
      <c r="I196" s="11"/>
      <c r="J196" s="8"/>
    </row>
    <row r="197" spans="2:10" x14ac:dyDescent="0.25">
      <c r="B197" s="52" t="s">
        <v>15</v>
      </c>
      <c r="C197" s="57">
        <v>12463</v>
      </c>
      <c r="D197" s="58">
        <v>803</v>
      </c>
      <c r="E197" s="58">
        <v>588</v>
      </c>
      <c r="F197" s="56">
        <f t="shared" si="5"/>
        <v>13854</v>
      </c>
      <c r="H197" s="15"/>
      <c r="I197" s="11"/>
      <c r="J197" s="8"/>
    </row>
    <row r="198" spans="2:10" x14ac:dyDescent="0.25">
      <c r="B198" s="52" t="s">
        <v>25</v>
      </c>
      <c r="C198" s="57">
        <v>10795</v>
      </c>
      <c r="D198" s="58">
        <v>803</v>
      </c>
      <c r="E198" s="58">
        <v>615</v>
      </c>
      <c r="F198" s="56">
        <f t="shared" si="5"/>
        <v>12213</v>
      </c>
      <c r="H198" s="15"/>
      <c r="I198" s="11"/>
      <c r="J198" s="8"/>
    </row>
    <row r="199" spans="2:10" x14ac:dyDescent="0.25">
      <c r="B199" s="52" t="s">
        <v>16</v>
      </c>
      <c r="C199" s="57">
        <v>10493</v>
      </c>
      <c r="D199" s="58">
        <v>901</v>
      </c>
      <c r="E199" s="58">
        <v>526</v>
      </c>
      <c r="F199" s="56">
        <f t="shared" si="5"/>
        <v>11920</v>
      </c>
      <c r="G199" s="8"/>
      <c r="H199" s="15"/>
      <c r="I199" s="11"/>
      <c r="J199" s="8"/>
    </row>
    <row r="200" spans="2:10" x14ac:dyDescent="0.25">
      <c r="B200" s="52" t="s">
        <v>17</v>
      </c>
      <c r="C200" s="57">
        <v>10263.554</v>
      </c>
      <c r="D200" s="58">
        <v>970.07100000000003</v>
      </c>
      <c r="E200" s="58">
        <v>477.97199999999998</v>
      </c>
      <c r="F200" s="56">
        <f t="shared" si="5"/>
        <v>11711.597</v>
      </c>
      <c r="G200" s="8"/>
      <c r="H200" s="15"/>
      <c r="I200" s="11"/>
      <c r="J200" s="8"/>
    </row>
    <row r="201" spans="2:10" x14ac:dyDescent="0.25">
      <c r="B201" s="52" t="s">
        <v>18</v>
      </c>
      <c r="C201" s="57">
        <v>9880.67</v>
      </c>
      <c r="D201" s="58">
        <v>912</v>
      </c>
      <c r="E201" s="58">
        <v>497</v>
      </c>
      <c r="F201" s="56">
        <f t="shared" si="5"/>
        <v>11289.67</v>
      </c>
      <c r="H201" s="15"/>
      <c r="I201" s="11"/>
      <c r="J201" s="8"/>
    </row>
    <row r="202" spans="2:10" x14ac:dyDescent="0.25">
      <c r="B202" s="52" t="s">
        <v>30</v>
      </c>
      <c r="C202" s="57">
        <v>10176.879000000001</v>
      </c>
      <c r="D202" s="58">
        <v>934.30899999999997</v>
      </c>
      <c r="E202" s="58">
        <v>500.65699999999998</v>
      </c>
      <c r="F202" s="56">
        <f t="shared" si="5"/>
        <v>11611.844999999999</v>
      </c>
      <c r="H202" s="15"/>
      <c r="I202" s="11"/>
      <c r="J202" s="8"/>
    </row>
    <row r="203" spans="2:10" x14ac:dyDescent="0.25">
      <c r="B203" s="52" t="s">
        <v>20</v>
      </c>
      <c r="C203" s="57">
        <v>11500.687</v>
      </c>
      <c r="D203" s="58">
        <v>1094.2349999999999</v>
      </c>
      <c r="E203" s="58">
        <v>767.23299999999995</v>
      </c>
      <c r="F203" s="56">
        <f t="shared" si="5"/>
        <v>13362.155000000001</v>
      </c>
      <c r="H203" s="15"/>
      <c r="I203" s="11"/>
      <c r="J203" s="8"/>
    </row>
    <row r="204" spans="2:10" x14ac:dyDescent="0.25">
      <c r="B204" s="52" t="s">
        <v>21</v>
      </c>
      <c r="C204" s="57">
        <v>13710.01</v>
      </c>
      <c r="D204" s="58">
        <v>1191.7639999999999</v>
      </c>
      <c r="E204" s="58">
        <v>677.93100000000004</v>
      </c>
      <c r="F204" s="56">
        <f t="shared" si="5"/>
        <v>15579.705</v>
      </c>
      <c r="H204" s="15"/>
      <c r="I204" s="11"/>
      <c r="J204" s="8"/>
    </row>
    <row r="205" spans="2:10" x14ac:dyDescent="0.25">
      <c r="B205" s="55" t="s">
        <v>39</v>
      </c>
      <c r="C205" s="58">
        <f>C257+C258+C259+C260</f>
        <v>212692.07049999997</v>
      </c>
      <c r="D205" s="58">
        <f>D257+D258+D259+D260</f>
        <v>14731.901</v>
      </c>
      <c r="E205" s="58">
        <f>E257+E258+E259+E260</f>
        <v>17112.808400000002</v>
      </c>
      <c r="F205" s="58">
        <f>F257+F258+F259+F260</f>
        <v>237887.06429999997</v>
      </c>
      <c r="H205" s="15"/>
      <c r="I205" s="11"/>
      <c r="J205" s="8"/>
    </row>
    <row r="206" spans="2:10" x14ac:dyDescent="0.25">
      <c r="B206" s="55" t="s">
        <v>40</v>
      </c>
      <c r="C206" s="58">
        <f>SUM(C291:C294)</f>
        <v>227399.87800000003</v>
      </c>
      <c r="D206" s="58">
        <f>SUM(D291:D294)</f>
        <v>15042.34</v>
      </c>
      <c r="E206" s="58">
        <f>SUM(E291:E294)</f>
        <v>16848.784100000001</v>
      </c>
      <c r="F206" s="58">
        <f>SUM(F291:F294)</f>
        <v>259291.00210000001</v>
      </c>
      <c r="H206" s="15"/>
      <c r="I206" s="11"/>
      <c r="J206" s="8"/>
    </row>
    <row r="207" spans="2:10" x14ac:dyDescent="0.25">
      <c r="B207" s="55" t="s">
        <v>41</v>
      </c>
      <c r="C207" s="58">
        <f>SUM(C297:C300)</f>
        <v>224773.568</v>
      </c>
      <c r="D207" s="58">
        <f>SUM(D297:D300)</f>
        <v>14620.314</v>
      </c>
      <c r="E207" s="58">
        <f>SUM(E297:E300)</f>
        <v>25529.250100000001</v>
      </c>
      <c r="F207" s="58">
        <f>SUM(F297:F300)</f>
        <v>264923.13209999999</v>
      </c>
      <c r="H207" s="15"/>
      <c r="I207" s="11"/>
      <c r="J207" s="8"/>
    </row>
    <row r="208" spans="2:10" x14ac:dyDescent="0.25">
      <c r="B208" s="55" t="s">
        <v>42</v>
      </c>
      <c r="C208" s="58">
        <f>C303+C304+C305+C306</f>
        <v>220106.62900000002</v>
      </c>
      <c r="D208" s="58">
        <f>D303+D304+D305+D306</f>
        <v>16368.629999999997</v>
      </c>
      <c r="E208" s="58">
        <f>E303+E304+E305+E306</f>
        <v>21333.2294</v>
      </c>
      <c r="F208" s="58">
        <f>F303+F304+F305+F306</f>
        <v>257808.48840000003</v>
      </c>
      <c r="H208" s="15"/>
      <c r="I208" s="11"/>
      <c r="J208" s="8"/>
    </row>
    <row r="209" spans="2:10" x14ac:dyDescent="0.25">
      <c r="B209" s="55" t="s">
        <v>44</v>
      </c>
      <c r="C209" s="58">
        <f>C309+C310+C311+C312</f>
        <v>248262.23699999999</v>
      </c>
      <c r="D209" s="58">
        <f>D309+D310+D311+D312</f>
        <v>17913.131000000001</v>
      </c>
      <c r="E209" s="58">
        <f>E309+E310+E311+E312</f>
        <v>20688.196980000001</v>
      </c>
      <c r="F209" s="58">
        <f>F309+F310+F311+F312</f>
        <v>286863.56498000002</v>
      </c>
      <c r="H209" s="15"/>
      <c r="I209" s="11"/>
      <c r="J209" s="8"/>
    </row>
    <row r="210" spans="2:10" x14ac:dyDescent="0.25">
      <c r="B210" s="52"/>
      <c r="C210" s="57"/>
      <c r="D210" s="58"/>
      <c r="E210" s="58"/>
      <c r="F210" s="56"/>
      <c r="H210" s="15"/>
      <c r="I210" s="11"/>
      <c r="J210" s="8"/>
    </row>
    <row r="211" spans="2:10" x14ac:dyDescent="0.25">
      <c r="B211" s="55" t="s">
        <v>36</v>
      </c>
      <c r="C211" s="57"/>
      <c r="D211" s="58"/>
      <c r="E211" s="58"/>
      <c r="F211" s="56"/>
      <c r="H211" s="15"/>
      <c r="I211" s="11"/>
      <c r="J211" s="8"/>
    </row>
    <row r="212" spans="2:10" x14ac:dyDescent="0.25">
      <c r="B212" s="52" t="s">
        <v>8</v>
      </c>
      <c r="C212" s="57">
        <v>45748.103000000003</v>
      </c>
      <c r="D212" s="58">
        <v>3523.6710000000003</v>
      </c>
      <c r="E212" s="58">
        <v>2970.8069999999998</v>
      </c>
      <c r="F212" s="56">
        <v>52242.580999999991</v>
      </c>
      <c r="H212" s="15"/>
      <c r="I212" s="11"/>
      <c r="J212" s="8"/>
    </row>
    <row r="213" spans="2:10" x14ac:dyDescent="0.25">
      <c r="B213" s="52" t="s">
        <v>26</v>
      </c>
      <c r="C213" s="57">
        <v>44569.236999999994</v>
      </c>
      <c r="D213" s="58">
        <v>4658.8710000000001</v>
      </c>
      <c r="E213" s="58">
        <v>3387.8580000000002</v>
      </c>
      <c r="F213" s="56">
        <v>52615.966</v>
      </c>
      <c r="H213" s="15"/>
      <c r="I213" s="11"/>
      <c r="J213" s="8"/>
    </row>
    <row r="214" spans="2:10" x14ac:dyDescent="0.25">
      <c r="B214" s="52" t="s">
        <v>10</v>
      </c>
      <c r="C214" s="57">
        <v>42779.494999999995</v>
      </c>
      <c r="D214" s="58">
        <v>4417.79</v>
      </c>
      <c r="E214" s="58">
        <v>2578.826</v>
      </c>
      <c r="F214" s="56">
        <v>49776.111000000004</v>
      </c>
      <c r="H214" s="15"/>
      <c r="I214" s="11"/>
      <c r="J214" s="8"/>
    </row>
    <row r="215" spans="2:10" x14ac:dyDescent="0.25">
      <c r="B215" s="75" t="s">
        <v>12</v>
      </c>
      <c r="C215" s="57">
        <f>C272+C273+C274</f>
        <v>41999.266000000003</v>
      </c>
      <c r="D215" s="64">
        <f>D272+D273+D274</f>
        <v>4103.3950000000004</v>
      </c>
      <c r="E215" s="64">
        <f>E272+E273+E274</f>
        <v>4395.24</v>
      </c>
      <c r="F215" s="58">
        <f>F272+F273+F274</f>
        <v>50497.900999999998</v>
      </c>
      <c r="G215" s="2"/>
      <c r="H215" s="15"/>
      <c r="I215" s="11"/>
      <c r="J215" s="8"/>
    </row>
    <row r="216" spans="2:10" x14ac:dyDescent="0.25">
      <c r="B216" s="52"/>
      <c r="C216" s="62"/>
      <c r="D216" s="65"/>
      <c r="E216" s="65"/>
      <c r="F216" s="63"/>
      <c r="G216" s="2"/>
      <c r="H216" s="15"/>
      <c r="I216" s="11"/>
      <c r="J216" s="8"/>
    </row>
    <row r="217" spans="2:10" x14ac:dyDescent="0.25">
      <c r="B217" s="55" t="s">
        <v>34</v>
      </c>
      <c r="C217" s="57"/>
      <c r="D217" s="58"/>
      <c r="E217" s="58"/>
      <c r="F217" s="56"/>
      <c r="H217" s="15"/>
      <c r="I217" s="11"/>
      <c r="J217" s="8"/>
    </row>
    <row r="218" spans="2:10" x14ac:dyDescent="0.25">
      <c r="B218" s="52" t="s">
        <v>22</v>
      </c>
      <c r="C218" s="57">
        <v>14070.602999999999</v>
      </c>
      <c r="D218" s="58">
        <v>1346.1849999999999</v>
      </c>
      <c r="E218" s="58">
        <v>619.70579999999995</v>
      </c>
      <c r="F218" s="56">
        <f t="shared" ref="F218:F229" si="6">SUM(C218:E218)</f>
        <v>16036.493799999998</v>
      </c>
      <c r="H218" s="15"/>
      <c r="I218" s="11"/>
      <c r="J218" s="8"/>
    </row>
    <row r="219" spans="2:10" x14ac:dyDescent="0.25">
      <c r="B219" s="52" t="s">
        <v>23</v>
      </c>
      <c r="C219" s="57">
        <v>13024.433000000001</v>
      </c>
      <c r="D219" s="58">
        <v>1217.9449999999999</v>
      </c>
      <c r="E219" s="58">
        <v>486.99099999999999</v>
      </c>
      <c r="F219" s="56">
        <f t="shared" si="6"/>
        <v>14729.369000000001</v>
      </c>
      <c r="H219" s="9"/>
      <c r="I219" s="11"/>
      <c r="J219" s="8"/>
    </row>
    <row r="220" spans="2:10" x14ac:dyDescent="0.25">
      <c r="B220" s="52" t="s">
        <v>24</v>
      </c>
      <c r="C220" s="57">
        <v>14521.927</v>
      </c>
      <c r="D220" s="58">
        <v>1302.385</v>
      </c>
      <c r="E220" s="58">
        <v>508.76400000000001</v>
      </c>
      <c r="F220" s="56">
        <f t="shared" si="6"/>
        <v>16333.075999999999</v>
      </c>
      <c r="H220" s="9"/>
      <c r="I220" s="11"/>
      <c r="J220" s="8"/>
    </row>
    <row r="221" spans="2:10" x14ac:dyDescent="0.25">
      <c r="B221" s="52" t="s">
        <v>14</v>
      </c>
      <c r="C221" s="57">
        <v>14043.107</v>
      </c>
      <c r="D221" s="58">
        <v>1180.527</v>
      </c>
      <c r="E221" s="58">
        <v>672.13400000000001</v>
      </c>
      <c r="F221" s="56">
        <f t="shared" si="6"/>
        <v>15895.768</v>
      </c>
      <c r="H221" s="17"/>
      <c r="I221" s="11"/>
      <c r="J221" s="8"/>
    </row>
    <row r="222" spans="2:10" x14ac:dyDescent="0.25">
      <c r="B222" s="52" t="s">
        <v>15</v>
      </c>
      <c r="C222" s="57">
        <v>14751</v>
      </c>
      <c r="D222" s="58">
        <v>1143</v>
      </c>
      <c r="E222" s="58">
        <v>730</v>
      </c>
      <c r="F222" s="56">
        <f t="shared" si="6"/>
        <v>16624</v>
      </c>
      <c r="H222" s="17"/>
      <c r="I222" s="11"/>
      <c r="J222" s="8"/>
    </row>
    <row r="223" spans="2:10" x14ac:dyDescent="0.25">
      <c r="B223" s="52" t="s">
        <v>25</v>
      </c>
      <c r="C223" s="57">
        <v>13297.415999999999</v>
      </c>
      <c r="D223" s="58">
        <v>1132.636</v>
      </c>
      <c r="E223" s="58">
        <v>747.66020000000003</v>
      </c>
      <c r="F223" s="56">
        <f t="shared" si="6"/>
        <v>15177.7122</v>
      </c>
      <c r="H223" s="17"/>
      <c r="I223" s="11"/>
      <c r="J223" s="8"/>
    </row>
    <row r="224" spans="2:10" x14ac:dyDescent="0.25">
      <c r="B224" s="52" t="s">
        <v>16</v>
      </c>
      <c r="C224" s="57">
        <v>14527.200999999999</v>
      </c>
      <c r="D224" s="58">
        <v>1162.162</v>
      </c>
      <c r="E224" s="58">
        <v>692.726</v>
      </c>
      <c r="F224" s="56">
        <f t="shared" si="6"/>
        <v>16382.089</v>
      </c>
      <c r="H224" s="17"/>
      <c r="I224" s="11"/>
      <c r="J224" s="8"/>
    </row>
    <row r="225" spans="2:10" x14ac:dyDescent="0.25">
      <c r="B225" s="52" t="s">
        <v>17</v>
      </c>
      <c r="C225" s="57">
        <v>14596.477999999999</v>
      </c>
      <c r="D225" s="58">
        <v>1216.8920000000001</v>
      </c>
      <c r="E225" s="58">
        <v>684.60400000000004</v>
      </c>
      <c r="F225" s="56">
        <f t="shared" si="6"/>
        <v>16497.973999999998</v>
      </c>
      <c r="H225" s="17"/>
      <c r="I225" s="11"/>
      <c r="J225" s="8"/>
    </row>
    <row r="226" spans="2:10" x14ac:dyDescent="0.25">
      <c r="B226" s="52" t="s">
        <v>18</v>
      </c>
      <c r="C226" s="57">
        <v>14387</v>
      </c>
      <c r="D226" s="58">
        <v>1061</v>
      </c>
      <c r="E226" s="58">
        <v>606</v>
      </c>
      <c r="F226" s="56">
        <f t="shared" si="6"/>
        <v>16054</v>
      </c>
      <c r="H226" s="17"/>
      <c r="I226" s="11"/>
      <c r="J226" s="8"/>
    </row>
    <row r="227" spans="2:10" x14ac:dyDescent="0.25">
      <c r="B227" s="52" t="s">
        <v>30</v>
      </c>
      <c r="C227" s="57">
        <v>14521.727000000001</v>
      </c>
      <c r="D227" s="58">
        <v>1432.8679999999999</v>
      </c>
      <c r="E227" s="58">
        <v>600.08399999999995</v>
      </c>
      <c r="F227" s="56">
        <f t="shared" si="6"/>
        <v>16554.679</v>
      </c>
      <c r="H227" s="17"/>
      <c r="I227" s="11"/>
      <c r="J227" s="8"/>
    </row>
    <row r="228" spans="2:10" x14ac:dyDescent="0.25">
      <c r="B228" s="52" t="s">
        <v>20</v>
      </c>
      <c r="C228" s="57">
        <v>14108.422</v>
      </c>
      <c r="D228" s="58">
        <v>1261.482</v>
      </c>
      <c r="E228" s="58">
        <v>662.47299999999996</v>
      </c>
      <c r="F228" s="56">
        <f t="shared" si="6"/>
        <v>16032.377</v>
      </c>
      <c r="H228" s="17"/>
      <c r="I228" s="11"/>
      <c r="J228" s="8"/>
    </row>
    <row r="229" spans="2:10" x14ac:dyDescent="0.25">
      <c r="B229" s="52" t="s">
        <v>21</v>
      </c>
      <c r="C229" s="57">
        <v>14371.218000000001</v>
      </c>
      <c r="D229" s="58">
        <v>1263.991</v>
      </c>
      <c r="E229" s="58">
        <v>666.17399999999998</v>
      </c>
      <c r="F229" s="56">
        <f t="shared" si="6"/>
        <v>16301.383000000002</v>
      </c>
      <c r="H229" s="17"/>
      <c r="I229" s="11"/>
      <c r="J229" s="8"/>
    </row>
    <row r="230" spans="2:10" x14ac:dyDescent="0.25">
      <c r="B230" s="52"/>
      <c r="C230" s="57"/>
      <c r="D230" s="58"/>
      <c r="E230" s="58"/>
      <c r="F230" s="56"/>
      <c r="H230" s="17"/>
      <c r="I230" s="11"/>
      <c r="J230" s="8"/>
    </row>
    <row r="231" spans="2:10" x14ac:dyDescent="0.25">
      <c r="B231" s="55" t="s">
        <v>37</v>
      </c>
      <c r="C231" s="57"/>
      <c r="D231" s="58"/>
      <c r="E231" s="58"/>
      <c r="F231" s="56"/>
      <c r="H231" s="17"/>
      <c r="I231" s="11"/>
      <c r="J231" s="8"/>
    </row>
    <row r="232" spans="2:10" x14ac:dyDescent="0.25">
      <c r="B232" s="52" t="s">
        <v>68</v>
      </c>
      <c r="C232" s="58">
        <f>SUM(C277:C279)</f>
        <v>50044.990999999995</v>
      </c>
      <c r="D232" s="58">
        <f>SUM(D277:D279)</f>
        <v>2849.2719999999999</v>
      </c>
      <c r="E232" s="58">
        <f>SUM(E277:E279)</f>
        <v>4713.5470000000005</v>
      </c>
      <c r="F232" s="58">
        <f>SUM(F277:F279)</f>
        <v>57607.810000000005</v>
      </c>
      <c r="H232" s="17"/>
      <c r="I232" s="11"/>
      <c r="J232" s="8"/>
    </row>
    <row r="233" spans="2:10" x14ac:dyDescent="0.25">
      <c r="B233" s="52" t="s">
        <v>26</v>
      </c>
      <c r="C233" s="57">
        <f>C280+C281+C282</f>
        <v>52807.7961</v>
      </c>
      <c r="D233" s="58">
        <f>D280+D281+D282</f>
        <v>3264.7249999999999</v>
      </c>
      <c r="E233" s="64">
        <f>E280+E281+E282</f>
        <v>4079.09</v>
      </c>
      <c r="F233" s="58">
        <f>F280+F281+F282</f>
        <v>60151.611100000002</v>
      </c>
      <c r="G233" s="1"/>
      <c r="H233" s="17"/>
      <c r="I233" s="11"/>
      <c r="J233" s="8"/>
    </row>
    <row r="234" spans="2:10" x14ac:dyDescent="0.25">
      <c r="B234" s="52" t="s">
        <v>10</v>
      </c>
      <c r="C234" s="58">
        <f>C283+C284+C285</f>
        <v>51841.846600000004</v>
      </c>
      <c r="D234" s="58">
        <f>D283+D284+D285</f>
        <v>4432.3560000000007</v>
      </c>
      <c r="E234" s="58">
        <f>E283+E284+E285</f>
        <v>2821.17211</v>
      </c>
      <c r="F234" s="68">
        <f>F283+F284+F285</f>
        <v>59095.374710000004</v>
      </c>
      <c r="G234" s="2"/>
      <c r="H234" s="17"/>
      <c r="I234" s="11"/>
      <c r="J234" s="8"/>
    </row>
    <row r="235" spans="2:10" s="28" customFormat="1" x14ac:dyDescent="0.25">
      <c r="B235" s="75" t="s">
        <v>12</v>
      </c>
      <c r="C235" s="76">
        <f>C286+C287+C288</f>
        <v>53534.797999999995</v>
      </c>
      <c r="D235" s="76">
        <f>D286+D287+D288</f>
        <v>4124.2690000000002</v>
      </c>
      <c r="E235" s="76">
        <f>E286+E287+E288</f>
        <v>3736.6588999999994</v>
      </c>
      <c r="F235" s="76">
        <f>F286+F287+F288</f>
        <v>61395.72589999999</v>
      </c>
      <c r="G235" s="7"/>
      <c r="H235" s="25"/>
      <c r="I235" s="26"/>
      <c r="J235" s="27"/>
    </row>
    <row r="236" spans="2:10" x14ac:dyDescent="0.25">
      <c r="B236" s="55" t="s">
        <v>35</v>
      </c>
      <c r="C236" s="57"/>
      <c r="D236" s="58"/>
      <c r="E236" s="58"/>
      <c r="F236" s="56"/>
      <c r="H236" s="17"/>
      <c r="I236" s="11"/>
      <c r="J236" s="8"/>
    </row>
    <row r="237" spans="2:10" x14ac:dyDescent="0.25">
      <c r="B237" s="52" t="s">
        <v>22</v>
      </c>
      <c r="C237" s="57">
        <v>14122.183999999999</v>
      </c>
      <c r="D237" s="58">
        <v>1344.893</v>
      </c>
      <c r="E237" s="58">
        <v>736.34100000000001</v>
      </c>
      <c r="F237" s="56">
        <f t="shared" ref="F237:F248" si="7">SUM(C237:E237)</f>
        <v>16203.418</v>
      </c>
      <c r="H237" s="17"/>
      <c r="I237" s="11"/>
      <c r="J237" s="8"/>
    </row>
    <row r="238" spans="2:10" x14ac:dyDescent="0.25">
      <c r="B238" s="52" t="s">
        <v>23</v>
      </c>
      <c r="C238" s="57">
        <v>13372.107</v>
      </c>
      <c r="D238" s="58">
        <v>1230.989</v>
      </c>
      <c r="E238" s="58">
        <v>892.51700000000005</v>
      </c>
      <c r="F238" s="56">
        <f t="shared" si="7"/>
        <v>15495.612999999999</v>
      </c>
      <c r="H238" s="17"/>
      <c r="I238" s="11"/>
      <c r="J238" s="8"/>
    </row>
    <row r="239" spans="2:10" x14ac:dyDescent="0.25">
      <c r="B239" s="52" t="s">
        <v>24</v>
      </c>
      <c r="C239" s="57">
        <v>14679.373</v>
      </c>
      <c r="D239" s="58">
        <v>1063.8889999999999</v>
      </c>
      <c r="E239" s="58">
        <v>1033.9690000000001</v>
      </c>
      <c r="F239" s="56">
        <f t="shared" si="7"/>
        <v>16777.231</v>
      </c>
      <c r="H239" s="17"/>
      <c r="I239" s="11"/>
      <c r="J239" s="8"/>
    </row>
    <row r="240" spans="2:10" x14ac:dyDescent="0.25">
      <c r="B240" s="52" t="s">
        <v>14</v>
      </c>
      <c r="C240" s="57">
        <v>15126.401</v>
      </c>
      <c r="D240" s="58">
        <v>771.73199999999997</v>
      </c>
      <c r="E240" s="58">
        <v>1084.6420000000001</v>
      </c>
      <c r="F240" s="56">
        <f t="shared" si="7"/>
        <v>16982.775000000001</v>
      </c>
      <c r="H240" s="17"/>
      <c r="I240" s="11"/>
      <c r="J240" s="8"/>
    </row>
    <row r="241" spans="2:10" x14ac:dyDescent="0.25">
      <c r="B241" s="52" t="s">
        <v>15</v>
      </c>
      <c r="C241" s="57">
        <v>15617.891</v>
      </c>
      <c r="D241" s="58">
        <v>843.48900000000003</v>
      </c>
      <c r="E241" s="58">
        <v>1068.557</v>
      </c>
      <c r="F241" s="56">
        <f t="shared" si="7"/>
        <v>17529.937000000002</v>
      </c>
      <c r="H241" s="17"/>
      <c r="I241" s="11"/>
      <c r="J241" s="8"/>
    </row>
    <row r="242" spans="2:10" x14ac:dyDescent="0.25">
      <c r="B242" s="52" t="s">
        <v>25</v>
      </c>
      <c r="C242" s="57">
        <v>15370.027</v>
      </c>
      <c r="D242" s="58">
        <v>1243.3989999999999</v>
      </c>
      <c r="E242" s="58">
        <v>512.28800000000001</v>
      </c>
      <c r="F242" s="56">
        <f t="shared" si="7"/>
        <v>17125.714</v>
      </c>
      <c r="H242" s="15"/>
      <c r="I242" s="11"/>
      <c r="J242" s="8"/>
    </row>
    <row r="243" spans="2:10" x14ac:dyDescent="0.25">
      <c r="B243" s="52" t="s">
        <v>16</v>
      </c>
      <c r="C243" s="57">
        <v>15757.120999999999</v>
      </c>
      <c r="D243" s="58">
        <v>1116.383</v>
      </c>
      <c r="E243" s="58">
        <v>800.76599999999996</v>
      </c>
      <c r="F243" s="56">
        <f t="shared" si="7"/>
        <v>17674.27</v>
      </c>
      <c r="H243" s="17"/>
      <c r="I243" s="11"/>
      <c r="J243" s="8"/>
    </row>
    <row r="244" spans="2:10" x14ac:dyDescent="0.25">
      <c r="B244" s="52" t="s">
        <v>17</v>
      </c>
      <c r="C244" s="57">
        <v>16205.876</v>
      </c>
      <c r="D244" s="58">
        <v>1147.2249999999999</v>
      </c>
      <c r="E244" s="58">
        <v>695.62</v>
      </c>
      <c r="F244" s="56">
        <f t="shared" si="7"/>
        <v>18048.720999999998</v>
      </c>
      <c r="H244" s="17"/>
      <c r="I244" s="11"/>
      <c r="J244" s="8"/>
    </row>
    <row r="245" spans="2:10" x14ac:dyDescent="0.25">
      <c r="B245" s="52" t="s">
        <v>18</v>
      </c>
      <c r="C245" s="57">
        <v>15669.245000000001</v>
      </c>
      <c r="D245" s="58">
        <v>1159.8969999999999</v>
      </c>
      <c r="E245" s="58">
        <v>624.71900000000005</v>
      </c>
      <c r="F245" s="56">
        <f t="shared" si="7"/>
        <v>17453.861000000001</v>
      </c>
      <c r="H245" s="17"/>
      <c r="I245" s="11"/>
      <c r="J245" s="8"/>
    </row>
    <row r="246" spans="2:10" x14ac:dyDescent="0.25">
      <c r="B246" s="52" t="s">
        <v>30</v>
      </c>
      <c r="C246" s="57">
        <v>16007.285</v>
      </c>
      <c r="D246" s="58">
        <v>926.64099999999996</v>
      </c>
      <c r="E246" s="58">
        <v>838.95</v>
      </c>
      <c r="F246" s="56">
        <f t="shared" si="7"/>
        <v>17772.876</v>
      </c>
      <c r="H246" s="17"/>
      <c r="I246" s="11"/>
      <c r="J246" s="8"/>
    </row>
    <row r="247" spans="2:10" x14ac:dyDescent="0.25">
      <c r="B247" s="52" t="s">
        <v>20</v>
      </c>
      <c r="C247" s="57">
        <v>16034.53</v>
      </c>
      <c r="D247" s="58">
        <v>729.27200000000005</v>
      </c>
      <c r="E247" s="58">
        <v>844.49699999999996</v>
      </c>
      <c r="F247" s="56">
        <f t="shared" si="7"/>
        <v>17608.298999999999</v>
      </c>
      <c r="H247" s="9"/>
      <c r="I247" s="11"/>
      <c r="J247" s="8"/>
    </row>
    <row r="248" spans="2:10" x14ac:dyDescent="0.25">
      <c r="B248" s="52" t="s">
        <v>21</v>
      </c>
      <c r="C248" s="57">
        <v>15961.964</v>
      </c>
      <c r="D248" s="58">
        <v>1089.941</v>
      </c>
      <c r="E248" s="58">
        <v>703.80200000000002</v>
      </c>
      <c r="F248" s="56">
        <f t="shared" si="7"/>
        <v>17755.706999999999</v>
      </c>
      <c r="H248" s="17"/>
      <c r="I248" s="11"/>
      <c r="J248" s="8"/>
    </row>
    <row r="249" spans="2:10" x14ac:dyDescent="0.25">
      <c r="B249" s="52"/>
      <c r="C249" s="57"/>
      <c r="D249" s="58"/>
      <c r="E249" s="58"/>
      <c r="F249" s="56"/>
      <c r="H249" s="17"/>
      <c r="I249" s="11"/>
      <c r="J249" s="8"/>
    </row>
    <row r="250" spans="2:10" x14ac:dyDescent="0.25">
      <c r="B250" s="55" t="s">
        <v>38</v>
      </c>
      <c r="C250" s="57"/>
      <c r="D250" s="58"/>
      <c r="E250" s="58"/>
      <c r="F250" s="56"/>
      <c r="H250" s="17"/>
      <c r="I250" s="11"/>
      <c r="J250" s="8"/>
    </row>
    <row r="251" spans="2:10" x14ac:dyDescent="0.25">
      <c r="B251" s="52" t="s">
        <v>68</v>
      </c>
      <c r="C251" s="57">
        <f>SUM(C319:C321)</f>
        <v>55642.762000000002</v>
      </c>
      <c r="D251" s="64">
        <f>SUM(D319:D321)</f>
        <v>3448.2330000000002</v>
      </c>
      <c r="E251" s="64">
        <f>SUM(E319:E321)</f>
        <v>4117.0132000000003</v>
      </c>
      <c r="F251" s="58">
        <f>SUM(F319:F321)</f>
        <v>63208.008199999997</v>
      </c>
      <c r="G251" s="1"/>
      <c r="H251" s="17"/>
      <c r="I251" s="11"/>
      <c r="J251" s="8"/>
    </row>
    <row r="252" spans="2:10" x14ac:dyDescent="0.25">
      <c r="B252" s="52" t="s">
        <v>26</v>
      </c>
      <c r="C252" s="58">
        <f>SUM(C322:C324)</f>
        <v>56624.986499999992</v>
      </c>
      <c r="D252" s="58">
        <f>SUM(D322:D324)</f>
        <v>3598.0985999999998</v>
      </c>
      <c r="E252" s="58">
        <f>SUM(E322:E324)</f>
        <v>4918.7769719999997</v>
      </c>
      <c r="F252" s="58">
        <f>SUM(F322:F324)</f>
        <v>65141.862071999989</v>
      </c>
      <c r="G252" s="2"/>
      <c r="H252" s="17"/>
      <c r="I252" s="11"/>
      <c r="J252" s="8"/>
    </row>
    <row r="253" spans="2:10" x14ac:dyDescent="0.25">
      <c r="B253" s="52" t="s">
        <v>61</v>
      </c>
      <c r="C253" s="58">
        <f>SUM(C325:C327)</f>
        <v>49714.147000000004</v>
      </c>
      <c r="D253" s="58">
        <f>SUM(D325:D327)</f>
        <v>4240.9459999999999</v>
      </c>
      <c r="E253" s="58">
        <f>SUM(E325:E327)</f>
        <v>4617.3226400000003</v>
      </c>
      <c r="F253" s="58">
        <f>SUM(F325:F327)</f>
        <v>58572.415640000007</v>
      </c>
      <c r="G253" s="2"/>
      <c r="H253" s="17"/>
      <c r="I253" s="11"/>
      <c r="J253" s="8"/>
    </row>
    <row r="254" spans="2:10" x14ac:dyDescent="0.25">
      <c r="B254" s="75" t="s">
        <v>12</v>
      </c>
      <c r="C254" s="58">
        <f>SUM(C328:C330)</f>
        <v>48519.833500000001</v>
      </c>
      <c r="D254" s="58">
        <f>SUM(D328:D330)</f>
        <v>3862.8700000000003</v>
      </c>
      <c r="E254" s="58">
        <f>SUM(E328:E330)</f>
        <v>5000.4080000000004</v>
      </c>
      <c r="F254" s="58">
        <f>SUM(F328:F330)</f>
        <v>57383.111499999999</v>
      </c>
      <c r="G254" s="2"/>
      <c r="H254" s="17"/>
      <c r="I254" s="11"/>
      <c r="J254" s="8"/>
    </row>
    <row r="255" spans="2:10" x14ac:dyDescent="0.25">
      <c r="B255" s="52"/>
      <c r="C255" s="57"/>
      <c r="D255" s="58"/>
      <c r="E255" s="58"/>
      <c r="F255" s="56"/>
      <c r="H255" s="17"/>
      <c r="I255" s="11"/>
      <c r="J255" s="8"/>
    </row>
    <row r="256" spans="2:10" x14ac:dyDescent="0.25">
      <c r="B256" s="55" t="s">
        <v>39</v>
      </c>
      <c r="C256" s="57"/>
      <c r="D256" s="58"/>
      <c r="E256" s="58"/>
      <c r="F256" s="56"/>
      <c r="H256" s="17"/>
      <c r="I256" s="11"/>
      <c r="J256" s="8"/>
    </row>
    <row r="257" spans="2:10" x14ac:dyDescent="0.25">
      <c r="B257" s="52" t="s">
        <v>69</v>
      </c>
      <c r="C257" s="58">
        <f>SUM(C333:C335)</f>
        <v>55413.986499999999</v>
      </c>
      <c r="D257" s="58">
        <f>SUM(D333:D335)</f>
        <v>3413.5509999999995</v>
      </c>
      <c r="E257" s="58">
        <f>SUM(E333:E335)</f>
        <v>4578.7329000000009</v>
      </c>
      <c r="F257" s="58">
        <f>SUM(F333:F335)</f>
        <v>63406.270399999994</v>
      </c>
      <c r="G257" s="1"/>
      <c r="H257" s="17"/>
      <c r="I257" s="11"/>
      <c r="J257" s="8"/>
    </row>
    <row r="258" spans="2:10" x14ac:dyDescent="0.25">
      <c r="B258" s="52" t="s">
        <v>26</v>
      </c>
      <c r="C258" s="58">
        <f>SUM(C336:C338)</f>
        <v>56587.966</v>
      </c>
      <c r="D258" s="58">
        <f>SUM(D336:D338)</f>
        <v>3565.9950000000003</v>
      </c>
      <c r="E258" s="58">
        <f>SUM(E336:E338)</f>
        <v>4789.0205999999998</v>
      </c>
      <c r="F258" s="58">
        <f>SUM(F339:F341)</f>
        <v>58293.265999999996</v>
      </c>
      <c r="G258" s="2"/>
      <c r="H258" s="17"/>
      <c r="I258" s="11"/>
      <c r="J258" s="8"/>
    </row>
    <row r="259" spans="2:10" x14ac:dyDescent="0.25">
      <c r="B259" s="52" t="s">
        <v>61</v>
      </c>
      <c r="C259" s="58">
        <f>SUM(C339:C341)</f>
        <v>50504.752999999997</v>
      </c>
      <c r="D259" s="58">
        <f>SUM(D339:D341)</f>
        <v>3941.3109999999997</v>
      </c>
      <c r="E259" s="58">
        <f>SUM(E339:E341)</f>
        <v>3847.2020000000002</v>
      </c>
      <c r="F259" s="58">
        <f>SUM(F339:F341)</f>
        <v>58293.265999999996</v>
      </c>
      <c r="G259" s="2"/>
      <c r="H259" s="17"/>
      <c r="I259" s="11"/>
      <c r="J259" s="8"/>
    </row>
    <row r="260" spans="2:10" x14ac:dyDescent="0.25">
      <c r="B260" s="52" t="s">
        <v>11</v>
      </c>
      <c r="C260" s="58">
        <f>SUM(C342:C344)</f>
        <v>50185.365000000005</v>
      </c>
      <c r="D260" s="58">
        <f>SUM(D342:D344)</f>
        <v>3811.0439999999999</v>
      </c>
      <c r="E260" s="58">
        <f>SUM(E342:E344)</f>
        <v>3897.8528999999999</v>
      </c>
      <c r="F260" s="58">
        <f>SUM(F342:F344)</f>
        <v>57894.261899999998</v>
      </c>
      <c r="G260" s="2"/>
      <c r="H260" s="17"/>
      <c r="I260" s="11"/>
      <c r="J260" s="8"/>
    </row>
    <row r="261" spans="2:10" x14ac:dyDescent="0.25">
      <c r="B261" s="52"/>
      <c r="C261" s="57"/>
      <c r="D261" s="58"/>
      <c r="E261" s="58"/>
      <c r="F261" s="56"/>
      <c r="H261" s="17"/>
      <c r="I261" s="11"/>
      <c r="J261" s="8"/>
    </row>
    <row r="262" spans="2:10" x14ac:dyDescent="0.25">
      <c r="B262" s="55" t="s">
        <v>36</v>
      </c>
      <c r="C262" s="57"/>
      <c r="D262" s="58"/>
      <c r="E262" s="58"/>
      <c r="F262" s="56"/>
      <c r="H262" s="17"/>
      <c r="I262" s="11"/>
      <c r="J262" s="8"/>
    </row>
    <row r="263" spans="2:10" x14ac:dyDescent="0.25">
      <c r="B263" s="52" t="s">
        <v>22</v>
      </c>
      <c r="C263" s="57">
        <v>15961</v>
      </c>
      <c r="D263" s="58">
        <v>890.78700000000003</v>
      </c>
      <c r="E263" s="58">
        <v>905.96400000000006</v>
      </c>
      <c r="F263" s="56">
        <f t="shared" ref="F263:F274" si="8">SUM(C263:E263)</f>
        <v>17757.751</v>
      </c>
      <c r="H263" s="17"/>
      <c r="I263" s="11"/>
      <c r="J263" s="8"/>
    </row>
    <row r="264" spans="2:10" x14ac:dyDescent="0.25">
      <c r="B264" s="52" t="s">
        <v>23</v>
      </c>
      <c r="C264" s="57">
        <v>13740.614</v>
      </c>
      <c r="D264" s="58">
        <v>1342.2539999999999</v>
      </c>
      <c r="E264" s="58">
        <v>911.30799999999999</v>
      </c>
      <c r="F264" s="56">
        <f t="shared" si="8"/>
        <v>15994.175999999999</v>
      </c>
      <c r="H264" s="17"/>
      <c r="I264" s="11"/>
      <c r="J264" s="8"/>
    </row>
    <row r="265" spans="2:10" x14ac:dyDescent="0.25">
      <c r="B265" s="52" t="s">
        <v>24</v>
      </c>
      <c r="C265" s="57">
        <v>16046.489</v>
      </c>
      <c r="D265" s="58">
        <v>1290.6300000000001</v>
      </c>
      <c r="E265" s="58">
        <v>1153.5350000000001</v>
      </c>
      <c r="F265" s="56">
        <f t="shared" si="8"/>
        <v>18490.653999999999</v>
      </c>
      <c r="H265" s="17"/>
      <c r="I265" s="11"/>
      <c r="J265" s="8"/>
    </row>
    <row r="266" spans="2:10" x14ac:dyDescent="0.25">
      <c r="B266" s="52" t="s">
        <v>14</v>
      </c>
      <c r="C266" s="57">
        <v>14140.269</v>
      </c>
      <c r="D266" s="58">
        <v>1468.53</v>
      </c>
      <c r="E266" s="58">
        <v>1224.057</v>
      </c>
      <c r="F266" s="56">
        <f t="shared" si="8"/>
        <v>16832.856</v>
      </c>
      <c r="H266" s="17"/>
      <c r="I266" s="11"/>
      <c r="J266" s="8"/>
    </row>
    <row r="267" spans="2:10" x14ac:dyDescent="0.25">
      <c r="B267" s="52" t="s">
        <v>15</v>
      </c>
      <c r="C267" s="57">
        <v>15476.040999999999</v>
      </c>
      <c r="D267" s="58">
        <v>1656.1320000000001</v>
      </c>
      <c r="E267" s="58">
        <v>1301.26</v>
      </c>
      <c r="F267" s="56">
        <f t="shared" si="8"/>
        <v>18433.432999999997</v>
      </c>
      <c r="H267" s="17"/>
      <c r="I267" s="11"/>
      <c r="J267" s="8"/>
    </row>
    <row r="268" spans="2:10" x14ac:dyDescent="0.25">
      <c r="B268" s="52" t="s">
        <v>25</v>
      </c>
      <c r="C268" s="57">
        <v>14952.927</v>
      </c>
      <c r="D268" s="58">
        <v>1534.2090000000001</v>
      </c>
      <c r="E268" s="58">
        <v>862.54100000000005</v>
      </c>
      <c r="F268" s="56">
        <f t="shared" si="8"/>
        <v>17349.677</v>
      </c>
      <c r="H268" s="17"/>
      <c r="I268" s="11"/>
      <c r="J268" s="8"/>
    </row>
    <row r="269" spans="2:10" x14ac:dyDescent="0.25">
      <c r="B269" s="52" t="s">
        <v>16</v>
      </c>
      <c r="C269" s="57">
        <v>15618.200999999999</v>
      </c>
      <c r="D269" s="58">
        <v>1565.979</v>
      </c>
      <c r="E269" s="58">
        <v>719.50300000000004</v>
      </c>
      <c r="F269" s="56">
        <f t="shared" si="8"/>
        <v>17903.683000000001</v>
      </c>
      <c r="H269" s="17"/>
      <c r="I269" s="11"/>
      <c r="J269" s="8"/>
    </row>
    <row r="270" spans="2:10" x14ac:dyDescent="0.25">
      <c r="B270" s="52" t="s">
        <v>17</v>
      </c>
      <c r="C270" s="57">
        <f>15253.886+697.8</f>
        <v>15951.686</v>
      </c>
      <c r="D270" s="58">
        <v>1555.8910000000001</v>
      </c>
      <c r="E270" s="58">
        <v>748.16300000000001</v>
      </c>
      <c r="F270" s="56">
        <f t="shared" si="8"/>
        <v>18255.740000000002</v>
      </c>
      <c r="H270" s="17"/>
      <c r="I270" s="11"/>
      <c r="J270" s="8"/>
    </row>
    <row r="271" spans="2:10" x14ac:dyDescent="0.25">
      <c r="B271" s="52" t="s">
        <v>18</v>
      </c>
      <c r="C271" s="57">
        <f>11907.408+870.54</f>
        <v>12777.948</v>
      </c>
      <c r="D271" s="58">
        <v>1295.92</v>
      </c>
      <c r="E271" s="58">
        <v>1111.1600000000001</v>
      </c>
      <c r="F271" s="56">
        <f t="shared" si="8"/>
        <v>15185.028</v>
      </c>
      <c r="H271" s="19"/>
      <c r="I271" s="11"/>
      <c r="J271" s="8"/>
    </row>
    <row r="272" spans="2:10" ht="15.75" customHeight="1" x14ac:dyDescent="0.25">
      <c r="B272" s="52" t="s">
        <v>30</v>
      </c>
      <c r="C272" s="57">
        <f>11342.325+908.55</f>
        <v>12250.875</v>
      </c>
      <c r="D272" s="58">
        <v>1340.549</v>
      </c>
      <c r="E272" s="58">
        <v>1473.2449999999999</v>
      </c>
      <c r="F272" s="56">
        <f t="shared" si="8"/>
        <v>15064.668999999998</v>
      </c>
      <c r="H272" s="19"/>
      <c r="I272" s="11"/>
      <c r="J272" s="8"/>
    </row>
    <row r="273" spans="2:10" x14ac:dyDescent="0.25">
      <c r="B273" s="52" t="s">
        <v>20</v>
      </c>
      <c r="C273" s="57">
        <f>12965.319+785.25</f>
        <v>13750.569</v>
      </c>
      <c r="D273" s="58">
        <v>1399.367</v>
      </c>
      <c r="E273" s="58">
        <v>1409.454</v>
      </c>
      <c r="F273" s="56">
        <f t="shared" si="8"/>
        <v>16559.39</v>
      </c>
      <c r="H273" s="19"/>
      <c r="I273" s="11"/>
      <c r="J273" s="8"/>
    </row>
    <row r="274" spans="2:10" x14ac:dyDescent="0.25">
      <c r="B274" s="52" t="s">
        <v>21</v>
      </c>
      <c r="C274" s="68">
        <f>14891.122+1106.7</f>
        <v>15997.822</v>
      </c>
      <c r="D274" s="58">
        <v>1363.479</v>
      </c>
      <c r="E274" s="58">
        <v>1512.5409999999999</v>
      </c>
      <c r="F274" s="56">
        <f t="shared" si="8"/>
        <v>18873.842000000001</v>
      </c>
      <c r="H274" s="19"/>
      <c r="I274" s="11"/>
      <c r="J274" s="8"/>
    </row>
    <row r="275" spans="2:10" x14ac:dyDescent="0.25">
      <c r="B275" s="43"/>
      <c r="C275" s="68"/>
      <c r="D275" s="58"/>
      <c r="E275" s="58"/>
      <c r="F275" s="56"/>
      <c r="G275" s="24"/>
      <c r="H275" s="21"/>
      <c r="I275" s="22"/>
      <c r="J275" s="20">
        <v>1178.22</v>
      </c>
    </row>
    <row r="276" spans="2:10" x14ac:dyDescent="0.25">
      <c r="B276" s="55" t="s">
        <v>37</v>
      </c>
      <c r="C276" s="68"/>
      <c r="D276" s="58"/>
      <c r="E276" s="58"/>
      <c r="F276" s="56"/>
      <c r="H276" s="19"/>
      <c r="I276" s="11"/>
      <c r="J276" s="8"/>
    </row>
    <row r="277" spans="2:10" x14ac:dyDescent="0.25">
      <c r="B277" s="52" t="s">
        <v>22</v>
      </c>
      <c r="C277" s="68">
        <f>(3522.32+4919.814+2006.661+5373+1178.22-639.709)</f>
        <v>16360.305999999999</v>
      </c>
      <c r="D277" s="58">
        <f>(330.58+639.709)</f>
        <v>970.28899999999999</v>
      </c>
      <c r="E277" s="58">
        <f>1070.685+506.97+252.015+119.208</f>
        <v>1948.8780000000002</v>
      </c>
      <c r="F277" s="56">
        <f t="shared" ref="F277:F288" si="9">SUM(C277:E277)</f>
        <v>19279.472999999998</v>
      </c>
      <c r="H277" s="19"/>
      <c r="I277" s="11"/>
      <c r="J277" s="8"/>
    </row>
    <row r="278" spans="2:10" x14ac:dyDescent="0.25">
      <c r="B278" s="52" t="s">
        <v>23</v>
      </c>
      <c r="C278" s="68">
        <f>3686.855+4200.04+4954+2019.699+1248.76-559.691</f>
        <v>15549.663</v>
      </c>
      <c r="D278" s="58">
        <f>307.204+559.691</f>
        <v>866.89499999999998</v>
      </c>
      <c r="E278" s="58">
        <f>516.39+147.195+107.913+542.813</f>
        <v>1314.3110000000001</v>
      </c>
      <c r="F278" s="56">
        <f t="shared" si="9"/>
        <v>17730.869000000002</v>
      </c>
      <c r="H278" s="19"/>
      <c r="I278" s="11"/>
      <c r="J278" s="8"/>
    </row>
    <row r="279" spans="2:10" x14ac:dyDescent="0.25">
      <c r="B279" s="52" t="s">
        <v>24</v>
      </c>
      <c r="C279" s="68">
        <f>4297.02+5179.083+6070+2256.675+1008.88-676.636</f>
        <v>18135.022000000001</v>
      </c>
      <c r="D279" s="58">
        <f>335.452+676.636</f>
        <v>1012.088</v>
      </c>
      <c r="E279" s="58">
        <f>615.52+257.565+102.432+474.841</f>
        <v>1450.3580000000002</v>
      </c>
      <c r="F279" s="56">
        <f t="shared" si="9"/>
        <v>20597.468000000001</v>
      </c>
      <c r="H279" s="19"/>
      <c r="I279" s="11"/>
      <c r="J279" s="8"/>
    </row>
    <row r="280" spans="2:10" x14ac:dyDescent="0.25">
      <c r="B280" s="52" t="s">
        <v>14</v>
      </c>
      <c r="C280" s="68">
        <f>(4495.89+4212.2518+5961+2208.5+959.62-667.154)</f>
        <v>17170.107800000002</v>
      </c>
      <c r="D280" s="58">
        <f>(310.686+667.154)</f>
        <v>977.83999999999992</v>
      </c>
      <c r="E280" s="58">
        <f>(587.84+166.335+110.976+463.188)</f>
        <v>1328.3389999999999</v>
      </c>
      <c r="F280" s="56">
        <f t="shared" si="9"/>
        <v>19476.286800000002</v>
      </c>
      <c r="H280" s="19"/>
      <c r="I280" s="11"/>
      <c r="J280" s="8"/>
    </row>
    <row r="281" spans="2:10" x14ac:dyDescent="0.25">
      <c r="B281" s="52" t="s">
        <v>15</v>
      </c>
      <c r="C281" s="68">
        <f>(4727.86+4303.1603+6411+2225.307+826.24-663.055)</f>
        <v>17830.512300000002</v>
      </c>
      <c r="D281" s="58">
        <f>(337.63+663.055)</f>
        <v>1000.6849999999999</v>
      </c>
      <c r="E281" s="58">
        <f>(565.946+246.435+118.116+598.772)</f>
        <v>1529.2690000000002</v>
      </c>
      <c r="F281" s="56">
        <f t="shared" si="9"/>
        <v>20360.466300000004</v>
      </c>
      <c r="H281" s="19"/>
      <c r="I281" s="11"/>
      <c r="J281" s="8"/>
    </row>
    <row r="282" spans="2:10" x14ac:dyDescent="0.25">
      <c r="B282" s="52" t="s">
        <v>25</v>
      </c>
      <c r="C282" s="68">
        <f>(5834.57+3834.784+2157.399+6578+401.15-998.727)</f>
        <v>17807.175999999999</v>
      </c>
      <c r="D282" s="58">
        <v>1286.2</v>
      </c>
      <c r="E282" s="58">
        <f>578.393+409.49+104.655+128.944</f>
        <v>1221.482</v>
      </c>
      <c r="F282" s="56">
        <f t="shared" si="9"/>
        <v>20314.858</v>
      </c>
      <c r="H282" s="19"/>
      <c r="I282" s="11"/>
      <c r="J282" s="8"/>
    </row>
    <row r="283" spans="2:10" x14ac:dyDescent="0.25">
      <c r="B283" s="52" t="s">
        <v>16</v>
      </c>
      <c r="C283" s="72">
        <f>(6402.38+3317.9566+2144.813+6778+345.98-1135.582)</f>
        <v>17853.547600000002</v>
      </c>
      <c r="D283" s="58">
        <f>1135.582+346.72</f>
        <v>1482.3020000000001</v>
      </c>
      <c r="E283" s="72">
        <f>345.2211+66.615+133.548+538.453</f>
        <v>1083.8371</v>
      </c>
      <c r="F283" s="51">
        <f t="shared" si="9"/>
        <v>20419.686700000002</v>
      </c>
      <c r="H283" s="19"/>
      <c r="I283" s="11"/>
      <c r="J283" s="8"/>
    </row>
    <row r="284" spans="2:10" x14ac:dyDescent="0.25">
      <c r="B284" s="52" t="s">
        <v>17</v>
      </c>
      <c r="C284" s="77">
        <f>7295.75+1636.2+6193+2422.485+754.97-1131.218</f>
        <v>17171.187000000002</v>
      </c>
      <c r="D284" s="32">
        <f>1131.218+331.62</f>
        <v>1462.8380000000002</v>
      </c>
      <c r="E284" s="43">
        <f>273.641+79.185+126.048+473.575</f>
        <v>952.44900000000007</v>
      </c>
      <c r="F284" s="51">
        <f t="shared" si="9"/>
        <v>19586.474000000002</v>
      </c>
      <c r="H284" s="19"/>
      <c r="I284" s="11"/>
      <c r="J284" s="8"/>
    </row>
    <row r="285" spans="2:10" x14ac:dyDescent="0.25">
      <c r="B285" s="52" t="s">
        <v>18</v>
      </c>
      <c r="C285" s="77">
        <f>8317.28+0+5823+2147.541+861.06+653.758-985.527</f>
        <v>16817.112000000001</v>
      </c>
      <c r="D285" s="32">
        <f>1131.218+355.998</f>
        <v>1487.2160000000001</v>
      </c>
      <c r="E285" s="43">
        <f>308.34801+70.905+109.848+295.785</f>
        <v>784.88601000000006</v>
      </c>
      <c r="F285" s="51">
        <f t="shared" si="9"/>
        <v>19089.21401</v>
      </c>
      <c r="H285" s="19"/>
      <c r="I285" s="11"/>
      <c r="J285" s="8"/>
    </row>
    <row r="286" spans="2:10" x14ac:dyDescent="0.25">
      <c r="B286" s="52" t="s">
        <v>30</v>
      </c>
      <c r="C286" s="77">
        <f>5058.55+0+5966+2370.475+355.3+1900.159-1009.364</f>
        <v>14641.119999999999</v>
      </c>
      <c r="D286" s="32">
        <f>1009.364+367.388</f>
        <v>1376.752</v>
      </c>
      <c r="E286" s="43">
        <f>307.1103+32.625+121.224+815.265</f>
        <v>1276.2242999999999</v>
      </c>
      <c r="F286" s="51">
        <f t="shared" si="9"/>
        <v>17294.096299999997</v>
      </c>
      <c r="H286" s="19"/>
      <c r="I286" s="11"/>
      <c r="J286" s="8"/>
    </row>
    <row r="287" spans="2:10" x14ac:dyDescent="0.25">
      <c r="B287" s="52" t="s">
        <v>20</v>
      </c>
      <c r="C287" s="77">
        <f>4144.31+3798.48+6384+1765.374+1049.58+3837.94-908.564</f>
        <v>20071.12</v>
      </c>
      <c r="D287" s="32">
        <f>466.942+908.564</f>
        <v>1375.5059999999999</v>
      </c>
      <c r="E287" s="43">
        <f>349.646+36.96+127.692+776.851</f>
        <v>1291.1489999999999</v>
      </c>
      <c r="F287" s="51">
        <f t="shared" si="9"/>
        <v>22737.775000000001</v>
      </c>
      <c r="H287" s="19"/>
      <c r="I287" s="11"/>
      <c r="J287" s="8"/>
    </row>
    <row r="288" spans="2:10" x14ac:dyDescent="0.25">
      <c r="B288" s="52" t="s">
        <v>21</v>
      </c>
      <c r="C288" s="77">
        <f>3987.45+4324.11+7011+2197.649+936.69+1217.986-852.327</f>
        <v>18822.557999999997</v>
      </c>
      <c r="D288" s="32">
        <f>852.327+519.684</f>
        <v>1372.011</v>
      </c>
      <c r="E288" s="43">
        <f>402.2886+85.545+73.248+608.204</f>
        <v>1169.2855999999999</v>
      </c>
      <c r="F288" s="51">
        <f t="shared" si="9"/>
        <v>21363.854599999995</v>
      </c>
      <c r="H288" s="19"/>
      <c r="I288" s="11"/>
      <c r="J288" s="8"/>
    </row>
    <row r="289" spans="2:10" x14ac:dyDescent="0.25">
      <c r="B289" s="52"/>
      <c r="C289" s="77"/>
      <c r="D289" s="32"/>
      <c r="E289" s="43"/>
      <c r="F289" s="51"/>
      <c r="H289" s="19"/>
      <c r="I289" s="11"/>
      <c r="J289" s="8"/>
    </row>
    <row r="290" spans="2:10" x14ac:dyDescent="0.25">
      <c r="B290" s="55" t="s">
        <v>40</v>
      </c>
      <c r="C290" s="77"/>
      <c r="D290" s="32"/>
      <c r="E290" s="43"/>
      <c r="F290" s="51"/>
      <c r="H290" s="19"/>
      <c r="I290" s="11"/>
      <c r="J290" s="8"/>
    </row>
    <row r="291" spans="2:10" x14ac:dyDescent="0.25">
      <c r="B291" s="52" t="s">
        <v>69</v>
      </c>
      <c r="C291" s="78">
        <f>SUM(C347:C349)</f>
        <v>51160.862000000008</v>
      </c>
      <c r="D291" s="78">
        <f>SUM(D347:D349)</f>
        <v>3400.3599999999997</v>
      </c>
      <c r="E291" s="78">
        <f>SUM(E347:E349)</f>
        <v>4054.2561999999998</v>
      </c>
      <c r="F291" s="78">
        <f>SUM(F347:F349)</f>
        <v>58615.478200000005</v>
      </c>
      <c r="H291" s="19"/>
      <c r="I291" s="11"/>
      <c r="J291" s="8"/>
    </row>
    <row r="292" spans="2:10" x14ac:dyDescent="0.25">
      <c r="B292" s="85" t="str">
        <f>B258</f>
        <v xml:space="preserve">  2ème Trim.</v>
      </c>
      <c r="C292" s="78">
        <f>SUM(C350:C352)</f>
        <v>58353.801999999996</v>
      </c>
      <c r="D292" s="78">
        <f>SUM(D350:D352)</f>
        <v>4313.5829999999996</v>
      </c>
      <c r="E292" s="78">
        <f>SUM(E350:E352)</f>
        <v>3981.6255000000001</v>
      </c>
      <c r="F292" s="84">
        <f>SUM(F350:F352)</f>
        <v>66649.010500000004</v>
      </c>
      <c r="H292" s="19"/>
      <c r="I292" s="11"/>
      <c r="J292" s="8"/>
    </row>
    <row r="293" spans="2:10" x14ac:dyDescent="0.25">
      <c r="B293" s="85" t="s">
        <v>61</v>
      </c>
      <c r="C293" s="78">
        <f>SUM(C353:C355)</f>
        <v>60852.677000000003</v>
      </c>
      <c r="D293" s="78">
        <f>SUM(D353:D355)</f>
        <v>3820.277</v>
      </c>
      <c r="E293" s="78">
        <f>SUM(E353:E355)</f>
        <v>3613.9454999999998</v>
      </c>
      <c r="F293" s="78">
        <f>SUM(F353:F355)</f>
        <v>68286.8995</v>
      </c>
      <c r="H293" s="19"/>
      <c r="I293" s="11"/>
      <c r="J293" s="8"/>
    </row>
    <row r="294" spans="2:10" x14ac:dyDescent="0.25">
      <c r="B294" s="85" t="s">
        <v>11</v>
      </c>
      <c r="C294" s="78">
        <f>SUM(C356:C358)</f>
        <v>57032.536999999997</v>
      </c>
      <c r="D294" s="78">
        <f>SUM(D356:D358)</f>
        <v>3508.12</v>
      </c>
      <c r="E294" s="78">
        <f>SUM(E356:E358)</f>
        <v>5198.9569000000001</v>
      </c>
      <c r="F294" s="78">
        <f>SUM(F356:F358)</f>
        <v>65739.613899999997</v>
      </c>
      <c r="H294" s="19"/>
      <c r="I294" s="11"/>
      <c r="J294" s="8"/>
    </row>
    <row r="295" spans="2:10" x14ac:dyDescent="0.25">
      <c r="B295" s="52"/>
      <c r="C295" s="92"/>
      <c r="D295" s="93"/>
      <c r="E295" s="78"/>
      <c r="F295" s="78"/>
      <c r="H295" s="19"/>
      <c r="I295" s="11"/>
      <c r="J295" s="8"/>
    </row>
    <row r="296" spans="2:10" x14ac:dyDescent="0.25">
      <c r="B296" s="55" t="s">
        <v>41</v>
      </c>
      <c r="C296" s="92"/>
      <c r="D296" s="93"/>
      <c r="E296" s="78"/>
      <c r="F296" s="78"/>
      <c r="H296" s="19"/>
      <c r="I296" s="11"/>
      <c r="J296" s="8"/>
    </row>
    <row r="297" spans="2:10" x14ac:dyDescent="0.25">
      <c r="B297" s="85" t="s">
        <v>69</v>
      </c>
      <c r="C297" s="78">
        <f>C361+C362+C363</f>
        <v>60543.67300000001</v>
      </c>
      <c r="D297" s="78">
        <f>D361+D362+D363</f>
        <v>3546.3830000000003</v>
      </c>
      <c r="E297" s="78">
        <f>E361+E362+E363</f>
        <v>5076.8455000000004</v>
      </c>
      <c r="F297" s="78">
        <f>F361+F362+F363</f>
        <v>69166.901500000007</v>
      </c>
      <c r="H297" s="19"/>
      <c r="I297" s="11"/>
      <c r="J297" s="8"/>
    </row>
    <row r="298" spans="2:10" x14ac:dyDescent="0.25">
      <c r="B298" s="85" t="s">
        <v>26</v>
      </c>
      <c r="C298" s="78">
        <f>C364+C365+C366</f>
        <v>59215.636999999995</v>
      </c>
      <c r="D298" s="78">
        <f>D364+D365+D366</f>
        <v>4086.1410000000001</v>
      </c>
      <c r="E298" s="78">
        <f>E364+E365+E366</f>
        <v>6867.4882000000007</v>
      </c>
      <c r="F298" s="78">
        <f>F364+F365+F366</f>
        <v>70169.266199999984</v>
      </c>
      <c r="H298" s="19"/>
      <c r="I298" s="11"/>
      <c r="J298" s="8"/>
    </row>
    <row r="299" spans="2:10" x14ac:dyDescent="0.25">
      <c r="B299" s="85" t="s">
        <v>61</v>
      </c>
      <c r="C299" s="78">
        <f>C367+C368+C369</f>
        <v>49539.817999999999</v>
      </c>
      <c r="D299" s="78">
        <f>D367+D368+D369</f>
        <v>3422.3700000000003</v>
      </c>
      <c r="E299" s="78">
        <f>E367+E368+E369</f>
        <v>7394.9867000000004</v>
      </c>
      <c r="F299" s="78">
        <f>F367+F368+F369</f>
        <v>60357.174700000003</v>
      </c>
      <c r="H299" s="19"/>
      <c r="I299" s="11"/>
      <c r="J299" s="8"/>
    </row>
    <row r="300" spans="2:10" x14ac:dyDescent="0.25">
      <c r="B300" s="85" t="s">
        <v>11</v>
      </c>
      <c r="C300" s="78">
        <f>C370+C371+C372</f>
        <v>55474.439999999995</v>
      </c>
      <c r="D300" s="78">
        <f>D370+D371+D372</f>
        <v>3565.42</v>
      </c>
      <c r="E300" s="78">
        <f>E370+E371+E372</f>
        <v>6189.9297000000006</v>
      </c>
      <c r="F300" s="78">
        <f>F370+F371+F372</f>
        <v>65229.789700000008</v>
      </c>
      <c r="H300" s="19"/>
      <c r="I300" s="11"/>
      <c r="J300" s="8"/>
    </row>
    <row r="301" spans="2:10" x14ac:dyDescent="0.25">
      <c r="B301" s="52"/>
      <c r="C301" s="92"/>
      <c r="D301" s="78"/>
      <c r="E301" s="78"/>
      <c r="F301" s="78"/>
      <c r="H301" s="19"/>
      <c r="I301" s="11"/>
      <c r="J301" s="8"/>
    </row>
    <row r="302" spans="2:10" x14ac:dyDescent="0.25">
      <c r="B302" s="55" t="s">
        <v>42</v>
      </c>
      <c r="C302" s="92"/>
      <c r="D302" s="78"/>
      <c r="E302" s="78"/>
      <c r="F302" s="78"/>
      <c r="H302" s="19"/>
      <c r="I302" s="11"/>
      <c r="J302" s="8"/>
    </row>
    <row r="303" spans="2:10" x14ac:dyDescent="0.25">
      <c r="B303" s="85" t="s">
        <v>69</v>
      </c>
      <c r="C303" s="78">
        <f>C375+C376+C377</f>
        <v>56594.020000000004</v>
      </c>
      <c r="D303" s="78">
        <f>D375+D376+D377</f>
        <v>3483.8999999999996</v>
      </c>
      <c r="E303" s="78">
        <f>E375+E376+E377</f>
        <v>4981.4310000000005</v>
      </c>
      <c r="F303" s="78">
        <f>F375+F376+F377</f>
        <v>65059.351000000002</v>
      </c>
      <c r="H303" s="19"/>
      <c r="I303" s="11"/>
      <c r="J303" s="8"/>
    </row>
    <row r="304" spans="2:10" x14ac:dyDescent="0.25">
      <c r="B304" s="85" t="s">
        <v>26</v>
      </c>
      <c r="C304" s="78">
        <f>C378+C379+C380</f>
        <v>54324.368000000002</v>
      </c>
      <c r="D304" s="78">
        <f>D378+D379+D380</f>
        <v>4211.8209999999999</v>
      </c>
      <c r="E304" s="78">
        <f>E378+E379+E380</f>
        <v>7133.6684000000005</v>
      </c>
      <c r="F304" s="78">
        <f>F378+F379+F380</f>
        <v>65669.857400000008</v>
      </c>
      <c r="H304" s="19"/>
      <c r="I304" s="11"/>
      <c r="J304" s="8"/>
    </row>
    <row r="305" spans="2:10" x14ac:dyDescent="0.25">
      <c r="B305" s="85" t="s">
        <v>61</v>
      </c>
      <c r="C305" s="78">
        <f>C381+C382+C383</f>
        <v>54667.506999999998</v>
      </c>
      <c r="D305" s="78">
        <f>D381+D382+D383</f>
        <v>4613.2719999999999</v>
      </c>
      <c r="E305" s="78">
        <f>E381+E382+E383</f>
        <v>4606.2859999999991</v>
      </c>
      <c r="F305" s="78">
        <f>F381+F382+F383</f>
        <v>63887.064999999995</v>
      </c>
      <c r="H305" s="19"/>
      <c r="I305" s="11"/>
      <c r="J305" s="8"/>
    </row>
    <row r="306" spans="2:10" x14ac:dyDescent="0.25">
      <c r="B306" s="85" t="s">
        <v>11</v>
      </c>
      <c r="C306" s="78">
        <f>C384+C385+C386</f>
        <v>54520.733999999997</v>
      </c>
      <c r="D306" s="78">
        <f>D384+D385+D386</f>
        <v>4059.6369999999997</v>
      </c>
      <c r="E306" s="78">
        <f>E384+E385+E386</f>
        <v>4611.8440000000001</v>
      </c>
      <c r="F306" s="78">
        <f>F384+F385+F386</f>
        <v>63192.215000000011</v>
      </c>
      <c r="H306" s="19"/>
      <c r="I306" s="11"/>
      <c r="J306" s="8"/>
    </row>
    <row r="307" spans="2:10" x14ac:dyDescent="0.25">
      <c r="B307" s="52"/>
      <c r="C307" s="92"/>
      <c r="D307" s="78"/>
      <c r="E307" s="78"/>
      <c r="F307" s="78"/>
      <c r="H307" s="19"/>
      <c r="I307" s="11"/>
      <c r="J307" s="8"/>
    </row>
    <row r="308" spans="2:10" x14ac:dyDescent="0.25">
      <c r="B308" s="55" t="s">
        <v>44</v>
      </c>
      <c r="C308" s="92"/>
      <c r="D308" s="78"/>
      <c r="E308" s="78"/>
      <c r="F308" s="78"/>
      <c r="H308" s="19"/>
      <c r="I308" s="11"/>
      <c r="J308" s="8"/>
    </row>
    <row r="309" spans="2:10" x14ac:dyDescent="0.25">
      <c r="B309" s="85" t="s">
        <v>69</v>
      </c>
      <c r="C309" s="78">
        <f>C389+C390+C391</f>
        <v>60828.577000000005</v>
      </c>
      <c r="D309" s="78">
        <f>D389+D390+D391</f>
        <v>3040.9850000000001</v>
      </c>
      <c r="E309" s="78">
        <f>E389+E390+E391</f>
        <v>5439.8954000000003</v>
      </c>
      <c r="F309" s="78">
        <f>F389+F390+F391</f>
        <v>69309.457400000014</v>
      </c>
      <c r="H309" s="19"/>
      <c r="I309" s="11"/>
      <c r="J309" s="8"/>
    </row>
    <row r="310" spans="2:10" x14ac:dyDescent="0.25">
      <c r="B310" s="85" t="s">
        <v>26</v>
      </c>
      <c r="C310" s="78">
        <f>C392+C393+C394</f>
        <v>64646.062000000005</v>
      </c>
      <c r="D310" s="78">
        <f>D392+D393+D394</f>
        <v>5195.9479999999994</v>
      </c>
      <c r="E310" s="78">
        <f>E392+E393+E394</f>
        <v>4736.7578400000002</v>
      </c>
      <c r="F310" s="78">
        <f>F392+F393+F394</f>
        <v>74578.76784</v>
      </c>
      <c r="H310" s="19"/>
      <c r="I310" s="11"/>
      <c r="J310" s="8"/>
    </row>
    <row r="311" spans="2:10" x14ac:dyDescent="0.25">
      <c r="B311" s="85" t="s">
        <v>61</v>
      </c>
      <c r="C311" s="78">
        <f>C395+C396+C397</f>
        <v>62196.638999999996</v>
      </c>
      <c r="D311" s="78">
        <f>D395+D396+D397</f>
        <v>4870.9920000000002</v>
      </c>
      <c r="E311" s="78">
        <f>E395+E396+E397</f>
        <v>4774.6076400000002</v>
      </c>
      <c r="F311" s="78">
        <f>F395+F396+F397</f>
        <v>71842.238639999996</v>
      </c>
      <c r="H311" s="19"/>
      <c r="I311" s="11"/>
      <c r="J311" s="8"/>
    </row>
    <row r="312" spans="2:10" x14ac:dyDescent="0.25">
      <c r="B312" s="85" t="s">
        <v>11</v>
      </c>
      <c r="C312" s="78">
        <f>C398+C399+C400</f>
        <v>60590.95900000001</v>
      </c>
      <c r="D312" s="78">
        <f>D398+D399+D400</f>
        <v>4805.2060000000001</v>
      </c>
      <c r="E312" s="78">
        <f>E398+E399+E400</f>
        <v>5736.9360999999999</v>
      </c>
      <c r="F312" s="78">
        <f>F398+F399+F400</f>
        <v>71133.1011</v>
      </c>
      <c r="H312" s="19"/>
      <c r="I312" s="11"/>
      <c r="J312" s="8"/>
    </row>
    <row r="313" spans="2:10" x14ac:dyDescent="0.25">
      <c r="B313" s="85"/>
      <c r="C313" s="92"/>
      <c r="D313" s="78"/>
      <c r="E313" s="78"/>
      <c r="F313" s="78"/>
      <c r="H313" s="19"/>
      <c r="I313" s="11"/>
      <c r="J313" s="8"/>
    </row>
    <row r="314" spans="2:10" x14ac:dyDescent="0.25">
      <c r="B314" s="55" t="s">
        <v>45</v>
      </c>
      <c r="C314" s="92"/>
      <c r="D314" s="78"/>
      <c r="E314" s="78"/>
      <c r="F314" s="78"/>
      <c r="H314" s="19"/>
      <c r="I314" s="11"/>
      <c r="J314" s="8"/>
    </row>
    <row r="315" spans="2:10" x14ac:dyDescent="0.25">
      <c r="B315" s="85" t="s">
        <v>69</v>
      </c>
      <c r="C315" s="78">
        <f>C403+C404+C405</f>
        <v>55236.894</v>
      </c>
      <c r="D315" s="78">
        <f>D403+D404+D405</f>
        <v>4492.4079999999994</v>
      </c>
      <c r="E315" s="78">
        <f>E403+E404+E405</f>
        <v>6330.9822899999999</v>
      </c>
      <c r="F315" s="78">
        <f>F403+F404+F405</f>
        <v>66060.284290000011</v>
      </c>
      <c r="H315" s="19"/>
      <c r="I315" s="11"/>
      <c r="J315" s="8"/>
    </row>
    <row r="316" spans="2:10" x14ac:dyDescent="0.25">
      <c r="B316" s="85" t="s">
        <v>26</v>
      </c>
      <c r="C316" s="78">
        <f>C406+C407+C408</f>
        <v>50019.441999999995</v>
      </c>
      <c r="D316" s="78">
        <f>D406+D407+D408</f>
        <v>4014.527</v>
      </c>
      <c r="E316" s="78">
        <f>E406+E407+E408</f>
        <v>5976.2021799999993</v>
      </c>
      <c r="F316" s="78">
        <f>F406+F407+F408</f>
        <v>60010.171179999998</v>
      </c>
      <c r="H316" s="19"/>
      <c r="I316" s="11"/>
      <c r="J316" s="8"/>
    </row>
    <row r="317" spans="2:10" x14ac:dyDescent="0.25">
      <c r="B317" s="52"/>
      <c r="C317" s="77"/>
      <c r="D317" s="78"/>
      <c r="E317" s="78"/>
      <c r="F317" s="78"/>
      <c r="H317" s="19"/>
      <c r="I317" s="11"/>
      <c r="J317" s="8"/>
    </row>
    <row r="318" spans="2:10" x14ac:dyDescent="0.25">
      <c r="B318" s="55" t="s">
        <v>38</v>
      </c>
      <c r="C318" s="72"/>
      <c r="D318" s="58"/>
      <c r="E318" s="58"/>
      <c r="F318" s="51"/>
      <c r="H318" s="19"/>
      <c r="I318" s="11"/>
      <c r="J318" s="8"/>
    </row>
    <row r="319" spans="2:10" x14ac:dyDescent="0.25">
      <c r="B319" s="52" t="s">
        <v>22</v>
      </c>
      <c r="C319" s="68">
        <f>3397.58+3944.01+7130+2382.556+1080.26+1255.371-723.927</f>
        <v>18465.849999999999</v>
      </c>
      <c r="D319" s="58">
        <f>723.927+504</f>
        <v>1227.9270000000001</v>
      </c>
      <c r="E319" s="58">
        <f>418.3714+85.395+126.876+713.222</f>
        <v>1343.8643999999999</v>
      </c>
      <c r="F319" s="51">
        <f t="shared" ref="F319:F330" si="10">SUM(C319:E319)</f>
        <v>21037.641399999997</v>
      </c>
      <c r="H319" s="19"/>
      <c r="I319" s="11"/>
      <c r="J319" s="8"/>
    </row>
    <row r="320" spans="2:10" x14ac:dyDescent="0.25">
      <c r="B320" s="52" t="s">
        <v>23</v>
      </c>
      <c r="C320" s="72">
        <f>3337.24+3779.727+6835+1551.847+995.49+1117.37-530.137</f>
        <v>17086.537</v>
      </c>
      <c r="D320" s="43">
        <f>530.137+558.302</f>
        <v>1088.4389999999999</v>
      </c>
      <c r="E320" s="58">
        <f>374.6014+59.04+116.844+659.229</f>
        <v>1209.7144000000001</v>
      </c>
      <c r="F320" s="51">
        <f t="shared" si="10"/>
        <v>19384.690399999999</v>
      </c>
      <c r="H320" s="19"/>
      <c r="I320" s="11"/>
      <c r="J320" s="8"/>
    </row>
    <row r="321" spans="2:10" x14ac:dyDescent="0.25">
      <c r="B321" s="52" t="s">
        <v>24</v>
      </c>
      <c r="C321" s="107">
        <f>3407.41+5001.465+7650+2428.745+957.92+1161.162-516.327</f>
        <v>20090.374999999996</v>
      </c>
      <c r="D321" s="43">
        <f>516.327+615.54</f>
        <v>1131.867</v>
      </c>
      <c r="E321" s="58">
        <f>533.4184+64.23+117.48+848.306</f>
        <v>1563.4344000000001</v>
      </c>
      <c r="F321" s="51">
        <f t="shared" si="10"/>
        <v>22785.676399999997</v>
      </c>
      <c r="H321" s="19"/>
      <c r="I321" s="11"/>
      <c r="J321" s="8"/>
    </row>
    <row r="322" spans="2:10" x14ac:dyDescent="0.25">
      <c r="B322" s="52" t="s">
        <v>60</v>
      </c>
      <c r="C322" s="107">
        <f>4263.27+4409.882+6775+2218.024+1203.71+758.882-772.418</f>
        <v>18856.349999999999</v>
      </c>
      <c r="D322" s="43">
        <f>772.418+258.044</f>
        <v>1030.462</v>
      </c>
      <c r="E322" s="58">
        <f>587.777+64.23+127.488+836.383</f>
        <v>1615.8780000000002</v>
      </c>
      <c r="F322" s="51">
        <f t="shared" si="10"/>
        <v>21502.69</v>
      </c>
      <c r="H322" s="19"/>
      <c r="I322" s="11"/>
      <c r="J322" s="8"/>
    </row>
    <row r="323" spans="2:10" x14ac:dyDescent="0.25">
      <c r="B323" s="52" t="s">
        <v>15</v>
      </c>
      <c r="C323" s="107">
        <f>5662.69+4334.6085+6967+2260.836+1384.46-865.145</f>
        <v>19744.449499999999</v>
      </c>
      <c r="D323" s="43">
        <f>865.145+399.4986</f>
        <v>1264.6435999999999</v>
      </c>
      <c r="E323" s="58">
        <f>536.5206+130.896+1114.071456</f>
        <v>1781.4880559999997</v>
      </c>
      <c r="F323" s="51">
        <f t="shared" si="10"/>
        <v>22790.581155999997</v>
      </c>
      <c r="H323" s="19"/>
      <c r="I323" s="11"/>
      <c r="J323" s="8"/>
    </row>
    <row r="324" spans="2:10" x14ac:dyDescent="0.25">
      <c r="B324" s="52" t="s">
        <v>25</v>
      </c>
      <c r="C324" s="107">
        <f>6460.59+3000.375+6460+1781.797+1248.37-926.945</f>
        <v>18024.186999999998</v>
      </c>
      <c r="D324" s="43">
        <f>376.048+926.945</f>
        <v>1302.9929999999999</v>
      </c>
      <c r="E324" s="58">
        <f>299.7689+82.92+124.74+1013.982016</f>
        <v>1521.410916</v>
      </c>
      <c r="F324" s="51">
        <f t="shared" si="10"/>
        <v>20848.590915999997</v>
      </c>
      <c r="H324" s="19"/>
      <c r="I324" s="11"/>
      <c r="J324" s="8"/>
    </row>
    <row r="325" spans="2:10" x14ac:dyDescent="0.25">
      <c r="B325" s="52" t="s">
        <v>16</v>
      </c>
      <c r="C325" s="107">
        <f>6877.57+2786.742+6645+2154.803+948.56-1185.764</f>
        <v>18226.911</v>
      </c>
      <c r="D325" s="43">
        <f>266.24+1185.764</f>
        <v>1452.0039999999999</v>
      </c>
      <c r="E325" s="58">
        <f>322.3428+88.05+129.444+1291.76888</f>
        <v>1831.6056800000001</v>
      </c>
      <c r="F325" s="51">
        <f t="shared" si="10"/>
        <v>21510.520680000001</v>
      </c>
      <c r="H325" s="19"/>
      <c r="I325" s="11"/>
      <c r="J325" s="8"/>
    </row>
    <row r="326" spans="2:10" x14ac:dyDescent="0.25">
      <c r="B326" s="52" t="s">
        <v>17</v>
      </c>
      <c r="C326" s="107">
        <f>7467.35+2560.95+5510+2200.249-1098.982</f>
        <v>16639.566999999999</v>
      </c>
      <c r="D326" s="43">
        <f>342.848+1098.982</f>
        <v>1441.83</v>
      </c>
      <c r="E326" s="58">
        <f>262.4241+54.12+122.496+937.66928</f>
        <v>1376.70938</v>
      </c>
      <c r="F326" s="51">
        <f t="shared" si="10"/>
        <v>19458.106379999997</v>
      </c>
      <c r="H326" s="19"/>
      <c r="I326" s="11"/>
      <c r="J326" s="8"/>
    </row>
    <row r="327" spans="2:10" x14ac:dyDescent="0.25">
      <c r="B327" s="52" t="s">
        <v>62</v>
      </c>
      <c r="C327" s="107">
        <f>4755.63+3098.182+6095+1661.959+247.68-1010.782</f>
        <v>14847.669000000002</v>
      </c>
      <c r="D327" s="43">
        <f>336.33+1010.782</f>
        <v>1347.1120000000001</v>
      </c>
      <c r="E327" s="58">
        <f>285.27+67.53+112.692+943.51558</f>
        <v>1409.00758</v>
      </c>
      <c r="F327" s="51">
        <f t="shared" si="10"/>
        <v>17603.788580000004</v>
      </c>
      <c r="H327" s="19"/>
      <c r="I327" s="11"/>
      <c r="J327" s="8"/>
    </row>
    <row r="328" spans="2:10" x14ac:dyDescent="0.25">
      <c r="B328" s="52" t="s">
        <v>30</v>
      </c>
      <c r="C328" s="107">
        <f>3485.55+3495.9645+6457+1915.847+543.72-1193.782</f>
        <v>14704.299500000001</v>
      </c>
      <c r="D328" s="43">
        <f>355.696+1193.782</f>
        <v>1549.4780000000001</v>
      </c>
      <c r="E328" s="58">
        <f>382.327+184.02+110.028+1090.8171</f>
        <v>1767.1921</v>
      </c>
      <c r="F328" s="51">
        <f t="shared" si="10"/>
        <v>18020.9696</v>
      </c>
      <c r="H328" s="19"/>
      <c r="I328" s="11"/>
      <c r="J328" s="8"/>
    </row>
    <row r="329" spans="2:10" x14ac:dyDescent="0.25">
      <c r="B329" s="52" t="s">
        <v>63</v>
      </c>
      <c r="C329" s="107">
        <f>3654.28+4703.045+6298+1674.189+20.86-833.073</f>
        <v>15517.301000000001</v>
      </c>
      <c r="D329" s="43">
        <f>355.696+833.073</f>
        <v>1188.769</v>
      </c>
      <c r="E329" s="58">
        <f>534.1557+227+415+116.46+868.7759</f>
        <v>2161.3915999999999</v>
      </c>
      <c r="F329" s="51">
        <f t="shared" si="10"/>
        <v>18867.461599999999</v>
      </c>
      <c r="H329" s="19"/>
      <c r="I329" s="11"/>
      <c r="J329" s="8"/>
    </row>
    <row r="330" spans="2:10" x14ac:dyDescent="0.25">
      <c r="B330" s="52" t="s">
        <v>21</v>
      </c>
      <c r="C330" s="107">
        <f>4343.73+5460.682+6790+2278.13-574.309</f>
        <v>18298.233</v>
      </c>
      <c r="D330" s="43">
        <f>574.309+550.314</f>
        <v>1124.623</v>
      </c>
      <c r="E330" s="58">
        <f>628.0883+302.7+141.036</f>
        <v>1071.8243</v>
      </c>
      <c r="F330" s="51">
        <f t="shared" si="10"/>
        <v>20494.6803</v>
      </c>
      <c r="H330" s="19"/>
      <c r="I330" s="11"/>
      <c r="J330" s="8"/>
    </row>
    <row r="331" spans="2:10" x14ac:dyDescent="0.25">
      <c r="B331" s="52"/>
      <c r="C331" s="107"/>
      <c r="D331" s="43"/>
      <c r="E331" s="58"/>
      <c r="F331" s="51"/>
      <c r="H331" s="19"/>
      <c r="I331" s="11"/>
      <c r="J331" s="8"/>
    </row>
    <row r="332" spans="2:10" x14ac:dyDescent="0.25">
      <c r="B332" s="55" t="s">
        <v>39</v>
      </c>
      <c r="C332" s="107"/>
      <c r="D332" s="43"/>
      <c r="E332" s="58"/>
      <c r="F332" s="51"/>
      <c r="H332" s="19"/>
      <c r="I332" s="11"/>
      <c r="J332" s="8"/>
    </row>
    <row r="333" spans="2:10" x14ac:dyDescent="0.25">
      <c r="B333" s="52" t="s">
        <v>22</v>
      </c>
      <c r="C333" s="107">
        <f>6466.02+4421.928+7489+846.299-915</f>
        <v>18308.246999999999</v>
      </c>
      <c r="D333" s="43">
        <f>915+371.814</f>
        <v>1286.8140000000001</v>
      </c>
      <c r="E333" s="58">
        <f>346.4746+110.49+144.924+866.428</f>
        <v>1468.3166000000001</v>
      </c>
      <c r="F333" s="51">
        <f t="shared" ref="F333:F342" si="11">SUM(C333:E333)</f>
        <v>21063.3776</v>
      </c>
      <c r="H333" s="19"/>
      <c r="I333" s="11"/>
      <c r="J333" s="8"/>
    </row>
    <row r="334" spans="2:10" x14ac:dyDescent="0.25">
      <c r="B334" s="52" t="s">
        <v>23</v>
      </c>
      <c r="C334" s="107">
        <f>6188.07+5857.7085+6851-713.836</f>
        <v>18182.942500000001</v>
      </c>
      <c r="D334" s="43">
        <f>713.836+309.782</f>
        <v>1023.6179999999999</v>
      </c>
      <c r="E334" s="58">
        <f>490.4942+67.125+129.24+858.118</f>
        <v>1544.9772</v>
      </c>
      <c r="F334" s="51">
        <f t="shared" si="11"/>
        <v>20751.537700000001</v>
      </c>
      <c r="H334" s="19"/>
      <c r="I334" s="11"/>
      <c r="J334" s="8"/>
    </row>
    <row r="335" spans="2:10" x14ac:dyDescent="0.25">
      <c r="B335" s="52" t="s">
        <v>24</v>
      </c>
      <c r="C335" s="107">
        <f>4750.032+6208.43+7070+1827.39-933.055</f>
        <v>18922.796999999999</v>
      </c>
      <c r="D335" s="43">
        <f>170.064+933.055</f>
        <v>1103.1189999999999</v>
      </c>
      <c r="E335" s="58">
        <f>671.8341+79.8+134.184+679.621</f>
        <v>1565.4391000000001</v>
      </c>
      <c r="F335" s="51">
        <f t="shared" si="11"/>
        <v>21591.355099999997</v>
      </c>
      <c r="H335" s="19"/>
      <c r="I335" s="11"/>
      <c r="J335" s="8"/>
    </row>
    <row r="336" spans="2:10" x14ac:dyDescent="0.25">
      <c r="B336" s="52" t="s">
        <v>60</v>
      </c>
      <c r="C336" s="107">
        <f>5474.37+5104.407+6590+2353.282-778.8</f>
        <v>18743.259000000002</v>
      </c>
      <c r="D336" s="43">
        <f>295.62+778.8</f>
        <v>1074.42</v>
      </c>
      <c r="E336" s="58">
        <f>531.9212+119.415+134.28+672.567</f>
        <v>1458.1831999999999</v>
      </c>
      <c r="F336" s="51">
        <f t="shared" si="11"/>
        <v>21275.862200000003</v>
      </c>
      <c r="H336" s="19"/>
      <c r="I336" s="11"/>
      <c r="J336" s="8"/>
    </row>
    <row r="337" spans="2:10" x14ac:dyDescent="0.25">
      <c r="B337" s="52" t="s">
        <v>65</v>
      </c>
      <c r="C337" s="107">
        <f>4716.35+5481.441+6920+2489.455-442.145</f>
        <v>19165.100999999999</v>
      </c>
      <c r="D337" s="43">
        <f>719.872+442.142</f>
        <v>1162.0139999999999</v>
      </c>
      <c r="E337" s="58">
        <f>628.1929+205.5+139.116+851.801</f>
        <v>1824.6098999999999</v>
      </c>
      <c r="F337" s="51">
        <f t="shared" si="11"/>
        <v>22151.724899999997</v>
      </c>
      <c r="H337" s="19"/>
      <c r="I337" s="11"/>
      <c r="J337" s="8"/>
    </row>
    <row r="338" spans="2:10" x14ac:dyDescent="0.25">
      <c r="B338" s="52" t="s">
        <v>25</v>
      </c>
      <c r="C338" s="107">
        <f>5966.41+4054.134+6941+2319.027+63.89-664.855</f>
        <v>18679.606000000003</v>
      </c>
      <c r="D338" s="43">
        <f>664.706+664.855</f>
        <v>1329.5610000000001</v>
      </c>
      <c r="E338" s="58">
        <f>531.0885+87.03+64.8+823.309</f>
        <v>1506.2275</v>
      </c>
      <c r="F338" s="51">
        <f t="shared" si="11"/>
        <v>21515.394500000006</v>
      </c>
      <c r="H338" s="19"/>
      <c r="I338" s="11"/>
      <c r="J338" s="8"/>
    </row>
    <row r="339" spans="2:10" x14ac:dyDescent="0.25">
      <c r="B339" s="52" t="s">
        <v>16</v>
      </c>
      <c r="C339" s="107">
        <f>5433.83+3247.604+7117+2315.415+367.54-636.055</f>
        <v>17845.333999999999</v>
      </c>
      <c r="D339" s="43">
        <f>636.055+697.036</f>
        <v>1333.0909999999999</v>
      </c>
      <c r="E339" s="58">
        <f>436.785+95.205+65.004+824.146</f>
        <v>1421.1399999999999</v>
      </c>
      <c r="F339" s="51">
        <f t="shared" si="11"/>
        <v>20599.564999999999</v>
      </c>
      <c r="H339" s="19"/>
      <c r="I339" s="11"/>
      <c r="J339" s="8"/>
    </row>
    <row r="340" spans="2:10" x14ac:dyDescent="0.25">
      <c r="B340" s="52" t="s">
        <v>17</v>
      </c>
      <c r="C340" s="107">
        <f>4980.1+2900.288+6892+2199.653+573.92-842.564</f>
        <v>16703.397000000001</v>
      </c>
      <c r="D340" s="43">
        <f>547.718+842.564</f>
        <v>1390.2819999999999</v>
      </c>
      <c r="E340" s="58">
        <f>380.9675+77.66+104.436+774.745</f>
        <v>1337.8085000000001</v>
      </c>
      <c r="F340" s="51">
        <f t="shared" si="11"/>
        <v>19431.487499999999</v>
      </c>
      <c r="H340" s="19"/>
      <c r="I340" s="11"/>
      <c r="J340" s="8"/>
    </row>
    <row r="341" spans="2:10" x14ac:dyDescent="0.25">
      <c r="B341" s="52" t="s">
        <v>62</v>
      </c>
      <c r="C341" s="107">
        <f>4656.15+2948.295+6799+1468.811+712.13-628.364</f>
        <v>15956.021999999999</v>
      </c>
      <c r="D341" s="43">
        <f>589.574+628.364</f>
        <v>1217.9380000000001</v>
      </c>
      <c r="E341" s="58">
        <f>366.2825+58.38+118.104+545.487</f>
        <v>1088.2535</v>
      </c>
      <c r="F341" s="51">
        <f t="shared" si="11"/>
        <v>18262.213499999998</v>
      </c>
      <c r="H341" s="19"/>
      <c r="I341" s="11"/>
      <c r="J341" s="8"/>
    </row>
    <row r="342" spans="2:10" x14ac:dyDescent="0.25">
      <c r="B342" s="52" t="s">
        <v>30</v>
      </c>
      <c r="C342" s="107">
        <f>5012.17+3881.829+6300+2004.544+480.65-612.255</f>
        <v>17066.938000000002</v>
      </c>
      <c r="D342" s="43">
        <f>612.255+593.646</f>
        <v>1205.9009999999998</v>
      </c>
      <c r="E342" s="58">
        <f>364.058+45.21+111.096+745.346</f>
        <v>1265.71</v>
      </c>
      <c r="F342" s="51">
        <f t="shared" si="11"/>
        <v>19538.548999999999</v>
      </c>
      <c r="H342" s="19"/>
      <c r="I342" s="11"/>
      <c r="J342" s="8"/>
    </row>
    <row r="343" spans="2:10" x14ac:dyDescent="0.25">
      <c r="B343" s="52" t="s">
        <v>63</v>
      </c>
      <c r="C343" s="107">
        <f>4668.86+3869.717+6401+1355.845+248.47-480.42</f>
        <v>16063.472</v>
      </c>
      <c r="D343" s="43">
        <f>480.42+743.69</f>
        <v>1224.1100000000001</v>
      </c>
      <c r="E343" s="58">
        <f>327.604+108.48+114.696+829.478</f>
        <v>1380.2579999999998</v>
      </c>
      <c r="F343" s="51">
        <f>SUM(C343:E343)</f>
        <v>18667.839999999997</v>
      </c>
      <c r="H343" s="19"/>
      <c r="I343" s="11"/>
      <c r="J343" s="8"/>
    </row>
    <row r="344" spans="2:10" x14ac:dyDescent="0.25">
      <c r="B344" s="52" t="s">
        <v>21</v>
      </c>
      <c r="C344" s="107">
        <f>3546.64+4811.394+6609+2163.03+441-516.109</f>
        <v>17054.954999999998</v>
      </c>
      <c r="D344" s="43">
        <f>516.109+864.924</f>
        <v>1381.0329999999999</v>
      </c>
      <c r="E344" s="58">
        <f>133.3279+139.2+133.956+845.401</f>
        <v>1251.8849</v>
      </c>
      <c r="F344" s="51">
        <f>SUM(C344:E344)</f>
        <v>19687.872899999998</v>
      </c>
      <c r="H344" s="19"/>
      <c r="I344" s="11"/>
      <c r="J344" s="8"/>
    </row>
    <row r="345" spans="2:10" x14ac:dyDescent="0.25">
      <c r="B345" s="52"/>
      <c r="C345" s="107"/>
      <c r="D345" s="43"/>
      <c r="E345" s="58"/>
      <c r="F345" s="51"/>
      <c r="H345" s="19"/>
      <c r="I345" s="11"/>
      <c r="J345" s="8"/>
    </row>
    <row r="346" spans="2:10" x14ac:dyDescent="0.25">
      <c r="B346" s="55" t="s">
        <v>40</v>
      </c>
      <c r="C346" s="107"/>
      <c r="D346" s="43"/>
      <c r="E346" s="58"/>
      <c r="F346" s="51"/>
      <c r="H346" s="19"/>
      <c r="I346" s="11"/>
      <c r="J346" s="8"/>
    </row>
    <row r="347" spans="2:10" x14ac:dyDescent="0.25">
      <c r="B347" s="52" t="s">
        <v>22</v>
      </c>
      <c r="C347" s="107">
        <f>3272.86+4730.523+7036+2306.279+483.83-554.564</f>
        <v>17274.928000000004</v>
      </c>
      <c r="D347" s="43">
        <f>663.924+554.564</f>
        <v>1218.4879999999998</v>
      </c>
      <c r="E347" s="58">
        <f>156.8983+219.255+90.768+799.571</f>
        <v>1266.4922999999999</v>
      </c>
      <c r="F347" s="51">
        <f t="shared" ref="F347:F353" si="12">SUM(C347:E347)</f>
        <v>19759.908300000003</v>
      </c>
      <c r="H347" s="19"/>
      <c r="I347" s="11"/>
      <c r="J347" s="8"/>
    </row>
    <row r="348" spans="2:10" x14ac:dyDescent="0.25">
      <c r="B348" s="52" t="s">
        <v>23</v>
      </c>
      <c r="C348" s="107">
        <f>3558.67+4185.783+7104+985.657+332.32-247.745</f>
        <v>15918.684999999999</v>
      </c>
      <c r="D348" s="43">
        <f>743.78+247.745</f>
        <v>991.52499999999998</v>
      </c>
      <c r="E348" s="58">
        <f>465.18+128.145+73.008+702.294</f>
        <v>1368.627</v>
      </c>
      <c r="F348" s="51">
        <f t="shared" si="12"/>
        <v>18278.837</v>
      </c>
      <c r="H348" s="19"/>
      <c r="I348" s="11"/>
      <c r="J348" s="8"/>
    </row>
    <row r="349" spans="2:10" x14ac:dyDescent="0.25">
      <c r="B349" s="52" t="s">
        <v>24</v>
      </c>
      <c r="C349" s="107">
        <f>4978.57+4875.906+7794+80.668+485.85-247.745</f>
        <v>17967.249</v>
      </c>
      <c r="D349" s="43">
        <f>942.602+247.745</f>
        <v>1190.347</v>
      </c>
      <c r="E349" s="58">
        <f>512.5759+134.625+771.936</f>
        <v>1419.1369</v>
      </c>
      <c r="F349" s="51">
        <f t="shared" si="12"/>
        <v>20576.732900000003</v>
      </c>
      <c r="H349" s="19"/>
      <c r="I349" s="11"/>
      <c r="J349" s="8"/>
    </row>
    <row r="350" spans="2:10" x14ac:dyDescent="0.25">
      <c r="B350" s="52" t="s">
        <v>60</v>
      </c>
      <c r="C350" s="107">
        <f>3384.58+5674.095+6680+2363.632+889.824-409.8</f>
        <v>18582.331000000002</v>
      </c>
      <c r="D350" s="43">
        <f>883.254+409.8</f>
        <v>1293.0540000000001</v>
      </c>
      <c r="E350" s="58">
        <f>454.6412+214.74+88.488+813.953</f>
        <v>1571.8222000000001</v>
      </c>
      <c r="F350" s="51">
        <f t="shared" si="12"/>
        <v>21447.207200000001</v>
      </c>
      <c r="H350" s="19"/>
      <c r="I350" s="11"/>
      <c r="J350" s="8"/>
    </row>
    <row r="351" spans="2:10" x14ac:dyDescent="0.25">
      <c r="B351" s="52" t="s">
        <v>65</v>
      </c>
      <c r="C351" s="107">
        <f>5734.59+4844.637+7123+2274.613+59.47+1391.387-746.073</f>
        <v>20681.624</v>
      </c>
      <c r="D351" s="43">
        <f>960.756+746.073</f>
        <v>1706.829</v>
      </c>
      <c r="E351" s="58">
        <f>45.59+189.645+76.236+657.445</f>
        <v>968.91600000000005</v>
      </c>
      <c r="F351" s="51">
        <f t="shared" si="12"/>
        <v>23357.369000000002</v>
      </c>
      <c r="H351" s="19"/>
      <c r="I351" s="11"/>
      <c r="J351" s="8"/>
    </row>
    <row r="352" spans="2:10" x14ac:dyDescent="0.25">
      <c r="B352" s="52" t="s">
        <v>25</v>
      </c>
      <c r="C352" s="107">
        <f>5653.12+3462.627+6630+2204.602+92.04+1540.658-493.2</f>
        <v>19089.846999999998</v>
      </c>
      <c r="D352" s="43">
        <f>493.2+820.5</f>
        <v>1313.7</v>
      </c>
      <c r="E352" s="58">
        <f>353.5273+130.77+82.296+874.294</f>
        <v>1440.8873000000001</v>
      </c>
      <c r="F352" s="51">
        <f t="shared" si="12"/>
        <v>21844.434299999997</v>
      </c>
      <c r="H352" s="19"/>
      <c r="I352" s="11"/>
      <c r="J352" s="8"/>
    </row>
    <row r="353" spans="2:10" x14ac:dyDescent="0.25">
      <c r="B353" s="52" t="s">
        <v>16</v>
      </c>
      <c r="C353" s="107">
        <f>7051.39+2921.016+6981+2122.132+36.51+1552.156-604.855</f>
        <v>20059.349000000002</v>
      </c>
      <c r="D353" s="43">
        <f>604.855+711.858</f>
        <v>1316.713</v>
      </c>
      <c r="E353" s="58">
        <f>356.891+87.075+83.532+514.272</f>
        <v>1041.77</v>
      </c>
      <c r="F353" s="51">
        <f t="shared" si="12"/>
        <v>22417.832000000002</v>
      </c>
      <c r="H353" s="19"/>
      <c r="I353" s="11"/>
      <c r="J353" s="8"/>
    </row>
    <row r="354" spans="2:10" x14ac:dyDescent="0.25">
      <c r="B354" s="52" t="s">
        <v>17</v>
      </c>
      <c r="C354" s="107">
        <f>7232.02+2912.721+6376+2353.427+689.282+1559.996-630.982</f>
        <v>20492.464</v>
      </c>
      <c r="D354" s="43">
        <f>630.982+652.392</f>
        <v>1283.374</v>
      </c>
      <c r="E354" s="58">
        <f>338.201+52.38+70.776+861.179</f>
        <v>1322.5360000000001</v>
      </c>
      <c r="F354" s="51">
        <f>SUM(C354:E354)</f>
        <v>23098.374</v>
      </c>
      <c r="H354" s="19"/>
      <c r="I354" s="11"/>
      <c r="J354" s="8"/>
    </row>
    <row r="355" spans="2:10" x14ac:dyDescent="0.25">
      <c r="B355" s="52" t="s">
        <v>62</v>
      </c>
      <c r="C355" s="107">
        <f>6783.74+2905.539+6413+2086.83+1295.534+1492.039-675.818</f>
        <v>20300.864000000001</v>
      </c>
      <c r="D355" s="43">
        <f>675.818+544.372</f>
        <v>1220.19</v>
      </c>
      <c r="E355" s="58">
        <f>320.1225+34.365+81.684+813.468</f>
        <v>1249.6395</v>
      </c>
      <c r="F355" s="51">
        <f>SUM(C355:E355)</f>
        <v>22770.693500000001</v>
      </c>
      <c r="H355" s="19"/>
      <c r="I355" s="11"/>
      <c r="J355" s="8"/>
    </row>
    <row r="356" spans="2:10" x14ac:dyDescent="0.25">
      <c r="B356" s="52" t="s">
        <v>30</v>
      </c>
      <c r="C356" s="107">
        <f>7395.97+3148.74+7147+1939.081+802.308+1371.764-713.564</f>
        <v>21091.298999999999</v>
      </c>
      <c r="D356" s="43">
        <f>601.832+713.564</f>
        <v>1315.396</v>
      </c>
      <c r="E356" s="58">
        <f>69.122+347.43+83.7+781.229+181.685</f>
        <v>1463.1659999999999</v>
      </c>
      <c r="F356" s="51">
        <f>SUM(C356:E356)</f>
        <v>23869.861000000001</v>
      </c>
      <c r="H356" s="19"/>
      <c r="I356" s="11"/>
      <c r="J356" s="8"/>
    </row>
    <row r="357" spans="2:10" x14ac:dyDescent="0.25">
      <c r="B357" s="52" t="s">
        <v>63</v>
      </c>
      <c r="C357" s="107">
        <f>4001.655+4448.8+5770+1852.2-574.091</f>
        <v>15498.564</v>
      </c>
      <c r="D357" s="43">
        <f>574.091+620.432</f>
        <v>1194.5230000000001</v>
      </c>
      <c r="E357" s="58">
        <f>421.775+115.075+79.764+819.425+202.519</f>
        <v>1638.558</v>
      </c>
      <c r="F357" s="51">
        <f>SUM(C357:E357)</f>
        <v>18331.645</v>
      </c>
      <c r="H357" s="19"/>
      <c r="I357" s="11"/>
      <c r="J357" s="8"/>
    </row>
    <row r="358" spans="2:10" x14ac:dyDescent="0.25">
      <c r="B358" s="52" t="s">
        <v>21</v>
      </c>
      <c r="C358" s="107">
        <f>(3995.41+5286.519+2016.102+5589+41.791+2528.267+1559.676-574.091)</f>
        <v>20442.674000000003</v>
      </c>
      <c r="D358" s="43">
        <f>574.091+424.11</f>
        <v>998.20100000000002</v>
      </c>
      <c r="E358" s="58">
        <f>604.6869+201.945+90.756+960.337+239.508</f>
        <v>2097.2329</v>
      </c>
      <c r="F358" s="51">
        <f>SUM(C358:E358)</f>
        <v>23538.107900000003</v>
      </c>
      <c r="H358" s="19"/>
      <c r="I358" s="11"/>
      <c r="J358" s="8"/>
    </row>
    <row r="359" spans="2:10" x14ac:dyDescent="0.25">
      <c r="B359" s="52"/>
      <c r="C359" s="107"/>
      <c r="D359" s="43"/>
      <c r="E359" s="58"/>
      <c r="F359" s="51"/>
      <c r="H359" s="19"/>
      <c r="I359" s="11"/>
      <c r="J359" s="8"/>
    </row>
    <row r="360" spans="2:10" x14ac:dyDescent="0.25">
      <c r="B360" s="55" t="s">
        <v>41</v>
      </c>
      <c r="C360" s="107"/>
      <c r="D360" s="43"/>
      <c r="E360" s="58"/>
      <c r="F360" s="51"/>
      <c r="H360" s="19"/>
      <c r="I360" s="11"/>
      <c r="J360" s="8"/>
    </row>
    <row r="361" spans="2:10" x14ac:dyDescent="0.25">
      <c r="B361" s="52" t="s">
        <v>22</v>
      </c>
      <c r="C361" s="107">
        <f>4504.14+5472.432+6758+1679.2+54.38+1192.329+1559.716-421.255</f>
        <v>20798.942000000003</v>
      </c>
      <c r="D361" s="43">
        <f>421.255+713.33</f>
        <v>1134.585</v>
      </c>
      <c r="E361" s="58">
        <f>578.252+85.47+229.152+995.162+258.929</f>
        <v>2146.9650000000001</v>
      </c>
      <c r="F361" s="51">
        <f t="shared" ref="F361:F371" si="13">SUM(C361:E361)</f>
        <v>24080.492000000002</v>
      </c>
      <c r="H361" s="19"/>
      <c r="I361" s="11"/>
      <c r="J361" s="8"/>
    </row>
    <row r="362" spans="2:10" x14ac:dyDescent="0.25">
      <c r="B362" s="52" t="s">
        <v>23</v>
      </c>
      <c r="C362" s="107">
        <f>6046.87+5211.192+4774+968.46+96.95+220.786+1536.916-309.109</f>
        <v>18546.065000000002</v>
      </c>
      <c r="D362" s="43">
        <f>760.254+309.109</f>
        <v>1069.3630000000001</v>
      </c>
      <c r="E362" s="58">
        <f>524.4393+160.455+79.74+455.982+192.243</f>
        <v>1412.8593000000001</v>
      </c>
      <c r="F362" s="51">
        <f t="shared" si="13"/>
        <v>21028.287300000004</v>
      </c>
      <c r="H362" s="19"/>
      <c r="I362" s="11"/>
      <c r="J362" s="8"/>
    </row>
    <row r="363" spans="2:10" x14ac:dyDescent="0.25">
      <c r="B363" s="52" t="s">
        <v>24</v>
      </c>
      <c r="C363" s="107">
        <f>6813.88+5395.968+6047+1353.113+554.971+1559.989-526.255</f>
        <v>21198.666000000001</v>
      </c>
      <c r="D363" s="43">
        <f>816.18+526.255</f>
        <v>1342.4349999999999</v>
      </c>
      <c r="E363" s="58">
        <f>576.5832+148.935+91.968+448.665+250.87</f>
        <v>1517.0212000000001</v>
      </c>
      <c r="F363" s="51">
        <f t="shared" si="13"/>
        <v>24058.122200000002</v>
      </c>
      <c r="H363" s="19"/>
      <c r="I363" s="11"/>
      <c r="J363" s="8"/>
    </row>
    <row r="364" spans="2:10" x14ac:dyDescent="0.25">
      <c r="B364" s="52" t="s">
        <v>60</v>
      </c>
      <c r="C364" s="107">
        <f>4785.54+5607.187+6426+2026.4+88.11+704.179+1559.256-444.218</f>
        <v>20752.454000000002</v>
      </c>
      <c r="D364" s="43">
        <f>895.484+444.218</f>
        <v>1339.702</v>
      </c>
      <c r="E364" s="58">
        <f>656.8628+82.05+71.892+670.69+236.42</f>
        <v>1717.9148</v>
      </c>
      <c r="F364" s="51">
        <f t="shared" si="13"/>
        <v>23810.070800000001</v>
      </c>
      <c r="H364" s="19"/>
      <c r="I364" s="11"/>
      <c r="J364" s="8"/>
    </row>
    <row r="365" spans="2:10" x14ac:dyDescent="0.25">
      <c r="B365" s="52" t="s">
        <v>65</v>
      </c>
      <c r="C365" s="107">
        <f>5546.21+4477.838+6335+2104.102+444.12+415.727+1559.639-694.473</f>
        <v>20188.162999999993</v>
      </c>
      <c r="D365" s="43">
        <f>691.24+694.473</f>
        <v>1385.713</v>
      </c>
      <c r="E365" s="58">
        <f>525.2622+76.5+88.332+1681.583+228.867</f>
        <v>2600.5442000000003</v>
      </c>
      <c r="F365" s="51">
        <f t="shared" si="13"/>
        <v>24174.420199999993</v>
      </c>
      <c r="H365" s="19"/>
      <c r="I365" s="11"/>
      <c r="J365" s="8"/>
    </row>
    <row r="366" spans="2:10" x14ac:dyDescent="0.25">
      <c r="B366" s="85" t="s">
        <v>25</v>
      </c>
      <c r="C366" s="107">
        <f>4945.92+3921.732+5873+2145.117+70.94+464.73+1559.999-706.418</f>
        <v>18275.019999999997</v>
      </c>
      <c r="D366" s="43">
        <f>654.308+706.418</f>
        <v>1360.7260000000001</v>
      </c>
      <c r="E366" s="51">
        <f>345.6842+64.8+123.3+1760.47+254.775</f>
        <v>2549.0291999999999</v>
      </c>
      <c r="F366" s="51">
        <f t="shared" si="13"/>
        <v>22184.775199999996</v>
      </c>
      <c r="H366" s="19"/>
      <c r="I366" s="11"/>
      <c r="J366" s="8"/>
    </row>
    <row r="367" spans="2:10" x14ac:dyDescent="0.25">
      <c r="B367" s="85" t="s">
        <v>16</v>
      </c>
      <c r="C367" s="107">
        <f>4180.76+3120.336+5860+2058.991+125.94+511.129+1559.998-632.618</f>
        <v>16784.536000000004</v>
      </c>
      <c r="D367" s="43">
        <f>571.38+632.618</f>
        <v>1203.998</v>
      </c>
      <c r="E367" s="51">
        <f>333.5119+81.33+122.4+1912.839+161.282</f>
        <v>2611.3629000000001</v>
      </c>
      <c r="F367" s="51">
        <f t="shared" si="13"/>
        <v>20599.896900000003</v>
      </c>
      <c r="H367" s="19"/>
      <c r="I367" s="11"/>
      <c r="J367" s="8"/>
    </row>
    <row r="368" spans="2:10" x14ac:dyDescent="0.25">
      <c r="B368" s="85" t="s">
        <v>17</v>
      </c>
      <c r="C368" s="107">
        <f>3246.46+3048.57+5070+2251.189+57.11+335.51+3153.757-924.109</f>
        <v>16238.487000000001</v>
      </c>
      <c r="D368" s="43">
        <f>164.136+924.109</f>
        <v>1088.2450000000001</v>
      </c>
      <c r="E368" s="51">
        <f>285.0419+104.676+1783.259+120.7</f>
        <v>2293.6768999999999</v>
      </c>
      <c r="F368" s="51">
        <f t="shared" si="13"/>
        <v>19620.408899999999</v>
      </c>
      <c r="H368" s="19"/>
      <c r="I368" s="11"/>
      <c r="J368" s="8"/>
    </row>
    <row r="369" spans="2:10" x14ac:dyDescent="0.25">
      <c r="B369" s="85" t="s">
        <v>62</v>
      </c>
      <c r="C369" s="107">
        <f>3041.88+3387.72+5098+2266.362+19.91+13.535+3219.679-530.291</f>
        <v>16516.794999999998</v>
      </c>
      <c r="D369" s="43">
        <f>599.836+530.291</f>
        <v>1130.127</v>
      </c>
      <c r="E369" s="51">
        <f>349.6309+70.635+108.12+1703.761+257.8</f>
        <v>2489.9468999999999</v>
      </c>
      <c r="F369" s="51">
        <f t="shared" si="13"/>
        <v>20136.868899999998</v>
      </c>
      <c r="H369" s="19"/>
      <c r="I369" s="11"/>
      <c r="J369" s="8"/>
    </row>
    <row r="370" spans="2:10" x14ac:dyDescent="0.25">
      <c r="B370" s="85" t="s">
        <v>30</v>
      </c>
      <c r="C370" s="107">
        <f>3215.91+4230.114+5165+2224.2+293.733+3219.231-496.964</f>
        <v>17851.223999999998</v>
      </c>
      <c r="D370" s="43">
        <f>759.58+496.964</f>
        <v>1256.5440000000001</v>
      </c>
      <c r="E370" s="51">
        <f>501.8991+93.825+78.816+1356.635+264.8</f>
        <v>2295.9751000000001</v>
      </c>
      <c r="F370" s="51">
        <f t="shared" si="13"/>
        <v>21403.7431</v>
      </c>
      <c r="H370" s="19"/>
      <c r="I370" s="11"/>
      <c r="J370" s="8"/>
    </row>
    <row r="371" spans="2:10" x14ac:dyDescent="0.25">
      <c r="B371" s="85" t="s">
        <v>63</v>
      </c>
      <c r="C371" s="107">
        <f>3423.02+3983.196+5130+2028.2+525.542+3138.307-449.127</f>
        <v>17779.137999999999</v>
      </c>
      <c r="D371" s="43">
        <f>662.328+449.127</f>
        <v>1111.4549999999999</v>
      </c>
      <c r="E371" s="51">
        <f>510.52+53.235+85.284+1051.644+268</f>
        <v>1968.683</v>
      </c>
      <c r="F371" s="51">
        <f t="shared" si="13"/>
        <v>20859.276000000002</v>
      </c>
      <c r="H371" s="19"/>
      <c r="I371" s="11"/>
      <c r="J371" s="8"/>
    </row>
    <row r="372" spans="2:10" x14ac:dyDescent="0.25">
      <c r="B372" s="85" t="s">
        <v>21</v>
      </c>
      <c r="C372" s="107">
        <f>3879.05+4955.559+6162+1531.8+470.145+3214.033-368.509</f>
        <v>19844.078000000001</v>
      </c>
      <c r="D372" s="43">
        <f>828.912+368.509</f>
        <v>1197.421</v>
      </c>
      <c r="E372" s="51">
        <f>559.8186+127.95+95.22+973.683+168.6</f>
        <v>1925.2716</v>
      </c>
      <c r="F372" s="51">
        <f>SUM(C372:E372)</f>
        <v>22966.7706</v>
      </c>
      <c r="H372" s="19"/>
      <c r="I372" s="11"/>
      <c r="J372" s="8"/>
    </row>
    <row r="373" spans="2:10" x14ac:dyDescent="0.25">
      <c r="B373" s="52"/>
      <c r="C373" s="107"/>
      <c r="D373" s="43"/>
      <c r="E373" s="51"/>
      <c r="F373" s="51"/>
      <c r="H373" s="19"/>
      <c r="I373" s="11"/>
      <c r="J373" s="8"/>
    </row>
    <row r="374" spans="2:10" x14ac:dyDescent="0.25">
      <c r="B374" s="55" t="s">
        <v>42</v>
      </c>
      <c r="C374" s="107"/>
      <c r="D374" s="43"/>
      <c r="E374" s="51"/>
      <c r="F374" s="51"/>
      <c r="H374" s="19"/>
      <c r="I374" s="11"/>
      <c r="J374" s="8"/>
    </row>
    <row r="375" spans="2:10" ht="15.75" customHeight="1" x14ac:dyDescent="0.25">
      <c r="B375" s="85" t="s">
        <v>22</v>
      </c>
      <c r="C375" s="107">
        <f>4833.85+5146.617+6249+2204+248.612+1559.998-253.309</f>
        <v>19988.768</v>
      </c>
      <c r="D375" s="43">
        <f>881.028+253.309</f>
        <v>1134.337</v>
      </c>
      <c r="E375" s="51">
        <f>667.9+101.01+86.316+807.543+159</f>
        <v>1821.769</v>
      </c>
      <c r="F375" s="51">
        <f t="shared" ref="F375:F386" si="14">SUM(C375:E375)</f>
        <v>22944.874</v>
      </c>
      <c r="H375" s="19"/>
      <c r="I375" s="11"/>
      <c r="J375" s="8"/>
    </row>
    <row r="376" spans="2:10" x14ac:dyDescent="0.25">
      <c r="B376" s="85" t="s">
        <v>23</v>
      </c>
      <c r="C376" s="107">
        <f>5188.47+4683.735+4740+1428.2+220.515+1559.999-324.873</f>
        <v>17496.046000000002</v>
      </c>
      <c r="D376" s="43">
        <f>789.128+324.873</f>
        <v>1114.001</v>
      </c>
      <c r="E376" s="51">
        <f>589.0944+88.995+81.54+327.677+204.4</f>
        <v>1291.7064</v>
      </c>
      <c r="F376" s="51">
        <f t="shared" si="14"/>
        <v>19901.753400000001</v>
      </c>
      <c r="H376" s="19"/>
      <c r="I376" s="11"/>
      <c r="J376" s="8"/>
    </row>
    <row r="377" spans="2:10" x14ac:dyDescent="0.25">
      <c r="B377" s="85" t="s">
        <v>24</v>
      </c>
      <c r="C377" s="43">
        <f>5939.29+4666.935+7234+83.61+1559.989-374.618</f>
        <v>19109.206000000002</v>
      </c>
      <c r="D377" s="107">
        <f>860.944+374.618</f>
        <v>1235.5619999999999</v>
      </c>
      <c r="E377" s="51">
        <f>651.3406+90+82.068+852.447+192.1</f>
        <v>1867.9555999999998</v>
      </c>
      <c r="F377" s="51">
        <f t="shared" si="14"/>
        <v>22212.723600000005</v>
      </c>
      <c r="H377" s="19"/>
      <c r="I377" s="11"/>
      <c r="J377" s="8"/>
    </row>
    <row r="378" spans="2:10" x14ac:dyDescent="0.25">
      <c r="B378" s="85" t="s">
        <v>60</v>
      </c>
      <c r="C378" s="43">
        <f>4844.43+5841.927+5803+1322.044+1489.284-447.327</f>
        <v>18853.358</v>
      </c>
      <c r="D378" s="107">
        <f>447.327+890.812</f>
        <v>1338.1390000000001</v>
      </c>
      <c r="E378" s="51">
        <f>669.168+167.7+53.976+1274.681+147.4</f>
        <v>2312.9250000000002</v>
      </c>
      <c r="F378" s="51">
        <f t="shared" si="14"/>
        <v>22504.421999999999</v>
      </c>
      <c r="H378" s="19"/>
      <c r="I378" s="11"/>
      <c r="J378" s="8"/>
    </row>
    <row r="379" spans="2:10" x14ac:dyDescent="0.25">
      <c r="B379" s="85" t="s">
        <v>65</v>
      </c>
      <c r="C379" s="43">
        <f>3569.88+5612.652+5589+1814.43+1536.023-534.273</f>
        <v>17587.712</v>
      </c>
      <c r="D379" s="107">
        <f>880.276+534.273</f>
        <v>1414.549</v>
      </c>
      <c r="E379" s="51">
        <f>694.8257+239.55+1494.074+306</f>
        <v>2734.4497000000001</v>
      </c>
      <c r="F379" s="51">
        <f t="shared" si="14"/>
        <v>21736.7107</v>
      </c>
      <c r="H379" s="19"/>
      <c r="I379" s="11"/>
      <c r="J379" s="8"/>
    </row>
    <row r="380" spans="2:10" x14ac:dyDescent="0.25">
      <c r="B380" s="85" t="s">
        <v>25</v>
      </c>
      <c r="C380" s="43">
        <f>4761.41+4581.216+5754+2025.227+1559.99-798.545</f>
        <v>17883.298000000003</v>
      </c>
      <c r="D380" s="43">
        <f>798.545+660.588</f>
        <v>1459.1329999999998</v>
      </c>
      <c r="E380" s="51">
        <f>618.0647+1202.679+265.55</f>
        <v>2086.2937000000002</v>
      </c>
      <c r="F380" s="51">
        <f t="shared" si="14"/>
        <v>21428.724700000006</v>
      </c>
      <c r="G380" s="43"/>
      <c r="H380" s="19"/>
      <c r="I380" s="11"/>
      <c r="J380" s="8"/>
    </row>
    <row r="381" spans="2:10" s="28" customFormat="1" x14ac:dyDescent="0.25">
      <c r="B381" s="113" t="s">
        <v>16</v>
      </c>
      <c r="C381" s="108">
        <f>6189.78+4581.216+6297+2097.586+16.187+1559.994-1190.291</f>
        <v>19551.471999999998</v>
      </c>
      <c r="D381" s="109">
        <f>1190.291+510.204</f>
        <v>1700.4949999999999</v>
      </c>
      <c r="E381" s="110">
        <f>404.515+90.805+1219.963+262.7</f>
        <v>1977.9829999999999</v>
      </c>
      <c r="F381" s="110">
        <f t="shared" si="14"/>
        <v>23229.949999999997</v>
      </c>
      <c r="G381" s="108"/>
      <c r="H381" s="111"/>
      <c r="I381" s="112"/>
      <c r="J381" s="27"/>
    </row>
    <row r="382" spans="2:10" s="28" customFormat="1" x14ac:dyDescent="0.25">
      <c r="B382" s="113" t="s">
        <v>17</v>
      </c>
      <c r="C382" s="108">
        <f>5269.81+3935.862+5765+1996.965+195.137+2484.732-1150.364</f>
        <v>18497.141999999996</v>
      </c>
      <c r="D382" s="109">
        <f>1150.364+382.94</f>
        <v>1533.3040000000001</v>
      </c>
      <c r="E382" s="110">
        <f>331.1863+61.95+979.01+234</f>
        <v>1606.1462999999999</v>
      </c>
      <c r="F382" s="110">
        <f t="shared" si="14"/>
        <v>21636.592299999997</v>
      </c>
      <c r="G382" s="108"/>
      <c r="H382" s="111"/>
      <c r="I382" s="112"/>
      <c r="J382" s="27"/>
    </row>
    <row r="383" spans="2:10" s="28" customFormat="1" x14ac:dyDescent="0.25">
      <c r="B383" s="113" t="s">
        <v>62</v>
      </c>
      <c r="C383" s="108">
        <f>3005.25+2997.519+5629+2117.167+797.788+2988.042-915.873</f>
        <v>16618.893</v>
      </c>
      <c r="D383" s="109">
        <f>915.873+463.6</f>
        <v>1379.473</v>
      </c>
      <c r="E383" s="110">
        <f>296.7487+31.65+480.358+213.4</f>
        <v>1022.1566999999999</v>
      </c>
      <c r="F383" s="110">
        <f t="shared" si="14"/>
        <v>19020.522700000001</v>
      </c>
      <c r="G383" s="108"/>
      <c r="H383" s="111"/>
      <c r="I383" s="112"/>
      <c r="J383" s="27"/>
    </row>
    <row r="384" spans="2:10" s="28" customFormat="1" x14ac:dyDescent="0.25">
      <c r="B384" s="113" t="s">
        <v>30</v>
      </c>
      <c r="C384" s="108">
        <f>2862.95+3919.5+5815+1954.4+755.333+3353.039-919.636</f>
        <v>17740.586000000003</v>
      </c>
      <c r="D384" s="109">
        <f>919.636+480.6</f>
        <v>1400.2359999999999</v>
      </c>
      <c r="E384" s="110">
        <f>501.188+36.03+494.58+252.3</f>
        <v>1284.098</v>
      </c>
      <c r="F384" s="110">
        <f t="shared" si="14"/>
        <v>20424.920000000006</v>
      </c>
      <c r="G384" s="108"/>
      <c r="H384" s="111"/>
      <c r="I384" s="112"/>
      <c r="J384" s="27"/>
    </row>
    <row r="385" spans="2:10" s="28" customFormat="1" x14ac:dyDescent="0.25">
      <c r="B385" s="113" t="s">
        <v>63</v>
      </c>
      <c r="C385" s="108">
        <f>2191.1+4932.312+5787+1878.912+509.282+3078.256-712.309</f>
        <v>17664.553</v>
      </c>
      <c r="D385" s="109">
        <f>628.928+712.309</f>
        <v>1341.2370000000001</v>
      </c>
      <c r="E385" s="110">
        <f>634.043+93.405+672.204+237.5</f>
        <v>1637.152</v>
      </c>
      <c r="F385" s="110">
        <f t="shared" si="14"/>
        <v>20642.942000000003</v>
      </c>
      <c r="G385" s="108"/>
      <c r="H385" s="111"/>
      <c r="I385" s="112"/>
      <c r="J385" s="27"/>
    </row>
    <row r="386" spans="2:10" s="28" customFormat="1" x14ac:dyDescent="0.25">
      <c r="B386" s="113" t="s">
        <v>21</v>
      </c>
      <c r="C386" s="108">
        <f>3199.28+5122.026+6351+1837.992+128.251+3014.046-537</f>
        <v>19115.594999999998</v>
      </c>
      <c r="D386" s="109">
        <f>781.164+537</f>
        <v>1318.164</v>
      </c>
      <c r="E386" s="110">
        <f>681.426+188.34+563.328+257.5</f>
        <v>1690.5940000000001</v>
      </c>
      <c r="F386" s="110">
        <f t="shared" si="14"/>
        <v>22124.352999999999</v>
      </c>
      <c r="G386" s="108"/>
      <c r="H386" s="111"/>
      <c r="I386" s="112"/>
      <c r="J386" s="27"/>
    </row>
    <row r="387" spans="2:10" s="28" customFormat="1" x14ac:dyDescent="0.25">
      <c r="B387" s="75"/>
      <c r="C387" s="108"/>
      <c r="D387" s="109"/>
      <c r="E387" s="110"/>
      <c r="F387" s="110"/>
      <c r="G387" s="108"/>
      <c r="H387" s="111"/>
      <c r="I387" s="112"/>
      <c r="J387" s="27"/>
    </row>
    <row r="388" spans="2:10" s="28" customFormat="1" x14ac:dyDescent="0.25">
      <c r="B388" s="55" t="s">
        <v>44</v>
      </c>
      <c r="C388" s="108"/>
      <c r="D388" s="109"/>
      <c r="E388" s="110"/>
      <c r="F388" s="110"/>
      <c r="G388" s="108"/>
      <c r="H388" s="111"/>
      <c r="I388" s="112"/>
      <c r="J388" s="27"/>
    </row>
    <row r="389" spans="2:10" s="28" customFormat="1" x14ac:dyDescent="0.25">
      <c r="B389" s="85" t="s">
        <v>22</v>
      </c>
      <c r="C389" s="108">
        <f>3629.22+5158.86+7711+1929.352+72.348+1700.348-773.673</f>
        <v>19427.455000000005</v>
      </c>
      <c r="D389" s="109">
        <f>637.276+773.673</f>
        <v>1410.9490000000001</v>
      </c>
      <c r="E389" s="110">
        <f>634.3696+81.63+925.28+200.6</f>
        <v>1841.8795999999998</v>
      </c>
      <c r="F389" s="110">
        <f t="shared" ref="F389:F400" si="15">SUM(C389:E389)</f>
        <v>22680.283600000006</v>
      </c>
      <c r="G389" s="108"/>
      <c r="H389" s="111"/>
      <c r="I389" s="112"/>
      <c r="J389" s="27"/>
    </row>
    <row r="390" spans="2:10" s="28" customFormat="1" x14ac:dyDescent="0.25">
      <c r="B390" s="85" t="s">
        <v>23</v>
      </c>
      <c r="C390" s="108">
        <f>3569.14+4699.758+8708+1909.396+35.298+1559.897-135.709</f>
        <v>20345.780000000002</v>
      </c>
      <c r="D390" s="109">
        <f>0+135.709</f>
        <v>135.709</v>
      </c>
      <c r="E390" s="110">
        <f>670.2354+150.99+828.167+196.3</f>
        <v>1845.6924000000001</v>
      </c>
      <c r="F390" s="110">
        <f t="shared" si="15"/>
        <v>22327.181400000001</v>
      </c>
      <c r="G390" s="108"/>
      <c r="H390" s="111"/>
      <c r="I390" s="112"/>
      <c r="J390" s="27"/>
    </row>
    <row r="391" spans="2:10" s="28" customFormat="1" x14ac:dyDescent="0.25">
      <c r="B391" s="85" t="s">
        <v>24</v>
      </c>
      <c r="C391" s="108">
        <f>5435.98+5232.633+9005+1469.553+132.654+1273.849-1494.327</f>
        <v>21055.341999999993</v>
      </c>
      <c r="D391" s="109">
        <f>0+1494.327</f>
        <v>1494.327</v>
      </c>
      <c r="E391" s="110">
        <f>722.3244+131.67+642.529+255.8</f>
        <v>1752.3234</v>
      </c>
      <c r="F391" s="110">
        <f t="shared" si="15"/>
        <v>24301.992399999996</v>
      </c>
      <c r="G391" s="108"/>
      <c r="H391" s="111"/>
      <c r="I391" s="112"/>
      <c r="J391" s="27"/>
    </row>
    <row r="392" spans="2:10" s="28" customFormat="1" x14ac:dyDescent="0.25">
      <c r="B392" s="85" t="s">
        <v>60</v>
      </c>
      <c r="C392" s="108">
        <f>7805.01+5168.457+7189+2079.146+97.977+366.688-1341.491</f>
        <v>21364.786999999997</v>
      </c>
      <c r="D392" s="109">
        <f>359.2+1341.491</f>
        <v>1700.691</v>
      </c>
      <c r="E392" s="110">
        <f>455.539+131.805+741.875+248.4</f>
        <v>1577.6190000000001</v>
      </c>
      <c r="F392" s="110">
        <f t="shared" si="15"/>
        <v>24643.096999999994</v>
      </c>
      <c r="G392" s="108"/>
      <c r="H392" s="111"/>
      <c r="I392" s="112"/>
      <c r="J392" s="27"/>
    </row>
    <row r="393" spans="2:10" s="28" customFormat="1" x14ac:dyDescent="0.25">
      <c r="B393" s="85" t="s">
        <v>65</v>
      </c>
      <c r="C393" s="108">
        <f>7469.18+5100.123+7941+2318.045+64.292+620.182-1241.321</f>
        <v>22271.501</v>
      </c>
      <c r="D393" s="109">
        <f>620.58+1241.321</f>
        <v>1861.9009999999998</v>
      </c>
      <c r="E393" s="110">
        <f>595.2844+132.495+606.51104+308.8</f>
        <v>1643.0904399999999</v>
      </c>
      <c r="F393" s="110">
        <f t="shared" si="15"/>
        <v>25776.492440000002</v>
      </c>
      <c r="G393" s="108"/>
      <c r="H393" s="111"/>
      <c r="I393" s="112"/>
      <c r="J393" s="27"/>
    </row>
    <row r="394" spans="2:10" s="28" customFormat="1" x14ac:dyDescent="0.25">
      <c r="B394" s="85" t="s">
        <v>25</v>
      </c>
      <c r="C394" s="108">
        <f>6281.46+3489.84+8303+2427.878+77.88+1452.552-1022.836</f>
        <v>21009.774000000001</v>
      </c>
      <c r="D394" s="109">
        <f>610.52+1022.836</f>
        <v>1633.356</v>
      </c>
      <c r="E394" s="110">
        <f>326.527+75.54+9.336+828.2454+276.4</f>
        <v>1516.0484000000001</v>
      </c>
      <c r="F394" s="110">
        <f t="shared" si="15"/>
        <v>24159.178400000001</v>
      </c>
      <c r="G394" s="108"/>
      <c r="H394" s="111"/>
      <c r="I394" s="112"/>
      <c r="J394" s="27"/>
    </row>
    <row r="395" spans="2:10" s="28" customFormat="1" x14ac:dyDescent="0.25">
      <c r="B395" s="85" t="s">
        <v>16</v>
      </c>
      <c r="C395" s="108">
        <f>7362.07+3154.179+7693+2291.941+165.989+1559.859-897.709</f>
        <v>21329.329000000002</v>
      </c>
      <c r="D395" s="109">
        <f>689.2+897.709</f>
        <v>1586.9090000000001</v>
      </c>
      <c r="E395" s="110">
        <f>361.431+75.195+712.68544+287.9</f>
        <v>1437.21144</v>
      </c>
      <c r="F395" s="110">
        <f t="shared" si="15"/>
        <v>24353.44944</v>
      </c>
      <c r="G395" s="108"/>
      <c r="H395" s="111"/>
      <c r="I395" s="112"/>
      <c r="J395" s="27"/>
    </row>
    <row r="396" spans="2:10" s="28" customFormat="1" x14ac:dyDescent="0.25">
      <c r="B396" s="85" t="s">
        <v>17</v>
      </c>
      <c r="C396" s="108">
        <f>6780.82+2516.619+7813+2368.299+160.385+2242.066-1090.691</f>
        <v>20790.497999999996</v>
      </c>
      <c r="D396" s="109">
        <f>597.7+1090.691</f>
        <v>1688.3910000000001</v>
      </c>
      <c r="E396" s="110">
        <f>330.871+41.895+1168.21024+267</f>
        <v>1807.97624</v>
      </c>
      <c r="F396" s="110">
        <f t="shared" si="15"/>
        <v>24286.865239999996</v>
      </c>
      <c r="G396" s="108"/>
      <c r="H396" s="111"/>
      <c r="I396" s="112"/>
      <c r="J396" s="27"/>
    </row>
    <row r="397" spans="2:10" s="28" customFormat="1" x14ac:dyDescent="0.25">
      <c r="B397" s="85" t="s">
        <v>62</v>
      </c>
      <c r="C397" s="108">
        <f>5852.99+2500.113+7878+2162.253+144.387+2790.069-1251</f>
        <v>20076.811999999998</v>
      </c>
      <c r="D397" s="109">
        <f>344.692+1251</f>
        <v>1595.692</v>
      </c>
      <c r="E397" s="110">
        <f>297.291+1115.28396+116.845</f>
        <v>1529.4199599999999</v>
      </c>
      <c r="F397" s="110">
        <f t="shared" si="15"/>
        <v>23201.923959999996</v>
      </c>
      <c r="G397" s="108"/>
      <c r="H397" s="111"/>
      <c r="I397" s="112"/>
      <c r="J397" s="27"/>
    </row>
    <row r="398" spans="2:10" s="28" customFormat="1" x14ac:dyDescent="0.25">
      <c r="B398" s="85" t="s">
        <v>30</v>
      </c>
      <c r="C398" s="108">
        <f>5687.02+2965.683+8138+2577.804+269.801+2856.764-1222.636</f>
        <v>21272.436000000002</v>
      </c>
      <c r="D398" s="109">
        <f>428.228+1222.636</f>
        <v>1650.864</v>
      </c>
      <c r="E398" s="110">
        <f>399.404+71.025+0+1190.35472+225.8</f>
        <v>1886.5837199999999</v>
      </c>
      <c r="F398" s="110">
        <f t="shared" si="15"/>
        <v>24809.883720000002</v>
      </c>
      <c r="G398" s="108"/>
      <c r="H398" s="111"/>
      <c r="I398" s="112"/>
      <c r="J398" s="27"/>
    </row>
    <row r="399" spans="2:10" s="28" customFormat="1" x14ac:dyDescent="0.25">
      <c r="B399" s="85" t="s">
        <v>63</v>
      </c>
      <c r="C399" s="108">
        <f>5304.72+3020.199+7021+2372.422+270.702+3040.159-1092.818</f>
        <v>19936.384000000002</v>
      </c>
      <c r="D399" s="109">
        <f>537.132+1092.818</f>
        <v>1629.9499999999998</v>
      </c>
      <c r="E399" s="110">
        <f>446.1989+50.94+12.984+1157.14788+252.6</f>
        <v>1919.8707799999997</v>
      </c>
      <c r="F399" s="110">
        <f t="shared" si="15"/>
        <v>23486.204780000004</v>
      </c>
      <c r="G399" s="108"/>
      <c r="H399" s="111"/>
      <c r="I399" s="112"/>
      <c r="J399" s="27"/>
    </row>
    <row r="400" spans="2:10" s="28" customFormat="1" x14ac:dyDescent="0.25">
      <c r="B400" s="85" t="s">
        <v>21</v>
      </c>
      <c r="C400" s="108">
        <f>4998.66+3573.696+6975+1651.198+325.269+2806.916-948.6</f>
        <v>19382.139000000003</v>
      </c>
      <c r="D400" s="109">
        <f>575.792+948.6</f>
        <v>1524.3920000000001</v>
      </c>
      <c r="E400" s="110">
        <f>416.6762+18.816+1234.9894+260</f>
        <v>1930.4815999999998</v>
      </c>
      <c r="F400" s="110">
        <f t="shared" si="15"/>
        <v>22837.012600000002</v>
      </c>
      <c r="G400" s="108"/>
      <c r="H400" s="111"/>
      <c r="I400" s="112"/>
      <c r="J400" s="27"/>
    </row>
    <row r="401" spans="2:11" s="28" customFormat="1" x14ac:dyDescent="0.25">
      <c r="B401" s="85"/>
      <c r="C401" s="108"/>
      <c r="D401" s="109"/>
      <c r="E401" s="110"/>
      <c r="F401" s="110"/>
      <c r="G401" s="108"/>
      <c r="H401" s="111"/>
      <c r="I401" s="112"/>
      <c r="J401" s="27"/>
    </row>
    <row r="402" spans="2:11" s="28" customFormat="1" x14ac:dyDescent="0.25">
      <c r="B402" s="55" t="s">
        <v>45</v>
      </c>
      <c r="C402" s="108"/>
      <c r="D402" s="109"/>
      <c r="E402" s="110"/>
      <c r="F402" s="110"/>
      <c r="G402" s="108"/>
      <c r="H402" s="111"/>
      <c r="I402" s="112"/>
      <c r="J402" s="27"/>
    </row>
    <row r="403" spans="2:11" s="28" customFormat="1" x14ac:dyDescent="0.25">
      <c r="B403" s="85" t="s">
        <v>22</v>
      </c>
      <c r="C403" s="108">
        <f>3247.13+4270.413+7551+1925.521+336.913+2965.146-583.826-906.818</f>
        <v>18805.478999999999</v>
      </c>
      <c r="D403" s="109">
        <f>583.826+906.818</f>
        <v>1490.644</v>
      </c>
      <c r="E403" s="110">
        <f>543.2743+35.415+1296.45152+260.9</f>
        <v>2136.0408200000002</v>
      </c>
      <c r="F403" s="110">
        <f t="shared" ref="F403:F409" si="16">SUM(C403:E403)</f>
        <v>22432.163820000002</v>
      </c>
      <c r="G403" s="108"/>
      <c r="H403" s="111"/>
      <c r="I403" s="112"/>
      <c r="J403" s="27"/>
    </row>
    <row r="404" spans="2:11" s="28" customFormat="1" x14ac:dyDescent="0.25">
      <c r="B404" s="85" t="s">
        <v>23</v>
      </c>
      <c r="C404" s="108">
        <f>3695.055+3033.2+5784+2178.864+324.647+2831.452-820.745</f>
        <v>17026.473000000002</v>
      </c>
      <c r="D404" s="109">
        <f>532.026+820.745</f>
        <v>1352.771</v>
      </c>
      <c r="E404" s="110">
        <f>460.0747+35.19+1333.33777+248.8</f>
        <v>2077.40247</v>
      </c>
      <c r="F404" s="110">
        <f t="shared" si="16"/>
        <v>20456.646470000003</v>
      </c>
      <c r="G404" s="108"/>
      <c r="H404" s="111"/>
      <c r="I404" s="112"/>
      <c r="J404" s="27"/>
    </row>
    <row r="405" spans="2:11" s="28" customFormat="1" x14ac:dyDescent="0.25">
      <c r="B405" s="85" t="s">
        <v>24</v>
      </c>
      <c r="C405" s="108">
        <f>3396.93+4778.991+6232+2372.81+396.611+3199.873-972.273</f>
        <v>19404.941999999999</v>
      </c>
      <c r="D405" s="109">
        <f>676.72+972.273</f>
        <v>1648.9929999999999</v>
      </c>
      <c r="E405" s="110">
        <f>632.7084+178.86+0+1036.9706+269</f>
        <v>2117.5390000000002</v>
      </c>
      <c r="F405" s="110">
        <f t="shared" si="16"/>
        <v>23171.473999999998</v>
      </c>
      <c r="G405" s="108"/>
      <c r="H405" s="111"/>
      <c r="I405" s="112"/>
      <c r="J405" s="27"/>
    </row>
    <row r="406" spans="2:11" s="28" customFormat="1" x14ac:dyDescent="0.25">
      <c r="B406" s="85" t="s">
        <v>60</v>
      </c>
      <c r="C406" s="108">
        <f>3596+3906.462+5872+2171.995+150.302+2599.913-788.673</f>
        <v>17507.999</v>
      </c>
      <c r="D406" s="109">
        <f>304.648+788.673</f>
        <v>1093.3209999999999</v>
      </c>
      <c r="E406" s="110">
        <f>100.44+1478.53222+215.8</f>
        <v>1794.7722200000001</v>
      </c>
      <c r="F406" s="110">
        <f t="shared" si="16"/>
        <v>20396.092219999999</v>
      </c>
      <c r="G406" s="108"/>
      <c r="H406" s="111"/>
      <c r="I406" s="112"/>
      <c r="J406" s="27"/>
    </row>
    <row r="407" spans="2:11" s="28" customFormat="1" x14ac:dyDescent="0.25">
      <c r="B407" s="85" t="s">
        <v>65</v>
      </c>
      <c r="C407" s="108">
        <f>3835.47+3042.743+6101+1943.694+146.406+3403.518-1188.382</f>
        <v>17284.448999999997</v>
      </c>
      <c r="D407" s="109">
        <f>297.392+1188.382</f>
        <v>1485.7740000000001</v>
      </c>
      <c r="E407" s="110">
        <f>483.5875+120.3+1500.73378+144.1</f>
        <v>2248.7212799999998</v>
      </c>
      <c r="F407" s="110">
        <f t="shared" si="16"/>
        <v>21018.944279999996</v>
      </c>
      <c r="G407" s="108"/>
      <c r="H407" s="111"/>
      <c r="I407" s="112"/>
      <c r="J407" s="27"/>
    </row>
    <row r="408" spans="2:11" s="28" customFormat="1" x14ac:dyDescent="0.25">
      <c r="B408" s="85" t="s">
        <v>25</v>
      </c>
      <c r="C408" s="108">
        <f>3685.83+2309.601+4715+1974.258+304.877+3421.228-1183.8</f>
        <v>15226.994000000002</v>
      </c>
      <c r="D408" s="109">
        <f>251.632+1183.8</f>
        <v>1435.432</v>
      </c>
      <c r="E408" s="110">
        <f>307.3432+73.26+1483.90548+68.2</f>
        <v>1932.70868</v>
      </c>
      <c r="F408" s="110">
        <f t="shared" si="16"/>
        <v>18595.134680000003</v>
      </c>
      <c r="G408" s="108"/>
      <c r="H408" s="111"/>
      <c r="I408" s="112"/>
      <c r="J408" s="27"/>
    </row>
    <row r="409" spans="2:11" s="28" customFormat="1" x14ac:dyDescent="0.25">
      <c r="B409" s="85" t="s">
        <v>16</v>
      </c>
      <c r="C409" s="108">
        <f>3833.99+1967.343+4603+2068.612+573.417+3818.041-1116.655</f>
        <v>15747.747999999998</v>
      </c>
      <c r="D409" s="109">
        <f>348.828+1116.655</f>
        <v>1465.4829999999999</v>
      </c>
      <c r="E409" s="110">
        <f>276.5338+67.575+1690.31368+204.2</f>
        <v>2238.62248</v>
      </c>
      <c r="F409" s="110">
        <f t="shared" si="16"/>
        <v>19451.853479999998</v>
      </c>
      <c r="G409" s="108"/>
      <c r="H409" s="111"/>
      <c r="I409" s="112"/>
      <c r="J409" s="27"/>
    </row>
    <row r="410" spans="2:11" x14ac:dyDescent="0.25">
      <c r="B410" s="52"/>
      <c r="C410" s="107"/>
      <c r="D410" s="43"/>
      <c r="E410" s="58"/>
      <c r="F410" s="79"/>
      <c r="H410" s="19"/>
      <c r="I410" s="11"/>
      <c r="J410" s="8"/>
    </row>
    <row r="411" spans="2:11" x14ac:dyDescent="0.25">
      <c r="B411" s="80"/>
      <c r="C411" s="81"/>
      <c r="D411" s="81"/>
      <c r="E411" s="81"/>
      <c r="F411" s="56"/>
      <c r="H411" s="17"/>
      <c r="I411" s="14"/>
      <c r="J411" s="8"/>
    </row>
    <row r="412" spans="2:11" x14ac:dyDescent="0.25">
      <c r="B412" s="114" t="s">
        <v>71</v>
      </c>
      <c r="C412" s="72"/>
      <c r="D412" s="72"/>
      <c r="E412" s="72"/>
      <c r="F412" s="82"/>
      <c r="H412" s="17"/>
      <c r="I412" s="9"/>
      <c r="J412" s="12"/>
      <c r="K412" s="8"/>
    </row>
    <row r="413" spans="2:11" x14ac:dyDescent="0.25">
      <c r="B413" s="83"/>
      <c r="C413" s="38"/>
      <c r="D413" s="38"/>
      <c r="E413" s="38"/>
      <c r="F413" s="39"/>
      <c r="G413" s="8"/>
      <c r="H413" s="17"/>
    </row>
    <row r="414" spans="2:11" x14ac:dyDescent="0.25">
      <c r="C414" s="2"/>
      <c r="D414" s="10"/>
      <c r="E414" s="2"/>
      <c r="F414" s="5"/>
      <c r="G414" s="9"/>
    </row>
    <row r="415" spans="2:11" x14ac:dyDescent="0.25">
      <c r="D415" s="8"/>
      <c r="F415" s="8"/>
      <c r="G415" s="9"/>
    </row>
    <row r="416" spans="2:11" x14ac:dyDescent="0.25">
      <c r="E416" s="5"/>
    </row>
    <row r="417" spans="3:8" x14ac:dyDescent="0.25">
      <c r="D417" s="3"/>
      <c r="G417" s="9"/>
      <c r="H417" s="9"/>
    </row>
    <row r="418" spans="3:8" x14ac:dyDescent="0.25">
      <c r="C418" s="6"/>
    </row>
    <row r="419" spans="3:8" x14ac:dyDescent="0.25">
      <c r="E419" s="3"/>
      <c r="F419" s="3"/>
      <c r="H419" s="9"/>
    </row>
    <row r="420" spans="3:8" x14ac:dyDescent="0.25">
      <c r="E420" s="8"/>
      <c r="F420" s="8"/>
    </row>
    <row r="428" spans="3:8" x14ac:dyDescent="0.25">
      <c r="E428" s="6"/>
    </row>
    <row r="430" spans="3:8" x14ac:dyDescent="0.25">
      <c r="E430" s="8"/>
    </row>
  </sheetData>
  <mergeCells count="2">
    <mergeCell ref="B4:F4"/>
    <mergeCell ref="B5:F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E212"/>
  <sheetViews>
    <sheetView tabSelected="1" topLeftCell="C1" workbookViewId="0">
      <selection activeCell="E8" sqref="E8"/>
    </sheetView>
  </sheetViews>
  <sheetFormatPr baseColWidth="10" defaultColWidth="8.88671875" defaultRowHeight="15.75" x14ac:dyDescent="0.25"/>
  <cols>
    <col min="1" max="1" width="4.21875" style="146" customWidth="1"/>
    <col min="2" max="2" width="81.109375" style="146" bestFit="1" customWidth="1"/>
    <col min="3" max="3" width="46.109375" style="146" bestFit="1" customWidth="1"/>
    <col min="4" max="4" width="17.109375" style="146" bestFit="1" customWidth="1"/>
    <col min="5" max="5" width="23" style="146" bestFit="1" customWidth="1"/>
    <col min="6" max="16384" width="8.88671875" style="146"/>
  </cols>
  <sheetData>
    <row r="2" spans="2:5" ht="18.75" x14ac:dyDescent="0.3">
      <c r="B2" s="147" t="s">
        <v>79</v>
      </c>
    </row>
    <row r="3" spans="2:5" ht="18.75" x14ac:dyDescent="0.3">
      <c r="B3" s="148" t="s">
        <v>80</v>
      </c>
    </row>
    <row r="5" spans="2:5" x14ac:dyDescent="0.25">
      <c r="B5" s="146" t="s">
        <v>78</v>
      </c>
    </row>
    <row r="6" spans="2:5" ht="16.5" thickBot="1" x14ac:dyDescent="0.3">
      <c r="B6" s="149" t="s">
        <v>86</v>
      </c>
      <c r="C6" s="149" t="s">
        <v>87</v>
      </c>
      <c r="D6" s="149" t="s">
        <v>88</v>
      </c>
      <c r="E6" s="149" t="s">
        <v>89</v>
      </c>
    </row>
    <row r="7" spans="2:5" x14ac:dyDescent="0.25">
      <c r="B7" s="169" t="s">
        <v>90</v>
      </c>
      <c r="C7" s="150" t="s">
        <v>83</v>
      </c>
      <c r="D7" s="150" t="s">
        <v>90</v>
      </c>
      <c r="E7" s="168">
        <v>44836</v>
      </c>
    </row>
    <row r="8" spans="2:5" x14ac:dyDescent="0.25">
      <c r="B8" s="169" t="s">
        <v>91</v>
      </c>
      <c r="C8" s="150" t="s">
        <v>84</v>
      </c>
      <c r="D8" s="150" t="s">
        <v>91</v>
      </c>
      <c r="E8" s="151" t="s">
        <v>140</v>
      </c>
    </row>
    <row r="9" spans="2:5" x14ac:dyDescent="0.25">
      <c r="B9" s="169" t="s">
        <v>92</v>
      </c>
      <c r="C9" s="150" t="s">
        <v>85</v>
      </c>
      <c r="D9" s="150" t="s">
        <v>92</v>
      </c>
      <c r="E9" s="152" t="s">
        <v>49</v>
      </c>
    </row>
    <row r="10" spans="2:5" ht="16.5" thickBot="1" x14ac:dyDescent="0.3">
      <c r="B10" s="153"/>
      <c r="C10" s="154"/>
      <c r="D10" s="154"/>
      <c r="E10" s="154"/>
    </row>
    <row r="12" spans="2:5" x14ac:dyDescent="0.25">
      <c r="B12" s="146" t="s">
        <v>81</v>
      </c>
      <c r="C12" s="155"/>
    </row>
    <row r="13" spans="2:5" x14ac:dyDescent="0.25">
      <c r="B13" s="146" t="s">
        <v>82</v>
      </c>
      <c r="C13" s="155"/>
    </row>
    <row r="15" spans="2:5" x14ac:dyDescent="0.25">
      <c r="B15" s="146" t="s">
        <v>72</v>
      </c>
      <c r="C15" s="146" t="s">
        <v>93</v>
      </c>
    </row>
    <row r="16" spans="2:5" x14ac:dyDescent="0.25">
      <c r="B16" s="146" t="s">
        <v>73</v>
      </c>
      <c r="C16" s="156" t="s">
        <v>74</v>
      </c>
    </row>
    <row r="19" spans="2:3" ht="18.75" x14ac:dyDescent="0.3">
      <c r="B19" s="148" t="s">
        <v>77</v>
      </c>
    </row>
    <row r="20" spans="2:3" x14ac:dyDescent="0.25">
      <c r="B20"/>
      <c r="C20"/>
    </row>
    <row r="21" spans="2:3" x14ac:dyDescent="0.25">
      <c r="B21"/>
      <c r="C21"/>
    </row>
    <row r="22" spans="2:3" x14ac:dyDescent="0.25">
      <c r="B22" s="157" t="s">
        <v>75</v>
      </c>
      <c r="C22"/>
    </row>
    <row r="23" spans="2:3" x14ac:dyDescent="0.25">
      <c r="B23" s="157" t="s">
        <v>76</v>
      </c>
      <c r="C23"/>
    </row>
    <row r="24" spans="2:3" x14ac:dyDescent="0.25">
      <c r="B24" s="157" t="s">
        <v>94</v>
      </c>
      <c r="C24"/>
    </row>
    <row r="25" spans="2:3" x14ac:dyDescent="0.25">
      <c r="B25"/>
      <c r="C25"/>
    </row>
    <row r="26" spans="2:3" x14ac:dyDescent="0.25">
      <c r="B26"/>
      <c r="C26"/>
    </row>
    <row r="27" spans="2:3" x14ac:dyDescent="0.25">
      <c r="B27"/>
      <c r="C27" s="28"/>
    </row>
    <row r="28" spans="2:3" x14ac:dyDescent="0.25">
      <c r="B28"/>
      <c r="C28"/>
    </row>
    <row r="29" spans="2:3" x14ac:dyDescent="0.25">
      <c r="B29" s="57"/>
      <c r="C29"/>
    </row>
    <row r="30" spans="2:3" x14ac:dyDescent="0.25">
      <c r="B30"/>
      <c r="C30"/>
    </row>
    <row r="31" spans="2:3" x14ac:dyDescent="0.25">
      <c r="B31"/>
      <c r="C31"/>
    </row>
    <row r="32" spans="2:3" x14ac:dyDescent="0.25">
      <c r="B32"/>
      <c r="C32"/>
    </row>
    <row r="33" spans="2:3" x14ac:dyDescent="0.25">
      <c r="B33"/>
      <c r="C33"/>
    </row>
    <row r="34" spans="2:3" x14ac:dyDescent="0.25">
      <c r="B34"/>
      <c r="C34"/>
    </row>
    <row r="35" spans="2:3" x14ac:dyDescent="0.25">
      <c r="B35"/>
      <c r="C35"/>
    </row>
    <row r="36" spans="2:3" x14ac:dyDescent="0.25">
      <c r="B36"/>
      <c r="C36"/>
    </row>
    <row r="37" spans="2:3" x14ac:dyDescent="0.25">
      <c r="B37"/>
      <c r="C37"/>
    </row>
    <row r="38" spans="2:3" x14ac:dyDescent="0.25">
      <c r="B38"/>
      <c r="C38"/>
    </row>
    <row r="39" spans="2:3" x14ac:dyDescent="0.25">
      <c r="B39"/>
      <c r="C39"/>
    </row>
    <row r="40" spans="2:3" x14ac:dyDescent="0.25">
      <c r="B40"/>
      <c r="C40"/>
    </row>
    <row r="41" spans="2:3" x14ac:dyDescent="0.25">
      <c r="B41"/>
      <c r="C41"/>
    </row>
    <row r="42" spans="2:3" x14ac:dyDescent="0.25">
      <c r="B42"/>
      <c r="C42"/>
    </row>
    <row r="43" spans="2:3" x14ac:dyDescent="0.25">
      <c r="B43"/>
      <c r="C43"/>
    </row>
    <row r="44" spans="2:3" x14ac:dyDescent="0.25">
      <c r="B44"/>
      <c r="C44"/>
    </row>
    <row r="45" spans="2:3" x14ac:dyDescent="0.25">
      <c r="B45"/>
      <c r="C45"/>
    </row>
    <row r="46" spans="2:3" x14ac:dyDescent="0.25">
      <c r="B46"/>
      <c r="C46"/>
    </row>
    <row r="47" spans="2:3" x14ac:dyDescent="0.25">
      <c r="B47"/>
      <c r="C47"/>
    </row>
    <row r="48" spans="2:3" x14ac:dyDescent="0.25">
      <c r="B48"/>
      <c r="C48"/>
    </row>
    <row r="49" spans="2:3" x14ac:dyDescent="0.25">
      <c r="B49"/>
      <c r="C49"/>
    </row>
    <row r="50" spans="2:3" x14ac:dyDescent="0.25">
      <c r="B50"/>
      <c r="C50"/>
    </row>
    <row r="51" spans="2:3" x14ac:dyDescent="0.25">
      <c r="B51"/>
      <c r="C51"/>
    </row>
    <row r="52" spans="2:3" x14ac:dyDescent="0.25">
      <c r="B52"/>
      <c r="C52"/>
    </row>
    <row r="53" spans="2:3" x14ac:dyDescent="0.25">
      <c r="B53"/>
      <c r="C53"/>
    </row>
    <row r="54" spans="2:3" x14ac:dyDescent="0.25">
      <c r="B54"/>
      <c r="C54"/>
    </row>
    <row r="55" spans="2:3" x14ac:dyDescent="0.25">
      <c r="B55"/>
      <c r="C55"/>
    </row>
    <row r="56" spans="2:3" x14ac:dyDescent="0.25">
      <c r="B56"/>
      <c r="C56"/>
    </row>
    <row r="57" spans="2:3" x14ac:dyDescent="0.25">
      <c r="B57"/>
      <c r="C57"/>
    </row>
    <row r="58" spans="2:3" x14ac:dyDescent="0.25">
      <c r="B58"/>
      <c r="C58"/>
    </row>
    <row r="59" spans="2:3" x14ac:dyDescent="0.25">
      <c r="B59"/>
      <c r="C59"/>
    </row>
    <row r="60" spans="2:3" x14ac:dyDescent="0.25">
      <c r="B60"/>
      <c r="C60"/>
    </row>
    <row r="61" spans="2:3" x14ac:dyDescent="0.25">
      <c r="B61"/>
      <c r="C61"/>
    </row>
    <row r="62" spans="2:3" x14ac:dyDescent="0.25">
      <c r="B62"/>
      <c r="C62"/>
    </row>
    <row r="63" spans="2:3" x14ac:dyDescent="0.25">
      <c r="B63"/>
      <c r="C63"/>
    </row>
    <row r="64" spans="2:3" x14ac:dyDescent="0.25">
      <c r="B64"/>
      <c r="C64"/>
    </row>
    <row r="65" spans="2:3" x14ac:dyDescent="0.25">
      <c r="B65"/>
      <c r="C65"/>
    </row>
    <row r="66" spans="2:3" x14ac:dyDescent="0.25">
      <c r="B66"/>
      <c r="C66"/>
    </row>
    <row r="67" spans="2:3" x14ac:dyDescent="0.25">
      <c r="B67"/>
      <c r="C67"/>
    </row>
    <row r="68" spans="2:3" x14ac:dyDescent="0.25">
      <c r="B68"/>
      <c r="C68"/>
    </row>
    <row r="69" spans="2:3" x14ac:dyDescent="0.25">
      <c r="B69"/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  <row r="212" spans="2:3" x14ac:dyDescent="0.25">
      <c r="B212"/>
      <c r="C212"/>
    </row>
  </sheetData>
  <hyperlinks>
    <hyperlink ref="C16" r:id="rId1"/>
    <hyperlink ref="B7" location="Monthly_Data!A1" display="Monthly"/>
    <hyperlink ref="B8" location="Quaterly_Data!A1" display="Quarterly"/>
    <hyperlink ref="B9" location="Annually_Data!A1" display="Annually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K303"/>
  <sheetViews>
    <sheetView topLeftCell="B1" workbookViewId="0">
      <pane xSplit="6" ySplit="7" topLeftCell="H276" activePane="bottomRight" state="frozen"/>
      <selection activeCell="B1" sqref="B1"/>
      <selection pane="topRight" activeCell="H1" sqref="H1"/>
      <selection pane="bottomLeft" activeCell="B8" sqref="B8"/>
      <selection pane="bottomRight" activeCell="I280" sqref="I280"/>
    </sheetView>
  </sheetViews>
  <sheetFormatPr baseColWidth="10" defaultColWidth="12.6640625" defaultRowHeight="15.75" x14ac:dyDescent="0.25"/>
  <cols>
    <col min="1" max="1" width="10.77734375" hidden="1" customWidth="1"/>
    <col min="2" max="2" width="21.77734375" customWidth="1"/>
    <col min="3" max="3" width="11" bestFit="1" customWidth="1"/>
    <col min="4" max="4" width="18.21875" customWidth="1"/>
    <col min="5" max="5" width="19.21875" customWidth="1"/>
    <col min="6" max="6" width="18.109375" customWidth="1"/>
    <col min="7" max="7" width="16.88671875" customWidth="1"/>
    <col min="8" max="8" width="17.88671875" customWidth="1"/>
  </cols>
  <sheetData>
    <row r="1" spans="2:8" x14ac:dyDescent="0.25">
      <c r="B1" s="170" t="s">
        <v>102</v>
      </c>
      <c r="C1" s="30"/>
      <c r="D1" s="30"/>
      <c r="E1" s="30"/>
      <c r="F1" s="31"/>
    </row>
    <row r="2" spans="2:8" x14ac:dyDescent="0.25">
      <c r="B2" s="44"/>
      <c r="C2" s="30"/>
      <c r="D2" s="30"/>
      <c r="E2" s="30"/>
      <c r="F2" s="31"/>
    </row>
    <row r="3" spans="2:8" x14ac:dyDescent="0.25">
      <c r="B3" s="161"/>
      <c r="C3" s="162" t="s">
        <v>0</v>
      </c>
      <c r="D3" s="163"/>
      <c r="E3" s="163"/>
      <c r="F3" s="164" t="s">
        <v>64</v>
      </c>
    </row>
    <row r="4" spans="2:8" x14ac:dyDescent="0.25">
      <c r="B4" s="182" t="s">
        <v>97</v>
      </c>
      <c r="C4" s="183"/>
      <c r="D4" s="183"/>
      <c r="E4" s="183"/>
      <c r="F4" s="184"/>
      <c r="G4" t="s">
        <v>43</v>
      </c>
    </row>
    <row r="5" spans="2:8" x14ac:dyDescent="0.25">
      <c r="B5" s="185" t="s">
        <v>98</v>
      </c>
      <c r="C5" s="186"/>
      <c r="D5" s="186"/>
      <c r="E5" s="186"/>
      <c r="F5" s="187"/>
      <c r="H5" s="9"/>
    </row>
    <row r="6" spans="2:8" x14ac:dyDescent="0.25">
      <c r="B6" s="124"/>
      <c r="C6" s="125"/>
      <c r="D6" s="126"/>
      <c r="E6" s="126"/>
      <c r="F6" s="127"/>
    </row>
    <row r="7" spans="2:8" x14ac:dyDescent="0.25">
      <c r="B7" s="128" t="s">
        <v>95</v>
      </c>
      <c r="C7" s="129" t="s">
        <v>1</v>
      </c>
      <c r="D7" s="130" t="s">
        <v>2</v>
      </c>
      <c r="E7" s="130" t="s">
        <v>94</v>
      </c>
      <c r="F7" s="131" t="s">
        <v>3</v>
      </c>
    </row>
    <row r="8" spans="2:8" x14ac:dyDescent="0.25">
      <c r="B8" s="132" t="s">
        <v>96</v>
      </c>
      <c r="C8" s="133"/>
      <c r="D8" s="134"/>
      <c r="E8" s="134"/>
      <c r="F8" s="134"/>
      <c r="G8" s="4"/>
      <c r="H8" s="2"/>
    </row>
    <row r="9" spans="2:8" x14ac:dyDescent="0.25">
      <c r="B9" s="118">
        <v>36526</v>
      </c>
      <c r="C9" s="50">
        <v>9816</v>
      </c>
      <c r="D9" s="51">
        <v>844</v>
      </c>
      <c r="E9" s="51">
        <v>827</v>
      </c>
      <c r="F9" s="51">
        <f t="shared" ref="F9:F20" si="0">SUM(C9:E9)</f>
        <v>11487</v>
      </c>
    </row>
    <row r="10" spans="2:8" x14ac:dyDescent="0.25">
      <c r="B10" s="118">
        <v>36557</v>
      </c>
      <c r="C10" s="50">
        <v>9589</v>
      </c>
      <c r="D10" s="51">
        <v>789</v>
      </c>
      <c r="E10" s="51">
        <v>914</v>
      </c>
      <c r="F10" s="51">
        <f t="shared" si="0"/>
        <v>11292</v>
      </c>
    </row>
    <row r="11" spans="2:8" x14ac:dyDescent="0.25">
      <c r="B11" s="118">
        <v>36586</v>
      </c>
      <c r="C11" s="50">
        <v>10316</v>
      </c>
      <c r="D11" s="51">
        <v>763</v>
      </c>
      <c r="E11" s="51">
        <v>909</v>
      </c>
      <c r="F11" s="51">
        <f t="shared" si="0"/>
        <v>11988</v>
      </c>
    </row>
    <row r="12" spans="2:8" x14ac:dyDescent="0.25">
      <c r="B12" s="118">
        <v>36617</v>
      </c>
      <c r="C12" s="50">
        <v>10113</v>
      </c>
      <c r="D12" s="51">
        <v>608</v>
      </c>
      <c r="E12" s="51">
        <v>874</v>
      </c>
      <c r="F12" s="51">
        <f t="shared" si="0"/>
        <v>11595</v>
      </c>
    </row>
    <row r="13" spans="2:8" x14ac:dyDescent="0.25">
      <c r="B13" s="118">
        <v>36647</v>
      </c>
      <c r="C13" s="50">
        <v>11157</v>
      </c>
      <c r="D13" s="51">
        <v>681</v>
      </c>
      <c r="E13" s="51">
        <v>879</v>
      </c>
      <c r="F13" s="51">
        <f t="shared" si="0"/>
        <v>12717</v>
      </c>
    </row>
    <row r="14" spans="2:8" x14ac:dyDescent="0.25">
      <c r="B14" s="118">
        <v>36678</v>
      </c>
      <c r="C14" s="50">
        <v>10936</v>
      </c>
      <c r="D14" s="51">
        <v>583</v>
      </c>
      <c r="E14" s="51">
        <v>762</v>
      </c>
      <c r="F14" s="51">
        <f t="shared" si="0"/>
        <v>12281</v>
      </c>
    </row>
    <row r="15" spans="2:8" x14ac:dyDescent="0.25">
      <c r="B15" s="118">
        <v>36708</v>
      </c>
      <c r="C15" s="50">
        <v>10657</v>
      </c>
      <c r="D15" s="51">
        <v>384</v>
      </c>
      <c r="E15" s="51">
        <v>490</v>
      </c>
      <c r="F15" s="51">
        <f t="shared" si="0"/>
        <v>11531</v>
      </c>
      <c r="H15" s="2"/>
    </row>
    <row r="16" spans="2:8" x14ac:dyDescent="0.25">
      <c r="B16" s="118">
        <v>36739</v>
      </c>
      <c r="C16" s="50">
        <v>11647.305</v>
      </c>
      <c r="D16" s="51">
        <v>321.98500000000001</v>
      </c>
      <c r="E16" s="51">
        <v>467.98750000000001</v>
      </c>
      <c r="F16" s="51">
        <f t="shared" si="0"/>
        <v>12437.2775</v>
      </c>
    </row>
    <row r="17" spans="2:8" x14ac:dyDescent="0.25">
      <c r="B17" s="118">
        <v>36770</v>
      </c>
      <c r="C17" s="50">
        <v>11500.948</v>
      </c>
      <c r="D17" s="51">
        <v>191.04499999999999</v>
      </c>
      <c r="E17" s="51">
        <v>525</v>
      </c>
      <c r="F17" s="51">
        <f t="shared" si="0"/>
        <v>12216.993</v>
      </c>
    </row>
    <row r="18" spans="2:8" x14ac:dyDescent="0.25">
      <c r="B18" s="118">
        <v>36800</v>
      </c>
      <c r="C18" s="57">
        <v>11197.067999999999</v>
      </c>
      <c r="D18" s="58">
        <v>239.09</v>
      </c>
      <c r="E18" s="58">
        <v>458.048</v>
      </c>
      <c r="F18" s="51">
        <f t="shared" si="0"/>
        <v>11894.206</v>
      </c>
    </row>
    <row r="19" spans="2:8" x14ac:dyDescent="0.25">
      <c r="B19" s="118">
        <v>36831</v>
      </c>
      <c r="C19" s="57">
        <v>10734.816000000001</v>
      </c>
      <c r="D19" s="58">
        <v>352.84500000000003</v>
      </c>
      <c r="E19" s="58">
        <v>613.404</v>
      </c>
      <c r="F19" s="51">
        <f t="shared" si="0"/>
        <v>11701.065000000001</v>
      </c>
    </row>
    <row r="20" spans="2:8" x14ac:dyDescent="0.25">
      <c r="B20" s="118">
        <v>36861</v>
      </c>
      <c r="C20" s="57">
        <v>11530.246999999999</v>
      </c>
      <c r="D20" s="58">
        <v>426</v>
      </c>
      <c r="E20" s="58">
        <v>773</v>
      </c>
      <c r="F20" s="51">
        <f t="shared" si="0"/>
        <v>12729.246999999999</v>
      </c>
    </row>
    <row r="21" spans="2:8" x14ac:dyDescent="0.25">
      <c r="B21" s="118">
        <v>36892</v>
      </c>
      <c r="C21" s="57">
        <v>9497.1859999999997</v>
      </c>
      <c r="D21" s="58">
        <v>160.315</v>
      </c>
      <c r="E21" s="58">
        <v>932.51099999999997</v>
      </c>
      <c r="F21" s="51">
        <v>10590.012000000001</v>
      </c>
    </row>
    <row r="22" spans="2:8" x14ac:dyDescent="0.25">
      <c r="B22" s="118">
        <v>36923</v>
      </c>
      <c r="C22" s="57">
        <v>8202.3379999999997</v>
      </c>
      <c r="D22" s="58">
        <v>184.24799999999999</v>
      </c>
      <c r="E22" s="58">
        <v>968.67399999999998</v>
      </c>
      <c r="F22" s="51">
        <v>9355.2599999999984</v>
      </c>
    </row>
    <row r="23" spans="2:8" x14ac:dyDescent="0.25">
      <c r="B23" s="118">
        <v>36951</v>
      </c>
      <c r="C23" s="57">
        <v>8768.9809999999998</v>
      </c>
      <c r="D23" s="58">
        <v>476.10500000000002</v>
      </c>
      <c r="E23" s="58">
        <v>632</v>
      </c>
      <c r="F23" s="51">
        <v>9877.0859999999993</v>
      </c>
    </row>
    <row r="24" spans="2:8" x14ac:dyDescent="0.25">
      <c r="B24" s="118">
        <v>36982</v>
      </c>
      <c r="C24" s="57">
        <v>8812.6689999999999</v>
      </c>
      <c r="D24" s="58">
        <v>401</v>
      </c>
      <c r="E24" s="58">
        <v>989</v>
      </c>
      <c r="F24" s="51">
        <v>10202.669</v>
      </c>
    </row>
    <row r="25" spans="2:8" x14ac:dyDescent="0.25">
      <c r="B25" s="118">
        <v>37012</v>
      </c>
      <c r="C25" s="57">
        <v>11166</v>
      </c>
      <c r="D25" s="58">
        <v>538</v>
      </c>
      <c r="E25" s="58">
        <v>936.96299999999997</v>
      </c>
      <c r="F25" s="51">
        <v>12640.963</v>
      </c>
      <c r="H25" s="6"/>
    </row>
    <row r="26" spans="2:8" x14ac:dyDescent="0.25">
      <c r="B26" s="118">
        <v>37043</v>
      </c>
      <c r="C26" s="158">
        <v>10912</v>
      </c>
      <c r="D26" s="58">
        <v>213</v>
      </c>
      <c r="E26" s="58">
        <v>900</v>
      </c>
      <c r="F26" s="51">
        <v>12025</v>
      </c>
      <c r="H26" s="9"/>
    </row>
    <row r="27" spans="2:8" x14ac:dyDescent="0.25">
      <c r="B27" s="118">
        <v>37073</v>
      </c>
      <c r="C27" s="57">
        <v>11518</v>
      </c>
      <c r="D27" s="58">
        <v>225</v>
      </c>
      <c r="E27" s="58">
        <v>658</v>
      </c>
      <c r="F27" s="51">
        <v>12401</v>
      </c>
      <c r="H27" s="9"/>
    </row>
    <row r="28" spans="2:8" x14ac:dyDescent="0.25">
      <c r="B28" s="118">
        <v>37104</v>
      </c>
      <c r="C28" s="57">
        <v>10108</v>
      </c>
      <c r="D28" s="58">
        <v>844</v>
      </c>
      <c r="E28" s="58">
        <v>637.33100000000002</v>
      </c>
      <c r="F28" s="51">
        <v>11589.331</v>
      </c>
      <c r="H28" s="9"/>
    </row>
    <row r="29" spans="2:8" x14ac:dyDescent="0.25">
      <c r="B29" s="118">
        <v>37135</v>
      </c>
      <c r="C29" s="57">
        <v>11403</v>
      </c>
      <c r="D29" s="58">
        <v>127</v>
      </c>
      <c r="E29" s="58">
        <v>654.42599999999993</v>
      </c>
      <c r="F29" s="51">
        <v>12184.425999999999</v>
      </c>
      <c r="H29" s="9"/>
    </row>
    <row r="30" spans="2:8" x14ac:dyDescent="0.25">
      <c r="B30" s="118">
        <v>37165</v>
      </c>
      <c r="C30" s="57">
        <v>11869.319</v>
      </c>
      <c r="D30" s="58">
        <v>260.89999999999998</v>
      </c>
      <c r="E30" s="58">
        <v>696.94</v>
      </c>
      <c r="F30" s="51">
        <v>12827.159</v>
      </c>
      <c r="H30" s="5"/>
    </row>
    <row r="31" spans="2:8" x14ac:dyDescent="0.25">
      <c r="B31" s="118">
        <v>37196</v>
      </c>
      <c r="C31" s="57">
        <v>12268.598</v>
      </c>
      <c r="D31" s="58">
        <v>223.495</v>
      </c>
      <c r="E31" s="58">
        <v>737.51599999999996</v>
      </c>
      <c r="F31" s="51">
        <v>13229.609</v>
      </c>
      <c r="H31" s="5"/>
    </row>
    <row r="32" spans="2:8" x14ac:dyDescent="0.25">
      <c r="B32" s="118">
        <v>37226</v>
      </c>
      <c r="C32" s="57">
        <v>12169.583000000001</v>
      </c>
      <c r="D32" s="58">
        <v>133.32</v>
      </c>
      <c r="E32" s="58">
        <v>852.96500000000003</v>
      </c>
      <c r="F32" s="51">
        <v>13155.868</v>
      </c>
      <c r="H32" s="5"/>
    </row>
    <row r="33" spans="2:9" x14ac:dyDescent="0.25">
      <c r="B33" s="118">
        <v>37257</v>
      </c>
      <c r="C33" s="59">
        <v>12076</v>
      </c>
      <c r="D33" s="58">
        <v>78</v>
      </c>
      <c r="E33" s="58">
        <v>1014.3049999999999</v>
      </c>
      <c r="F33" s="51">
        <f t="shared" ref="F33:F56" si="1">SUM(C33:E33)</f>
        <v>13168.305</v>
      </c>
      <c r="H33" s="9"/>
    </row>
    <row r="34" spans="2:9" x14ac:dyDescent="0.25">
      <c r="B34" s="118">
        <v>37288</v>
      </c>
      <c r="C34" s="57">
        <v>11548.358</v>
      </c>
      <c r="D34" s="58">
        <v>322.02499999999998</v>
      </c>
      <c r="E34" s="58">
        <v>908.81899999999996</v>
      </c>
      <c r="F34" s="51">
        <f t="shared" si="1"/>
        <v>12779.201999999999</v>
      </c>
      <c r="H34" s="5"/>
    </row>
    <row r="35" spans="2:9" x14ac:dyDescent="0.25">
      <c r="B35" s="118">
        <v>37316</v>
      </c>
      <c r="C35" s="57">
        <v>11611.002</v>
      </c>
      <c r="D35" s="58">
        <v>322.02499999999998</v>
      </c>
      <c r="E35" s="58">
        <v>721.27300000000002</v>
      </c>
      <c r="F35" s="51">
        <f t="shared" si="1"/>
        <v>12654.3</v>
      </c>
      <c r="H35" s="5"/>
    </row>
    <row r="36" spans="2:9" x14ac:dyDescent="0.25">
      <c r="B36" s="118">
        <v>37347</v>
      </c>
      <c r="C36" s="60">
        <v>9993</v>
      </c>
      <c r="D36" s="58">
        <v>309</v>
      </c>
      <c r="E36" s="61">
        <v>784</v>
      </c>
      <c r="F36" s="51">
        <f t="shared" si="1"/>
        <v>11086</v>
      </c>
      <c r="H36" s="9"/>
      <c r="I36" s="9"/>
    </row>
    <row r="37" spans="2:9" x14ac:dyDescent="0.25">
      <c r="B37" s="118">
        <v>37377</v>
      </c>
      <c r="C37" s="57">
        <v>12714.413</v>
      </c>
      <c r="D37" s="58">
        <v>269.67500000000001</v>
      </c>
      <c r="E37" s="58">
        <v>838.59400000000005</v>
      </c>
      <c r="F37" s="51">
        <f t="shared" si="1"/>
        <v>13822.682000000001</v>
      </c>
      <c r="H37" s="9"/>
    </row>
    <row r="38" spans="2:9" x14ac:dyDescent="0.25">
      <c r="B38" s="118">
        <v>37408</v>
      </c>
      <c r="C38" s="57">
        <v>12126.428</v>
      </c>
      <c r="D38" s="58">
        <v>297.8</v>
      </c>
      <c r="E38" s="58">
        <v>641.69600000000003</v>
      </c>
      <c r="F38" s="51">
        <f t="shared" si="1"/>
        <v>13065.923999999999</v>
      </c>
      <c r="H38" s="8"/>
    </row>
    <row r="39" spans="2:9" x14ac:dyDescent="0.25">
      <c r="B39" s="118">
        <v>37438</v>
      </c>
      <c r="C39" s="57">
        <v>12343.583000000001</v>
      </c>
      <c r="D39" s="58">
        <v>275.35000000000002</v>
      </c>
      <c r="E39" s="58">
        <v>654.13199999999995</v>
      </c>
      <c r="F39" s="51">
        <f t="shared" si="1"/>
        <v>13273.065000000001</v>
      </c>
      <c r="H39" s="8"/>
    </row>
    <row r="40" spans="2:9" x14ac:dyDescent="0.25">
      <c r="B40" s="118">
        <v>37469</v>
      </c>
      <c r="C40" s="57">
        <f>5014.57+3215.949+1613+2307.6</f>
        <v>12151.119000000001</v>
      </c>
      <c r="D40" s="58">
        <v>127.23</v>
      </c>
      <c r="E40" s="58">
        <f>106.62+81.024+387.562+66.827</f>
        <v>642.03300000000002</v>
      </c>
      <c r="F40" s="51">
        <f t="shared" si="1"/>
        <v>12920.382</v>
      </c>
      <c r="H40" s="11"/>
    </row>
    <row r="41" spans="2:9" x14ac:dyDescent="0.25">
      <c r="B41" s="118">
        <v>37500</v>
      </c>
      <c r="C41" s="57">
        <v>11656.752</v>
      </c>
      <c r="D41" s="58">
        <v>358.70499999999998</v>
      </c>
      <c r="E41" s="58">
        <v>684.4</v>
      </c>
      <c r="F41" s="51">
        <f t="shared" si="1"/>
        <v>12699.857</v>
      </c>
      <c r="H41" s="11"/>
    </row>
    <row r="42" spans="2:9" x14ac:dyDescent="0.25">
      <c r="B42" s="118">
        <v>37530</v>
      </c>
      <c r="C42" s="57">
        <v>12033.8</v>
      </c>
      <c r="D42" s="58">
        <v>421.40499999999997</v>
      </c>
      <c r="E42" s="58">
        <v>700.11300000000006</v>
      </c>
      <c r="F42" s="51">
        <f t="shared" si="1"/>
        <v>13155.317999999999</v>
      </c>
      <c r="H42" s="11"/>
    </row>
    <row r="43" spans="2:9" x14ac:dyDescent="0.25">
      <c r="B43" s="118">
        <v>37561</v>
      </c>
      <c r="C43" s="57">
        <v>11491.87</v>
      </c>
      <c r="D43" s="58">
        <v>289.43</v>
      </c>
      <c r="E43" s="58">
        <v>795.75</v>
      </c>
      <c r="F43" s="51">
        <f t="shared" si="1"/>
        <v>12577.050000000001</v>
      </c>
      <c r="H43" s="11"/>
    </row>
    <row r="44" spans="2:9" x14ac:dyDescent="0.25">
      <c r="B44" s="118">
        <v>37591</v>
      </c>
      <c r="C44" s="57">
        <v>12256.226000000001</v>
      </c>
      <c r="D44" s="58">
        <v>284.67500000000001</v>
      </c>
      <c r="E44" s="58">
        <v>650.22500000000002</v>
      </c>
      <c r="F44" s="51">
        <f t="shared" si="1"/>
        <v>13191.126</v>
      </c>
      <c r="H44" s="11"/>
    </row>
    <row r="45" spans="2:9" x14ac:dyDescent="0.25">
      <c r="B45" s="118">
        <v>37622</v>
      </c>
      <c r="C45" s="57">
        <v>11313.022000000001</v>
      </c>
      <c r="D45" s="64">
        <v>344.38499999999999</v>
      </c>
      <c r="E45" s="64">
        <v>782.50199999999995</v>
      </c>
      <c r="F45" s="51">
        <f t="shared" si="1"/>
        <v>12439.909000000001</v>
      </c>
      <c r="G45" s="2"/>
      <c r="H45" s="17"/>
    </row>
    <row r="46" spans="2:9" x14ac:dyDescent="0.25">
      <c r="B46" s="118">
        <v>37653</v>
      </c>
      <c r="C46" s="57">
        <v>11380.85</v>
      </c>
      <c r="D46" s="64">
        <v>294.08</v>
      </c>
      <c r="E46" s="64">
        <v>733.34349999999995</v>
      </c>
      <c r="F46" s="51">
        <f t="shared" si="1"/>
        <v>12408.273499999999</v>
      </c>
      <c r="G46" s="2"/>
      <c r="H46" s="17"/>
    </row>
    <row r="47" spans="2:9" x14ac:dyDescent="0.25">
      <c r="B47" s="118">
        <v>37681</v>
      </c>
      <c r="C47" s="57">
        <v>12471.795</v>
      </c>
      <c r="D47" s="64">
        <v>233.29499999999999</v>
      </c>
      <c r="E47" s="64">
        <v>705.37850000000003</v>
      </c>
      <c r="F47" s="51">
        <f t="shared" si="1"/>
        <v>13410.468500000001</v>
      </c>
      <c r="G47" s="2"/>
      <c r="H47" s="17"/>
    </row>
    <row r="48" spans="2:9" x14ac:dyDescent="0.25">
      <c r="B48" s="118">
        <v>37712</v>
      </c>
      <c r="C48" s="57">
        <v>12577</v>
      </c>
      <c r="D48" s="64">
        <v>272</v>
      </c>
      <c r="E48" s="64">
        <v>627</v>
      </c>
      <c r="F48" s="51">
        <f t="shared" si="1"/>
        <v>13476</v>
      </c>
      <c r="G48" s="2"/>
      <c r="H48" s="17"/>
    </row>
    <row r="49" spans="2:10" x14ac:dyDescent="0.25">
      <c r="B49" s="118">
        <v>37742</v>
      </c>
      <c r="C49" s="57">
        <v>12791</v>
      </c>
      <c r="D49" s="64">
        <v>261</v>
      </c>
      <c r="E49" s="64">
        <v>782</v>
      </c>
      <c r="F49" s="51">
        <f t="shared" si="1"/>
        <v>13834</v>
      </c>
      <c r="G49" s="2"/>
      <c r="H49" s="17"/>
    </row>
    <row r="50" spans="2:10" x14ac:dyDescent="0.25">
      <c r="B50" s="118">
        <v>37773</v>
      </c>
      <c r="C50" s="57">
        <v>10160</v>
      </c>
      <c r="D50" s="64">
        <v>289</v>
      </c>
      <c r="E50" s="64">
        <v>765</v>
      </c>
      <c r="F50" s="51">
        <f t="shared" si="1"/>
        <v>11214</v>
      </c>
      <c r="G50" s="2"/>
      <c r="H50" s="18"/>
    </row>
    <row r="51" spans="2:10" x14ac:dyDescent="0.25">
      <c r="B51" s="118">
        <v>37803</v>
      </c>
      <c r="C51" s="57">
        <v>11605.365</v>
      </c>
      <c r="D51" s="64">
        <v>259.53500000000003</v>
      </c>
      <c r="E51" s="64">
        <v>683.84400000000005</v>
      </c>
      <c r="F51" s="51">
        <f t="shared" si="1"/>
        <v>12548.743999999999</v>
      </c>
      <c r="G51" s="2"/>
      <c r="H51" s="18"/>
    </row>
    <row r="52" spans="2:10" x14ac:dyDescent="0.25">
      <c r="B52" s="118">
        <v>37834</v>
      </c>
      <c r="C52" s="57">
        <v>12396</v>
      </c>
      <c r="D52" s="64">
        <v>460</v>
      </c>
      <c r="E52" s="64">
        <v>499</v>
      </c>
      <c r="F52" s="51">
        <f t="shared" si="1"/>
        <v>13355</v>
      </c>
      <c r="G52" s="2"/>
      <c r="H52" s="18"/>
    </row>
    <row r="53" spans="2:10" x14ac:dyDescent="0.25">
      <c r="B53" s="118">
        <v>37865</v>
      </c>
      <c r="C53" s="57">
        <v>12328</v>
      </c>
      <c r="D53" s="64">
        <v>385</v>
      </c>
      <c r="E53" s="64">
        <v>508</v>
      </c>
      <c r="F53" s="51">
        <f t="shared" si="1"/>
        <v>13221</v>
      </c>
      <c r="G53" s="2"/>
      <c r="H53" s="18"/>
    </row>
    <row r="54" spans="2:10" x14ac:dyDescent="0.25">
      <c r="B54" s="118">
        <v>37895</v>
      </c>
      <c r="C54" s="57">
        <v>10634</v>
      </c>
      <c r="D54" s="64">
        <v>284</v>
      </c>
      <c r="E54" s="64">
        <v>637</v>
      </c>
      <c r="F54" s="51">
        <f t="shared" si="1"/>
        <v>11555</v>
      </c>
      <c r="G54" s="2"/>
      <c r="H54" s="17"/>
    </row>
    <row r="55" spans="2:10" x14ac:dyDescent="0.25">
      <c r="B55" s="118">
        <v>37926</v>
      </c>
      <c r="C55" s="57">
        <v>12546</v>
      </c>
      <c r="D55" s="64">
        <v>255</v>
      </c>
      <c r="E55" s="64">
        <v>429</v>
      </c>
      <c r="F55" s="51">
        <f t="shared" si="1"/>
        <v>13230</v>
      </c>
      <c r="G55" s="2"/>
      <c r="H55" s="18"/>
    </row>
    <row r="56" spans="2:10" x14ac:dyDescent="0.25">
      <c r="B56" s="118">
        <v>37956</v>
      </c>
      <c r="C56" s="57">
        <v>12975</v>
      </c>
      <c r="D56" s="64">
        <v>255</v>
      </c>
      <c r="E56" s="64">
        <v>606</v>
      </c>
      <c r="F56" s="51">
        <f t="shared" si="1"/>
        <v>13836</v>
      </c>
      <c r="G56" s="2"/>
      <c r="H56" s="18"/>
    </row>
    <row r="57" spans="2:10" x14ac:dyDescent="0.25">
      <c r="B57" s="118">
        <v>37987</v>
      </c>
      <c r="C57" s="57">
        <v>12632</v>
      </c>
      <c r="D57" s="58">
        <v>225</v>
      </c>
      <c r="E57" s="58">
        <v>623</v>
      </c>
      <c r="F57" s="56">
        <f t="shared" ref="F57:F116" si="2">SUM(C57:E57)</f>
        <v>13480</v>
      </c>
      <c r="H57" s="5"/>
    </row>
    <row r="58" spans="2:10" x14ac:dyDescent="0.25">
      <c r="B58" s="118">
        <v>38018</v>
      </c>
      <c r="C58" s="57">
        <v>11490</v>
      </c>
      <c r="D58" s="58">
        <v>765.40800000000002</v>
      </c>
      <c r="E58" s="58">
        <v>626.86500000000001</v>
      </c>
      <c r="F58" s="56">
        <f t="shared" si="2"/>
        <v>12882.272999999999</v>
      </c>
      <c r="H58" s="5"/>
    </row>
    <row r="59" spans="2:10" x14ac:dyDescent="0.25">
      <c r="B59" s="118">
        <v>38047</v>
      </c>
      <c r="C59" s="57">
        <v>11659</v>
      </c>
      <c r="D59" s="58">
        <v>827.78200000000004</v>
      </c>
      <c r="E59" s="58">
        <v>656</v>
      </c>
      <c r="F59" s="56">
        <f t="shared" si="2"/>
        <v>13142.781999999999</v>
      </c>
      <c r="H59" s="11"/>
    </row>
    <row r="60" spans="2:10" x14ac:dyDescent="0.25">
      <c r="B60" s="118">
        <v>38078</v>
      </c>
      <c r="C60" s="57">
        <v>12309.69</v>
      </c>
      <c r="D60" s="58">
        <v>810.09299999999996</v>
      </c>
      <c r="E60" s="58">
        <v>757.35199999999998</v>
      </c>
      <c r="F60" s="56">
        <f t="shared" si="2"/>
        <v>13877.135000000002</v>
      </c>
      <c r="H60" s="11"/>
    </row>
    <row r="61" spans="2:10" x14ac:dyDescent="0.25">
      <c r="B61" s="118">
        <v>38108</v>
      </c>
      <c r="C61" s="57">
        <v>12590</v>
      </c>
      <c r="D61" s="58">
        <v>835.81399999999996</v>
      </c>
      <c r="E61" s="58">
        <v>786.02200000000005</v>
      </c>
      <c r="F61" s="56">
        <f t="shared" si="2"/>
        <v>14211.836000000001</v>
      </c>
      <c r="H61" s="11"/>
    </row>
    <row r="62" spans="2:10" x14ac:dyDescent="0.25">
      <c r="B62" s="118">
        <v>38139</v>
      </c>
      <c r="C62" s="57">
        <v>12365.772000000001</v>
      </c>
      <c r="D62" s="58">
        <v>895.69100000000003</v>
      </c>
      <c r="E62" s="58">
        <v>697.36800000000005</v>
      </c>
      <c r="F62" s="56">
        <f t="shared" si="2"/>
        <v>13958.831000000002</v>
      </c>
      <c r="I62" s="11"/>
      <c r="J62" s="8"/>
    </row>
    <row r="63" spans="2:10" x14ac:dyDescent="0.25">
      <c r="B63" s="118">
        <v>38169</v>
      </c>
      <c r="C63" s="57">
        <v>12552</v>
      </c>
      <c r="D63" s="58">
        <v>1007.625</v>
      </c>
      <c r="E63" s="58">
        <v>491.017</v>
      </c>
      <c r="F63" s="56">
        <f t="shared" si="2"/>
        <v>14050.642</v>
      </c>
      <c r="H63" s="9"/>
      <c r="I63" s="11"/>
      <c r="J63" s="8"/>
    </row>
    <row r="64" spans="2:10" x14ac:dyDescent="0.25">
      <c r="B64" s="118">
        <v>38200</v>
      </c>
      <c r="C64" s="57">
        <v>12347.121999999999</v>
      </c>
      <c r="D64" s="58">
        <v>954.42</v>
      </c>
      <c r="E64" s="58">
        <v>466</v>
      </c>
      <c r="F64" s="56">
        <f t="shared" si="2"/>
        <v>13767.541999999999</v>
      </c>
      <c r="I64" s="11"/>
      <c r="J64" s="8"/>
    </row>
    <row r="65" spans="2:10" x14ac:dyDescent="0.25">
      <c r="B65" s="118">
        <v>38231</v>
      </c>
      <c r="C65" s="68">
        <v>12905.584000000001</v>
      </c>
      <c r="D65" s="69">
        <f>827.782+116.666</f>
        <v>944.44800000000009</v>
      </c>
      <c r="E65" s="58">
        <v>437</v>
      </c>
      <c r="F65" s="56">
        <f t="shared" si="2"/>
        <v>14287.032000000001</v>
      </c>
      <c r="H65" s="8"/>
      <c r="I65" s="11"/>
      <c r="J65" s="8"/>
    </row>
    <row r="66" spans="2:10" x14ac:dyDescent="0.25">
      <c r="B66" s="118">
        <v>38261</v>
      </c>
      <c r="C66" s="68">
        <v>12149.788</v>
      </c>
      <c r="D66" s="69">
        <v>880.80100000000004</v>
      </c>
      <c r="E66" s="58">
        <f>286.987+76.5975+25.44+1.008+4</f>
        <v>394.03250000000003</v>
      </c>
      <c r="F66" s="56">
        <f t="shared" si="2"/>
        <v>13424.621499999999</v>
      </c>
      <c r="H66" s="9"/>
      <c r="I66" s="11"/>
      <c r="J66" s="8"/>
    </row>
    <row r="67" spans="2:10" x14ac:dyDescent="0.25">
      <c r="B67" s="118">
        <v>38292</v>
      </c>
      <c r="C67" s="68">
        <v>11953.56</v>
      </c>
      <c r="D67" s="69">
        <v>941.25900000000001</v>
      </c>
      <c r="E67" s="58">
        <v>470.30200000000002</v>
      </c>
      <c r="F67" s="56">
        <f t="shared" si="2"/>
        <v>13365.120999999999</v>
      </c>
      <c r="H67" s="9"/>
      <c r="I67" s="11"/>
      <c r="J67" s="8"/>
    </row>
    <row r="68" spans="2:10" x14ac:dyDescent="0.25">
      <c r="B68" s="118">
        <v>38322</v>
      </c>
      <c r="C68" s="68">
        <v>12689.358</v>
      </c>
      <c r="D68" s="69">
        <v>1074.586</v>
      </c>
      <c r="E68" s="58">
        <v>450.24099999999999</v>
      </c>
      <c r="F68" s="56">
        <f t="shared" si="2"/>
        <v>14214.184999999999</v>
      </c>
      <c r="H68" s="9"/>
      <c r="I68" s="11"/>
      <c r="J68" s="8"/>
    </row>
    <row r="69" spans="2:10" x14ac:dyDescent="0.25">
      <c r="B69" s="118">
        <v>38353</v>
      </c>
      <c r="C69" s="68">
        <v>12783.157999999999</v>
      </c>
      <c r="D69" s="69">
        <v>1086.5340000000001</v>
      </c>
      <c r="E69" s="58">
        <v>531.20699999999999</v>
      </c>
      <c r="F69" s="56">
        <f t="shared" si="2"/>
        <v>14400.898999999999</v>
      </c>
      <c r="G69" s="23"/>
      <c r="H69" s="9"/>
      <c r="I69" s="11"/>
      <c r="J69" s="8"/>
    </row>
    <row r="70" spans="2:10" x14ac:dyDescent="0.25">
      <c r="B70" s="118">
        <v>38384</v>
      </c>
      <c r="C70" s="68">
        <v>12331.925999999999</v>
      </c>
      <c r="D70" s="69">
        <v>1041.9849999999999</v>
      </c>
      <c r="E70" s="58">
        <v>547.59849999999994</v>
      </c>
      <c r="F70" s="56">
        <f t="shared" si="2"/>
        <v>13921.5095</v>
      </c>
      <c r="H70" s="9"/>
      <c r="I70" s="11"/>
      <c r="J70" s="8"/>
    </row>
    <row r="71" spans="2:10" x14ac:dyDescent="0.25">
      <c r="B71" s="118">
        <v>38412</v>
      </c>
      <c r="C71" s="68">
        <v>13702.659</v>
      </c>
      <c r="D71" s="69">
        <v>1132.5250000000001</v>
      </c>
      <c r="E71" s="58">
        <v>482.32650000000001</v>
      </c>
      <c r="F71" s="56">
        <f t="shared" si="2"/>
        <v>15317.510499999999</v>
      </c>
      <c r="H71" s="9"/>
      <c r="I71" s="11"/>
      <c r="J71" s="8"/>
    </row>
    <row r="72" spans="2:10" x14ac:dyDescent="0.25">
      <c r="B72" s="118">
        <v>38443</v>
      </c>
      <c r="C72" s="68">
        <v>13030</v>
      </c>
      <c r="D72" s="69">
        <v>988</v>
      </c>
      <c r="E72" s="58">
        <v>567</v>
      </c>
      <c r="F72" s="56">
        <f t="shared" si="2"/>
        <v>14585</v>
      </c>
      <c r="H72" s="5"/>
      <c r="I72" s="11"/>
      <c r="J72" s="8"/>
    </row>
    <row r="73" spans="2:10" x14ac:dyDescent="0.25">
      <c r="B73" s="118">
        <v>38473</v>
      </c>
      <c r="C73" s="68">
        <v>13604.001</v>
      </c>
      <c r="D73" s="69">
        <v>1010.756</v>
      </c>
      <c r="E73" s="58">
        <v>647.40800000000002</v>
      </c>
      <c r="F73" s="56">
        <f t="shared" si="2"/>
        <v>15262.164999999999</v>
      </c>
      <c r="H73" s="5"/>
      <c r="I73" s="11"/>
      <c r="J73" s="8"/>
    </row>
    <row r="74" spans="2:10" x14ac:dyDescent="0.25">
      <c r="B74" s="118">
        <v>38504</v>
      </c>
      <c r="C74" s="68">
        <v>13367.924000000001</v>
      </c>
      <c r="D74" s="69">
        <v>1063.9559999999999</v>
      </c>
      <c r="E74" s="58">
        <v>583.98599999999999</v>
      </c>
      <c r="F74" s="56">
        <f t="shared" si="2"/>
        <v>15015.866000000002</v>
      </c>
      <c r="H74" s="5"/>
      <c r="I74" s="11"/>
      <c r="J74" s="8"/>
    </row>
    <row r="75" spans="2:10" x14ac:dyDescent="0.25">
      <c r="B75" s="118">
        <v>38534</v>
      </c>
      <c r="C75" s="68">
        <v>12993.768</v>
      </c>
      <c r="D75" s="69">
        <v>981.79200000000003</v>
      </c>
      <c r="E75" s="58">
        <v>447.50700000000001</v>
      </c>
      <c r="F75" s="56">
        <f t="shared" si="2"/>
        <v>14423.066999999999</v>
      </c>
      <c r="G75" s="9"/>
      <c r="H75" s="5"/>
      <c r="I75" s="11"/>
      <c r="J75" s="8"/>
    </row>
    <row r="76" spans="2:10" x14ac:dyDescent="0.25">
      <c r="B76" s="118">
        <v>38565</v>
      </c>
      <c r="C76" s="68">
        <v>12557.763999999999</v>
      </c>
      <c r="D76" s="69">
        <v>863.71299999999997</v>
      </c>
      <c r="E76" s="58">
        <v>495.90750000000003</v>
      </c>
      <c r="F76" s="56">
        <f t="shared" si="2"/>
        <v>13917.384499999998</v>
      </c>
      <c r="G76" s="8"/>
      <c r="H76" s="5"/>
      <c r="I76" s="11"/>
      <c r="J76" s="8"/>
    </row>
    <row r="77" spans="2:10" x14ac:dyDescent="0.25">
      <c r="B77" s="118">
        <v>38596</v>
      </c>
      <c r="C77" s="68">
        <v>11631</v>
      </c>
      <c r="D77" s="69">
        <v>643.255</v>
      </c>
      <c r="E77" s="58">
        <v>488.221</v>
      </c>
      <c r="F77" s="56">
        <f t="shared" si="2"/>
        <v>12762.475999999999</v>
      </c>
      <c r="H77" s="5"/>
      <c r="I77" s="11"/>
      <c r="J77" s="8"/>
    </row>
    <row r="78" spans="2:10" x14ac:dyDescent="0.25">
      <c r="B78" s="118">
        <v>38626</v>
      </c>
      <c r="C78" s="68">
        <v>12807.823</v>
      </c>
      <c r="D78" s="69">
        <v>789.39800000000002</v>
      </c>
      <c r="E78" s="58">
        <v>533.63750000000005</v>
      </c>
      <c r="F78" s="56">
        <f t="shared" si="2"/>
        <v>14130.8585</v>
      </c>
      <c r="H78" s="5"/>
      <c r="I78" s="11"/>
      <c r="J78" s="8"/>
    </row>
    <row r="79" spans="2:10" x14ac:dyDescent="0.25">
      <c r="B79" s="118">
        <v>38657</v>
      </c>
      <c r="C79" s="57">
        <v>12272.996999999999</v>
      </c>
      <c r="D79" s="58">
        <v>800.99300000000005</v>
      </c>
      <c r="E79" s="58">
        <v>408.06099999999998</v>
      </c>
      <c r="F79" s="56">
        <f t="shared" si="2"/>
        <v>13482.050999999999</v>
      </c>
      <c r="G79" s="9"/>
      <c r="H79" s="5"/>
      <c r="I79" s="11"/>
      <c r="J79" s="8"/>
    </row>
    <row r="80" spans="2:10" x14ac:dyDescent="0.25">
      <c r="B80" s="118">
        <v>38687</v>
      </c>
      <c r="C80" s="57">
        <v>12230</v>
      </c>
      <c r="D80" s="58">
        <v>1048</v>
      </c>
      <c r="E80" s="58">
        <v>366</v>
      </c>
      <c r="F80" s="56">
        <f t="shared" si="2"/>
        <v>13644</v>
      </c>
      <c r="G80" s="9"/>
      <c r="H80" s="5"/>
      <c r="I80" s="11"/>
      <c r="J80" s="8"/>
    </row>
    <row r="81" spans="2:10" x14ac:dyDescent="0.25">
      <c r="B81" s="118">
        <v>38718</v>
      </c>
      <c r="C81" s="57">
        <v>11409.619000000001</v>
      </c>
      <c r="D81" s="58">
        <v>740.18200000000002</v>
      </c>
      <c r="E81" s="58">
        <v>377.05200000000002</v>
      </c>
      <c r="F81" s="56">
        <f t="shared" si="2"/>
        <v>12526.853000000001</v>
      </c>
      <c r="G81" s="9"/>
      <c r="H81" s="9"/>
      <c r="I81" s="11"/>
      <c r="J81" s="8"/>
    </row>
    <row r="82" spans="2:10" x14ac:dyDescent="0.25">
      <c r="B82" s="118">
        <v>38749</v>
      </c>
      <c r="C82" s="57">
        <v>10333.199000000001</v>
      </c>
      <c r="D82" s="58">
        <v>752.83600000000001</v>
      </c>
      <c r="E82" s="58">
        <v>360.815</v>
      </c>
      <c r="F82" s="56">
        <f t="shared" si="2"/>
        <v>11446.85</v>
      </c>
      <c r="H82" s="5"/>
      <c r="I82" s="11"/>
      <c r="J82" s="8"/>
    </row>
    <row r="83" spans="2:10" x14ac:dyDescent="0.25">
      <c r="B83" s="118">
        <v>38777</v>
      </c>
      <c r="C83" s="57">
        <v>11914.181</v>
      </c>
      <c r="D83" s="58">
        <v>868.255</v>
      </c>
      <c r="E83" s="58">
        <v>411.64800000000002</v>
      </c>
      <c r="F83" s="56">
        <f t="shared" si="2"/>
        <v>13194.083999999999</v>
      </c>
      <c r="G83" s="9"/>
      <c r="H83" s="15"/>
      <c r="I83" s="11"/>
      <c r="J83" s="8"/>
    </row>
    <row r="84" spans="2:10" x14ac:dyDescent="0.25">
      <c r="B84" s="118">
        <v>38808</v>
      </c>
      <c r="C84" s="57">
        <v>11435.1</v>
      </c>
      <c r="D84" s="58">
        <v>879.27</v>
      </c>
      <c r="E84" s="58">
        <v>489.53500000000003</v>
      </c>
      <c r="F84" s="56">
        <f t="shared" si="2"/>
        <v>12803.905000000001</v>
      </c>
      <c r="H84" s="15"/>
      <c r="I84" s="11"/>
      <c r="J84" s="8"/>
    </row>
    <row r="85" spans="2:10" x14ac:dyDescent="0.25">
      <c r="B85" s="118">
        <v>38838</v>
      </c>
      <c r="C85" s="57">
        <v>12463</v>
      </c>
      <c r="D85" s="58">
        <v>803</v>
      </c>
      <c r="E85" s="58">
        <v>588</v>
      </c>
      <c r="F85" s="56">
        <f t="shared" si="2"/>
        <v>13854</v>
      </c>
      <c r="H85" s="15"/>
      <c r="I85" s="11"/>
      <c r="J85" s="8"/>
    </row>
    <row r="86" spans="2:10" x14ac:dyDescent="0.25">
      <c r="B86" s="118">
        <v>38869</v>
      </c>
      <c r="C86" s="57">
        <v>10795</v>
      </c>
      <c r="D86" s="58">
        <v>803</v>
      </c>
      <c r="E86" s="58">
        <v>615</v>
      </c>
      <c r="F86" s="56">
        <f t="shared" si="2"/>
        <v>12213</v>
      </c>
      <c r="H86" s="15"/>
      <c r="I86" s="11"/>
      <c r="J86" s="8"/>
    </row>
    <row r="87" spans="2:10" x14ac:dyDescent="0.25">
      <c r="B87" s="118">
        <v>38899</v>
      </c>
      <c r="C87" s="57">
        <v>10493</v>
      </c>
      <c r="D87" s="58">
        <v>901</v>
      </c>
      <c r="E87" s="58">
        <v>526</v>
      </c>
      <c r="F87" s="56">
        <f t="shared" si="2"/>
        <v>11920</v>
      </c>
      <c r="G87" s="8"/>
      <c r="H87" s="15"/>
      <c r="I87" s="11"/>
      <c r="J87" s="8"/>
    </row>
    <row r="88" spans="2:10" x14ac:dyDescent="0.25">
      <c r="B88" s="118">
        <v>38930</v>
      </c>
      <c r="C88" s="57">
        <v>10263.554</v>
      </c>
      <c r="D88" s="58">
        <v>970.07100000000003</v>
      </c>
      <c r="E88" s="58">
        <v>477.97199999999998</v>
      </c>
      <c r="F88" s="56">
        <f t="shared" si="2"/>
        <v>11711.597</v>
      </c>
      <c r="G88" s="8"/>
      <c r="H88" s="15"/>
      <c r="I88" s="11"/>
      <c r="J88" s="8"/>
    </row>
    <row r="89" spans="2:10" x14ac:dyDescent="0.25">
      <c r="B89" s="118">
        <v>38961</v>
      </c>
      <c r="C89" s="57">
        <v>9880.67</v>
      </c>
      <c r="D89" s="58">
        <v>912</v>
      </c>
      <c r="E89" s="58">
        <v>497</v>
      </c>
      <c r="F89" s="56">
        <f t="shared" si="2"/>
        <v>11289.67</v>
      </c>
      <c r="H89" s="15"/>
      <c r="I89" s="11"/>
      <c r="J89" s="8"/>
    </row>
    <row r="90" spans="2:10" x14ac:dyDescent="0.25">
      <c r="B90" s="118">
        <v>38991</v>
      </c>
      <c r="C90" s="57">
        <v>10176.879000000001</v>
      </c>
      <c r="D90" s="58">
        <v>934.30899999999997</v>
      </c>
      <c r="E90" s="58">
        <v>500.65699999999998</v>
      </c>
      <c r="F90" s="56">
        <f t="shared" si="2"/>
        <v>11611.844999999999</v>
      </c>
      <c r="H90" s="15"/>
      <c r="I90" s="11"/>
      <c r="J90" s="8"/>
    </row>
    <row r="91" spans="2:10" x14ac:dyDescent="0.25">
      <c r="B91" s="118">
        <v>39022</v>
      </c>
      <c r="C91" s="57">
        <v>11500.687</v>
      </c>
      <c r="D91" s="58">
        <v>1094.2349999999999</v>
      </c>
      <c r="E91" s="58">
        <v>767.23299999999995</v>
      </c>
      <c r="F91" s="56">
        <f t="shared" si="2"/>
        <v>13362.155000000001</v>
      </c>
      <c r="H91" s="15"/>
      <c r="I91" s="11"/>
      <c r="J91" s="8"/>
    </row>
    <row r="92" spans="2:10" x14ac:dyDescent="0.25">
      <c r="B92" s="118">
        <v>39052</v>
      </c>
      <c r="C92" s="57">
        <v>13710.01</v>
      </c>
      <c r="D92" s="58">
        <v>1191.7639999999999</v>
      </c>
      <c r="E92" s="58">
        <v>677.93100000000004</v>
      </c>
      <c r="F92" s="56">
        <f t="shared" si="2"/>
        <v>15579.705</v>
      </c>
      <c r="H92" s="15"/>
      <c r="I92" s="11"/>
      <c r="J92" s="8"/>
    </row>
    <row r="93" spans="2:10" x14ac:dyDescent="0.25">
      <c r="B93" s="118">
        <v>39083</v>
      </c>
      <c r="C93" s="57">
        <v>14070.602999999999</v>
      </c>
      <c r="D93" s="58">
        <v>1346.1849999999999</v>
      </c>
      <c r="E93" s="58">
        <v>619.70579999999995</v>
      </c>
      <c r="F93" s="56">
        <f t="shared" si="2"/>
        <v>16036.493799999998</v>
      </c>
      <c r="H93" s="15"/>
      <c r="I93" s="11"/>
      <c r="J93" s="8"/>
    </row>
    <row r="94" spans="2:10" x14ac:dyDescent="0.25">
      <c r="B94" s="118">
        <v>39114</v>
      </c>
      <c r="C94" s="57">
        <v>13024.433000000001</v>
      </c>
      <c r="D94" s="58">
        <v>1217.9449999999999</v>
      </c>
      <c r="E94" s="58">
        <v>486.99099999999999</v>
      </c>
      <c r="F94" s="56">
        <f t="shared" si="2"/>
        <v>14729.369000000001</v>
      </c>
      <c r="H94" s="9"/>
      <c r="I94" s="11"/>
      <c r="J94" s="8"/>
    </row>
    <row r="95" spans="2:10" x14ac:dyDescent="0.25">
      <c r="B95" s="118">
        <v>39142</v>
      </c>
      <c r="C95" s="57">
        <v>14521.927</v>
      </c>
      <c r="D95" s="58">
        <v>1302.385</v>
      </c>
      <c r="E95" s="58">
        <v>508.76400000000001</v>
      </c>
      <c r="F95" s="56">
        <f t="shared" si="2"/>
        <v>16333.075999999999</v>
      </c>
      <c r="H95" s="9"/>
      <c r="I95" s="11"/>
      <c r="J95" s="8"/>
    </row>
    <row r="96" spans="2:10" x14ac:dyDescent="0.25">
      <c r="B96" s="118">
        <v>39173</v>
      </c>
      <c r="C96" s="57">
        <v>14043.107</v>
      </c>
      <c r="D96" s="58">
        <v>1180.527</v>
      </c>
      <c r="E96" s="58">
        <v>672.13400000000001</v>
      </c>
      <c r="F96" s="56">
        <f t="shared" si="2"/>
        <v>15895.768</v>
      </c>
      <c r="H96" s="17"/>
      <c r="I96" s="11"/>
      <c r="J96" s="8"/>
    </row>
    <row r="97" spans="2:10" x14ac:dyDescent="0.25">
      <c r="B97" s="118">
        <v>39203</v>
      </c>
      <c r="C97" s="57">
        <v>14751</v>
      </c>
      <c r="D97" s="58">
        <v>1143</v>
      </c>
      <c r="E97" s="58">
        <v>730</v>
      </c>
      <c r="F97" s="56">
        <f t="shared" si="2"/>
        <v>16624</v>
      </c>
      <c r="H97" s="17"/>
      <c r="I97" s="11"/>
      <c r="J97" s="8"/>
    </row>
    <row r="98" spans="2:10" x14ac:dyDescent="0.25">
      <c r="B98" s="118">
        <v>39234</v>
      </c>
      <c r="C98" s="57">
        <v>13297.415999999999</v>
      </c>
      <c r="D98" s="58">
        <v>1132.636</v>
      </c>
      <c r="E98" s="58">
        <v>747.66020000000003</v>
      </c>
      <c r="F98" s="56">
        <f t="shared" si="2"/>
        <v>15177.7122</v>
      </c>
      <c r="H98" s="17"/>
      <c r="I98" s="11"/>
      <c r="J98" s="8"/>
    </row>
    <row r="99" spans="2:10" x14ac:dyDescent="0.25">
      <c r="B99" s="118">
        <v>39264</v>
      </c>
      <c r="C99" s="57">
        <v>14527.200999999999</v>
      </c>
      <c r="D99" s="58">
        <v>1162.162</v>
      </c>
      <c r="E99" s="58">
        <v>692.726</v>
      </c>
      <c r="F99" s="56">
        <f t="shared" si="2"/>
        <v>16382.089</v>
      </c>
      <c r="H99" s="17"/>
      <c r="I99" s="11"/>
      <c r="J99" s="8"/>
    </row>
    <row r="100" spans="2:10" x14ac:dyDescent="0.25">
      <c r="B100" s="118">
        <v>39295</v>
      </c>
      <c r="C100" s="57">
        <v>14596.477999999999</v>
      </c>
      <c r="D100" s="58">
        <v>1216.8920000000001</v>
      </c>
      <c r="E100" s="58">
        <v>684.60400000000004</v>
      </c>
      <c r="F100" s="56">
        <f t="shared" si="2"/>
        <v>16497.973999999998</v>
      </c>
      <c r="H100" s="17"/>
      <c r="I100" s="11"/>
      <c r="J100" s="8"/>
    </row>
    <row r="101" spans="2:10" x14ac:dyDescent="0.25">
      <c r="B101" s="118">
        <v>39326</v>
      </c>
      <c r="C101" s="57">
        <v>14387</v>
      </c>
      <c r="D101" s="58">
        <v>1061</v>
      </c>
      <c r="E101" s="58">
        <v>606</v>
      </c>
      <c r="F101" s="56">
        <f t="shared" si="2"/>
        <v>16054</v>
      </c>
      <c r="H101" s="17"/>
      <c r="I101" s="11"/>
      <c r="J101" s="8"/>
    </row>
    <row r="102" spans="2:10" x14ac:dyDescent="0.25">
      <c r="B102" s="118">
        <v>39356</v>
      </c>
      <c r="C102" s="57">
        <v>14521.727000000001</v>
      </c>
      <c r="D102" s="58">
        <v>1432.8679999999999</v>
      </c>
      <c r="E102" s="58">
        <v>600.08399999999995</v>
      </c>
      <c r="F102" s="56">
        <f t="shared" si="2"/>
        <v>16554.679</v>
      </c>
      <c r="H102" s="17"/>
      <c r="I102" s="11"/>
      <c r="J102" s="8"/>
    </row>
    <row r="103" spans="2:10" x14ac:dyDescent="0.25">
      <c r="B103" s="118">
        <v>39387</v>
      </c>
      <c r="C103" s="57">
        <v>14108.422</v>
      </c>
      <c r="D103" s="58">
        <v>1261.482</v>
      </c>
      <c r="E103" s="58">
        <v>662.47299999999996</v>
      </c>
      <c r="F103" s="56">
        <f t="shared" si="2"/>
        <v>16032.377</v>
      </c>
      <c r="H103" s="17"/>
      <c r="I103" s="11"/>
      <c r="J103" s="8"/>
    </row>
    <row r="104" spans="2:10" x14ac:dyDescent="0.25">
      <c r="B104" s="118">
        <v>39417</v>
      </c>
      <c r="C104" s="57">
        <v>14371.218000000001</v>
      </c>
      <c r="D104" s="58">
        <v>1263.991</v>
      </c>
      <c r="E104" s="58">
        <v>666.17399999999998</v>
      </c>
      <c r="F104" s="56">
        <f t="shared" si="2"/>
        <v>16301.383000000002</v>
      </c>
      <c r="H104" s="17"/>
      <c r="I104" s="11"/>
      <c r="J104" s="8"/>
    </row>
    <row r="105" spans="2:10" x14ac:dyDescent="0.25">
      <c r="B105" s="118">
        <v>39448</v>
      </c>
      <c r="C105" s="57">
        <v>14122.183999999999</v>
      </c>
      <c r="D105" s="58">
        <v>1344.893</v>
      </c>
      <c r="E105" s="58">
        <v>736.34100000000001</v>
      </c>
      <c r="F105" s="56">
        <f t="shared" si="2"/>
        <v>16203.418</v>
      </c>
      <c r="H105" s="17"/>
      <c r="I105" s="11"/>
      <c r="J105" s="8"/>
    </row>
    <row r="106" spans="2:10" x14ac:dyDescent="0.25">
      <c r="B106" s="118">
        <v>39479</v>
      </c>
      <c r="C106" s="57">
        <v>13372.107</v>
      </c>
      <c r="D106" s="58">
        <v>1230.989</v>
      </c>
      <c r="E106" s="58">
        <v>892.51700000000005</v>
      </c>
      <c r="F106" s="56">
        <f t="shared" si="2"/>
        <v>15495.612999999999</v>
      </c>
      <c r="H106" s="17"/>
      <c r="I106" s="11"/>
      <c r="J106" s="8"/>
    </row>
    <row r="107" spans="2:10" x14ac:dyDescent="0.25">
      <c r="B107" s="118">
        <v>39508</v>
      </c>
      <c r="C107" s="57">
        <v>14679.373</v>
      </c>
      <c r="D107" s="58">
        <v>1063.8889999999999</v>
      </c>
      <c r="E107" s="58">
        <v>1033.9690000000001</v>
      </c>
      <c r="F107" s="56">
        <f t="shared" si="2"/>
        <v>16777.231</v>
      </c>
      <c r="H107" s="17"/>
      <c r="I107" s="11"/>
      <c r="J107" s="8"/>
    </row>
    <row r="108" spans="2:10" x14ac:dyDescent="0.25">
      <c r="B108" s="118">
        <v>39539</v>
      </c>
      <c r="C108" s="57">
        <v>15126.401</v>
      </c>
      <c r="D108" s="58">
        <v>771.73199999999997</v>
      </c>
      <c r="E108" s="58">
        <v>1084.6420000000001</v>
      </c>
      <c r="F108" s="56">
        <f t="shared" si="2"/>
        <v>16982.775000000001</v>
      </c>
      <c r="H108" s="17"/>
      <c r="I108" s="11"/>
      <c r="J108" s="8"/>
    </row>
    <row r="109" spans="2:10" x14ac:dyDescent="0.25">
      <c r="B109" s="118">
        <v>39569</v>
      </c>
      <c r="C109" s="57">
        <v>15617.891</v>
      </c>
      <c r="D109" s="58">
        <v>843.48900000000003</v>
      </c>
      <c r="E109" s="58">
        <v>1068.557</v>
      </c>
      <c r="F109" s="56">
        <f t="shared" si="2"/>
        <v>17529.937000000002</v>
      </c>
      <c r="H109" s="17"/>
      <c r="I109" s="11"/>
      <c r="J109" s="8"/>
    </row>
    <row r="110" spans="2:10" x14ac:dyDescent="0.25">
      <c r="B110" s="118">
        <v>39600</v>
      </c>
      <c r="C110" s="57">
        <v>15370.027</v>
      </c>
      <c r="D110" s="58">
        <v>1243.3989999999999</v>
      </c>
      <c r="E110" s="58">
        <v>512.28800000000001</v>
      </c>
      <c r="F110" s="56">
        <f t="shared" si="2"/>
        <v>17125.714</v>
      </c>
      <c r="H110" s="15"/>
      <c r="I110" s="11"/>
      <c r="J110" s="8"/>
    </row>
    <row r="111" spans="2:10" x14ac:dyDescent="0.25">
      <c r="B111" s="118">
        <v>39630</v>
      </c>
      <c r="C111" s="57">
        <v>15757.120999999999</v>
      </c>
      <c r="D111" s="58">
        <v>1116.383</v>
      </c>
      <c r="E111" s="58">
        <v>800.76599999999996</v>
      </c>
      <c r="F111" s="56">
        <f t="shared" si="2"/>
        <v>17674.27</v>
      </c>
      <c r="H111" s="17"/>
      <c r="I111" s="11"/>
      <c r="J111" s="8"/>
    </row>
    <row r="112" spans="2:10" x14ac:dyDescent="0.25">
      <c r="B112" s="118">
        <v>39661</v>
      </c>
      <c r="C112" s="57">
        <v>16205.876</v>
      </c>
      <c r="D112" s="58">
        <v>1147.2249999999999</v>
      </c>
      <c r="E112" s="58">
        <v>695.62</v>
      </c>
      <c r="F112" s="56">
        <f t="shared" si="2"/>
        <v>18048.720999999998</v>
      </c>
      <c r="H112" s="17"/>
      <c r="I112" s="11"/>
      <c r="J112" s="8"/>
    </row>
    <row r="113" spans="2:10" x14ac:dyDescent="0.25">
      <c r="B113" s="118">
        <v>39692</v>
      </c>
      <c r="C113" s="57">
        <v>15669.245000000001</v>
      </c>
      <c r="D113" s="58">
        <v>1159.8969999999999</v>
      </c>
      <c r="E113" s="58">
        <v>624.71900000000005</v>
      </c>
      <c r="F113" s="56">
        <f t="shared" si="2"/>
        <v>17453.861000000001</v>
      </c>
      <c r="H113" s="17"/>
      <c r="I113" s="11"/>
      <c r="J113" s="8"/>
    </row>
    <row r="114" spans="2:10" x14ac:dyDescent="0.25">
      <c r="B114" s="118">
        <v>39722</v>
      </c>
      <c r="C114" s="57">
        <v>16007.285</v>
      </c>
      <c r="D114" s="58">
        <v>926.64099999999996</v>
      </c>
      <c r="E114" s="58">
        <v>838.95</v>
      </c>
      <c r="F114" s="56">
        <f t="shared" si="2"/>
        <v>17772.876</v>
      </c>
      <c r="H114" s="17"/>
      <c r="I114" s="11"/>
      <c r="J114" s="8"/>
    </row>
    <row r="115" spans="2:10" x14ac:dyDescent="0.25">
      <c r="B115" s="118">
        <v>39753</v>
      </c>
      <c r="C115" s="57">
        <v>16034.53</v>
      </c>
      <c r="D115" s="58">
        <v>729.27200000000005</v>
      </c>
      <c r="E115" s="58">
        <v>844.49699999999996</v>
      </c>
      <c r="F115" s="56">
        <f t="shared" si="2"/>
        <v>17608.298999999999</v>
      </c>
      <c r="H115" s="9"/>
      <c r="I115" s="11"/>
      <c r="J115" s="8"/>
    </row>
    <row r="116" spans="2:10" x14ac:dyDescent="0.25">
      <c r="B116" s="118">
        <v>39783</v>
      </c>
      <c r="C116" s="57">
        <v>15961.964</v>
      </c>
      <c r="D116" s="58">
        <v>1089.941</v>
      </c>
      <c r="E116" s="58">
        <v>703.80200000000002</v>
      </c>
      <c r="F116" s="56">
        <f t="shared" si="2"/>
        <v>17755.706999999999</v>
      </c>
      <c r="H116" s="17"/>
      <c r="I116" s="11"/>
      <c r="J116" s="8"/>
    </row>
    <row r="117" spans="2:10" x14ac:dyDescent="0.25">
      <c r="B117" s="118">
        <v>39814</v>
      </c>
      <c r="C117" s="57">
        <v>15961</v>
      </c>
      <c r="D117" s="58">
        <v>890.78700000000003</v>
      </c>
      <c r="E117" s="58">
        <v>905.96400000000006</v>
      </c>
      <c r="F117" s="56">
        <f t="shared" ref="F117:F152" si="3">SUM(C117:E117)</f>
        <v>17757.751</v>
      </c>
      <c r="H117" s="17"/>
      <c r="I117" s="11"/>
      <c r="J117" s="8"/>
    </row>
    <row r="118" spans="2:10" x14ac:dyDescent="0.25">
      <c r="B118" s="118">
        <v>39845</v>
      </c>
      <c r="C118" s="57">
        <v>13740.614</v>
      </c>
      <c r="D118" s="58">
        <v>1342.2539999999999</v>
      </c>
      <c r="E118" s="58">
        <v>911.30799999999999</v>
      </c>
      <c r="F118" s="56">
        <f t="shared" si="3"/>
        <v>15994.175999999999</v>
      </c>
      <c r="H118" s="17"/>
      <c r="I118" s="11"/>
      <c r="J118" s="8"/>
    </row>
    <row r="119" spans="2:10" x14ac:dyDescent="0.25">
      <c r="B119" s="118">
        <v>39873</v>
      </c>
      <c r="C119" s="57">
        <v>16046.489</v>
      </c>
      <c r="D119" s="58">
        <v>1290.6300000000001</v>
      </c>
      <c r="E119" s="58">
        <v>1153.5350000000001</v>
      </c>
      <c r="F119" s="56">
        <f t="shared" si="3"/>
        <v>18490.653999999999</v>
      </c>
      <c r="H119" s="17"/>
      <c r="I119" s="11"/>
      <c r="J119" s="8"/>
    </row>
    <row r="120" spans="2:10" x14ac:dyDescent="0.25">
      <c r="B120" s="118">
        <v>39904</v>
      </c>
      <c r="C120" s="57">
        <v>14140.269</v>
      </c>
      <c r="D120" s="58">
        <v>1468.53</v>
      </c>
      <c r="E120" s="58">
        <v>1224.057</v>
      </c>
      <c r="F120" s="56">
        <f t="shared" si="3"/>
        <v>16832.856</v>
      </c>
      <c r="H120" s="17"/>
      <c r="I120" s="11"/>
      <c r="J120" s="8"/>
    </row>
    <row r="121" spans="2:10" x14ac:dyDescent="0.25">
      <c r="B121" s="118">
        <v>39934</v>
      </c>
      <c r="C121" s="57">
        <v>15476.040999999999</v>
      </c>
      <c r="D121" s="58">
        <v>1656.1320000000001</v>
      </c>
      <c r="E121" s="58">
        <v>1301.26</v>
      </c>
      <c r="F121" s="56">
        <f t="shared" si="3"/>
        <v>18433.432999999997</v>
      </c>
      <c r="H121" s="17"/>
      <c r="I121" s="11"/>
      <c r="J121" s="8"/>
    </row>
    <row r="122" spans="2:10" x14ac:dyDescent="0.25">
      <c r="B122" s="118">
        <v>39965</v>
      </c>
      <c r="C122" s="57">
        <v>14952.927</v>
      </c>
      <c r="D122" s="58">
        <v>1534.2090000000001</v>
      </c>
      <c r="E122" s="58">
        <v>862.54100000000005</v>
      </c>
      <c r="F122" s="56">
        <f t="shared" si="3"/>
        <v>17349.677</v>
      </c>
      <c r="H122" s="17"/>
      <c r="I122" s="11"/>
      <c r="J122" s="8"/>
    </row>
    <row r="123" spans="2:10" x14ac:dyDescent="0.25">
      <c r="B123" s="118">
        <v>39995</v>
      </c>
      <c r="C123" s="57">
        <v>15618.200999999999</v>
      </c>
      <c r="D123" s="58">
        <v>1565.979</v>
      </c>
      <c r="E123" s="58">
        <v>719.50300000000004</v>
      </c>
      <c r="F123" s="56">
        <f t="shared" si="3"/>
        <v>17903.683000000001</v>
      </c>
      <c r="H123" s="17"/>
      <c r="I123" s="11"/>
      <c r="J123" s="8"/>
    </row>
    <row r="124" spans="2:10" x14ac:dyDescent="0.25">
      <c r="B124" s="118">
        <v>40026</v>
      </c>
      <c r="C124" s="57">
        <f>15253.886+697.8</f>
        <v>15951.686</v>
      </c>
      <c r="D124" s="58">
        <v>1555.8910000000001</v>
      </c>
      <c r="E124" s="58">
        <v>748.16300000000001</v>
      </c>
      <c r="F124" s="56">
        <f t="shared" si="3"/>
        <v>18255.740000000002</v>
      </c>
      <c r="H124" s="17"/>
      <c r="I124" s="11"/>
      <c r="J124" s="8"/>
    </row>
    <row r="125" spans="2:10" x14ac:dyDescent="0.25">
      <c r="B125" s="118">
        <v>40057</v>
      </c>
      <c r="C125" s="57">
        <f>11907.408+870.54</f>
        <v>12777.948</v>
      </c>
      <c r="D125" s="58">
        <v>1295.92</v>
      </c>
      <c r="E125" s="58">
        <v>1111.1600000000001</v>
      </c>
      <c r="F125" s="56">
        <f t="shared" si="3"/>
        <v>15185.028</v>
      </c>
      <c r="H125" s="19"/>
      <c r="I125" s="11"/>
      <c r="J125" s="8"/>
    </row>
    <row r="126" spans="2:10" ht="15.75" customHeight="1" x14ac:dyDescent="0.25">
      <c r="B126" s="118">
        <v>40087</v>
      </c>
      <c r="C126" s="57">
        <f>11342.325+908.55</f>
        <v>12250.875</v>
      </c>
      <c r="D126" s="58">
        <v>1340.549</v>
      </c>
      <c r="E126" s="58">
        <v>1473.2449999999999</v>
      </c>
      <c r="F126" s="56">
        <f t="shared" si="3"/>
        <v>15064.668999999998</v>
      </c>
      <c r="H126" s="19"/>
      <c r="I126" s="11"/>
      <c r="J126" s="8"/>
    </row>
    <row r="127" spans="2:10" x14ac:dyDescent="0.25">
      <c r="B127" s="118">
        <v>40118</v>
      </c>
      <c r="C127" s="57">
        <f>12965.319+785.25</f>
        <v>13750.569</v>
      </c>
      <c r="D127" s="58">
        <v>1399.367</v>
      </c>
      <c r="E127" s="58">
        <v>1409.454</v>
      </c>
      <c r="F127" s="56">
        <f t="shared" si="3"/>
        <v>16559.39</v>
      </c>
      <c r="H127" s="19"/>
      <c r="I127" s="11"/>
      <c r="J127" s="8"/>
    </row>
    <row r="128" spans="2:10" x14ac:dyDescent="0.25">
      <c r="B128" s="118">
        <v>40148</v>
      </c>
      <c r="C128" s="68">
        <f>14891.122+1106.7</f>
        <v>15997.822</v>
      </c>
      <c r="D128" s="58">
        <v>1363.479</v>
      </c>
      <c r="E128" s="58">
        <v>1512.5409999999999</v>
      </c>
      <c r="F128" s="56">
        <f t="shared" si="3"/>
        <v>18873.842000000001</v>
      </c>
      <c r="H128" s="19"/>
      <c r="I128" s="11"/>
      <c r="J128" s="8"/>
    </row>
    <row r="129" spans="2:10" x14ac:dyDescent="0.25">
      <c r="B129" s="118">
        <v>40179</v>
      </c>
      <c r="C129" s="68">
        <f>(3522.32+4919.814+2006.661+5373+1178.22-639.709)</f>
        <v>16360.305999999999</v>
      </c>
      <c r="D129" s="58">
        <f>(330.58+639.709)</f>
        <v>970.28899999999999</v>
      </c>
      <c r="E129" s="58">
        <f>1070.685+506.97+252.015+119.208</f>
        <v>1948.8780000000002</v>
      </c>
      <c r="F129" s="56">
        <f t="shared" si="3"/>
        <v>19279.472999999998</v>
      </c>
      <c r="H129" s="19"/>
      <c r="I129" s="11"/>
      <c r="J129" s="8"/>
    </row>
    <row r="130" spans="2:10" x14ac:dyDescent="0.25">
      <c r="B130" s="118">
        <v>40210</v>
      </c>
      <c r="C130" s="68">
        <f>3686.855+4200.04+4954+2019.699+1248.76-559.691</f>
        <v>15549.663</v>
      </c>
      <c r="D130" s="58">
        <f>307.204+559.691</f>
        <v>866.89499999999998</v>
      </c>
      <c r="E130" s="58">
        <f>516.39+147.195+107.913+542.813</f>
        <v>1314.3110000000001</v>
      </c>
      <c r="F130" s="56">
        <f t="shared" si="3"/>
        <v>17730.869000000002</v>
      </c>
      <c r="H130" s="19"/>
      <c r="I130" s="11"/>
      <c r="J130" s="8"/>
    </row>
    <row r="131" spans="2:10" x14ac:dyDescent="0.25">
      <c r="B131" s="118">
        <v>40238</v>
      </c>
      <c r="C131" s="68">
        <f>4297.02+5179.083+6070+2256.675+1008.88-676.636</f>
        <v>18135.022000000001</v>
      </c>
      <c r="D131" s="58">
        <f>335.452+676.636</f>
        <v>1012.088</v>
      </c>
      <c r="E131" s="58">
        <f>615.52+257.565+102.432+474.841</f>
        <v>1450.3580000000002</v>
      </c>
      <c r="F131" s="56">
        <f t="shared" si="3"/>
        <v>20597.468000000001</v>
      </c>
      <c r="H131" s="19"/>
      <c r="I131" s="11"/>
      <c r="J131" s="8"/>
    </row>
    <row r="132" spans="2:10" x14ac:dyDescent="0.25">
      <c r="B132" s="118">
        <v>40269</v>
      </c>
      <c r="C132" s="68">
        <f>(4495.89+4212.2518+5961+2208.5+959.62-667.154)</f>
        <v>17170.107800000002</v>
      </c>
      <c r="D132" s="58">
        <f>(310.686+667.154)</f>
        <v>977.83999999999992</v>
      </c>
      <c r="E132" s="58">
        <f>(587.84+166.335+110.976+463.188)</f>
        <v>1328.3389999999999</v>
      </c>
      <c r="F132" s="56">
        <f t="shared" si="3"/>
        <v>19476.286800000002</v>
      </c>
      <c r="H132" s="19"/>
      <c r="I132" s="11"/>
      <c r="J132" s="8"/>
    </row>
    <row r="133" spans="2:10" x14ac:dyDescent="0.25">
      <c r="B133" s="118">
        <v>40299</v>
      </c>
      <c r="C133" s="68">
        <f>(4727.86+4303.1603+6411+2225.307+826.24-663.055)</f>
        <v>17830.512300000002</v>
      </c>
      <c r="D133" s="58">
        <f>(337.63+663.055)</f>
        <v>1000.6849999999999</v>
      </c>
      <c r="E133" s="58">
        <f>(565.946+246.435+118.116+598.772)</f>
        <v>1529.2690000000002</v>
      </c>
      <c r="F133" s="56">
        <f t="shared" si="3"/>
        <v>20360.466300000004</v>
      </c>
      <c r="H133" s="19"/>
      <c r="I133" s="11"/>
      <c r="J133" s="8"/>
    </row>
    <row r="134" spans="2:10" x14ac:dyDescent="0.25">
      <c r="B134" s="118">
        <v>40330</v>
      </c>
      <c r="C134" s="68">
        <f>(5834.57+3834.784+2157.399+6578+401.15-998.727)</f>
        <v>17807.175999999999</v>
      </c>
      <c r="D134" s="68">
        <v>1286.2</v>
      </c>
      <c r="E134" s="58">
        <f>578.393+409.49+104.655+128.944</f>
        <v>1221.482</v>
      </c>
      <c r="F134" s="56">
        <f t="shared" si="3"/>
        <v>20314.858</v>
      </c>
      <c r="H134" s="19"/>
      <c r="I134" s="11"/>
      <c r="J134" s="8"/>
    </row>
    <row r="135" spans="2:10" x14ac:dyDescent="0.25">
      <c r="B135" s="118">
        <v>40360</v>
      </c>
      <c r="C135" s="68">
        <f>(6402.38+3317.9566+2144.813+6778+345.98-1135.582)</f>
        <v>17853.547600000002</v>
      </c>
      <c r="D135" s="68">
        <f>1135.582+346.72</f>
        <v>1482.3020000000001</v>
      </c>
      <c r="E135" s="58">
        <f>345.2211+66.615+133.548+538.453</f>
        <v>1083.8371</v>
      </c>
      <c r="F135" s="51">
        <f t="shared" si="3"/>
        <v>20419.686700000002</v>
      </c>
      <c r="H135" s="19"/>
      <c r="I135" s="11"/>
      <c r="J135" s="8"/>
    </row>
    <row r="136" spans="2:10" x14ac:dyDescent="0.25">
      <c r="B136" s="118">
        <v>40391</v>
      </c>
      <c r="C136" s="68">
        <f>7295.75+1636.2+6193+2422.485+754.97-1131.218</f>
        <v>17171.187000000002</v>
      </c>
      <c r="D136" s="68">
        <f>1131.218+331.62</f>
        <v>1462.8380000000002</v>
      </c>
      <c r="E136" s="58">
        <f>273.641+79.185+126.048+473.575</f>
        <v>952.44900000000007</v>
      </c>
      <c r="F136" s="51">
        <f t="shared" si="3"/>
        <v>19586.474000000002</v>
      </c>
      <c r="H136" s="19"/>
      <c r="I136" s="11"/>
      <c r="J136" s="8"/>
    </row>
    <row r="137" spans="2:10" x14ac:dyDescent="0.25">
      <c r="B137" s="118">
        <v>40422</v>
      </c>
      <c r="C137" s="68">
        <f>8317.28+0+5823+2147.541+861.06+653.758-985.527</f>
        <v>16817.112000000001</v>
      </c>
      <c r="D137" s="68">
        <f>1131.218+355.998</f>
        <v>1487.2160000000001</v>
      </c>
      <c r="E137" s="58">
        <f>308.34801+70.905+109.848+295.785</f>
        <v>784.88601000000006</v>
      </c>
      <c r="F137" s="51">
        <f t="shared" si="3"/>
        <v>19089.21401</v>
      </c>
      <c r="H137" s="19"/>
      <c r="I137" s="11"/>
      <c r="J137" s="8"/>
    </row>
    <row r="138" spans="2:10" x14ac:dyDescent="0.25">
      <c r="B138" s="118">
        <v>40452</v>
      </c>
      <c r="C138" s="68">
        <f>5058.55+0+5966+2370.475+355.3+1900.159-1009.364</f>
        <v>14641.119999999999</v>
      </c>
      <c r="D138" s="68">
        <f>1009.364+367.388</f>
        <v>1376.752</v>
      </c>
      <c r="E138" s="58">
        <f>307.1103+32.625+121.224+815.265</f>
        <v>1276.2242999999999</v>
      </c>
      <c r="F138" s="51">
        <f t="shared" si="3"/>
        <v>17294.096299999997</v>
      </c>
      <c r="H138" s="19"/>
      <c r="I138" s="11"/>
      <c r="J138" s="8"/>
    </row>
    <row r="139" spans="2:10" x14ac:dyDescent="0.25">
      <c r="B139" s="118">
        <v>40483</v>
      </c>
      <c r="C139" s="68">
        <f>4144.31+3798.48+6384+1765.374+1049.58+3837.94-908.564</f>
        <v>20071.12</v>
      </c>
      <c r="D139" s="68">
        <f>466.942+908.564</f>
        <v>1375.5059999999999</v>
      </c>
      <c r="E139" s="58">
        <f>349.646+36.96+127.692+776.851</f>
        <v>1291.1489999999999</v>
      </c>
      <c r="F139" s="51">
        <f t="shared" si="3"/>
        <v>22737.775000000001</v>
      </c>
      <c r="H139" s="19"/>
      <c r="I139" s="11"/>
      <c r="J139" s="8"/>
    </row>
    <row r="140" spans="2:10" x14ac:dyDescent="0.25">
      <c r="B140" s="118">
        <v>40513</v>
      </c>
      <c r="C140" s="68">
        <f>3987.45+4324.11+7011+2197.649+936.69+1217.986-852.327</f>
        <v>18822.557999999997</v>
      </c>
      <c r="D140" s="68">
        <f>852.327+519.684</f>
        <v>1372.011</v>
      </c>
      <c r="E140" s="58">
        <f>402.2886+85.545+73.248+608.204</f>
        <v>1169.2855999999999</v>
      </c>
      <c r="F140" s="51">
        <f t="shared" si="3"/>
        <v>21363.854599999995</v>
      </c>
      <c r="H140" s="19"/>
      <c r="I140" s="11"/>
      <c r="J140" s="8"/>
    </row>
    <row r="141" spans="2:10" x14ac:dyDescent="0.25">
      <c r="B141" s="118">
        <v>40544</v>
      </c>
      <c r="C141" s="68">
        <f>3397.58+3944.01+7130+2382.556+1080.26+1255.371-723.927</f>
        <v>18465.849999999999</v>
      </c>
      <c r="D141" s="68">
        <f>723.927+504</f>
        <v>1227.9270000000001</v>
      </c>
      <c r="E141" s="58">
        <f>418.3714+85.395+126.876+713.222</f>
        <v>1343.8643999999999</v>
      </c>
      <c r="F141" s="51">
        <f t="shared" si="3"/>
        <v>21037.641399999997</v>
      </c>
      <c r="H141" s="19"/>
      <c r="I141" s="11"/>
      <c r="J141" s="8"/>
    </row>
    <row r="142" spans="2:10" x14ac:dyDescent="0.25">
      <c r="B142" s="118">
        <v>40575</v>
      </c>
      <c r="C142" s="68">
        <f>3337.24+3779.727+6835+1551.847+995.49+1117.37-530.137</f>
        <v>17086.537</v>
      </c>
      <c r="D142" s="68">
        <f>530.137+558.302</f>
        <v>1088.4389999999999</v>
      </c>
      <c r="E142" s="58">
        <f>374.6014+59.04+116.844+659.229</f>
        <v>1209.7144000000001</v>
      </c>
      <c r="F142" s="51">
        <f t="shared" si="3"/>
        <v>19384.690399999999</v>
      </c>
      <c r="H142" s="19"/>
      <c r="I142" s="11"/>
      <c r="J142" s="8"/>
    </row>
    <row r="143" spans="2:10" x14ac:dyDescent="0.25">
      <c r="B143" s="118">
        <v>40603</v>
      </c>
      <c r="C143" s="68">
        <f>3407.41+5001.465+7650+2428.745+957.92+1161.162-516.327</f>
        <v>20090.374999999996</v>
      </c>
      <c r="D143" s="68">
        <f>516.327+615.54</f>
        <v>1131.867</v>
      </c>
      <c r="E143" s="58">
        <f>533.4184+64.23+117.48+848.306</f>
        <v>1563.4344000000001</v>
      </c>
      <c r="F143" s="51">
        <f t="shared" si="3"/>
        <v>22785.676399999997</v>
      </c>
      <c r="H143" s="19"/>
      <c r="I143" s="11"/>
      <c r="J143" s="8"/>
    </row>
    <row r="144" spans="2:10" x14ac:dyDescent="0.25">
      <c r="B144" s="118">
        <v>40634</v>
      </c>
      <c r="C144" s="68">
        <f>4263.27+4409.882+6775+2218.024+1203.71+758.882-772.418</f>
        <v>18856.349999999999</v>
      </c>
      <c r="D144" s="68">
        <f>772.418+258.044</f>
        <v>1030.462</v>
      </c>
      <c r="E144" s="58">
        <f>587.777+64.23+127.488+836.383</f>
        <v>1615.8780000000002</v>
      </c>
      <c r="F144" s="51">
        <f t="shared" si="3"/>
        <v>21502.69</v>
      </c>
      <c r="H144" s="19"/>
      <c r="I144" s="11"/>
      <c r="J144" s="8"/>
    </row>
    <row r="145" spans="2:10" x14ac:dyDescent="0.25">
      <c r="B145" s="118">
        <v>40664</v>
      </c>
      <c r="C145" s="68">
        <f>5662.69+4334.6085+6967+2260.836+1384.46-865.145</f>
        <v>19744.449499999999</v>
      </c>
      <c r="D145" s="68">
        <f>865.145+399.4986</f>
        <v>1264.6435999999999</v>
      </c>
      <c r="E145" s="58">
        <f>536.5206+130.896+1114.071456</f>
        <v>1781.4880559999997</v>
      </c>
      <c r="F145" s="51">
        <f t="shared" si="3"/>
        <v>22790.581155999997</v>
      </c>
      <c r="H145" s="19"/>
      <c r="I145" s="11"/>
      <c r="J145" s="8"/>
    </row>
    <row r="146" spans="2:10" x14ac:dyDescent="0.25">
      <c r="B146" s="118">
        <v>40695</v>
      </c>
      <c r="C146" s="68">
        <f>6460.59+3000.375+6460+1781.797+1248.37-926.945</f>
        <v>18024.186999999998</v>
      </c>
      <c r="D146" s="68">
        <f>376.048+926.945</f>
        <v>1302.9929999999999</v>
      </c>
      <c r="E146" s="58">
        <f>299.7689+82.92+124.74+1013.982016</f>
        <v>1521.410916</v>
      </c>
      <c r="F146" s="51">
        <f t="shared" si="3"/>
        <v>20848.590915999997</v>
      </c>
      <c r="H146" s="19"/>
      <c r="I146" s="11"/>
      <c r="J146" s="8"/>
    </row>
    <row r="147" spans="2:10" x14ac:dyDescent="0.25">
      <c r="B147" s="118">
        <v>40725</v>
      </c>
      <c r="C147" s="68">
        <f>6877.57+2786.742+6645+2154.803+948.56-1185.764</f>
        <v>18226.911</v>
      </c>
      <c r="D147" s="68">
        <f>266.24+1185.764</f>
        <v>1452.0039999999999</v>
      </c>
      <c r="E147" s="58">
        <f>322.3428+88.05+129.444+1291.76888</f>
        <v>1831.6056800000001</v>
      </c>
      <c r="F147" s="51">
        <f t="shared" si="3"/>
        <v>21510.520680000001</v>
      </c>
      <c r="H147" s="19"/>
      <c r="I147" s="11"/>
      <c r="J147" s="8"/>
    </row>
    <row r="148" spans="2:10" x14ac:dyDescent="0.25">
      <c r="B148" s="118">
        <v>40756</v>
      </c>
      <c r="C148" s="68">
        <f>7467.35+2560.95+5510+2200.249-1098.982</f>
        <v>16639.566999999999</v>
      </c>
      <c r="D148" s="68">
        <f>342.848+1098.982</f>
        <v>1441.83</v>
      </c>
      <c r="E148" s="58">
        <f>262.4241+54.12+122.496+937.66928</f>
        <v>1376.70938</v>
      </c>
      <c r="F148" s="51">
        <f t="shared" si="3"/>
        <v>19458.106379999997</v>
      </c>
      <c r="H148" s="19"/>
      <c r="I148" s="11"/>
      <c r="J148" s="8"/>
    </row>
    <row r="149" spans="2:10" x14ac:dyDescent="0.25">
      <c r="B149" s="118">
        <v>40787</v>
      </c>
      <c r="C149" s="68">
        <f>4755.63+3098.182+6095+1661.959+247.68-1010.782</f>
        <v>14847.669000000002</v>
      </c>
      <c r="D149" s="68">
        <f>336.33+1010.782</f>
        <v>1347.1120000000001</v>
      </c>
      <c r="E149" s="58">
        <f>285.27+67.53+112.692+943.51558</f>
        <v>1409.00758</v>
      </c>
      <c r="F149" s="51">
        <f t="shared" si="3"/>
        <v>17603.788580000004</v>
      </c>
      <c r="H149" s="19"/>
      <c r="I149" s="11"/>
      <c r="J149" s="8"/>
    </row>
    <row r="150" spans="2:10" x14ac:dyDescent="0.25">
      <c r="B150" s="118">
        <v>40817</v>
      </c>
      <c r="C150" s="68">
        <f>3485.55+3495.9645+6457+1915.847+543.72-1193.782</f>
        <v>14704.299500000001</v>
      </c>
      <c r="D150" s="68">
        <f>355.696+1193.782</f>
        <v>1549.4780000000001</v>
      </c>
      <c r="E150" s="58">
        <f>382.327+184.02+110.028+1090.8171</f>
        <v>1767.1921</v>
      </c>
      <c r="F150" s="51">
        <f t="shared" si="3"/>
        <v>18020.9696</v>
      </c>
      <c r="H150" s="19"/>
      <c r="I150" s="11"/>
      <c r="J150" s="8"/>
    </row>
    <row r="151" spans="2:10" x14ac:dyDescent="0.25">
      <c r="B151" s="118">
        <v>40848</v>
      </c>
      <c r="C151" s="68">
        <f>3654.28+4703.045+6298+1674.189+20.86-833.073</f>
        <v>15517.301000000001</v>
      </c>
      <c r="D151" s="68">
        <f>355.696+833.073</f>
        <v>1188.769</v>
      </c>
      <c r="E151" s="58">
        <f>534.1557+227+415+116.46+868.7759</f>
        <v>2161.3915999999999</v>
      </c>
      <c r="F151" s="51">
        <f t="shared" si="3"/>
        <v>18867.461599999999</v>
      </c>
      <c r="H151" s="19"/>
      <c r="I151" s="11"/>
      <c r="J151" s="8"/>
    </row>
    <row r="152" spans="2:10" x14ac:dyDescent="0.25">
      <c r="B152" s="118">
        <v>40878</v>
      </c>
      <c r="C152" s="68">
        <f>4343.73+5460.682+6790+2278.13-574.309</f>
        <v>18298.233</v>
      </c>
      <c r="D152" s="68">
        <f>574.309+550.314</f>
        <v>1124.623</v>
      </c>
      <c r="E152" s="58">
        <f>628.0883+302.7+141.036</f>
        <v>1071.8243</v>
      </c>
      <c r="F152" s="51">
        <f t="shared" si="3"/>
        <v>20494.6803</v>
      </c>
      <c r="H152" s="19"/>
      <c r="I152" s="11"/>
      <c r="J152" s="8"/>
    </row>
    <row r="153" spans="2:10" x14ac:dyDescent="0.25">
      <c r="B153" s="118">
        <v>40909</v>
      </c>
      <c r="C153" s="68">
        <f>6466.02+4421.928+7489+846.299-915</f>
        <v>18308.246999999999</v>
      </c>
      <c r="D153" s="68">
        <f>915+371.814</f>
        <v>1286.8140000000001</v>
      </c>
      <c r="E153" s="58">
        <f>346.4746+110.49+144.924+866.428</f>
        <v>1468.3166000000001</v>
      </c>
      <c r="F153" s="51">
        <f t="shared" ref="F153:F162" si="4">SUM(C153:E153)</f>
        <v>21063.3776</v>
      </c>
      <c r="H153" s="19"/>
      <c r="I153" s="11"/>
      <c r="J153" s="8"/>
    </row>
    <row r="154" spans="2:10" x14ac:dyDescent="0.25">
      <c r="B154" s="118">
        <v>40940</v>
      </c>
      <c r="C154" s="68">
        <f>6188.07+5857.7085+6851-713.836</f>
        <v>18182.942500000001</v>
      </c>
      <c r="D154" s="68">
        <f>713.836+309.782</f>
        <v>1023.6179999999999</v>
      </c>
      <c r="E154" s="58">
        <f>490.4942+67.125+129.24+858.118</f>
        <v>1544.9772</v>
      </c>
      <c r="F154" s="51">
        <f t="shared" si="4"/>
        <v>20751.537700000001</v>
      </c>
      <c r="H154" s="19"/>
      <c r="I154" s="11"/>
      <c r="J154" s="8"/>
    </row>
    <row r="155" spans="2:10" x14ac:dyDescent="0.25">
      <c r="B155" s="118">
        <v>40969</v>
      </c>
      <c r="C155" s="68">
        <f>4750.032+6208.43+7070+1827.39-933.055</f>
        <v>18922.796999999999</v>
      </c>
      <c r="D155" s="68">
        <f>170.064+933.055</f>
        <v>1103.1189999999999</v>
      </c>
      <c r="E155" s="58">
        <f>671.8341+79.8+134.184+679.621</f>
        <v>1565.4391000000001</v>
      </c>
      <c r="F155" s="51">
        <f t="shared" si="4"/>
        <v>21591.355099999997</v>
      </c>
      <c r="H155" s="19"/>
      <c r="I155" s="11"/>
      <c r="J155" s="8"/>
    </row>
    <row r="156" spans="2:10" x14ac:dyDescent="0.25">
      <c r="B156" s="118">
        <v>41000</v>
      </c>
      <c r="C156" s="68">
        <f>5474.37+5104.407+6590+2353.282-778.8</f>
        <v>18743.259000000002</v>
      </c>
      <c r="D156" s="68">
        <f>295.62+778.8</f>
        <v>1074.42</v>
      </c>
      <c r="E156" s="58">
        <f>531.9212+119.415+134.28+672.567</f>
        <v>1458.1831999999999</v>
      </c>
      <c r="F156" s="51">
        <f t="shared" si="4"/>
        <v>21275.862200000003</v>
      </c>
      <c r="H156" s="19"/>
      <c r="I156" s="11"/>
      <c r="J156" s="8"/>
    </row>
    <row r="157" spans="2:10" x14ac:dyDescent="0.25">
      <c r="B157" s="118">
        <v>41030</v>
      </c>
      <c r="C157" s="68">
        <f>4716.35+5481.441+6920+2489.455-442.145</f>
        <v>19165.100999999999</v>
      </c>
      <c r="D157" s="68">
        <f>719.872+442.142</f>
        <v>1162.0139999999999</v>
      </c>
      <c r="E157" s="58">
        <f>628.1929+205.5+139.116+851.801</f>
        <v>1824.6098999999999</v>
      </c>
      <c r="F157" s="51">
        <f t="shared" si="4"/>
        <v>22151.724899999997</v>
      </c>
      <c r="H157" s="19"/>
      <c r="I157" s="11"/>
      <c r="J157" s="8"/>
    </row>
    <row r="158" spans="2:10" x14ac:dyDescent="0.25">
      <c r="B158" s="118">
        <v>41061</v>
      </c>
      <c r="C158" s="68">
        <f>5966.41+4054.134+6941+2319.027+63.89-664.855</f>
        <v>18679.606000000003</v>
      </c>
      <c r="D158" s="68">
        <f>664.706+664.855</f>
        <v>1329.5610000000001</v>
      </c>
      <c r="E158" s="58">
        <f>531.0885+87.03+64.8+823.309</f>
        <v>1506.2275</v>
      </c>
      <c r="F158" s="51">
        <f t="shared" si="4"/>
        <v>21515.394500000006</v>
      </c>
      <c r="H158" s="19"/>
      <c r="I158" s="11"/>
      <c r="J158" s="8"/>
    </row>
    <row r="159" spans="2:10" x14ac:dyDescent="0.25">
      <c r="B159" s="118">
        <v>41091</v>
      </c>
      <c r="C159" s="68">
        <f>5433.83+3247.604+7117+2315.415+367.54-636.055</f>
        <v>17845.333999999999</v>
      </c>
      <c r="D159" s="68">
        <f>636.055+697.036</f>
        <v>1333.0909999999999</v>
      </c>
      <c r="E159" s="58">
        <f>436.785+95.205+65.004+824.146</f>
        <v>1421.1399999999999</v>
      </c>
      <c r="F159" s="51">
        <f t="shared" si="4"/>
        <v>20599.564999999999</v>
      </c>
      <c r="H159" s="19"/>
      <c r="I159" s="11"/>
      <c r="J159" s="8"/>
    </row>
    <row r="160" spans="2:10" x14ac:dyDescent="0.25">
      <c r="B160" s="118">
        <v>41122</v>
      </c>
      <c r="C160" s="68">
        <f>4980.1+2900.288+6892+2199.653+573.92-842.564</f>
        <v>16703.397000000001</v>
      </c>
      <c r="D160" s="68">
        <f>547.718+842.564</f>
        <v>1390.2819999999999</v>
      </c>
      <c r="E160" s="58">
        <f>380.9675+77.66+104.436+774.745</f>
        <v>1337.8085000000001</v>
      </c>
      <c r="F160" s="51">
        <f t="shared" si="4"/>
        <v>19431.487499999999</v>
      </c>
      <c r="H160" s="19"/>
      <c r="I160" s="11"/>
      <c r="J160" s="8"/>
    </row>
    <row r="161" spans="2:10" x14ac:dyDescent="0.25">
      <c r="B161" s="118">
        <v>41153</v>
      </c>
      <c r="C161" s="68">
        <f>4656.15+2948.295+6799+1468.811+712.13-628.364</f>
        <v>15956.021999999999</v>
      </c>
      <c r="D161" s="68">
        <f>589.574+628.364</f>
        <v>1217.9380000000001</v>
      </c>
      <c r="E161" s="58">
        <f>366.2825+58.38+118.104+545.487</f>
        <v>1088.2535</v>
      </c>
      <c r="F161" s="51">
        <f t="shared" si="4"/>
        <v>18262.213499999998</v>
      </c>
      <c r="H161" s="19"/>
      <c r="I161" s="11"/>
      <c r="J161" s="8"/>
    </row>
    <row r="162" spans="2:10" x14ac:dyDescent="0.25">
      <c r="B162" s="118">
        <v>41183</v>
      </c>
      <c r="C162" s="68">
        <f>5012.17+3881.829+6300+2004.544+480.65-612.255</f>
        <v>17066.938000000002</v>
      </c>
      <c r="D162" s="68">
        <f>612.255+593.646</f>
        <v>1205.9009999999998</v>
      </c>
      <c r="E162" s="58">
        <f>364.058+45.21+111.096+745.346</f>
        <v>1265.71</v>
      </c>
      <c r="F162" s="51">
        <f t="shared" si="4"/>
        <v>19538.548999999999</v>
      </c>
      <c r="H162" s="19"/>
      <c r="I162" s="11"/>
      <c r="J162" s="8"/>
    </row>
    <row r="163" spans="2:10" x14ac:dyDescent="0.25">
      <c r="B163" s="118">
        <v>41214</v>
      </c>
      <c r="C163" s="68">
        <f>4668.86+3869.717+6401+1355.845+248.47-480.42</f>
        <v>16063.472</v>
      </c>
      <c r="D163" s="68">
        <f>480.42+743.69</f>
        <v>1224.1100000000001</v>
      </c>
      <c r="E163" s="58">
        <f>327.604+108.48+114.696+829.478</f>
        <v>1380.2579999999998</v>
      </c>
      <c r="F163" s="51">
        <f>SUM(C163:E163)</f>
        <v>18667.839999999997</v>
      </c>
      <c r="H163" s="19"/>
      <c r="I163" s="11"/>
      <c r="J163" s="8"/>
    </row>
    <row r="164" spans="2:10" x14ac:dyDescent="0.25">
      <c r="B164" s="118">
        <v>41244</v>
      </c>
      <c r="C164" s="68">
        <f>3546.64+4811.394+6609+2163.03+441-516.109</f>
        <v>17054.954999999998</v>
      </c>
      <c r="D164" s="68">
        <f>516.109+864.924</f>
        <v>1381.0329999999999</v>
      </c>
      <c r="E164" s="58">
        <f>133.3279+139.2+133.956+845.401</f>
        <v>1251.8849</v>
      </c>
      <c r="F164" s="51">
        <f>SUM(C164:E164)</f>
        <v>19687.872899999998</v>
      </c>
      <c r="H164" s="19"/>
      <c r="I164" s="11"/>
      <c r="J164" s="8"/>
    </row>
    <row r="165" spans="2:10" x14ac:dyDescent="0.25">
      <c r="B165" s="118">
        <v>41275</v>
      </c>
      <c r="C165" s="68">
        <f>3272.86+4730.523+7036+2306.279+483.83-554.564</f>
        <v>17274.928000000004</v>
      </c>
      <c r="D165" s="68">
        <f>663.924+554.564</f>
        <v>1218.4879999999998</v>
      </c>
      <c r="E165" s="58">
        <f>156.8983+219.255+90.768+799.571</f>
        <v>1266.4922999999999</v>
      </c>
      <c r="F165" s="51">
        <f t="shared" ref="F165:F171" si="5">SUM(C165:E165)</f>
        <v>19759.908300000003</v>
      </c>
      <c r="H165" s="19"/>
      <c r="I165" s="11"/>
      <c r="J165" s="8"/>
    </row>
    <row r="166" spans="2:10" x14ac:dyDescent="0.25">
      <c r="B166" s="118">
        <v>41306</v>
      </c>
      <c r="C166" s="68">
        <f>3558.67+4185.783+7104+985.657+332.32-247.745</f>
        <v>15918.684999999999</v>
      </c>
      <c r="D166" s="68">
        <f>743.78+247.745</f>
        <v>991.52499999999998</v>
      </c>
      <c r="E166" s="58">
        <f>465.18+128.145+73.008+702.294</f>
        <v>1368.627</v>
      </c>
      <c r="F166" s="51">
        <f t="shared" si="5"/>
        <v>18278.837</v>
      </c>
      <c r="H166" s="19"/>
      <c r="I166" s="11"/>
      <c r="J166" s="8"/>
    </row>
    <row r="167" spans="2:10" x14ac:dyDescent="0.25">
      <c r="B167" s="118">
        <v>41334</v>
      </c>
      <c r="C167" s="68">
        <f>4978.57+4875.906+7794+80.668+485.85-247.745</f>
        <v>17967.249</v>
      </c>
      <c r="D167" s="68">
        <f>942.602+247.745</f>
        <v>1190.347</v>
      </c>
      <c r="E167" s="58">
        <f>512.5759+134.625+771.936</f>
        <v>1419.1369</v>
      </c>
      <c r="F167" s="51">
        <f t="shared" si="5"/>
        <v>20576.732900000003</v>
      </c>
      <c r="H167" s="19"/>
      <c r="I167" s="11"/>
      <c r="J167" s="8"/>
    </row>
    <row r="168" spans="2:10" x14ac:dyDescent="0.25">
      <c r="B168" s="118">
        <v>41365</v>
      </c>
      <c r="C168" s="68">
        <f>3384.58+5674.095+6680+2363.632+889.824-409.8</f>
        <v>18582.331000000002</v>
      </c>
      <c r="D168" s="68">
        <f>883.254+409.8</f>
        <v>1293.0540000000001</v>
      </c>
      <c r="E168" s="58">
        <f>454.6412+214.74+88.488+813.953</f>
        <v>1571.8222000000001</v>
      </c>
      <c r="F168" s="51">
        <f t="shared" si="5"/>
        <v>21447.207200000001</v>
      </c>
      <c r="H168" s="19"/>
      <c r="I168" s="11"/>
      <c r="J168" s="8"/>
    </row>
    <row r="169" spans="2:10" x14ac:dyDescent="0.25">
      <c r="B169" s="118">
        <v>41395</v>
      </c>
      <c r="C169" s="68">
        <f>5734.59+4844.637+7123+2274.613+59.47+1391.387-746.073</f>
        <v>20681.624</v>
      </c>
      <c r="D169" s="68">
        <f>960.756+746.073</f>
        <v>1706.829</v>
      </c>
      <c r="E169" s="58">
        <f>45.59+189.645+76.236+657.445</f>
        <v>968.91600000000005</v>
      </c>
      <c r="F169" s="51">
        <f t="shared" si="5"/>
        <v>23357.369000000002</v>
      </c>
      <c r="H169" s="19"/>
      <c r="I169" s="11"/>
      <c r="J169" s="8"/>
    </row>
    <row r="170" spans="2:10" x14ac:dyDescent="0.25">
      <c r="B170" s="118">
        <v>41426</v>
      </c>
      <c r="C170" s="68">
        <f>5653.12+3462.627+6630+2204.602+92.04+1540.658-493.2</f>
        <v>19089.846999999998</v>
      </c>
      <c r="D170" s="68">
        <f>493.2+820.5</f>
        <v>1313.7</v>
      </c>
      <c r="E170" s="58">
        <f>353.5273+130.77+82.296+874.294</f>
        <v>1440.8873000000001</v>
      </c>
      <c r="F170" s="51">
        <f t="shared" si="5"/>
        <v>21844.434299999997</v>
      </c>
      <c r="H170" s="19"/>
      <c r="I170" s="11"/>
      <c r="J170" s="8"/>
    </row>
    <row r="171" spans="2:10" x14ac:dyDescent="0.25">
      <c r="B171" s="118">
        <v>41456</v>
      </c>
      <c r="C171" s="68">
        <f>7051.39+2921.016+6981+2122.132+36.51+1552.156-604.855</f>
        <v>20059.349000000002</v>
      </c>
      <c r="D171" s="68">
        <f>604.855+711.858</f>
        <v>1316.713</v>
      </c>
      <c r="E171" s="58">
        <f>356.891+87.075+83.532+514.272</f>
        <v>1041.77</v>
      </c>
      <c r="F171" s="51">
        <f t="shared" si="5"/>
        <v>22417.832000000002</v>
      </c>
      <c r="H171" s="19"/>
      <c r="I171" s="11"/>
      <c r="J171" s="8"/>
    </row>
    <row r="172" spans="2:10" x14ac:dyDescent="0.25">
      <c r="B172" s="118">
        <v>41487</v>
      </c>
      <c r="C172" s="68">
        <f>7232.02+2912.721+6376+2353.427+689.282+1559.996-630.982</f>
        <v>20492.464</v>
      </c>
      <c r="D172" s="68">
        <f>630.982+652.392</f>
        <v>1283.374</v>
      </c>
      <c r="E172" s="58">
        <f>338.201+52.38+70.776+861.179</f>
        <v>1322.5360000000001</v>
      </c>
      <c r="F172" s="51">
        <f>SUM(C172:E172)</f>
        <v>23098.374</v>
      </c>
      <c r="H172" s="19"/>
      <c r="I172" s="11"/>
      <c r="J172" s="8"/>
    </row>
    <row r="173" spans="2:10" x14ac:dyDescent="0.25">
      <c r="B173" s="118">
        <v>41518</v>
      </c>
      <c r="C173" s="68">
        <f>6783.74+2905.539+6413+2086.83+1295.534+1492.039-675.818</f>
        <v>20300.864000000001</v>
      </c>
      <c r="D173" s="68">
        <f>675.818+544.372</f>
        <v>1220.19</v>
      </c>
      <c r="E173" s="58">
        <f>320.1225+34.365+81.684+813.468</f>
        <v>1249.6395</v>
      </c>
      <c r="F173" s="51">
        <f>SUM(C173:E173)</f>
        <v>22770.693500000001</v>
      </c>
      <c r="H173" s="19"/>
      <c r="I173" s="11"/>
      <c r="J173" s="8"/>
    </row>
    <row r="174" spans="2:10" x14ac:dyDescent="0.25">
      <c r="B174" s="118">
        <v>41548</v>
      </c>
      <c r="C174" s="68">
        <f>7395.97+3148.74+7147+1939.081+802.308+1371.764-713.564</f>
        <v>21091.298999999999</v>
      </c>
      <c r="D174" s="68">
        <f>601.832+713.564</f>
        <v>1315.396</v>
      </c>
      <c r="E174" s="58">
        <f>69.122+347.43+83.7+781.229+181.685</f>
        <v>1463.1659999999999</v>
      </c>
      <c r="F174" s="51">
        <f>SUM(C174:E174)</f>
        <v>23869.861000000001</v>
      </c>
      <c r="H174" s="19"/>
      <c r="I174" s="11"/>
      <c r="J174" s="8"/>
    </row>
    <row r="175" spans="2:10" x14ac:dyDescent="0.25">
      <c r="B175" s="118">
        <v>41579</v>
      </c>
      <c r="C175" s="68">
        <f>4001.655+4448.8+5770+1852.2-574.091</f>
        <v>15498.564</v>
      </c>
      <c r="D175" s="68">
        <f>574.091+620.432</f>
        <v>1194.5230000000001</v>
      </c>
      <c r="E175" s="58">
        <f>421.775+115.075+79.764+819.425+202.519</f>
        <v>1638.558</v>
      </c>
      <c r="F175" s="51">
        <f>SUM(C175:E175)</f>
        <v>18331.645</v>
      </c>
      <c r="H175" s="19"/>
      <c r="I175" s="11"/>
      <c r="J175" s="8"/>
    </row>
    <row r="176" spans="2:10" x14ac:dyDescent="0.25">
      <c r="B176" s="118">
        <v>41609</v>
      </c>
      <c r="C176" s="68">
        <f>(3995.41+5286.519+2016.102+5589+41.791+2528.267+1559.676-574.091)</f>
        <v>20442.674000000003</v>
      </c>
      <c r="D176" s="68">
        <f>574.091+424.11</f>
        <v>998.20100000000002</v>
      </c>
      <c r="E176" s="58">
        <f>604.6869+201.945+90.756+960.337+239.508</f>
        <v>2097.2329</v>
      </c>
      <c r="F176" s="51">
        <f>SUM(C176:E176)</f>
        <v>23538.107900000003</v>
      </c>
      <c r="H176" s="19"/>
      <c r="I176" s="11"/>
      <c r="J176" s="8"/>
    </row>
    <row r="177" spans="2:10" x14ac:dyDescent="0.25">
      <c r="B177" s="118">
        <v>41640</v>
      </c>
      <c r="C177" s="68">
        <f>4504.14+5472.432+6758+1679.2+54.38+1192.329+1559.716-421.255</f>
        <v>20798.942000000003</v>
      </c>
      <c r="D177" s="68">
        <f>421.255+713.33</f>
        <v>1134.585</v>
      </c>
      <c r="E177" s="58">
        <f>578.252+85.47+229.152+995.162+258.929</f>
        <v>2146.9650000000001</v>
      </c>
      <c r="F177" s="51">
        <f t="shared" ref="F177:F187" si="6">SUM(C177:E177)</f>
        <v>24080.492000000002</v>
      </c>
      <c r="H177" s="19"/>
      <c r="I177" s="11"/>
      <c r="J177" s="8"/>
    </row>
    <row r="178" spans="2:10" x14ac:dyDescent="0.25">
      <c r="B178" s="118">
        <v>41671</v>
      </c>
      <c r="C178" s="68">
        <f>6046.87+5211.192+4774+968.46+96.95+220.786+1536.916-309.109</f>
        <v>18546.065000000002</v>
      </c>
      <c r="D178" s="68">
        <f>760.254+309.109</f>
        <v>1069.3630000000001</v>
      </c>
      <c r="E178" s="58">
        <f>524.4393+160.455+79.74+455.982+192.243</f>
        <v>1412.8593000000001</v>
      </c>
      <c r="F178" s="51">
        <f t="shared" si="6"/>
        <v>21028.287300000004</v>
      </c>
      <c r="H178" s="19"/>
      <c r="I178" s="11"/>
      <c r="J178" s="8"/>
    </row>
    <row r="179" spans="2:10" x14ac:dyDescent="0.25">
      <c r="B179" s="118">
        <v>41699</v>
      </c>
      <c r="C179" s="68">
        <f>6813.88+5395.968+6047+1353.113+554.971+1559.989-526.255</f>
        <v>21198.666000000001</v>
      </c>
      <c r="D179" s="68">
        <f>816.18+526.255</f>
        <v>1342.4349999999999</v>
      </c>
      <c r="E179" s="58">
        <f>576.5832+148.935+91.968+448.665+250.87</f>
        <v>1517.0212000000001</v>
      </c>
      <c r="F179" s="51">
        <f t="shared" si="6"/>
        <v>24058.122200000002</v>
      </c>
      <c r="H179" s="19"/>
      <c r="I179" s="11"/>
      <c r="J179" s="8"/>
    </row>
    <row r="180" spans="2:10" x14ac:dyDescent="0.25">
      <c r="B180" s="118">
        <v>41730</v>
      </c>
      <c r="C180" s="68">
        <f>4785.54+5607.187+6426+2026.4+88.11+704.179+1559.256-444.218</f>
        <v>20752.454000000002</v>
      </c>
      <c r="D180" s="68">
        <f>895.484+444.218</f>
        <v>1339.702</v>
      </c>
      <c r="E180" s="58">
        <f>656.8628+82.05+71.892+670.69+236.42</f>
        <v>1717.9148</v>
      </c>
      <c r="F180" s="51">
        <f t="shared" si="6"/>
        <v>23810.070800000001</v>
      </c>
      <c r="H180" s="19"/>
      <c r="I180" s="11"/>
      <c r="J180" s="8"/>
    </row>
    <row r="181" spans="2:10" x14ac:dyDescent="0.25">
      <c r="B181" s="118">
        <v>41760</v>
      </c>
      <c r="C181" s="68">
        <f>5546.21+4477.838+6335+2104.102+444.12+415.727+1559.639-694.473</f>
        <v>20188.162999999993</v>
      </c>
      <c r="D181" s="68">
        <f>691.24+694.473</f>
        <v>1385.713</v>
      </c>
      <c r="E181" s="58">
        <f>525.2622+76.5+88.332+1681.583+228.867</f>
        <v>2600.5442000000003</v>
      </c>
      <c r="F181" s="51">
        <f t="shared" si="6"/>
        <v>24174.420199999993</v>
      </c>
      <c r="H181" s="19"/>
      <c r="I181" s="11"/>
      <c r="J181" s="8"/>
    </row>
    <row r="182" spans="2:10" x14ac:dyDescent="0.25">
      <c r="B182" s="118">
        <v>41791</v>
      </c>
      <c r="C182" s="68">
        <f>4945.92+3921.732+5873+2145.117+70.94+464.73+1559.999-706.418</f>
        <v>18275.019999999997</v>
      </c>
      <c r="D182" s="68">
        <f>654.308+706.418</f>
        <v>1360.7260000000001</v>
      </c>
      <c r="E182" s="51">
        <f>345.6842+64.8+123.3+1760.47+254.775</f>
        <v>2549.0291999999999</v>
      </c>
      <c r="F182" s="51">
        <f t="shared" si="6"/>
        <v>22184.775199999996</v>
      </c>
      <c r="H182" s="19"/>
      <c r="I182" s="11"/>
      <c r="J182" s="8"/>
    </row>
    <row r="183" spans="2:10" x14ac:dyDescent="0.25">
      <c r="B183" s="118">
        <v>41821</v>
      </c>
      <c r="C183" s="68">
        <f>4180.76+3120.336+5860+2058.991+125.94+511.129+1559.998-632.618</f>
        <v>16784.536000000004</v>
      </c>
      <c r="D183" s="68">
        <f>571.38+632.618</f>
        <v>1203.998</v>
      </c>
      <c r="E183" s="51">
        <f>333.5119+81.33+122.4+1912.839+161.282</f>
        <v>2611.3629000000001</v>
      </c>
      <c r="F183" s="51">
        <f t="shared" si="6"/>
        <v>20599.896900000003</v>
      </c>
      <c r="H183" s="19"/>
      <c r="I183" s="11"/>
      <c r="J183" s="8"/>
    </row>
    <row r="184" spans="2:10" x14ac:dyDescent="0.25">
      <c r="B184" s="118">
        <v>41852</v>
      </c>
      <c r="C184" s="68">
        <f>3246.46+3048.57+5070+2251.189+57.11+335.51+3153.757-924.109</f>
        <v>16238.487000000001</v>
      </c>
      <c r="D184" s="68">
        <f>164.136+924.109</f>
        <v>1088.2450000000001</v>
      </c>
      <c r="E184" s="51">
        <f>285.0419+104.676+1783.259+120.7</f>
        <v>2293.6768999999999</v>
      </c>
      <c r="F184" s="51">
        <f t="shared" si="6"/>
        <v>19620.408899999999</v>
      </c>
      <c r="H184" s="19"/>
      <c r="I184" s="11"/>
      <c r="J184" s="8"/>
    </row>
    <row r="185" spans="2:10" x14ac:dyDescent="0.25">
      <c r="B185" s="118">
        <v>41883</v>
      </c>
      <c r="C185" s="68">
        <f>3041.88+3387.72+5098+2266.362+19.91+13.535+3219.679-530.291</f>
        <v>16516.794999999998</v>
      </c>
      <c r="D185" s="68">
        <f>599.836+530.291</f>
        <v>1130.127</v>
      </c>
      <c r="E185" s="51">
        <f>349.6309+70.635+108.12+1703.761+257.8</f>
        <v>2489.9468999999999</v>
      </c>
      <c r="F185" s="51">
        <f t="shared" si="6"/>
        <v>20136.868899999998</v>
      </c>
      <c r="H185" s="19"/>
      <c r="I185" s="11"/>
      <c r="J185" s="8"/>
    </row>
    <row r="186" spans="2:10" x14ac:dyDescent="0.25">
      <c r="B186" s="118">
        <v>41913</v>
      </c>
      <c r="C186" s="68">
        <f>3215.91+4230.114+5165+2224.2+293.733+3219.231-496.964</f>
        <v>17851.223999999998</v>
      </c>
      <c r="D186" s="68">
        <f>759.58+496.964</f>
        <v>1256.5440000000001</v>
      </c>
      <c r="E186" s="51">
        <f>501.8991+93.825+78.816+1356.635+264.8</f>
        <v>2295.9751000000001</v>
      </c>
      <c r="F186" s="51">
        <f t="shared" si="6"/>
        <v>21403.7431</v>
      </c>
      <c r="H186" s="19"/>
      <c r="I186" s="11"/>
      <c r="J186" s="8"/>
    </row>
    <row r="187" spans="2:10" x14ac:dyDescent="0.25">
      <c r="B187" s="118">
        <v>41944</v>
      </c>
      <c r="C187" s="68">
        <f>3423.02+3983.196+5130+2028.2+525.542+3138.307-449.127</f>
        <v>17779.137999999999</v>
      </c>
      <c r="D187" s="68">
        <f>662.328+449.127</f>
        <v>1111.4549999999999</v>
      </c>
      <c r="E187" s="51">
        <f>510.52+53.235+85.284+1051.644+268</f>
        <v>1968.683</v>
      </c>
      <c r="F187" s="51">
        <f t="shared" si="6"/>
        <v>20859.276000000002</v>
      </c>
      <c r="H187" s="19"/>
      <c r="I187" s="11"/>
      <c r="J187" s="8"/>
    </row>
    <row r="188" spans="2:10" x14ac:dyDescent="0.25">
      <c r="B188" s="118">
        <v>41974</v>
      </c>
      <c r="C188" s="68">
        <f>3879.05+4955.559+6162+1531.8+470.145+3214.033-368.509</f>
        <v>19844.078000000001</v>
      </c>
      <c r="D188" s="68">
        <f>828.912+368.509</f>
        <v>1197.421</v>
      </c>
      <c r="E188" s="51">
        <f>559.8186+127.95+95.22+973.683+168.6</f>
        <v>1925.2716</v>
      </c>
      <c r="F188" s="51">
        <f>SUM(C188:E188)</f>
        <v>22966.7706</v>
      </c>
      <c r="H188" s="19"/>
      <c r="I188" s="11"/>
      <c r="J188" s="8"/>
    </row>
    <row r="189" spans="2:10" ht="15.75" customHeight="1" x14ac:dyDescent="0.25">
      <c r="B189" s="118">
        <v>42005</v>
      </c>
      <c r="C189" s="68">
        <f>4833.85+5146.617+6249+2204+248.612+1559.998-253.309</f>
        <v>19988.768</v>
      </c>
      <c r="D189" s="68">
        <f>881.028+253.309</f>
        <v>1134.337</v>
      </c>
      <c r="E189" s="51">
        <f>667.9+101.01+86.316+807.543+159</f>
        <v>1821.769</v>
      </c>
      <c r="F189" s="51">
        <f t="shared" ref="F189:F200" si="7">SUM(C189:E189)</f>
        <v>22944.874</v>
      </c>
      <c r="H189" s="19"/>
      <c r="I189" s="11"/>
      <c r="J189" s="8"/>
    </row>
    <row r="190" spans="2:10" x14ac:dyDescent="0.25">
      <c r="B190" s="118">
        <v>42036</v>
      </c>
      <c r="C190" s="68">
        <f>5188.47+4683.735+4740+1428.2+220.515+1559.999-324.873</f>
        <v>17496.046000000002</v>
      </c>
      <c r="D190" s="68">
        <f>789.128+324.873</f>
        <v>1114.001</v>
      </c>
      <c r="E190" s="51">
        <f>589.0944+88.995+81.54+327.677+204.4</f>
        <v>1291.7064</v>
      </c>
      <c r="F190" s="51">
        <f t="shared" si="7"/>
        <v>19901.753400000001</v>
      </c>
      <c r="H190" s="19"/>
      <c r="I190" s="11"/>
      <c r="J190" s="8"/>
    </row>
    <row r="191" spans="2:10" x14ac:dyDescent="0.25">
      <c r="B191" s="118">
        <v>42064</v>
      </c>
      <c r="C191" s="68">
        <f>5939.29+4666.935+7234+83.61+1559.989-374.618</f>
        <v>19109.206000000002</v>
      </c>
      <c r="D191" s="68">
        <f>860.944+374.618</f>
        <v>1235.5619999999999</v>
      </c>
      <c r="E191" s="51">
        <f>651.3406+90+82.068+852.447+192.1</f>
        <v>1867.9555999999998</v>
      </c>
      <c r="F191" s="51">
        <f t="shared" si="7"/>
        <v>22212.723600000005</v>
      </c>
      <c r="H191" s="19"/>
      <c r="I191" s="11"/>
      <c r="J191" s="8"/>
    </row>
    <row r="192" spans="2:10" x14ac:dyDescent="0.25">
      <c r="B192" s="118">
        <v>42095</v>
      </c>
      <c r="C192" s="68">
        <f>4844.43+5841.927+5803+1322.044+1489.284-447.327</f>
        <v>18853.358</v>
      </c>
      <c r="D192" s="68">
        <f>447.327+890.812</f>
        <v>1338.1390000000001</v>
      </c>
      <c r="E192" s="51">
        <f>669.168+167.7+53.976+1274.681+147.4</f>
        <v>2312.9250000000002</v>
      </c>
      <c r="F192" s="51">
        <f t="shared" si="7"/>
        <v>22504.421999999999</v>
      </c>
      <c r="H192" s="19"/>
      <c r="I192" s="11"/>
      <c r="J192" s="8"/>
    </row>
    <row r="193" spans="2:10" x14ac:dyDescent="0.25">
      <c r="B193" s="118">
        <v>42125</v>
      </c>
      <c r="C193" s="68">
        <f>3569.88+5612.652+5589+1814.43+1536.023-534.273</f>
        <v>17587.712</v>
      </c>
      <c r="D193" s="68">
        <f>880.276+534.273</f>
        <v>1414.549</v>
      </c>
      <c r="E193" s="51">
        <f>694.8257+239.55+1494.074+306</f>
        <v>2734.4497000000001</v>
      </c>
      <c r="F193" s="51">
        <f t="shared" si="7"/>
        <v>21736.7107</v>
      </c>
      <c r="H193" s="19"/>
      <c r="I193" s="11"/>
      <c r="J193" s="8"/>
    </row>
    <row r="194" spans="2:10" x14ac:dyDescent="0.25">
      <c r="B194" s="118">
        <v>42156</v>
      </c>
      <c r="C194" s="68">
        <f>4761.41+4581.216+5754+2025.227+1559.99-798.545</f>
        <v>17883.298000000003</v>
      </c>
      <c r="D194" s="68">
        <f>798.545+660.588</f>
        <v>1459.1329999999998</v>
      </c>
      <c r="E194" s="51">
        <f>618.0647+1202.679+265.55</f>
        <v>2086.2937000000002</v>
      </c>
      <c r="F194" s="51">
        <f t="shared" si="7"/>
        <v>21428.724700000006</v>
      </c>
      <c r="G194" s="43"/>
      <c r="H194" s="19"/>
      <c r="I194" s="11"/>
      <c r="J194" s="8"/>
    </row>
    <row r="195" spans="2:10" s="28" customFormat="1" x14ac:dyDescent="0.25">
      <c r="B195" s="118">
        <v>42186</v>
      </c>
      <c r="C195" s="68">
        <f>6189.78+4581.216+6297+2097.586+16.187+1559.994-1190.291</f>
        <v>19551.471999999998</v>
      </c>
      <c r="D195" s="68">
        <f>1190.291+510.204</f>
        <v>1700.4949999999999</v>
      </c>
      <c r="E195" s="110">
        <f>404.515+90.805+1219.963+262.7</f>
        <v>1977.9829999999999</v>
      </c>
      <c r="F195" s="110">
        <f t="shared" si="7"/>
        <v>23229.949999999997</v>
      </c>
      <c r="G195" s="108"/>
      <c r="H195" s="111"/>
      <c r="I195" s="112"/>
      <c r="J195" s="27"/>
    </row>
    <row r="196" spans="2:10" s="28" customFormat="1" x14ac:dyDescent="0.25">
      <c r="B196" s="118">
        <v>42217</v>
      </c>
      <c r="C196" s="68">
        <f>5269.81+3935.862+5765+1996.965+195.137+2484.732-1150.364</f>
        <v>18497.141999999996</v>
      </c>
      <c r="D196" s="68">
        <f>1150.364+382.94</f>
        <v>1533.3040000000001</v>
      </c>
      <c r="E196" s="110">
        <f>331.1863+61.95+979.01+234</f>
        <v>1606.1462999999999</v>
      </c>
      <c r="F196" s="110">
        <f t="shared" si="7"/>
        <v>21636.592299999997</v>
      </c>
      <c r="G196" s="108"/>
      <c r="H196" s="111"/>
      <c r="I196" s="112"/>
      <c r="J196" s="27"/>
    </row>
    <row r="197" spans="2:10" s="28" customFormat="1" x14ac:dyDescent="0.25">
      <c r="B197" s="118">
        <v>42248</v>
      </c>
      <c r="C197" s="68">
        <f>3005.25+2997.519+5629+2117.167+797.788+2988.042-915.873</f>
        <v>16618.893</v>
      </c>
      <c r="D197" s="68">
        <f>915.873+463.6</f>
        <v>1379.473</v>
      </c>
      <c r="E197" s="110">
        <f>296.7487+31.65+480.358+213.4</f>
        <v>1022.1566999999999</v>
      </c>
      <c r="F197" s="110">
        <f t="shared" si="7"/>
        <v>19020.522700000001</v>
      </c>
      <c r="G197" s="108"/>
      <c r="H197" s="111"/>
      <c r="I197" s="112"/>
      <c r="J197" s="27"/>
    </row>
    <row r="198" spans="2:10" s="28" customFormat="1" x14ac:dyDescent="0.25">
      <c r="B198" s="118">
        <v>42278</v>
      </c>
      <c r="C198" s="68">
        <f>2862.95+3919.5+5815+1954.4+755.333+3353.039-919.636</f>
        <v>17740.586000000003</v>
      </c>
      <c r="D198" s="68">
        <f>919.636+480.6</f>
        <v>1400.2359999999999</v>
      </c>
      <c r="E198" s="110">
        <f>501.188+36.03+494.58+252.3</f>
        <v>1284.098</v>
      </c>
      <c r="F198" s="110">
        <f t="shared" si="7"/>
        <v>20424.920000000006</v>
      </c>
      <c r="G198" s="108"/>
      <c r="H198" s="111"/>
      <c r="I198" s="112"/>
      <c r="J198" s="27"/>
    </row>
    <row r="199" spans="2:10" s="28" customFormat="1" x14ac:dyDescent="0.25">
      <c r="B199" s="118">
        <v>42309</v>
      </c>
      <c r="C199" s="68">
        <f>2191.1+4932.312+5787+1878.912+509.282+3078.256-712.309</f>
        <v>17664.553</v>
      </c>
      <c r="D199" s="68">
        <f>628.928+712.309</f>
        <v>1341.2370000000001</v>
      </c>
      <c r="E199" s="110">
        <f>634.043+93.405+672.204+237.5</f>
        <v>1637.152</v>
      </c>
      <c r="F199" s="110">
        <f t="shared" si="7"/>
        <v>20642.942000000003</v>
      </c>
      <c r="G199" s="108"/>
      <c r="H199" s="111"/>
      <c r="I199" s="112"/>
      <c r="J199" s="27"/>
    </row>
    <row r="200" spans="2:10" s="28" customFormat="1" x14ac:dyDescent="0.25">
      <c r="B200" s="118">
        <v>42339</v>
      </c>
      <c r="C200" s="68">
        <f>3199.28+5122.026+6351+1837.992+128.251+3014.046-537</f>
        <v>19115.594999999998</v>
      </c>
      <c r="D200" s="68">
        <f>781.164+537</f>
        <v>1318.164</v>
      </c>
      <c r="E200" s="110">
        <f>681.426+188.34+563.328+257.5</f>
        <v>1690.5940000000001</v>
      </c>
      <c r="F200" s="110">
        <f t="shared" si="7"/>
        <v>22124.352999999999</v>
      </c>
      <c r="G200" s="108"/>
      <c r="H200" s="111"/>
      <c r="I200" s="112"/>
      <c r="J200" s="27"/>
    </row>
    <row r="201" spans="2:10" s="28" customFormat="1" x14ac:dyDescent="0.25">
      <c r="B201" s="118">
        <v>42370</v>
      </c>
      <c r="C201" s="68">
        <f>3629.22+5158.86+7711+1929.352+72.348+1700.348-773.673</f>
        <v>19427.455000000005</v>
      </c>
      <c r="D201" s="68">
        <f>637.276+773.673</f>
        <v>1410.9490000000001</v>
      </c>
      <c r="E201" s="110">
        <f>634.3696+81.63+925.28+200.6</f>
        <v>1841.8795999999998</v>
      </c>
      <c r="F201" s="110">
        <f t="shared" ref="F201:F212" si="8">SUM(C201:E201)</f>
        <v>22680.283600000006</v>
      </c>
      <c r="G201" s="108"/>
      <c r="H201" s="111"/>
      <c r="I201" s="112"/>
      <c r="J201" s="27"/>
    </row>
    <row r="202" spans="2:10" s="28" customFormat="1" x14ac:dyDescent="0.25">
      <c r="B202" s="118">
        <v>42401</v>
      </c>
      <c r="C202" s="68">
        <f>3569.14+4699.758+8708+1909.396+35.298+1559.897-135.709</f>
        <v>20345.780000000002</v>
      </c>
      <c r="D202" s="68">
        <f>0+135.709</f>
        <v>135.709</v>
      </c>
      <c r="E202" s="110">
        <f>670.2354+150.99+828.167+196.3</f>
        <v>1845.6924000000001</v>
      </c>
      <c r="F202" s="110">
        <f t="shared" si="8"/>
        <v>22327.181400000001</v>
      </c>
      <c r="G202" s="108"/>
      <c r="H202" s="111"/>
      <c r="I202" s="112"/>
      <c r="J202" s="27"/>
    </row>
    <row r="203" spans="2:10" s="28" customFormat="1" x14ac:dyDescent="0.25">
      <c r="B203" s="118">
        <v>42430</v>
      </c>
      <c r="C203" s="68">
        <f>5435.98+5232.633+9005+1469.553+132.654+1273.849-1494.327</f>
        <v>21055.341999999993</v>
      </c>
      <c r="D203" s="68">
        <f>0+1494.327</f>
        <v>1494.327</v>
      </c>
      <c r="E203" s="110">
        <f>722.3244+131.67+642.529+255.8</f>
        <v>1752.3234</v>
      </c>
      <c r="F203" s="110">
        <f t="shared" si="8"/>
        <v>24301.992399999996</v>
      </c>
      <c r="G203" s="108"/>
      <c r="H203" s="111"/>
      <c r="I203" s="112"/>
      <c r="J203" s="27"/>
    </row>
    <row r="204" spans="2:10" s="28" customFormat="1" x14ac:dyDescent="0.25">
      <c r="B204" s="118">
        <v>42461</v>
      </c>
      <c r="C204" s="68">
        <f>7805.01+5168.457+7189+2079.146+97.977+366.688-1341.491</f>
        <v>21364.786999999997</v>
      </c>
      <c r="D204" s="68">
        <f>359.2+1341.491</f>
        <v>1700.691</v>
      </c>
      <c r="E204" s="110">
        <f>455.539+131.805+741.875+248.4</f>
        <v>1577.6190000000001</v>
      </c>
      <c r="F204" s="110">
        <f t="shared" si="8"/>
        <v>24643.096999999994</v>
      </c>
      <c r="G204" s="108"/>
      <c r="H204" s="111"/>
      <c r="I204" s="112"/>
      <c r="J204" s="27"/>
    </row>
    <row r="205" spans="2:10" s="28" customFormat="1" x14ac:dyDescent="0.25">
      <c r="B205" s="118">
        <v>42491</v>
      </c>
      <c r="C205" s="68">
        <f>7469.18+5100.123+7941+2318.045+64.292+620.182-1241.321</f>
        <v>22271.501</v>
      </c>
      <c r="D205" s="68">
        <f>620.58+1241.321</f>
        <v>1861.9009999999998</v>
      </c>
      <c r="E205" s="110">
        <f>595.2844+132.495+606.51104+308.8</f>
        <v>1643.0904399999999</v>
      </c>
      <c r="F205" s="110">
        <f t="shared" si="8"/>
        <v>25776.492440000002</v>
      </c>
      <c r="G205" s="108"/>
      <c r="H205" s="111"/>
      <c r="I205" s="112"/>
      <c r="J205" s="27"/>
    </row>
    <row r="206" spans="2:10" s="28" customFormat="1" x14ac:dyDescent="0.25">
      <c r="B206" s="118">
        <v>42522</v>
      </c>
      <c r="C206" s="68">
        <f>6281.46+3489.84+8303+2427.878+77.88+1452.552-1022.836</f>
        <v>21009.774000000001</v>
      </c>
      <c r="D206" s="68">
        <f>610.52+1022.836</f>
        <v>1633.356</v>
      </c>
      <c r="E206" s="110">
        <f>326.527+75.54+9.336+828.2454+276.4</f>
        <v>1516.0484000000001</v>
      </c>
      <c r="F206" s="110">
        <f t="shared" si="8"/>
        <v>24159.178400000001</v>
      </c>
      <c r="G206" s="108"/>
      <c r="H206" s="111"/>
      <c r="I206" s="112"/>
      <c r="J206" s="27"/>
    </row>
    <row r="207" spans="2:10" s="28" customFormat="1" x14ac:dyDescent="0.25">
      <c r="B207" s="118">
        <v>42552</v>
      </c>
      <c r="C207" s="68">
        <f>7362.07+3154.179+7693+2291.941+165.989+1559.859-897.709</f>
        <v>21329.329000000002</v>
      </c>
      <c r="D207" s="68">
        <f>689.2+897.709</f>
        <v>1586.9090000000001</v>
      </c>
      <c r="E207" s="110">
        <f>361.431+75.195+712.68544+287.9</f>
        <v>1437.21144</v>
      </c>
      <c r="F207" s="110">
        <f t="shared" si="8"/>
        <v>24353.44944</v>
      </c>
      <c r="G207" s="108"/>
      <c r="H207" s="111"/>
      <c r="I207" s="112"/>
      <c r="J207" s="27"/>
    </row>
    <row r="208" spans="2:10" s="28" customFormat="1" x14ac:dyDescent="0.25">
      <c r="B208" s="118">
        <v>42583</v>
      </c>
      <c r="C208" s="68">
        <f>6780.82+2516.619+7813+2368.299+160.385+2242.066-1090.691</f>
        <v>20790.497999999996</v>
      </c>
      <c r="D208" s="68">
        <f>597.7+1090.691</f>
        <v>1688.3910000000001</v>
      </c>
      <c r="E208" s="110">
        <f>330.871+41.895+1168.21024+267</f>
        <v>1807.97624</v>
      </c>
      <c r="F208" s="110">
        <f t="shared" si="8"/>
        <v>24286.865239999996</v>
      </c>
      <c r="G208" s="108"/>
      <c r="H208" s="111"/>
      <c r="I208" s="112"/>
      <c r="J208" s="27"/>
    </row>
    <row r="209" spans="2:10" s="28" customFormat="1" x14ac:dyDescent="0.25">
      <c r="B209" s="118">
        <v>42614</v>
      </c>
      <c r="C209" s="68">
        <f>5852.99+2500.113+7878+2162.253+144.387+2790.069-1251</f>
        <v>20076.811999999998</v>
      </c>
      <c r="D209" s="68">
        <f>344.692+1251</f>
        <v>1595.692</v>
      </c>
      <c r="E209" s="110">
        <f>297.291+1115.28396+116.845</f>
        <v>1529.4199599999999</v>
      </c>
      <c r="F209" s="110">
        <f t="shared" si="8"/>
        <v>23201.923959999996</v>
      </c>
      <c r="G209" s="108"/>
      <c r="H209" s="111"/>
      <c r="I209" s="112"/>
      <c r="J209" s="27"/>
    </row>
    <row r="210" spans="2:10" s="28" customFormat="1" x14ac:dyDescent="0.25">
      <c r="B210" s="118">
        <v>42644</v>
      </c>
      <c r="C210" s="68">
        <f>5687.02+2965.683+8138+2577.804+269.801+2856.764-1222.636</f>
        <v>21272.436000000002</v>
      </c>
      <c r="D210" s="68">
        <f>428.228+1222.636</f>
        <v>1650.864</v>
      </c>
      <c r="E210" s="110">
        <f>399.404+71.025+0+1190.35472+225.8</f>
        <v>1886.5837199999999</v>
      </c>
      <c r="F210" s="110">
        <f t="shared" si="8"/>
        <v>24809.883720000002</v>
      </c>
      <c r="G210" s="108"/>
      <c r="H210" s="111"/>
      <c r="I210" s="112"/>
      <c r="J210" s="27"/>
    </row>
    <row r="211" spans="2:10" s="28" customFormat="1" x14ac:dyDescent="0.25">
      <c r="B211" s="118">
        <v>42675</v>
      </c>
      <c r="C211" s="68">
        <f>5304.72+3020.199+7021+2372.422+270.702+3040.159-1092.818</f>
        <v>19936.384000000002</v>
      </c>
      <c r="D211" s="68">
        <f>537.132+1092.818</f>
        <v>1629.9499999999998</v>
      </c>
      <c r="E211" s="110">
        <f>446.1989+50.94+12.984+1157.14788+252.6</f>
        <v>1919.8707799999997</v>
      </c>
      <c r="F211" s="110">
        <f t="shared" si="8"/>
        <v>23486.204780000004</v>
      </c>
      <c r="G211" s="108"/>
      <c r="H211" s="111"/>
      <c r="I211" s="112"/>
      <c r="J211" s="27"/>
    </row>
    <row r="212" spans="2:10" s="28" customFormat="1" x14ac:dyDescent="0.25">
      <c r="B212" s="118">
        <v>42705</v>
      </c>
      <c r="C212" s="68">
        <f>4998.66+3573.696+6975+1651.198+325.269+2806.916-948.6</f>
        <v>19382.139000000003</v>
      </c>
      <c r="D212" s="68">
        <f>575.792+948.6</f>
        <v>1524.3920000000001</v>
      </c>
      <c r="E212" s="110">
        <f>416.6762+18.816+1234.9894+260</f>
        <v>1930.4815999999998</v>
      </c>
      <c r="F212" s="110">
        <f t="shared" si="8"/>
        <v>22837.012600000002</v>
      </c>
      <c r="G212" s="108"/>
      <c r="H212" s="111"/>
      <c r="I212" s="112"/>
      <c r="J212" s="27"/>
    </row>
    <row r="213" spans="2:10" s="28" customFormat="1" x14ac:dyDescent="0.25">
      <c r="B213" s="118">
        <v>42736</v>
      </c>
      <c r="C213" s="68">
        <f>3247.13+4270.413+7551+1925.521+336.913+2965.146-583.826-906.818</f>
        <v>18805.478999999999</v>
      </c>
      <c r="D213" s="68">
        <f>583.826+906.818</f>
        <v>1490.644</v>
      </c>
      <c r="E213" s="110">
        <f>543.2743+35.415+1296.45152+260.9</f>
        <v>2136.0408200000002</v>
      </c>
      <c r="F213" s="110">
        <f t="shared" ref="F213:F224" si="9">SUM(C213:E213)</f>
        <v>22432.163820000002</v>
      </c>
      <c r="G213" s="108"/>
      <c r="H213" s="111"/>
      <c r="I213" s="112"/>
      <c r="J213" s="27"/>
    </row>
    <row r="214" spans="2:10" s="28" customFormat="1" x14ac:dyDescent="0.25">
      <c r="B214" s="118">
        <v>42767</v>
      </c>
      <c r="C214" s="68">
        <f>3695.055+3033.2+5784+2178.864+324.647+2831.452-820.745</f>
        <v>17026.473000000002</v>
      </c>
      <c r="D214" s="68">
        <f>532.026+820.745</f>
        <v>1352.771</v>
      </c>
      <c r="E214" s="110">
        <f>460.0747+35.19+1333.33777+248.8</f>
        <v>2077.40247</v>
      </c>
      <c r="F214" s="110">
        <f t="shared" si="9"/>
        <v>20456.646470000003</v>
      </c>
      <c r="G214" s="108"/>
      <c r="H214" s="111"/>
      <c r="I214" s="112"/>
      <c r="J214" s="27"/>
    </row>
    <row r="215" spans="2:10" s="28" customFormat="1" x14ac:dyDescent="0.25">
      <c r="B215" s="118">
        <v>42795</v>
      </c>
      <c r="C215" s="68">
        <f>3396.93+4778.991+6232+2372.81+396.611+3199.873-972.273</f>
        <v>19404.941999999999</v>
      </c>
      <c r="D215" s="68">
        <f>676.72+972.273</f>
        <v>1648.9929999999999</v>
      </c>
      <c r="E215" s="110">
        <f>632.7084+178.86+0+1036.9706+269</f>
        <v>2117.5390000000002</v>
      </c>
      <c r="F215" s="110">
        <f t="shared" si="9"/>
        <v>23171.473999999998</v>
      </c>
      <c r="G215" s="108"/>
      <c r="H215" s="111"/>
      <c r="I215" s="112"/>
      <c r="J215" s="27"/>
    </row>
    <row r="216" spans="2:10" s="28" customFormat="1" x14ac:dyDescent="0.25">
      <c r="B216" s="118">
        <v>42826</v>
      </c>
      <c r="C216" s="68">
        <f>3596+3906.462+5872+2171.995+150.302+2599.913-788.673</f>
        <v>17507.999</v>
      </c>
      <c r="D216" s="68">
        <f>304.648+788.673</f>
        <v>1093.3209999999999</v>
      </c>
      <c r="E216" s="110">
        <f>100.44+1478.53222+215.8</f>
        <v>1794.7722200000001</v>
      </c>
      <c r="F216" s="110">
        <f t="shared" si="9"/>
        <v>20396.092219999999</v>
      </c>
      <c r="G216" s="108"/>
      <c r="H216" s="111"/>
      <c r="I216" s="112"/>
      <c r="J216" s="27"/>
    </row>
    <row r="217" spans="2:10" s="28" customFormat="1" x14ac:dyDescent="0.25">
      <c r="B217" s="118">
        <v>42856</v>
      </c>
      <c r="C217" s="68">
        <f>3835.47+3042.743+6101+1943.694+146.406+3403.518-1188.382</f>
        <v>17284.448999999997</v>
      </c>
      <c r="D217" s="68">
        <f>297.392+1188.382</f>
        <v>1485.7740000000001</v>
      </c>
      <c r="E217" s="110">
        <f>483.5875+120.3+1500.73378+144.1</f>
        <v>2248.7212799999998</v>
      </c>
      <c r="F217" s="110">
        <f t="shared" si="9"/>
        <v>21018.944279999996</v>
      </c>
      <c r="G217" s="108"/>
      <c r="H217" s="111"/>
      <c r="I217" s="112"/>
      <c r="J217" s="27"/>
    </row>
    <row r="218" spans="2:10" s="28" customFormat="1" x14ac:dyDescent="0.25">
      <c r="B218" s="118">
        <v>42887</v>
      </c>
      <c r="C218" s="68">
        <f>3685.83+2309.601+4715+1974.258+304.877+3421.228-1183.8</f>
        <v>15226.994000000002</v>
      </c>
      <c r="D218" s="68">
        <f>251.632+1183.8</f>
        <v>1435.432</v>
      </c>
      <c r="E218" s="110">
        <f>307.3432+73.26+1483.90548+68.2</f>
        <v>1932.70868</v>
      </c>
      <c r="F218" s="110">
        <f t="shared" si="9"/>
        <v>18595.134680000003</v>
      </c>
      <c r="G218" s="108"/>
      <c r="H218" s="111"/>
      <c r="I218" s="112"/>
      <c r="J218" s="27"/>
    </row>
    <row r="219" spans="2:10" s="28" customFormat="1" x14ac:dyDescent="0.25">
      <c r="B219" s="118">
        <v>42917</v>
      </c>
      <c r="C219" s="68">
        <f>3833.99+1967.343+4603+2068.612+573.417+3818.041-1116.655</f>
        <v>15747.747999999998</v>
      </c>
      <c r="D219" s="68">
        <f>348.828+1116.655</f>
        <v>1465.4829999999999</v>
      </c>
      <c r="E219" s="110">
        <f>276.5338+67.575+1690.31368+204.2</f>
        <v>2238.62248</v>
      </c>
      <c r="F219" s="110">
        <f t="shared" si="9"/>
        <v>19451.853479999998</v>
      </c>
      <c r="G219" s="108"/>
      <c r="H219" s="111"/>
      <c r="I219" s="112"/>
      <c r="J219" s="27"/>
    </row>
    <row r="220" spans="2:10" s="28" customFormat="1" x14ac:dyDescent="0.25">
      <c r="B220" s="118">
        <v>42948</v>
      </c>
      <c r="C220" s="68">
        <v>15834.524000000001</v>
      </c>
      <c r="D220" s="68">
        <v>1646.1880000000001</v>
      </c>
      <c r="E220" s="110">
        <v>1758.5663199999999</v>
      </c>
      <c r="F220" s="110">
        <f t="shared" si="9"/>
        <v>19239.278319999998</v>
      </c>
      <c r="G220" s="108"/>
      <c r="H220" s="111"/>
      <c r="I220" s="112"/>
      <c r="J220" s="27"/>
    </row>
    <row r="221" spans="2:10" s="28" customFormat="1" x14ac:dyDescent="0.25">
      <c r="B221" s="118">
        <v>42979</v>
      </c>
      <c r="C221" s="68">
        <v>16583.954999999998</v>
      </c>
      <c r="D221" s="68">
        <v>1478.182</v>
      </c>
      <c r="E221" s="110">
        <v>1668.6334999999999</v>
      </c>
      <c r="F221" s="110">
        <f t="shared" si="9"/>
        <v>19730.770499999999</v>
      </c>
      <c r="G221" s="108"/>
      <c r="H221" s="111"/>
      <c r="I221" s="112"/>
      <c r="J221" s="27"/>
    </row>
    <row r="222" spans="2:10" s="28" customFormat="1" x14ac:dyDescent="0.25">
      <c r="B222" s="118">
        <v>43009</v>
      </c>
      <c r="C222" s="68">
        <v>21526.681</v>
      </c>
      <c r="D222" s="68">
        <v>1359.03</v>
      </c>
      <c r="E222" s="110">
        <v>1462.9467800000002</v>
      </c>
      <c r="F222" s="110">
        <f t="shared" si="9"/>
        <v>24348.657780000001</v>
      </c>
      <c r="G222" s="108"/>
      <c r="H222" s="111"/>
      <c r="I222" s="112"/>
      <c r="J222" s="27"/>
    </row>
    <row r="223" spans="2:10" s="28" customFormat="1" x14ac:dyDescent="0.25">
      <c r="B223" s="118">
        <v>43040</v>
      </c>
      <c r="C223" s="68">
        <v>20134.821</v>
      </c>
      <c r="D223" s="68">
        <v>1730.0840000000001</v>
      </c>
      <c r="E223" s="110">
        <v>1785.4516000000001</v>
      </c>
      <c r="F223" s="110">
        <f t="shared" si="9"/>
        <v>23650.356599999999</v>
      </c>
      <c r="G223" s="108"/>
      <c r="H223" s="111"/>
      <c r="I223" s="112"/>
      <c r="J223" s="27"/>
    </row>
    <row r="224" spans="2:10" s="28" customFormat="1" x14ac:dyDescent="0.25">
      <c r="B224" s="118">
        <v>43070</v>
      </c>
      <c r="C224" s="68">
        <v>21719.530999999999</v>
      </c>
      <c r="D224" s="68">
        <v>1619.539</v>
      </c>
      <c r="E224" s="110">
        <v>2025.5170599999999</v>
      </c>
      <c r="F224" s="110">
        <f t="shared" si="9"/>
        <v>25364.587059999998</v>
      </c>
      <c r="G224" s="108"/>
      <c r="H224" s="111"/>
      <c r="I224" s="112"/>
      <c r="J224" s="27"/>
    </row>
    <row r="225" spans="2:10" s="28" customFormat="1" x14ac:dyDescent="0.25">
      <c r="B225" s="118">
        <v>43101</v>
      </c>
      <c r="C225" s="68">
        <v>20200.903999999999</v>
      </c>
      <c r="D225" s="68">
        <v>1623.2309999999998</v>
      </c>
      <c r="E225" s="110">
        <v>2336.4256</v>
      </c>
      <c r="F225" s="110">
        <v>24160.560599999997</v>
      </c>
      <c r="G225" s="108"/>
      <c r="H225" s="111"/>
      <c r="I225" s="112"/>
      <c r="J225" s="27"/>
    </row>
    <row r="226" spans="2:10" s="28" customFormat="1" x14ac:dyDescent="0.25">
      <c r="B226" s="118">
        <v>43132</v>
      </c>
      <c r="C226" s="68">
        <v>18645.751499999998</v>
      </c>
      <c r="D226" s="68">
        <v>1527.327</v>
      </c>
      <c r="E226" s="110">
        <v>2079.0272</v>
      </c>
      <c r="F226" s="110">
        <v>22252.1057</v>
      </c>
      <c r="G226" s="108"/>
      <c r="H226" s="111"/>
      <c r="I226" s="112"/>
      <c r="J226" s="27"/>
    </row>
    <row r="227" spans="2:10" x14ac:dyDescent="0.25">
      <c r="B227" s="118">
        <v>43160</v>
      </c>
      <c r="C227" s="68">
        <v>22563.584499999997</v>
      </c>
      <c r="D227" s="68">
        <v>1448.9470000000001</v>
      </c>
      <c r="E227" s="58">
        <v>2106.1541999999999</v>
      </c>
      <c r="F227" s="51">
        <v>26118.685699999998</v>
      </c>
      <c r="H227" s="5"/>
    </row>
    <row r="228" spans="2:10" x14ac:dyDescent="0.25">
      <c r="B228" s="118">
        <v>43191</v>
      </c>
      <c r="C228" s="68">
        <v>23152.983899999999</v>
      </c>
      <c r="D228" s="68">
        <v>1116.711</v>
      </c>
      <c r="E228" s="58">
        <v>1625.1761200000001</v>
      </c>
      <c r="F228" s="51">
        <v>25894.871019999999</v>
      </c>
      <c r="H228" s="5"/>
    </row>
    <row r="229" spans="2:10" x14ac:dyDescent="0.25">
      <c r="B229" s="118">
        <v>43221</v>
      </c>
      <c r="C229" s="68">
        <v>24993.752</v>
      </c>
      <c r="D229" s="68">
        <v>1280.1309999999999</v>
      </c>
      <c r="E229" s="58">
        <v>2037.95812</v>
      </c>
      <c r="F229" s="51">
        <v>28311.841120000001</v>
      </c>
      <c r="H229" s="5"/>
    </row>
    <row r="230" spans="2:10" x14ac:dyDescent="0.25">
      <c r="B230" s="118">
        <v>43252</v>
      </c>
      <c r="C230" s="68">
        <v>23179.131000000001</v>
      </c>
      <c r="D230" s="68">
        <v>1823.116</v>
      </c>
      <c r="E230" s="58">
        <v>1947.8340799999999</v>
      </c>
      <c r="F230" s="51">
        <v>26950.081080000004</v>
      </c>
      <c r="H230" s="5"/>
    </row>
    <row r="231" spans="2:10" x14ac:dyDescent="0.25">
      <c r="B231" s="118">
        <v>43282</v>
      </c>
      <c r="C231" s="68">
        <v>23498.931499999999</v>
      </c>
      <c r="D231" s="68">
        <v>1600.413</v>
      </c>
      <c r="E231" s="58">
        <v>1999.1731599999998</v>
      </c>
      <c r="F231" s="51">
        <v>27098.517659999998</v>
      </c>
      <c r="H231" s="5"/>
    </row>
    <row r="232" spans="2:10" x14ac:dyDescent="0.25">
      <c r="B232" s="118">
        <v>43313</v>
      </c>
      <c r="C232" s="68">
        <f>5438.79+3193.375+5673+1826.413+7914.357-1304.564</f>
        <v>22741.371000000003</v>
      </c>
      <c r="D232" s="68">
        <f>338.32+1304.564</f>
        <v>1642.884</v>
      </c>
      <c r="E232" s="58">
        <f>333.6086+68.865+46.8+757.92416+247.5+185.148</f>
        <v>1639.8457599999999</v>
      </c>
      <c r="F232" s="51">
        <f>SUM(C232:E232)</f>
        <v>26024.100760000005</v>
      </c>
      <c r="H232" s="5"/>
    </row>
    <row r="233" spans="2:10" x14ac:dyDescent="0.25">
      <c r="B233" s="118">
        <v>43344</v>
      </c>
      <c r="C233" s="68">
        <v>23369.33</v>
      </c>
      <c r="D233" s="68">
        <v>1649.8400000000001</v>
      </c>
      <c r="E233" s="110">
        <v>1936.4837199999997</v>
      </c>
      <c r="F233" s="110">
        <v>26955.653720000002</v>
      </c>
      <c r="H233" s="5"/>
    </row>
    <row r="234" spans="2:10" x14ac:dyDescent="0.25">
      <c r="B234" s="118">
        <v>43374</v>
      </c>
      <c r="C234" s="68">
        <f>4573.49+2952.537+5384+1573.298+10187.202-1218.055</f>
        <v>23452.472000000002</v>
      </c>
      <c r="D234" s="68">
        <f>416.516+1304.564</f>
        <v>1721.0800000000002</v>
      </c>
      <c r="E234" s="110">
        <f>302.4462+55.2+58.08+1059.75656+259.4+173.513</f>
        <v>1908.3957599999999</v>
      </c>
      <c r="F234" s="110">
        <f>SUM(C234:E234)</f>
        <v>27081.947760000003</v>
      </c>
      <c r="H234" s="5"/>
    </row>
    <row r="235" spans="2:10" x14ac:dyDescent="0.25">
      <c r="B235" s="118">
        <v>43405</v>
      </c>
      <c r="C235" s="68">
        <f>4382.71+3529.596+5770+1609.002+8805.797</f>
        <v>24097.105000000003</v>
      </c>
      <c r="D235" s="68">
        <f>423.928+1218.055</f>
        <v>1641.9830000000002</v>
      </c>
      <c r="E235" s="110">
        <f>321.521+80.73+13.32+1100.24464+284.6+176.422</f>
        <v>1976.8376399999997</v>
      </c>
      <c r="F235" s="110">
        <f>SUM(C235:E235)</f>
        <v>27715.925640000001</v>
      </c>
      <c r="H235" s="5"/>
    </row>
    <row r="236" spans="2:10" x14ac:dyDescent="0.25">
      <c r="B236" s="118">
        <v>43435</v>
      </c>
      <c r="C236" s="68">
        <v>23052.055</v>
      </c>
      <c r="D236" s="68">
        <v>1699.847</v>
      </c>
      <c r="E236" s="110">
        <v>2277.1684399999999</v>
      </c>
      <c r="F236" s="110">
        <v>27029.070440000003</v>
      </c>
      <c r="H236" s="5"/>
    </row>
    <row r="237" spans="2:10" x14ac:dyDescent="0.25">
      <c r="B237" s="118">
        <v>43466</v>
      </c>
      <c r="C237" s="68">
        <v>22335.615000000002</v>
      </c>
      <c r="D237" s="68">
        <v>1356.529</v>
      </c>
      <c r="E237" s="68">
        <v>1842.7820400000001</v>
      </c>
      <c r="F237" s="68">
        <v>25534.926039999998</v>
      </c>
      <c r="H237" s="5"/>
    </row>
    <row r="238" spans="2:10" x14ac:dyDescent="0.25">
      <c r="B238" s="118">
        <v>43497</v>
      </c>
      <c r="C238" s="110">
        <v>22335.615000000002</v>
      </c>
      <c r="D238" s="110">
        <v>1356.529</v>
      </c>
      <c r="E238" s="110">
        <v>1842.7820400000001</v>
      </c>
      <c r="F238" s="110">
        <v>25534.926039999998</v>
      </c>
      <c r="H238" s="5"/>
    </row>
    <row r="239" spans="2:10" x14ac:dyDescent="0.25">
      <c r="B239" s="118">
        <v>43525</v>
      </c>
      <c r="C239" s="110">
        <f>4688.84+5092.584+5924+821.081+10196.801-996.491</f>
        <v>25726.814999999995</v>
      </c>
      <c r="D239" s="110">
        <f>345.276+996.491</f>
        <v>1341.7670000000001</v>
      </c>
      <c r="E239" s="110">
        <f>488.9109+88.32+54.36+1030.12904+138+198.356</f>
        <v>1998.0759399999999</v>
      </c>
      <c r="F239" s="110">
        <f>SUM(C239:E239)</f>
        <v>29066.657939999994</v>
      </c>
      <c r="H239" s="5"/>
    </row>
    <row r="240" spans="2:10" x14ac:dyDescent="0.25">
      <c r="B240" s="118">
        <v>43556</v>
      </c>
      <c r="C240" s="58">
        <v>22996.976000000002</v>
      </c>
      <c r="D240" s="68">
        <v>1676.1990000000001</v>
      </c>
      <c r="E240" s="58">
        <v>2432.9058</v>
      </c>
      <c r="F240" s="51">
        <v>27106.080800000003</v>
      </c>
      <c r="H240" s="5"/>
    </row>
    <row r="241" spans="2:8" x14ac:dyDescent="0.25">
      <c r="B241" s="118">
        <v>43586</v>
      </c>
      <c r="C241" s="58">
        <v>24958.27</v>
      </c>
      <c r="D241" s="68">
        <v>1413.8899999999999</v>
      </c>
      <c r="E241" s="58">
        <v>2728.7303999999995</v>
      </c>
      <c r="F241" s="51">
        <v>29100.8904</v>
      </c>
      <c r="H241" s="5"/>
    </row>
    <row r="242" spans="2:8" x14ac:dyDescent="0.25">
      <c r="B242" s="118">
        <v>43617</v>
      </c>
      <c r="C242" s="58">
        <v>23861.710000000003</v>
      </c>
      <c r="D242" s="68">
        <v>1703.84</v>
      </c>
      <c r="E242" s="58">
        <v>2558.9572399999997</v>
      </c>
      <c r="F242" s="51">
        <v>28124.507240000003</v>
      </c>
      <c r="H242" s="5"/>
    </row>
    <row r="243" spans="2:8" x14ac:dyDescent="0.25">
      <c r="B243" s="118">
        <v>43647</v>
      </c>
      <c r="C243" s="58">
        <v>24951.974999999999</v>
      </c>
      <c r="D243" s="68">
        <v>1903.627</v>
      </c>
      <c r="E243" s="58">
        <v>2440.7184999999999</v>
      </c>
      <c r="F243" s="51">
        <v>29296.320499999998</v>
      </c>
      <c r="H243" s="5"/>
    </row>
    <row r="244" spans="2:8" x14ac:dyDescent="0.25">
      <c r="B244" s="118">
        <v>43678</v>
      </c>
      <c r="C244" s="58">
        <v>25170.179500000002</v>
      </c>
      <c r="D244" s="68">
        <v>1905.8240000000001</v>
      </c>
      <c r="E244" s="58">
        <v>2052.1542899999999</v>
      </c>
      <c r="F244" s="51">
        <v>29128.157790000001</v>
      </c>
      <c r="H244" s="5"/>
    </row>
    <row r="245" spans="2:8" x14ac:dyDescent="0.25">
      <c r="B245" s="118">
        <v>43709</v>
      </c>
      <c r="C245" s="58">
        <v>24275.066000000003</v>
      </c>
      <c r="D245" s="68">
        <v>1712.7429999999999</v>
      </c>
      <c r="E245" s="58">
        <v>2010.0730800000001</v>
      </c>
      <c r="F245" s="51">
        <v>27997.882080000003</v>
      </c>
      <c r="H245" s="5"/>
    </row>
    <row r="246" spans="2:8" x14ac:dyDescent="0.25">
      <c r="B246" s="118">
        <v>43739</v>
      </c>
      <c r="C246" s="58">
        <v>24026.916000000001</v>
      </c>
      <c r="D246" s="68">
        <v>1575.1480000000001</v>
      </c>
      <c r="E246" s="58">
        <v>2630.7485999999999</v>
      </c>
      <c r="F246" s="51">
        <v>28232.812600000001</v>
      </c>
      <c r="H246" s="5"/>
    </row>
    <row r="247" spans="2:8" x14ac:dyDescent="0.25">
      <c r="B247" s="118">
        <v>43770</v>
      </c>
      <c r="C247" s="58">
        <v>23494.935000000001</v>
      </c>
      <c r="D247" s="68">
        <v>1363.2060000000001</v>
      </c>
      <c r="E247" s="58">
        <v>2549.5060000000003</v>
      </c>
      <c r="F247" s="51">
        <v>27407.647000000004</v>
      </c>
      <c r="H247" s="5"/>
    </row>
    <row r="248" spans="2:8" x14ac:dyDescent="0.25">
      <c r="B248" s="118">
        <v>43800</v>
      </c>
      <c r="C248" s="58">
        <v>24126.164000000001</v>
      </c>
      <c r="D248" s="68">
        <v>1438.827</v>
      </c>
      <c r="E248" s="58">
        <v>3122.6556</v>
      </c>
      <c r="F248" s="51">
        <v>28687.6466</v>
      </c>
      <c r="H248" s="5"/>
    </row>
    <row r="249" spans="2:8" x14ac:dyDescent="0.25">
      <c r="B249" s="118">
        <v>43831</v>
      </c>
      <c r="C249" s="58">
        <v>24703.940999999999</v>
      </c>
      <c r="D249" s="68">
        <v>1699.547</v>
      </c>
      <c r="E249" s="58">
        <v>2726.0996</v>
      </c>
      <c r="F249" s="51">
        <v>29129.587599999999</v>
      </c>
      <c r="H249" s="5"/>
    </row>
    <row r="250" spans="2:8" x14ac:dyDescent="0.25">
      <c r="B250" s="118">
        <v>43862</v>
      </c>
      <c r="C250" s="58">
        <v>23646.048999999999</v>
      </c>
      <c r="D250" s="68">
        <v>1589.941</v>
      </c>
      <c r="E250" s="58">
        <v>2082.8470000000002</v>
      </c>
      <c r="F250" s="51">
        <v>27318.837</v>
      </c>
      <c r="H250" s="5"/>
    </row>
    <row r="251" spans="2:8" x14ac:dyDescent="0.25">
      <c r="B251" s="118">
        <v>43891</v>
      </c>
      <c r="C251" s="58">
        <v>24927.665000000001</v>
      </c>
      <c r="D251" s="68">
        <v>1635.0509999999999</v>
      </c>
      <c r="E251" s="58">
        <v>2412.509</v>
      </c>
      <c r="F251" s="51">
        <v>28975.224999999999</v>
      </c>
      <c r="H251" s="5"/>
    </row>
    <row r="252" spans="2:8" x14ac:dyDescent="0.25">
      <c r="B252" s="118" t="s">
        <v>107</v>
      </c>
      <c r="C252" s="58">
        <v>23463.544999999998</v>
      </c>
      <c r="D252" s="68">
        <v>1706.797</v>
      </c>
      <c r="E252" s="58">
        <v>2474.7547599999998</v>
      </c>
      <c r="F252" s="51">
        <v>27645.096759999997</v>
      </c>
      <c r="H252" s="5"/>
    </row>
    <row r="253" spans="2:8" x14ac:dyDescent="0.25">
      <c r="B253" s="118" t="s">
        <v>108</v>
      </c>
      <c r="C253" s="58">
        <v>23463.544999999998</v>
      </c>
      <c r="D253" s="68">
        <v>1706.797</v>
      </c>
      <c r="E253" s="58">
        <v>2474.7547599999998</v>
      </c>
      <c r="F253" s="51">
        <v>27645.096759999997</v>
      </c>
      <c r="H253" s="5"/>
    </row>
    <row r="254" spans="2:8" x14ac:dyDescent="0.25">
      <c r="B254" s="118" t="s">
        <v>109</v>
      </c>
      <c r="C254" s="58">
        <v>23463.544999999998</v>
      </c>
      <c r="D254" s="68">
        <v>1706.797</v>
      </c>
      <c r="E254" s="58">
        <v>2474.7547599999998</v>
      </c>
      <c r="F254" s="51">
        <v>27645.096759999997</v>
      </c>
      <c r="H254" s="5"/>
    </row>
    <row r="255" spans="2:8" x14ac:dyDescent="0.25">
      <c r="B255" s="118" t="s">
        <v>110</v>
      </c>
      <c r="C255" s="58">
        <v>23463.544999999998</v>
      </c>
      <c r="D255" s="68">
        <v>1706.797</v>
      </c>
      <c r="E255" s="58">
        <v>2474.7547599999998</v>
      </c>
      <c r="F255" s="51">
        <v>27645.096759999997</v>
      </c>
      <c r="H255" s="5"/>
    </row>
    <row r="256" spans="2:8" x14ac:dyDescent="0.25">
      <c r="B256" s="118" t="s">
        <v>111</v>
      </c>
      <c r="C256" s="58">
        <v>23463.544999999998</v>
      </c>
      <c r="D256" s="68">
        <v>1706.797</v>
      </c>
      <c r="E256" s="58">
        <v>2474.7547599999998</v>
      </c>
      <c r="F256" s="51">
        <v>27645.096759999997</v>
      </c>
      <c r="H256" s="5"/>
    </row>
    <row r="257" spans="2:8" x14ac:dyDescent="0.25">
      <c r="B257" s="118" t="s">
        <v>112</v>
      </c>
      <c r="C257" s="58">
        <v>23463.544999999998</v>
      </c>
      <c r="D257" s="68">
        <v>1706.797</v>
      </c>
      <c r="E257" s="58">
        <v>2474.7547599999998</v>
      </c>
      <c r="F257" s="51">
        <v>27645.096759999997</v>
      </c>
      <c r="H257" s="5"/>
    </row>
    <row r="258" spans="2:8" x14ac:dyDescent="0.25">
      <c r="B258" s="118" t="s">
        <v>113</v>
      </c>
      <c r="C258" s="58">
        <v>23463.544999999998</v>
      </c>
      <c r="D258" s="68">
        <v>1706.797</v>
      </c>
      <c r="E258" s="58">
        <v>2474.7547599999998</v>
      </c>
      <c r="F258" s="51">
        <v>27645.096759999997</v>
      </c>
      <c r="H258" s="5"/>
    </row>
    <row r="259" spans="2:8" x14ac:dyDescent="0.25">
      <c r="B259" s="118" t="s">
        <v>114</v>
      </c>
      <c r="C259" s="58">
        <v>23463.544999999998</v>
      </c>
      <c r="D259" s="68">
        <v>1706.797</v>
      </c>
      <c r="E259" s="58">
        <v>2474.7547599999998</v>
      </c>
      <c r="F259" s="51">
        <v>27645.096759999997</v>
      </c>
      <c r="H259" s="5"/>
    </row>
    <row r="260" spans="2:8" x14ac:dyDescent="0.25">
      <c r="B260" s="118" t="s">
        <v>115</v>
      </c>
      <c r="C260" s="58">
        <v>23463.544999999998</v>
      </c>
      <c r="D260" s="68">
        <v>1706.797</v>
      </c>
      <c r="E260" s="58">
        <v>2474.7547599999998</v>
      </c>
      <c r="F260" s="51">
        <v>27645.096759999997</v>
      </c>
      <c r="H260" s="5"/>
    </row>
    <row r="261" spans="2:8" x14ac:dyDescent="0.25">
      <c r="B261" s="118" t="s">
        <v>116</v>
      </c>
      <c r="C261" s="58">
        <v>23463.544999999998</v>
      </c>
      <c r="D261" s="68">
        <v>1706.797</v>
      </c>
      <c r="E261" s="58">
        <v>2474.7547599999998</v>
      </c>
      <c r="F261" s="51">
        <v>27645.096759999997</v>
      </c>
      <c r="H261" s="5"/>
    </row>
    <row r="262" spans="2:8" x14ac:dyDescent="0.25">
      <c r="B262" s="118" t="s">
        <v>118</v>
      </c>
      <c r="C262" s="58">
        <v>23463.544999999998</v>
      </c>
      <c r="D262" s="68">
        <v>1706.797</v>
      </c>
      <c r="E262" s="58">
        <v>2474.7547599999998</v>
      </c>
      <c r="F262" s="51">
        <v>27645.096759999997</v>
      </c>
      <c r="H262" s="5"/>
    </row>
    <row r="263" spans="2:8" x14ac:dyDescent="0.25">
      <c r="B263" s="118" t="s">
        <v>124</v>
      </c>
      <c r="C263" s="58">
        <v>23463.544999999998</v>
      </c>
      <c r="D263" s="68">
        <v>1706.797</v>
      </c>
      <c r="E263" s="58">
        <v>2474.7547599999998</v>
      </c>
      <c r="F263" s="51">
        <v>27645.096759999997</v>
      </c>
      <c r="H263" s="5"/>
    </row>
    <row r="264" spans="2:8" x14ac:dyDescent="0.25">
      <c r="B264" s="118" t="s">
        <v>119</v>
      </c>
      <c r="C264" s="58">
        <v>23463.544999999998</v>
      </c>
      <c r="D264" s="68">
        <v>1706.797</v>
      </c>
      <c r="E264" s="58">
        <v>2474.7547599999998</v>
      </c>
      <c r="F264" s="51">
        <v>27645.096759999997</v>
      </c>
      <c r="H264" s="5"/>
    </row>
    <row r="265" spans="2:8" x14ac:dyDescent="0.25">
      <c r="B265" s="118" t="s">
        <v>123</v>
      </c>
      <c r="C265" s="58">
        <v>23463.544999999998</v>
      </c>
      <c r="D265" s="68">
        <v>1706.797</v>
      </c>
      <c r="E265" s="58">
        <v>2474.7547599999998</v>
      </c>
      <c r="F265" s="51">
        <v>27645.096759999997</v>
      </c>
      <c r="H265" s="5"/>
    </row>
    <row r="266" spans="2:8" x14ac:dyDescent="0.25">
      <c r="B266" s="118" t="s">
        <v>120</v>
      </c>
      <c r="C266" s="58">
        <v>23463.544999999998</v>
      </c>
      <c r="D266" s="68">
        <v>1706.797</v>
      </c>
      <c r="E266" s="58">
        <v>2474.7547599999998</v>
      </c>
      <c r="F266" s="51">
        <v>27645.096759999997</v>
      </c>
      <c r="H266" s="5"/>
    </row>
    <row r="267" spans="2:8" x14ac:dyDescent="0.25">
      <c r="B267" s="118" t="s">
        <v>121</v>
      </c>
      <c r="C267" s="58">
        <v>23463.544999999998</v>
      </c>
      <c r="D267" s="68">
        <v>1706.797</v>
      </c>
      <c r="E267" s="58">
        <v>2474.7547599999998</v>
      </c>
      <c r="F267" s="51">
        <v>27645.096759999997</v>
      </c>
      <c r="H267" s="5"/>
    </row>
    <row r="268" spans="2:8" x14ac:dyDescent="0.25">
      <c r="B268" s="118" t="s">
        <v>122</v>
      </c>
      <c r="C268" s="58">
        <v>23463.544999999998</v>
      </c>
      <c r="D268" s="68">
        <v>1706.797</v>
      </c>
      <c r="E268" s="58">
        <v>2474.7547599999998</v>
      </c>
      <c r="F268" s="51">
        <v>27645.096759999997</v>
      </c>
      <c r="H268" s="5"/>
    </row>
    <row r="269" spans="2:8" x14ac:dyDescent="0.25">
      <c r="B269" s="118" t="s">
        <v>125</v>
      </c>
      <c r="C269" s="58">
        <v>23463.544999999998</v>
      </c>
      <c r="D269" s="68">
        <v>1706.797</v>
      </c>
      <c r="E269" s="58">
        <v>2474.7547599999998</v>
      </c>
      <c r="F269" s="51">
        <v>27645.096759999997</v>
      </c>
      <c r="H269" s="5"/>
    </row>
    <row r="270" spans="2:8" x14ac:dyDescent="0.25">
      <c r="B270" s="118" t="s">
        <v>127</v>
      </c>
      <c r="C270" s="58">
        <v>23463.544999999998</v>
      </c>
      <c r="D270" s="68">
        <v>1706.797</v>
      </c>
      <c r="E270" s="58">
        <v>2474.7547599999998</v>
      </c>
      <c r="F270" s="51">
        <v>27645.096759999997</v>
      </c>
      <c r="H270" s="5"/>
    </row>
    <row r="271" spans="2:8" x14ac:dyDescent="0.25">
      <c r="B271" s="118" t="s">
        <v>128</v>
      </c>
      <c r="C271" s="58">
        <v>23463.544999999998</v>
      </c>
      <c r="D271" s="68">
        <v>1706.797</v>
      </c>
      <c r="E271" s="58">
        <v>2474.7547599999998</v>
      </c>
      <c r="F271" s="51">
        <v>27645.096759999997</v>
      </c>
      <c r="H271" s="5"/>
    </row>
    <row r="272" spans="2:8" x14ac:dyDescent="0.25">
      <c r="B272" s="118" t="s">
        <v>129</v>
      </c>
      <c r="C272" s="58">
        <v>23463.544999999998</v>
      </c>
      <c r="D272" s="68">
        <v>1706.797</v>
      </c>
      <c r="E272" s="58">
        <v>2474.7547599999998</v>
      </c>
      <c r="F272" s="51">
        <v>27645.096759999997</v>
      </c>
      <c r="H272" s="5"/>
    </row>
    <row r="273" spans="2:11" x14ac:dyDescent="0.25">
      <c r="B273" s="118" t="s">
        <v>131</v>
      </c>
      <c r="C273" s="58">
        <v>23463.544999999998</v>
      </c>
      <c r="D273" s="68">
        <v>1706.797</v>
      </c>
      <c r="E273" s="58">
        <v>2474.7547599999998</v>
      </c>
      <c r="F273" s="51">
        <v>27645.096759999997</v>
      </c>
      <c r="H273" s="5"/>
    </row>
    <row r="274" spans="2:11" x14ac:dyDescent="0.25">
      <c r="B274" s="118" t="s">
        <v>132</v>
      </c>
      <c r="C274" s="58">
        <v>23463.544999999998</v>
      </c>
      <c r="D274" s="68">
        <v>1706.797</v>
      </c>
      <c r="E274" s="58">
        <v>2474.7547599999998</v>
      </c>
      <c r="F274" s="51">
        <v>27645.096759999997</v>
      </c>
      <c r="H274" s="5"/>
    </row>
    <row r="275" spans="2:11" x14ac:dyDescent="0.25">
      <c r="B275" s="118" t="s">
        <v>133</v>
      </c>
      <c r="C275" s="58">
        <v>23463.544999999998</v>
      </c>
      <c r="D275" s="68">
        <v>1706.797</v>
      </c>
      <c r="E275" s="58">
        <v>2474.7547599999998</v>
      </c>
      <c r="F275" s="51">
        <v>27645.096759999997</v>
      </c>
      <c r="H275" s="5"/>
    </row>
    <row r="276" spans="2:11" x14ac:dyDescent="0.25">
      <c r="B276" s="118" t="s">
        <v>135</v>
      </c>
      <c r="C276" s="58">
        <v>23463.544999999998</v>
      </c>
      <c r="D276" s="68">
        <v>1706.797</v>
      </c>
      <c r="E276" s="58">
        <v>2474.7547599999998</v>
      </c>
      <c r="F276" s="51">
        <v>27645.096759999997</v>
      </c>
      <c r="H276" s="5"/>
    </row>
    <row r="277" spans="2:11" x14ac:dyDescent="0.25">
      <c r="B277" s="118" t="s">
        <v>134</v>
      </c>
      <c r="C277" s="58">
        <v>23463.544999999998</v>
      </c>
      <c r="D277" s="68">
        <v>1706.797</v>
      </c>
      <c r="E277" s="58">
        <v>2474.7547599999998</v>
      </c>
      <c r="F277" s="51">
        <v>27645.096759999997</v>
      </c>
      <c r="H277" s="5"/>
    </row>
    <row r="278" spans="2:11" x14ac:dyDescent="0.25">
      <c r="B278" s="118" t="s">
        <v>136</v>
      </c>
      <c r="C278" s="58">
        <v>23463.544999999998</v>
      </c>
      <c r="D278" s="68">
        <v>1706.797</v>
      </c>
      <c r="E278" s="58">
        <v>2474.7547599999998</v>
      </c>
      <c r="F278" s="51">
        <v>27645.096759999997</v>
      </c>
      <c r="H278" s="5"/>
    </row>
    <row r="279" spans="2:11" x14ac:dyDescent="0.25">
      <c r="B279" s="118" t="s">
        <v>137</v>
      </c>
      <c r="C279" s="58">
        <v>23463.544999999998</v>
      </c>
      <c r="D279" s="68">
        <v>1706.797</v>
      </c>
      <c r="E279" s="58">
        <v>2474.7547599999998</v>
      </c>
      <c r="F279" s="51">
        <v>27645.096759999997</v>
      </c>
      <c r="H279" s="5"/>
    </row>
    <row r="280" spans="2:11" x14ac:dyDescent="0.25">
      <c r="B280" s="118" t="s">
        <v>138</v>
      </c>
      <c r="C280" s="58">
        <v>23463.544999999998</v>
      </c>
      <c r="D280" s="68">
        <v>1706.797</v>
      </c>
      <c r="E280" s="58">
        <v>2474.7547599999998</v>
      </c>
      <c r="F280" s="51">
        <v>27645.096759999997</v>
      </c>
      <c r="H280" s="5"/>
    </row>
    <row r="281" spans="2:11" x14ac:dyDescent="0.25">
      <c r="B281" s="118" t="s">
        <v>139</v>
      </c>
      <c r="C281" s="58">
        <v>23463.544999999998</v>
      </c>
      <c r="D281" s="68">
        <v>1706.797</v>
      </c>
      <c r="E281" s="58">
        <v>2474.7547599999998</v>
      </c>
      <c r="F281" s="51">
        <v>27645.096759999997</v>
      </c>
      <c r="H281" s="5"/>
    </row>
    <row r="282" spans="2:11" x14ac:dyDescent="0.25">
      <c r="B282" s="118" t="s">
        <v>141</v>
      </c>
      <c r="C282" s="58">
        <v>23463.544999999998</v>
      </c>
      <c r="D282" s="68">
        <v>1706.797</v>
      </c>
      <c r="E282" s="58">
        <v>2474.7547599999998</v>
      </c>
      <c r="F282" s="51">
        <v>27645.096759999997</v>
      </c>
      <c r="H282" s="5"/>
    </row>
    <row r="283" spans="2:11" x14ac:dyDescent="0.25">
      <c r="B283" s="118"/>
      <c r="C283" s="107"/>
      <c r="D283" s="43"/>
      <c r="E283" s="58"/>
      <c r="F283" s="79"/>
      <c r="H283" s="19"/>
      <c r="I283" s="11"/>
      <c r="J283" s="8"/>
    </row>
    <row r="284" spans="2:11" x14ac:dyDescent="0.25">
      <c r="B284" s="80"/>
      <c r="C284" s="81"/>
      <c r="D284" s="81"/>
      <c r="E284" s="81"/>
      <c r="F284" s="56"/>
      <c r="H284" s="17"/>
      <c r="I284" s="14"/>
      <c r="J284" s="8"/>
    </row>
    <row r="285" spans="2:11" x14ac:dyDescent="0.25">
      <c r="B285" s="114" t="s">
        <v>71</v>
      </c>
      <c r="C285" s="72"/>
      <c r="D285" s="72"/>
      <c r="E285" s="72"/>
      <c r="F285" s="82"/>
      <c r="H285" s="17"/>
      <c r="I285" s="9"/>
      <c r="J285" s="12"/>
      <c r="K285" s="8"/>
    </row>
    <row r="286" spans="2:11" x14ac:dyDescent="0.25">
      <c r="B286" s="83" t="s">
        <v>105</v>
      </c>
      <c r="C286" s="38"/>
      <c r="D286" s="38"/>
      <c r="E286" s="38"/>
      <c r="F286" s="39"/>
      <c r="G286" s="8"/>
      <c r="H286" s="17"/>
    </row>
    <row r="287" spans="2:11" x14ac:dyDescent="0.25">
      <c r="C287" s="2"/>
      <c r="D287" s="10"/>
      <c r="E287" s="2"/>
      <c r="F287" s="5"/>
      <c r="G287" s="9"/>
    </row>
    <row r="288" spans="2:11" x14ac:dyDescent="0.25">
      <c r="D288" s="8"/>
      <c r="F288" s="8"/>
      <c r="G288" s="9"/>
    </row>
    <row r="289" spans="3:8" x14ac:dyDescent="0.25">
      <c r="E289" s="5"/>
    </row>
    <row r="290" spans="3:8" x14ac:dyDescent="0.25">
      <c r="D290" s="3"/>
      <c r="G290" s="9"/>
      <c r="H290" s="9"/>
    </row>
    <row r="291" spans="3:8" x14ac:dyDescent="0.25">
      <c r="C291" s="6"/>
    </row>
    <row r="292" spans="3:8" x14ac:dyDescent="0.25">
      <c r="E292" s="3"/>
      <c r="F292" s="3"/>
      <c r="H292" s="9"/>
    </row>
    <row r="293" spans="3:8" x14ac:dyDescent="0.25">
      <c r="E293" s="8"/>
      <c r="F293" s="8"/>
    </row>
    <row r="301" spans="3:8" x14ac:dyDescent="0.25">
      <c r="E301" s="6"/>
    </row>
    <row r="303" spans="3:8" x14ac:dyDescent="0.25">
      <c r="E303" s="8"/>
    </row>
  </sheetData>
  <mergeCells count="2">
    <mergeCell ref="B4:F4"/>
    <mergeCell ref="B5:F5"/>
  </mergeCells>
  <hyperlinks>
    <hyperlink ref="B1" location="Table_of_Contents!A1" display="                                                                                                                                                                        Back to the table of contents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K119"/>
  <sheetViews>
    <sheetView topLeftCell="B88" workbookViewId="0">
      <selection activeCell="H97" sqref="H97"/>
    </sheetView>
  </sheetViews>
  <sheetFormatPr baseColWidth="10" defaultColWidth="12.6640625" defaultRowHeight="15.75" x14ac:dyDescent="0.25"/>
  <cols>
    <col min="1" max="1" width="10.77734375" hidden="1" customWidth="1"/>
    <col min="2" max="2" width="20" customWidth="1"/>
    <col min="3" max="3" width="17.5546875" customWidth="1"/>
    <col min="4" max="4" width="18.21875" customWidth="1"/>
    <col min="5" max="5" width="19.21875" customWidth="1"/>
    <col min="6" max="6" width="18.109375" customWidth="1"/>
    <col min="7" max="7" width="16.88671875" customWidth="1"/>
    <col min="8" max="8" width="17.88671875" customWidth="1"/>
  </cols>
  <sheetData>
    <row r="1" spans="2:8" x14ac:dyDescent="0.25">
      <c r="B1" s="170" t="s">
        <v>104</v>
      </c>
      <c r="C1" s="30"/>
      <c r="D1" s="30"/>
      <c r="E1" s="30"/>
      <c r="F1" s="31"/>
    </row>
    <row r="2" spans="2:8" x14ac:dyDescent="0.25">
      <c r="B2" s="161"/>
      <c r="C2" s="162" t="s">
        <v>0</v>
      </c>
      <c r="D2" s="163"/>
      <c r="E2" s="163"/>
      <c r="F2" s="164" t="s">
        <v>64</v>
      </c>
    </row>
    <row r="3" spans="2:8" x14ac:dyDescent="0.25">
      <c r="B3" s="182" t="s">
        <v>99</v>
      </c>
      <c r="C3" s="183"/>
      <c r="D3" s="183"/>
      <c r="E3" s="183"/>
      <c r="F3" s="184"/>
      <c r="G3" t="s">
        <v>43</v>
      </c>
    </row>
    <row r="4" spans="2:8" x14ac:dyDescent="0.25">
      <c r="B4" s="185" t="s">
        <v>98</v>
      </c>
      <c r="C4" s="186"/>
      <c r="D4" s="186"/>
      <c r="E4" s="186"/>
      <c r="F4" s="187"/>
      <c r="H4" s="9"/>
    </row>
    <row r="5" spans="2:8" x14ac:dyDescent="0.25">
      <c r="B5" s="165"/>
      <c r="C5" s="166"/>
      <c r="D5" s="166"/>
      <c r="E5" s="166"/>
      <c r="F5" s="167"/>
      <c r="H5" s="8"/>
    </row>
    <row r="6" spans="2:8" x14ac:dyDescent="0.25">
      <c r="B6" s="124"/>
      <c r="C6" s="125"/>
      <c r="D6" s="126"/>
      <c r="E6" s="126"/>
      <c r="F6" s="127"/>
    </row>
    <row r="7" spans="2:8" x14ac:dyDescent="0.25">
      <c r="B7" s="128" t="s">
        <v>95</v>
      </c>
      <c r="C7" s="129" t="s">
        <v>1</v>
      </c>
      <c r="D7" s="130" t="s">
        <v>2</v>
      </c>
      <c r="E7" s="130" t="s">
        <v>94</v>
      </c>
      <c r="F7" s="131" t="s">
        <v>3</v>
      </c>
    </row>
    <row r="8" spans="2:8" x14ac:dyDescent="0.25">
      <c r="B8" s="132" t="s">
        <v>96</v>
      </c>
      <c r="C8" s="133"/>
      <c r="D8" s="134"/>
      <c r="E8" s="134"/>
      <c r="F8" s="134"/>
      <c r="G8" s="4"/>
      <c r="H8" s="2"/>
    </row>
    <row r="9" spans="2:8" x14ac:dyDescent="0.25">
      <c r="B9" s="172">
        <v>36586</v>
      </c>
      <c r="C9" s="120">
        <f>SUM(Monthly_Data!C9:C11)</f>
        <v>29721</v>
      </c>
      <c r="D9" s="120">
        <f>SUM(Monthly_Data!D9:D11)</f>
        <v>2396</v>
      </c>
      <c r="E9" s="120">
        <f>SUM(Monthly_Data!E9:E11)</f>
        <v>2650</v>
      </c>
      <c r="F9" s="120">
        <f>SUM(Monthly_Data!F9:F11)</f>
        <v>34767</v>
      </c>
    </row>
    <row r="10" spans="2:8" x14ac:dyDescent="0.25">
      <c r="B10" s="172">
        <v>36678</v>
      </c>
      <c r="C10" s="120">
        <f>SUM(Monthly_Data!C12:C14)</f>
        <v>32206</v>
      </c>
      <c r="D10" s="120">
        <f>SUM(Monthly_Data!D12:D14)</f>
        <v>1872</v>
      </c>
      <c r="E10" s="120">
        <f>SUM(Monthly_Data!E12:E14)</f>
        <v>2515</v>
      </c>
      <c r="F10" s="120">
        <f>SUM(Monthly_Data!F12:F14)</f>
        <v>36593</v>
      </c>
    </row>
    <row r="11" spans="2:8" x14ac:dyDescent="0.25">
      <c r="B11" s="172">
        <v>36770</v>
      </c>
      <c r="C11" s="120">
        <f>SUM(Monthly_Data!C15:C17)</f>
        <v>33805.252999999997</v>
      </c>
      <c r="D11" s="120">
        <f>SUM(Monthly_Data!D15:D17)</f>
        <v>897.03</v>
      </c>
      <c r="E11" s="120">
        <f>SUM(Monthly_Data!E15:E17)</f>
        <v>1482.9875</v>
      </c>
      <c r="F11" s="120">
        <f>SUM(Monthly_Data!F15:F17)</f>
        <v>36185.270499999999</v>
      </c>
    </row>
    <row r="12" spans="2:8" x14ac:dyDescent="0.25">
      <c r="B12" s="172">
        <v>36861</v>
      </c>
      <c r="C12" s="120">
        <f>SUM(Monthly_Data!C18:C20)</f>
        <v>33462.130999999994</v>
      </c>
      <c r="D12" s="120">
        <f>SUM(Monthly_Data!D18:D20)</f>
        <v>1017.9350000000001</v>
      </c>
      <c r="E12" s="120">
        <f>SUM(Monthly_Data!E18:E20)</f>
        <v>1844.452</v>
      </c>
      <c r="F12" s="120">
        <f>SUM(Monthly_Data!F18:F20)</f>
        <v>36324.517999999996</v>
      </c>
    </row>
    <row r="13" spans="2:8" x14ac:dyDescent="0.25">
      <c r="B13" s="172">
        <v>36951</v>
      </c>
      <c r="C13" s="120">
        <f>SUM(Monthly_Data!C21:C23)</f>
        <v>26468.504999999997</v>
      </c>
      <c r="D13" s="120">
        <f>SUM(Monthly_Data!D21:D23)</f>
        <v>820.66800000000001</v>
      </c>
      <c r="E13" s="120">
        <f>SUM(Monthly_Data!E21:E23)</f>
        <v>2533.1849999999999</v>
      </c>
      <c r="F13" s="120">
        <f>SUM(Monthly_Data!F21:F23)</f>
        <v>29822.357999999997</v>
      </c>
    </row>
    <row r="14" spans="2:8" x14ac:dyDescent="0.25">
      <c r="B14" s="172">
        <v>37043</v>
      </c>
      <c r="C14" s="120">
        <f>SUM(Monthly_Data!C24:C26)</f>
        <v>30890.669000000002</v>
      </c>
      <c r="D14" s="120">
        <f>SUM(Monthly_Data!D24:D26)</f>
        <v>1152</v>
      </c>
      <c r="E14" s="120">
        <f>SUM(Monthly_Data!E24:E26)</f>
        <v>2825.9629999999997</v>
      </c>
      <c r="F14" s="120">
        <f>SUM(Monthly_Data!F24:F26)</f>
        <v>34868.631999999998</v>
      </c>
    </row>
    <row r="15" spans="2:8" x14ac:dyDescent="0.25">
      <c r="B15" s="172">
        <v>37135</v>
      </c>
      <c r="C15" s="120">
        <f>SUM(Monthly_Data!C27:C29)</f>
        <v>33029</v>
      </c>
      <c r="D15" s="120">
        <f>SUM(Monthly_Data!D27:D29)</f>
        <v>1196</v>
      </c>
      <c r="E15" s="120">
        <f>SUM(Monthly_Data!E27:E29)</f>
        <v>1949.7570000000001</v>
      </c>
      <c r="F15" s="120">
        <f>SUM(Monthly_Data!F27:F29)</f>
        <v>36174.756999999998</v>
      </c>
    </row>
    <row r="16" spans="2:8" x14ac:dyDescent="0.25">
      <c r="B16" s="172">
        <v>37226</v>
      </c>
      <c r="C16" s="120">
        <f>SUM(Monthly_Data!C30:C32)</f>
        <v>36307.5</v>
      </c>
      <c r="D16" s="120">
        <f>SUM(Monthly_Data!D30:D32)</f>
        <v>617.71499999999992</v>
      </c>
      <c r="E16" s="120">
        <f>SUM(Monthly_Data!E30:E32)</f>
        <v>2287.4210000000003</v>
      </c>
      <c r="F16" s="120">
        <f>SUM(Monthly_Data!F30:F32)</f>
        <v>39212.635999999999</v>
      </c>
    </row>
    <row r="17" spans="2:8" x14ac:dyDescent="0.25">
      <c r="B17" s="172">
        <v>37316</v>
      </c>
      <c r="C17" s="120">
        <f>SUM(Monthly_Data!C21:C23)</f>
        <v>26468.504999999997</v>
      </c>
      <c r="D17" s="120">
        <f>SUM(Monthly_Data!D21:D23)</f>
        <v>820.66800000000001</v>
      </c>
      <c r="E17" s="120">
        <f>SUM(Monthly_Data!E21:E23)</f>
        <v>2533.1849999999999</v>
      </c>
      <c r="F17" s="120">
        <f>SUM(Monthly_Data!F21:F23)</f>
        <v>29822.357999999997</v>
      </c>
    </row>
    <row r="18" spans="2:8" x14ac:dyDescent="0.25">
      <c r="B18" s="172">
        <v>37408</v>
      </c>
      <c r="C18" s="120">
        <f>SUM(Monthly_Data!C32:C34)</f>
        <v>35793.940999999999</v>
      </c>
      <c r="D18" s="120">
        <f>SUM(Monthly_Data!D32:D34)</f>
        <v>533.34500000000003</v>
      </c>
      <c r="E18" s="120">
        <f>SUM(Monthly_Data!E32:E34)</f>
        <v>2776.0889999999999</v>
      </c>
      <c r="F18" s="120">
        <f>SUM(Monthly_Data!F32:F34)</f>
        <v>39103.375</v>
      </c>
    </row>
    <row r="19" spans="2:8" x14ac:dyDescent="0.25">
      <c r="B19" s="172">
        <v>37500</v>
      </c>
      <c r="C19" s="120">
        <f>SUM(Monthly_Data!C39:C41)</f>
        <v>36151.453999999998</v>
      </c>
      <c r="D19" s="120">
        <f>SUM(Monthly_Data!D39:D41)</f>
        <v>761.28500000000008</v>
      </c>
      <c r="E19" s="120">
        <f>SUM(Monthly_Data!E39:E41)</f>
        <v>1980.5650000000001</v>
      </c>
      <c r="F19" s="120">
        <f>SUM(Monthly_Data!F39:F41)</f>
        <v>38893.304000000004</v>
      </c>
    </row>
    <row r="20" spans="2:8" x14ac:dyDescent="0.25">
      <c r="B20" s="172">
        <v>37591</v>
      </c>
      <c r="C20" s="120">
        <f>SUM(Monthly_Data!C42:C44)</f>
        <v>35781.896000000001</v>
      </c>
      <c r="D20" s="120">
        <f>SUM(Monthly_Data!D42:D44)</f>
        <v>995.51</v>
      </c>
      <c r="E20" s="120">
        <f>SUM(Monthly_Data!E42:E44)</f>
        <v>2146.0880000000002</v>
      </c>
      <c r="F20" s="120">
        <f>SUM(Monthly_Data!F42:F44)</f>
        <v>38923.494000000006</v>
      </c>
    </row>
    <row r="21" spans="2:8" x14ac:dyDescent="0.25">
      <c r="B21" s="172">
        <v>37681</v>
      </c>
      <c r="C21" s="121">
        <f>SUM(Monthly_Data!C45:C47)</f>
        <v>35165.667000000001</v>
      </c>
      <c r="D21" s="121">
        <f>SUM(Monthly_Data!D45:D47)</f>
        <v>871.75999999999988</v>
      </c>
      <c r="E21" s="121">
        <f>SUM(Monthly_Data!E45:E47)</f>
        <v>2221.2240000000002</v>
      </c>
      <c r="F21" s="121">
        <f>SUM(Monthly_Data!F45:F47)</f>
        <v>38258.651000000005</v>
      </c>
    </row>
    <row r="22" spans="2:8" x14ac:dyDescent="0.25">
      <c r="B22" s="172">
        <v>37773</v>
      </c>
      <c r="C22" s="121">
        <f>SUM(Monthly_Data!C48:C50)</f>
        <v>35528</v>
      </c>
      <c r="D22" s="121">
        <f>SUM(Monthly_Data!D48:D50)</f>
        <v>822</v>
      </c>
      <c r="E22" s="121">
        <f>SUM(Monthly_Data!E48:E50)</f>
        <v>2174</v>
      </c>
      <c r="F22" s="121">
        <f>SUM(Monthly_Data!F48:F50)</f>
        <v>38524</v>
      </c>
    </row>
    <row r="23" spans="2:8" x14ac:dyDescent="0.25">
      <c r="B23" s="172">
        <v>37865</v>
      </c>
      <c r="C23" s="121">
        <f>SUM(Monthly_Data!C51:C53)</f>
        <v>36329.364999999998</v>
      </c>
      <c r="D23" s="121">
        <f>SUM(Monthly_Data!D51:D53)</f>
        <v>1104.5350000000001</v>
      </c>
      <c r="E23" s="121">
        <f>SUM(Monthly_Data!E51:E53)</f>
        <v>1690.8440000000001</v>
      </c>
      <c r="F23" s="121">
        <f>SUM(Monthly_Data!F51:F53)</f>
        <v>39124.743999999999</v>
      </c>
    </row>
    <row r="24" spans="2:8" x14ac:dyDescent="0.25">
      <c r="B24" s="172">
        <v>37956</v>
      </c>
      <c r="C24" s="121">
        <f>SUM(Monthly_Data!C54:C56)</f>
        <v>36155</v>
      </c>
      <c r="D24" s="121">
        <f>SUM(Monthly_Data!D54:D56)</f>
        <v>794</v>
      </c>
      <c r="E24" s="121">
        <f>SUM(Monthly_Data!E54:E56)</f>
        <v>1672</v>
      </c>
      <c r="F24" s="121">
        <f>SUM(Monthly_Data!F54:F56)</f>
        <v>38621</v>
      </c>
    </row>
    <row r="25" spans="2:8" x14ac:dyDescent="0.25">
      <c r="B25" s="172">
        <v>38047</v>
      </c>
      <c r="C25" s="121">
        <f>SUM(Monthly_Data!C57:C59)</f>
        <v>35781</v>
      </c>
      <c r="D25" s="121">
        <f>SUM(Monthly_Data!D57:D59)</f>
        <v>1818.19</v>
      </c>
      <c r="E25" s="121">
        <f>SUM(Monthly_Data!E57:E59)</f>
        <v>1905.865</v>
      </c>
      <c r="F25" s="121">
        <f>SUM(Monthly_Data!F57:F59)</f>
        <v>39505.055</v>
      </c>
      <c r="H25" s="6"/>
    </row>
    <row r="26" spans="2:8" x14ac:dyDescent="0.25">
      <c r="B26" s="172">
        <v>38139</v>
      </c>
      <c r="C26" s="159">
        <f>SUM(Monthly_Data!C60:C62)</f>
        <v>37265.462</v>
      </c>
      <c r="D26" s="121">
        <f>SUM(Monthly_Data!D60:D62)</f>
        <v>2541.598</v>
      </c>
      <c r="E26" s="121">
        <f>SUM(Monthly_Data!E60:E62)</f>
        <v>2240.7420000000002</v>
      </c>
      <c r="F26" s="121">
        <f>SUM(Monthly_Data!F60:F62)</f>
        <v>42047.802000000011</v>
      </c>
      <c r="H26" s="9"/>
    </row>
    <row r="27" spans="2:8" x14ac:dyDescent="0.25">
      <c r="B27" s="172">
        <v>38231</v>
      </c>
      <c r="C27" s="121">
        <f>SUM(Monthly_Data!C63:C65)</f>
        <v>37804.705999999998</v>
      </c>
      <c r="D27" s="121">
        <f>SUM(Monthly_Data!D63:D65)</f>
        <v>2906.4930000000004</v>
      </c>
      <c r="E27" s="121">
        <f>SUM(Monthly_Data!E63:E65)</f>
        <v>1394.0170000000001</v>
      </c>
      <c r="F27" s="121">
        <f>SUM(Monthly_Data!F63:F65)</f>
        <v>42105.216</v>
      </c>
      <c r="H27" s="9"/>
    </row>
    <row r="28" spans="2:8" x14ac:dyDescent="0.25">
      <c r="B28" s="172">
        <v>38322</v>
      </c>
      <c r="C28" s="121">
        <f>SUM(Monthly_Data!C66:C68)</f>
        <v>36792.705999999998</v>
      </c>
      <c r="D28" s="121">
        <f>SUM(Monthly_Data!D66:D68)</f>
        <v>2896.6459999999997</v>
      </c>
      <c r="E28" s="121">
        <f>SUM(Monthly_Data!E66:E68)</f>
        <v>1314.5754999999999</v>
      </c>
      <c r="F28" s="121">
        <f>SUM(Monthly_Data!F66:F68)</f>
        <v>41003.927499999998</v>
      </c>
      <c r="H28" s="9"/>
    </row>
    <row r="29" spans="2:8" x14ac:dyDescent="0.25">
      <c r="B29" s="172">
        <v>38412</v>
      </c>
      <c r="C29" s="121">
        <f>SUM(Monthly_Data!C69:C71)</f>
        <v>38817.743000000002</v>
      </c>
      <c r="D29" s="121">
        <f>SUM(Monthly_Data!D69:D71)</f>
        <v>3261.0440000000003</v>
      </c>
      <c r="E29" s="121">
        <f>SUM(Monthly_Data!E69:E71)</f>
        <v>1561.1320000000001</v>
      </c>
      <c r="F29" s="121">
        <f>SUM(Monthly_Data!F69:F71)</f>
        <v>43639.918999999994</v>
      </c>
      <c r="H29" s="9"/>
    </row>
    <row r="30" spans="2:8" x14ac:dyDescent="0.25">
      <c r="B30" s="172">
        <v>38504</v>
      </c>
      <c r="C30" s="121">
        <f>SUM(Monthly_Data!C72:C74)</f>
        <v>40001.925000000003</v>
      </c>
      <c r="D30" s="121">
        <f>SUM(Monthly_Data!D72:D74)</f>
        <v>3062.7119999999995</v>
      </c>
      <c r="E30" s="121">
        <f>SUM(Monthly_Data!E72:E74)</f>
        <v>1798.3939999999998</v>
      </c>
      <c r="F30" s="121">
        <f>SUM(Monthly_Data!F72:F74)</f>
        <v>44863.031000000003</v>
      </c>
      <c r="H30" s="5"/>
    </row>
    <row r="31" spans="2:8" x14ac:dyDescent="0.25">
      <c r="B31" s="172">
        <v>38596</v>
      </c>
      <c r="C31" s="121">
        <f>SUM(Monthly_Data!C75:C77)</f>
        <v>37182.531999999999</v>
      </c>
      <c r="D31" s="121">
        <f>SUM(Monthly_Data!D75:D77)</f>
        <v>2488.7600000000002</v>
      </c>
      <c r="E31" s="121">
        <f>SUM(Monthly_Data!E75:E77)</f>
        <v>1431.6355000000001</v>
      </c>
      <c r="F31" s="121">
        <f>SUM(Monthly_Data!F75:F77)</f>
        <v>41102.927499999991</v>
      </c>
      <c r="H31" s="5"/>
    </row>
    <row r="32" spans="2:8" x14ac:dyDescent="0.25">
      <c r="B32" s="172">
        <v>38687</v>
      </c>
      <c r="C32" s="121">
        <f>SUM(Monthly_Data!C78:C80)</f>
        <v>37310.82</v>
      </c>
      <c r="D32" s="121">
        <f>SUM(Monthly_Data!D78:D80)</f>
        <v>2638.3910000000001</v>
      </c>
      <c r="E32" s="121">
        <f>SUM(Monthly_Data!E78:E80)</f>
        <v>1307.6985</v>
      </c>
      <c r="F32" s="121">
        <f>SUM(Monthly_Data!F78:F80)</f>
        <v>41256.909500000002</v>
      </c>
      <c r="H32" s="5"/>
    </row>
    <row r="33" spans="2:9" x14ac:dyDescent="0.25">
      <c r="B33" s="172">
        <v>38777</v>
      </c>
      <c r="C33" s="122">
        <f>SUM(Monthly_Data!C81:C83)</f>
        <v>33656.998999999996</v>
      </c>
      <c r="D33" s="122">
        <f>SUM(Monthly_Data!D81:D83)</f>
        <v>2361.2730000000001</v>
      </c>
      <c r="E33" s="122">
        <f>SUM(Monthly_Data!E81:E83)</f>
        <v>1149.5149999999999</v>
      </c>
      <c r="F33" s="122">
        <f>SUM(Monthly_Data!F81:F83)</f>
        <v>37167.786999999997</v>
      </c>
      <c r="H33" s="9"/>
    </row>
    <row r="34" spans="2:9" x14ac:dyDescent="0.25">
      <c r="B34" s="172">
        <v>38869</v>
      </c>
      <c r="C34" s="121">
        <f>SUM(Monthly_Data!C84:C86)</f>
        <v>34693.1</v>
      </c>
      <c r="D34" s="121">
        <f>SUM(Monthly_Data!D84:D86)</f>
        <v>2485.27</v>
      </c>
      <c r="E34" s="121">
        <f>SUM(Monthly_Data!E84:E86)</f>
        <v>1692.5350000000001</v>
      </c>
      <c r="F34" s="121">
        <f>SUM(Monthly_Data!F84:F86)</f>
        <v>38870.904999999999</v>
      </c>
      <c r="H34" s="5"/>
    </row>
    <row r="35" spans="2:9" x14ac:dyDescent="0.25">
      <c r="B35" s="172">
        <v>38961</v>
      </c>
      <c r="C35" s="121">
        <f>SUM(Monthly_Data!C87:C89)</f>
        <v>30637.224000000002</v>
      </c>
      <c r="D35" s="121">
        <f>SUM(Monthly_Data!D87:D89)</f>
        <v>2783.0709999999999</v>
      </c>
      <c r="E35" s="121">
        <f>SUM(Monthly_Data!E87:E89)</f>
        <v>1500.972</v>
      </c>
      <c r="F35" s="121">
        <f>SUM(Monthly_Data!F87:F89)</f>
        <v>34921.267</v>
      </c>
      <c r="H35" s="5"/>
    </row>
    <row r="36" spans="2:9" x14ac:dyDescent="0.25">
      <c r="B36" s="172">
        <v>39052</v>
      </c>
      <c r="C36" s="123">
        <f>SUM(Monthly_Data!C90:C92)</f>
        <v>35387.576000000001</v>
      </c>
      <c r="D36" s="123">
        <f>SUM(Monthly_Data!D90:D92)</f>
        <v>3220.308</v>
      </c>
      <c r="E36" s="123">
        <f>SUM(Monthly_Data!E90:E92)</f>
        <v>1945.8209999999999</v>
      </c>
      <c r="F36" s="123">
        <f>SUM(Monthly_Data!F90:F92)</f>
        <v>40553.705000000002</v>
      </c>
      <c r="H36" s="9"/>
      <c r="I36" s="9"/>
    </row>
    <row r="37" spans="2:9" x14ac:dyDescent="0.25">
      <c r="B37" s="172">
        <v>39142</v>
      </c>
      <c r="C37" s="121">
        <f>SUM(Monthly_Data!C93:C95)</f>
        <v>41616.963000000003</v>
      </c>
      <c r="D37" s="121">
        <f>SUM(Monthly_Data!D93:D95)</f>
        <v>3866.5150000000003</v>
      </c>
      <c r="E37" s="121">
        <f>SUM(Monthly_Data!E93:E95)</f>
        <v>1615.4607999999998</v>
      </c>
      <c r="F37" s="121">
        <f>SUM(Monthly_Data!F93:F95)</f>
        <v>47098.938799999996</v>
      </c>
      <c r="H37" s="9"/>
    </row>
    <row r="38" spans="2:9" x14ac:dyDescent="0.25">
      <c r="B38" s="172">
        <v>39234</v>
      </c>
      <c r="C38" s="121">
        <f>SUM(Monthly_Data!C96:C98)</f>
        <v>42091.523000000001</v>
      </c>
      <c r="D38" s="121">
        <f>SUM(Monthly_Data!D96:D98)</f>
        <v>3456.163</v>
      </c>
      <c r="E38" s="121">
        <f>SUM(Monthly_Data!E96:E98)</f>
        <v>2149.7942000000003</v>
      </c>
      <c r="F38" s="121">
        <f>SUM(Monthly_Data!F96:F98)</f>
        <v>47697.480199999998</v>
      </c>
      <c r="H38" s="8"/>
    </row>
    <row r="39" spans="2:9" x14ac:dyDescent="0.25">
      <c r="B39" s="172">
        <v>39326</v>
      </c>
      <c r="C39" s="121">
        <f>SUM(Monthly_Data!C99:C101)</f>
        <v>43510.678999999996</v>
      </c>
      <c r="D39" s="121">
        <f>SUM(Monthly_Data!D99:D101)</f>
        <v>3440.0540000000001</v>
      </c>
      <c r="E39" s="121">
        <f>SUM(Monthly_Data!E99:E101)</f>
        <v>1983.33</v>
      </c>
      <c r="F39" s="121">
        <f>SUM(Monthly_Data!F99:F101)</f>
        <v>48934.062999999995</v>
      </c>
      <c r="H39" s="8"/>
    </row>
    <row r="40" spans="2:9" x14ac:dyDescent="0.25">
      <c r="B40" s="172">
        <v>39417</v>
      </c>
      <c r="C40" s="121">
        <f>SUM(Monthly_Data!C102:C104)</f>
        <v>43001.366999999998</v>
      </c>
      <c r="D40" s="121">
        <f>SUM(Monthly_Data!D102:D104)</f>
        <v>3958.3409999999999</v>
      </c>
      <c r="E40" s="121">
        <f>SUM(Monthly_Data!E102:E104)</f>
        <v>1928.7309999999998</v>
      </c>
      <c r="F40" s="121">
        <f>SUM(Monthly_Data!F102:F104)</f>
        <v>48888.438999999998</v>
      </c>
      <c r="H40" s="11"/>
    </row>
    <row r="41" spans="2:9" x14ac:dyDescent="0.25">
      <c r="B41" s="172">
        <v>39508</v>
      </c>
      <c r="C41" s="121">
        <f>SUM(Monthly_Data!C105:C107)</f>
        <v>42173.663999999997</v>
      </c>
      <c r="D41" s="121">
        <f>SUM(Monthly_Data!D105:D107)</f>
        <v>3639.7709999999997</v>
      </c>
      <c r="E41" s="121">
        <f>SUM(Monthly_Data!E105:E107)</f>
        <v>2662.8270000000002</v>
      </c>
      <c r="F41" s="121">
        <f>SUM(Monthly_Data!F105:F107)</f>
        <v>48476.262000000002</v>
      </c>
      <c r="H41" s="11"/>
    </row>
    <row r="42" spans="2:9" x14ac:dyDescent="0.25">
      <c r="B42" s="172">
        <v>39600</v>
      </c>
      <c r="C42" s="121">
        <f>SUM(Monthly_Data!C108:C110)</f>
        <v>46114.319000000003</v>
      </c>
      <c r="D42" s="121">
        <f>SUM(Monthly_Data!D108:D110)</f>
        <v>2858.62</v>
      </c>
      <c r="E42" s="121">
        <f>SUM(Monthly_Data!E108:E110)</f>
        <v>2665.4870000000001</v>
      </c>
      <c r="F42" s="121">
        <f>SUM(Monthly_Data!F108:F110)</f>
        <v>51638.425999999999</v>
      </c>
      <c r="H42" s="11"/>
    </row>
    <row r="43" spans="2:9" x14ac:dyDescent="0.25">
      <c r="B43" s="172">
        <v>39692</v>
      </c>
      <c r="C43" s="121">
        <f>SUM(Monthly_Data!C111:C113)</f>
        <v>47632.241999999998</v>
      </c>
      <c r="D43" s="121">
        <f>SUM(Monthly_Data!D111:D113)</f>
        <v>3423.5050000000001</v>
      </c>
      <c r="E43" s="121">
        <f>SUM(Monthly_Data!E111:E113)</f>
        <v>2121.105</v>
      </c>
      <c r="F43" s="121">
        <f>SUM(Monthly_Data!F111:F113)</f>
        <v>53176.851999999999</v>
      </c>
      <c r="H43" s="11"/>
    </row>
    <row r="44" spans="2:9" x14ac:dyDescent="0.25">
      <c r="B44" s="172">
        <v>39783</v>
      </c>
      <c r="C44" s="121">
        <f>SUM(Monthly_Data!C114:C116)</f>
        <v>48003.779000000002</v>
      </c>
      <c r="D44" s="121">
        <f>SUM(Monthly_Data!D114:D116)</f>
        <v>2745.8540000000003</v>
      </c>
      <c r="E44" s="121">
        <f>SUM(Monthly_Data!E114:E116)</f>
        <v>2387.2490000000003</v>
      </c>
      <c r="F44" s="121">
        <f>SUM(Monthly_Data!F114:F116)</f>
        <v>53136.881999999998</v>
      </c>
      <c r="H44" s="11"/>
    </row>
    <row r="45" spans="2:9" x14ac:dyDescent="0.25">
      <c r="B45" s="172">
        <v>39873</v>
      </c>
      <c r="C45" s="121">
        <f>SUM(Monthly_Data!C117:C119)</f>
        <v>45748.103000000003</v>
      </c>
      <c r="D45" s="121">
        <f>SUM(Monthly_Data!D117:D119)</f>
        <v>3523.6710000000003</v>
      </c>
      <c r="E45" s="121">
        <f>SUM(Monthly_Data!E117:E119)</f>
        <v>2970.8069999999998</v>
      </c>
      <c r="F45" s="121">
        <f>SUM(Monthly_Data!F117:F119)</f>
        <v>52242.580999999991</v>
      </c>
      <c r="G45" s="2"/>
      <c r="H45" s="17"/>
    </row>
    <row r="46" spans="2:9" x14ac:dyDescent="0.25">
      <c r="B46" s="172">
        <v>39965</v>
      </c>
      <c r="C46" s="121">
        <f>SUM(Monthly_Data!C120:C122)</f>
        <v>44569.236999999994</v>
      </c>
      <c r="D46" s="121">
        <f>SUM(Monthly_Data!D120:D122)</f>
        <v>4658.8710000000001</v>
      </c>
      <c r="E46" s="121">
        <f>SUM(Monthly_Data!E120:E122)</f>
        <v>3387.8580000000002</v>
      </c>
      <c r="F46" s="121">
        <f>SUM(Monthly_Data!F120:F122)</f>
        <v>52615.966</v>
      </c>
      <c r="G46" s="2"/>
      <c r="H46" s="17"/>
    </row>
    <row r="47" spans="2:9" x14ac:dyDescent="0.25">
      <c r="B47" s="172">
        <v>40057</v>
      </c>
      <c r="C47" s="121">
        <f>SUM(Monthly_Data!C123:C125)</f>
        <v>44347.834999999999</v>
      </c>
      <c r="D47" s="121">
        <f>SUM(Monthly_Data!D123:D125)</f>
        <v>4417.79</v>
      </c>
      <c r="E47" s="121">
        <f>SUM(Monthly_Data!E123:E125)</f>
        <v>2578.826</v>
      </c>
      <c r="F47" s="121">
        <f>SUM(Monthly_Data!F123:F125)</f>
        <v>51344.451000000001</v>
      </c>
      <c r="G47" s="2"/>
      <c r="H47" s="17"/>
    </row>
    <row r="48" spans="2:9" x14ac:dyDescent="0.25">
      <c r="B48" s="172">
        <v>40148</v>
      </c>
      <c r="C48" s="121">
        <f>SUM(Monthly_Data!C126:C128)</f>
        <v>41999.266000000003</v>
      </c>
      <c r="D48" s="121">
        <f>SUM(Monthly_Data!D126:D128)</f>
        <v>4103.3950000000004</v>
      </c>
      <c r="E48" s="121">
        <f>SUM(Monthly_Data!E126:E128)</f>
        <v>4395.24</v>
      </c>
      <c r="F48" s="121">
        <f>SUM(Monthly_Data!F126:F128)</f>
        <v>50497.900999999998</v>
      </c>
      <c r="G48" s="2"/>
      <c r="H48" s="17"/>
    </row>
    <row r="49" spans="2:10" x14ac:dyDescent="0.25">
      <c r="B49" s="172">
        <v>40238</v>
      </c>
      <c r="C49" s="121">
        <f>SUM(Monthly_Data!C129:C131)</f>
        <v>50044.990999999995</v>
      </c>
      <c r="D49" s="121">
        <f>SUM(Monthly_Data!D129:D131)</f>
        <v>2849.2719999999999</v>
      </c>
      <c r="E49" s="121">
        <f>SUM(Monthly_Data!E129:E131)</f>
        <v>4713.5470000000005</v>
      </c>
      <c r="F49" s="121">
        <f>SUM(Monthly_Data!F129:F131)</f>
        <v>57607.810000000005</v>
      </c>
      <c r="G49" s="2"/>
      <c r="H49" s="17"/>
    </row>
    <row r="50" spans="2:10" x14ac:dyDescent="0.25">
      <c r="B50" s="172">
        <v>40330</v>
      </c>
      <c r="C50" s="121">
        <f>SUM(Monthly_Data!C132:C134)</f>
        <v>52807.7961</v>
      </c>
      <c r="D50" s="121">
        <f>SUM(Monthly_Data!D132:D134)</f>
        <v>3264.7249999999999</v>
      </c>
      <c r="E50" s="121">
        <f>SUM(Monthly_Data!E132:E134)</f>
        <v>4079.09</v>
      </c>
      <c r="F50" s="121">
        <f>SUM(Monthly_Data!F132:F134)</f>
        <v>60151.611100000002</v>
      </c>
      <c r="G50" s="2"/>
      <c r="H50" s="18"/>
    </row>
    <row r="51" spans="2:10" x14ac:dyDescent="0.25">
      <c r="B51" s="172">
        <v>40422</v>
      </c>
      <c r="C51" s="121">
        <f>SUM(Monthly_Data!C135:C137)</f>
        <v>51841.846600000004</v>
      </c>
      <c r="D51" s="121">
        <f>SUM(Monthly_Data!D135:D137)</f>
        <v>4432.3560000000007</v>
      </c>
      <c r="E51" s="121">
        <f>SUM(Monthly_Data!E135:E137)</f>
        <v>2821.17211</v>
      </c>
      <c r="F51" s="121">
        <f>SUM(Monthly_Data!F135:F137)</f>
        <v>59095.374710000004</v>
      </c>
      <c r="G51" s="2"/>
      <c r="H51" s="18"/>
    </row>
    <row r="52" spans="2:10" x14ac:dyDescent="0.25">
      <c r="B52" s="172">
        <v>40513</v>
      </c>
      <c r="C52" s="121">
        <f>SUM(Monthly_Data!C138:C140)</f>
        <v>53534.797999999995</v>
      </c>
      <c r="D52" s="121">
        <f>SUM(Monthly_Data!D138:D140)</f>
        <v>4124.2690000000002</v>
      </c>
      <c r="E52" s="121">
        <f>SUM(Monthly_Data!E138:E140)</f>
        <v>3736.6588999999994</v>
      </c>
      <c r="F52" s="121">
        <f>SUM(Monthly_Data!F138:F140)</f>
        <v>61395.72589999999</v>
      </c>
      <c r="G52" s="2"/>
      <c r="H52" s="18"/>
    </row>
    <row r="53" spans="2:10" x14ac:dyDescent="0.25">
      <c r="B53" s="172">
        <v>40603</v>
      </c>
      <c r="C53" s="121">
        <f>SUM(Monthly_Data!C141:C143)</f>
        <v>55642.762000000002</v>
      </c>
      <c r="D53" s="121">
        <f>SUM(Monthly_Data!D141:D143)</f>
        <v>3448.2330000000002</v>
      </c>
      <c r="E53" s="121">
        <f>SUM(Monthly_Data!E141:E143)</f>
        <v>4117.0132000000003</v>
      </c>
      <c r="F53" s="121">
        <f>SUM(Monthly_Data!F141:F143)</f>
        <v>63208.008199999997</v>
      </c>
      <c r="G53" s="2"/>
      <c r="H53" s="18"/>
    </row>
    <row r="54" spans="2:10" x14ac:dyDescent="0.25">
      <c r="B54" s="172">
        <v>40695</v>
      </c>
      <c r="C54" s="121">
        <f>SUM(Monthly_Data!C144:C146)</f>
        <v>56624.986499999992</v>
      </c>
      <c r="D54" s="121">
        <f>SUM(Monthly_Data!D144:D146)</f>
        <v>3598.0985999999998</v>
      </c>
      <c r="E54" s="121">
        <f>SUM(Monthly_Data!E144:E146)</f>
        <v>4918.7769719999997</v>
      </c>
      <c r="F54" s="121">
        <f>SUM(Monthly_Data!F144:F146)</f>
        <v>65141.862071999989</v>
      </c>
      <c r="G54" s="2"/>
      <c r="H54" s="17"/>
    </row>
    <row r="55" spans="2:10" x14ac:dyDescent="0.25">
      <c r="B55" s="172">
        <v>40787</v>
      </c>
      <c r="C55" s="121">
        <f>SUM(Monthly_Data!C147:C149)</f>
        <v>49714.147000000004</v>
      </c>
      <c r="D55" s="121">
        <f>SUM(Monthly_Data!D147:D149)</f>
        <v>4240.9459999999999</v>
      </c>
      <c r="E55" s="121">
        <f>SUM(Monthly_Data!E147:E149)</f>
        <v>4617.3226400000003</v>
      </c>
      <c r="F55" s="121">
        <f>SUM(Monthly_Data!F147:F149)</f>
        <v>58572.415640000007</v>
      </c>
      <c r="G55" s="2"/>
      <c r="H55" s="18"/>
    </row>
    <row r="56" spans="2:10" x14ac:dyDescent="0.25">
      <c r="B56" s="172">
        <v>40878</v>
      </c>
      <c r="C56" s="121">
        <f>SUM(Monthly_Data!C150:C152)</f>
        <v>48519.833500000001</v>
      </c>
      <c r="D56" s="121">
        <f>SUM(Monthly_Data!D150:D152)</f>
        <v>3862.8700000000003</v>
      </c>
      <c r="E56" s="121">
        <f>SUM(Monthly_Data!E150:E152)</f>
        <v>5000.4080000000004</v>
      </c>
      <c r="F56" s="121">
        <f>SUM(Monthly_Data!F150:F152)</f>
        <v>57383.111499999999</v>
      </c>
      <c r="G56" s="2"/>
      <c r="H56" s="18"/>
    </row>
    <row r="57" spans="2:10" x14ac:dyDescent="0.25">
      <c r="B57" s="172">
        <v>40969</v>
      </c>
      <c r="C57" s="121">
        <f>SUM(Monthly_Data!C153:C155)</f>
        <v>55413.986499999999</v>
      </c>
      <c r="D57" s="121">
        <f>SUM(Monthly_Data!D153:D155)</f>
        <v>3413.5509999999995</v>
      </c>
      <c r="E57" s="121">
        <f>SUM(Monthly_Data!E153:E155)</f>
        <v>4578.7329000000009</v>
      </c>
      <c r="F57" s="121">
        <f>SUM(Monthly_Data!F153:F155)</f>
        <v>63406.270399999994</v>
      </c>
      <c r="H57" s="5"/>
    </row>
    <row r="58" spans="2:10" x14ac:dyDescent="0.25">
      <c r="B58" s="172">
        <v>41061</v>
      </c>
      <c r="C58" s="121">
        <f>SUM(Monthly_Data!C156:C158)</f>
        <v>56587.966</v>
      </c>
      <c r="D58" s="121">
        <f>SUM(Monthly_Data!D156:D158)</f>
        <v>3565.9950000000003</v>
      </c>
      <c r="E58" s="121">
        <f>SUM(Monthly_Data!E156:E158)</f>
        <v>4789.0205999999998</v>
      </c>
      <c r="F58" s="121">
        <f>SUM(Monthly_Data!F156:F158)</f>
        <v>64942.981600000014</v>
      </c>
      <c r="H58" s="5"/>
    </row>
    <row r="59" spans="2:10" x14ac:dyDescent="0.25">
      <c r="B59" s="172">
        <v>41153</v>
      </c>
      <c r="C59" s="121">
        <f>SUM(Monthly_Data!C159:C161)</f>
        <v>50504.752999999997</v>
      </c>
      <c r="D59" s="121">
        <f>SUM(Monthly_Data!D159:D161)</f>
        <v>3941.3109999999997</v>
      </c>
      <c r="E59" s="121">
        <f>SUM(Monthly_Data!E159:E161)</f>
        <v>3847.2020000000002</v>
      </c>
      <c r="F59" s="121">
        <f>SUM(Monthly_Data!F159:F161)</f>
        <v>58293.265999999996</v>
      </c>
      <c r="H59" s="11"/>
    </row>
    <row r="60" spans="2:10" x14ac:dyDescent="0.25">
      <c r="B60" s="172">
        <v>41244</v>
      </c>
      <c r="C60" s="121">
        <f>SUM(Monthly_Data!C162:C164)</f>
        <v>50185.365000000005</v>
      </c>
      <c r="D60" s="121">
        <f>SUM(Monthly_Data!D162:D164)</f>
        <v>3811.0439999999999</v>
      </c>
      <c r="E60" s="121">
        <f>SUM(Monthly_Data!E162:E164)</f>
        <v>3897.8528999999999</v>
      </c>
      <c r="F60" s="121">
        <f>SUM(Monthly_Data!F162:F164)</f>
        <v>57894.261899999998</v>
      </c>
      <c r="H60" s="11"/>
    </row>
    <row r="61" spans="2:10" x14ac:dyDescent="0.25">
      <c r="B61" s="172">
        <v>41334</v>
      </c>
      <c r="C61" s="121">
        <f>SUM(Monthly_Data!C165:C167)</f>
        <v>51160.862000000008</v>
      </c>
      <c r="D61" s="121">
        <f>SUM(Monthly_Data!D165:D167)</f>
        <v>3400.3599999999997</v>
      </c>
      <c r="E61" s="121">
        <f>SUM(Monthly_Data!E165:E167)</f>
        <v>4054.2561999999998</v>
      </c>
      <c r="F61" s="121">
        <f>SUM(Monthly_Data!F165:F167)</f>
        <v>58615.478200000005</v>
      </c>
      <c r="H61" s="11"/>
    </row>
    <row r="62" spans="2:10" x14ac:dyDescent="0.25">
      <c r="B62" s="172">
        <v>41426</v>
      </c>
      <c r="C62" s="121">
        <f>SUM(Monthly_Data!C168:C170)</f>
        <v>58353.801999999996</v>
      </c>
      <c r="D62" s="121">
        <f>SUM(Monthly_Data!D168:D170)</f>
        <v>4313.5829999999996</v>
      </c>
      <c r="E62" s="121">
        <f>SUM(Monthly_Data!E168:E170)</f>
        <v>3981.6255000000001</v>
      </c>
      <c r="F62" s="121">
        <f>SUM(Monthly_Data!F168:F170)</f>
        <v>66649.010500000004</v>
      </c>
      <c r="I62" s="11"/>
      <c r="J62" s="8"/>
    </row>
    <row r="63" spans="2:10" x14ac:dyDescent="0.25">
      <c r="B63" s="172">
        <v>41518</v>
      </c>
      <c r="C63" s="121">
        <f>SUM(Monthly_Data!C171:C173)</f>
        <v>60852.677000000003</v>
      </c>
      <c r="D63" s="121">
        <f>SUM(Monthly_Data!D171:D173)</f>
        <v>3820.277</v>
      </c>
      <c r="E63" s="121">
        <f>SUM(Monthly_Data!E171:E173)</f>
        <v>3613.9454999999998</v>
      </c>
      <c r="F63" s="121">
        <f>SUM(Monthly_Data!F171:F173)</f>
        <v>68286.8995</v>
      </c>
      <c r="H63" s="9"/>
      <c r="I63" s="11"/>
      <c r="J63" s="8"/>
    </row>
    <row r="64" spans="2:10" x14ac:dyDescent="0.25">
      <c r="B64" s="172">
        <v>41609</v>
      </c>
      <c r="C64" s="121">
        <f>SUM(Monthly_Data!C174:C176)</f>
        <v>57032.536999999997</v>
      </c>
      <c r="D64" s="121">
        <f>SUM(Monthly_Data!D174:D176)</f>
        <v>3508.12</v>
      </c>
      <c r="E64" s="121">
        <f>SUM(Monthly_Data!E174:E176)</f>
        <v>5198.9569000000001</v>
      </c>
      <c r="F64" s="121">
        <f>SUM(Monthly_Data!F174:F176)</f>
        <v>65739.613899999997</v>
      </c>
      <c r="I64" s="11"/>
      <c r="J64" s="8"/>
    </row>
    <row r="65" spans="2:10" x14ac:dyDescent="0.25">
      <c r="B65" s="172">
        <v>41699</v>
      </c>
      <c r="C65" s="121">
        <f>SUM(Monthly_Data!C177:C179)</f>
        <v>60543.67300000001</v>
      </c>
      <c r="D65" s="121">
        <f>SUM(Monthly_Data!D177:D179)</f>
        <v>3546.3830000000003</v>
      </c>
      <c r="E65" s="121">
        <f>SUM(Monthly_Data!E177:E179)</f>
        <v>5076.8455000000004</v>
      </c>
      <c r="F65" s="121">
        <f>SUM(Monthly_Data!F177:F179)</f>
        <v>69166.901500000007</v>
      </c>
      <c r="H65" s="8"/>
      <c r="I65" s="11"/>
      <c r="J65" s="8"/>
    </row>
    <row r="66" spans="2:10" x14ac:dyDescent="0.25">
      <c r="B66" s="172">
        <v>41791</v>
      </c>
      <c r="C66" s="121">
        <f>SUM(Monthly_Data!C180:C182)</f>
        <v>59215.636999999995</v>
      </c>
      <c r="D66" s="121">
        <f>SUM(Monthly_Data!D180:D182)</f>
        <v>4086.1410000000001</v>
      </c>
      <c r="E66" s="121">
        <f>SUM(Monthly_Data!E180:E182)</f>
        <v>6867.4882000000007</v>
      </c>
      <c r="F66" s="121">
        <f>SUM(Monthly_Data!F180:F182)</f>
        <v>70169.266199999984</v>
      </c>
      <c r="H66" s="9"/>
      <c r="I66" s="11"/>
      <c r="J66" s="8"/>
    </row>
    <row r="67" spans="2:10" x14ac:dyDescent="0.25">
      <c r="B67" s="172">
        <v>41883</v>
      </c>
      <c r="C67" s="121">
        <f>SUM(Monthly_Data!C183:C185)</f>
        <v>49539.817999999999</v>
      </c>
      <c r="D67" s="121">
        <f>SUM(Monthly_Data!D183:D185)</f>
        <v>3422.3700000000003</v>
      </c>
      <c r="E67" s="121">
        <f>SUM(Monthly_Data!E183:E185)</f>
        <v>7394.9867000000004</v>
      </c>
      <c r="F67" s="121">
        <f>SUM(Monthly_Data!F183:F185)</f>
        <v>60357.174700000003</v>
      </c>
      <c r="H67" s="9"/>
      <c r="I67" s="11"/>
      <c r="J67" s="8"/>
    </row>
    <row r="68" spans="2:10" x14ac:dyDescent="0.25">
      <c r="B68" s="172">
        <v>41974</v>
      </c>
      <c r="C68" s="121">
        <f>SUM(Monthly_Data!C186:C188)</f>
        <v>55474.439999999995</v>
      </c>
      <c r="D68" s="121">
        <f>SUM(Monthly_Data!D186:D188)</f>
        <v>3565.42</v>
      </c>
      <c r="E68" s="121">
        <f>SUM(Monthly_Data!E186:E188)</f>
        <v>6189.9297000000006</v>
      </c>
      <c r="F68" s="121">
        <f>SUM(Monthly_Data!F186:F188)</f>
        <v>65229.789700000008</v>
      </c>
      <c r="H68" s="9"/>
      <c r="I68" s="11"/>
      <c r="J68" s="8"/>
    </row>
    <row r="69" spans="2:10" x14ac:dyDescent="0.25">
      <c r="B69" s="172">
        <v>42064</v>
      </c>
      <c r="C69" s="121">
        <f>SUM(Monthly_Data!C189:C191)</f>
        <v>56594.020000000004</v>
      </c>
      <c r="D69" s="121">
        <f>SUM(Monthly_Data!D189:D191)</f>
        <v>3483.8999999999996</v>
      </c>
      <c r="E69" s="121">
        <f>SUM(Monthly_Data!E189:E191)</f>
        <v>4981.4310000000005</v>
      </c>
      <c r="F69" s="121">
        <f>SUM(Monthly_Data!F189:F191)</f>
        <v>65059.351000000002</v>
      </c>
      <c r="G69" s="23"/>
      <c r="H69" s="9"/>
      <c r="I69" s="11"/>
      <c r="J69" s="8"/>
    </row>
    <row r="70" spans="2:10" x14ac:dyDescent="0.25">
      <c r="B70" s="172">
        <v>42156</v>
      </c>
      <c r="C70" s="121">
        <f>SUM(Monthly_Data!C192:C194)</f>
        <v>54324.368000000002</v>
      </c>
      <c r="D70" s="121">
        <f>SUM(Monthly_Data!D192:D194)</f>
        <v>4211.8209999999999</v>
      </c>
      <c r="E70" s="121">
        <f>SUM(Monthly_Data!E192:E194)</f>
        <v>7133.6684000000005</v>
      </c>
      <c r="F70" s="121">
        <f>SUM(Monthly_Data!F192:F194)</f>
        <v>65669.857400000008</v>
      </c>
      <c r="H70" s="9"/>
      <c r="I70" s="11"/>
      <c r="J70" s="8"/>
    </row>
    <row r="71" spans="2:10" x14ac:dyDescent="0.25">
      <c r="B71" s="172">
        <v>42248</v>
      </c>
      <c r="C71" s="121">
        <f>SUM(Monthly_Data!C195:C197)</f>
        <v>54667.506999999998</v>
      </c>
      <c r="D71" s="121">
        <f>SUM(Monthly_Data!D195:D197)</f>
        <v>4613.2719999999999</v>
      </c>
      <c r="E71" s="121">
        <f>SUM(Monthly_Data!E195:E197)</f>
        <v>4606.2859999999991</v>
      </c>
      <c r="F71" s="121">
        <f>SUM(Monthly_Data!F195:F197)</f>
        <v>63887.064999999995</v>
      </c>
      <c r="H71" s="9"/>
      <c r="I71" s="11"/>
      <c r="J71" s="8"/>
    </row>
    <row r="72" spans="2:10" x14ac:dyDescent="0.25">
      <c r="B72" s="172">
        <v>42339</v>
      </c>
      <c r="C72" s="121">
        <f>SUM(Monthly_Data!C198:C200)</f>
        <v>54520.733999999997</v>
      </c>
      <c r="D72" s="121">
        <f>SUM(Monthly_Data!D198:D200)</f>
        <v>4059.6369999999997</v>
      </c>
      <c r="E72" s="121">
        <f>SUM(Monthly_Data!E198:E200)</f>
        <v>4611.8440000000001</v>
      </c>
      <c r="F72" s="121">
        <f>SUM(Monthly_Data!F198:F200)</f>
        <v>63192.215000000011</v>
      </c>
      <c r="H72" s="5"/>
      <c r="I72" s="11"/>
      <c r="J72" s="8"/>
    </row>
    <row r="73" spans="2:10" x14ac:dyDescent="0.25">
      <c r="B73" s="172">
        <v>42430</v>
      </c>
      <c r="C73" s="121">
        <f>SUM(Monthly_Data!C201:C203)</f>
        <v>60828.577000000005</v>
      </c>
      <c r="D73" s="121">
        <f>SUM(Monthly_Data!D201:D203)</f>
        <v>3040.9850000000001</v>
      </c>
      <c r="E73" s="121">
        <f>SUM(Monthly_Data!E201:E203)</f>
        <v>5439.8954000000003</v>
      </c>
      <c r="F73" s="121">
        <f>SUM(Monthly_Data!F201:F203)</f>
        <v>69309.457400000014</v>
      </c>
      <c r="H73" s="5"/>
      <c r="I73" s="11"/>
      <c r="J73" s="8"/>
    </row>
    <row r="74" spans="2:10" x14ac:dyDescent="0.25">
      <c r="B74" s="172">
        <v>42522</v>
      </c>
      <c r="C74" s="121">
        <f>SUM(Monthly_Data!C204:C206)</f>
        <v>64646.062000000005</v>
      </c>
      <c r="D74" s="121">
        <f>SUM(Monthly_Data!D204:D206)</f>
        <v>5195.9479999999994</v>
      </c>
      <c r="E74" s="121">
        <f>SUM(Monthly_Data!E204:E206)</f>
        <v>4736.7578400000002</v>
      </c>
      <c r="F74" s="121">
        <f>SUM(Monthly_Data!F204:F206)</f>
        <v>74578.76784</v>
      </c>
      <c r="H74" s="5"/>
      <c r="I74" s="11"/>
      <c r="J74" s="8"/>
    </row>
    <row r="75" spans="2:10" x14ac:dyDescent="0.25">
      <c r="B75" s="172">
        <v>42614</v>
      </c>
      <c r="C75" s="121">
        <f>SUM(Monthly_Data!C207:C209)</f>
        <v>62196.638999999996</v>
      </c>
      <c r="D75" s="121">
        <f>SUM(Monthly_Data!D207:D209)</f>
        <v>4870.9920000000002</v>
      </c>
      <c r="E75" s="121">
        <f>SUM(Monthly_Data!E207:E209)</f>
        <v>4774.6076400000002</v>
      </c>
      <c r="F75" s="121">
        <f>SUM(Monthly_Data!F207:F209)</f>
        <v>71842.238639999996</v>
      </c>
      <c r="G75" s="9"/>
      <c r="H75" s="5"/>
      <c r="I75" s="11"/>
      <c r="J75" s="8"/>
    </row>
    <row r="76" spans="2:10" x14ac:dyDescent="0.25">
      <c r="B76" s="172">
        <v>42705</v>
      </c>
      <c r="C76" s="121">
        <f>SUM(Monthly_Data!C210:C212)</f>
        <v>60590.95900000001</v>
      </c>
      <c r="D76" s="121">
        <f>SUM(Monthly_Data!D210:D212)</f>
        <v>4805.2060000000001</v>
      </c>
      <c r="E76" s="121">
        <f>SUM(Monthly_Data!E210:E212)</f>
        <v>5736.9360999999999</v>
      </c>
      <c r="F76" s="121">
        <f>SUM(Monthly_Data!F210:F212)</f>
        <v>71133.1011</v>
      </c>
      <c r="G76" s="8"/>
      <c r="H76" s="5"/>
      <c r="I76" s="11"/>
      <c r="J76" s="8"/>
    </row>
    <row r="77" spans="2:10" x14ac:dyDescent="0.25">
      <c r="B77" s="172">
        <v>42795</v>
      </c>
      <c r="C77" s="121">
        <f>SUM(Monthly_Data!C213:C215)</f>
        <v>55236.894</v>
      </c>
      <c r="D77" s="121">
        <f>SUM(Monthly_Data!D213:D215)</f>
        <v>4492.4079999999994</v>
      </c>
      <c r="E77" s="121">
        <f>SUM(Monthly_Data!E213:E215)</f>
        <v>6330.9822899999999</v>
      </c>
      <c r="F77" s="121">
        <f>SUM(Monthly_Data!F213:F215)</f>
        <v>66060.284290000011</v>
      </c>
      <c r="H77" s="5"/>
      <c r="I77" s="11"/>
      <c r="J77" s="8"/>
    </row>
    <row r="78" spans="2:10" x14ac:dyDescent="0.25">
      <c r="B78" s="172">
        <v>42887</v>
      </c>
      <c r="C78" s="121">
        <f>SUM(Monthly_Data!C216:C218)</f>
        <v>50019.441999999995</v>
      </c>
      <c r="D78" s="121">
        <f>SUM(Monthly_Data!D216:D218)</f>
        <v>4014.527</v>
      </c>
      <c r="E78" s="121">
        <f>SUM(Monthly_Data!E216:E218)</f>
        <v>5976.2021799999993</v>
      </c>
      <c r="F78" s="121">
        <f>SUM(Monthly_Data!F216:F218)</f>
        <v>60010.171179999998</v>
      </c>
      <c r="H78" s="5"/>
      <c r="I78" s="11"/>
      <c r="J78" s="8"/>
    </row>
    <row r="79" spans="2:10" x14ac:dyDescent="0.25">
      <c r="B79" s="172">
        <v>42979</v>
      </c>
      <c r="C79" s="121">
        <v>48166.226999999999</v>
      </c>
      <c r="D79" s="121">
        <v>4589.8530000000001</v>
      </c>
      <c r="E79" s="121">
        <v>5665.8222999999998</v>
      </c>
      <c r="F79" s="120">
        <v>58421.902299999994</v>
      </c>
      <c r="G79" s="9"/>
      <c r="H79" s="5"/>
      <c r="I79" s="11"/>
      <c r="J79" s="8"/>
    </row>
    <row r="80" spans="2:10" x14ac:dyDescent="0.25">
      <c r="B80" s="172">
        <v>43070</v>
      </c>
      <c r="C80" s="121">
        <v>63381.032999999996</v>
      </c>
      <c r="D80" s="121">
        <v>4708.6530000000002</v>
      </c>
      <c r="E80" s="121">
        <v>5273.9154400000007</v>
      </c>
      <c r="F80" s="120">
        <v>73363.601439999999</v>
      </c>
      <c r="G80" s="9"/>
      <c r="H80" s="5"/>
      <c r="I80" s="11"/>
      <c r="J80" s="8"/>
    </row>
    <row r="81" spans="2:10" x14ac:dyDescent="0.25">
      <c r="B81" s="172">
        <v>43160</v>
      </c>
      <c r="C81" s="121">
        <v>61410.239999999991</v>
      </c>
      <c r="D81" s="121">
        <v>4599.5050000000001</v>
      </c>
      <c r="E81" s="121">
        <v>6521.607</v>
      </c>
      <c r="F81" s="120">
        <v>72531.351999999999</v>
      </c>
      <c r="G81" s="9"/>
      <c r="H81" s="9"/>
      <c r="I81" s="11"/>
      <c r="J81" s="8"/>
    </row>
    <row r="82" spans="2:10" x14ac:dyDescent="0.25">
      <c r="B82" s="172">
        <v>43252</v>
      </c>
      <c r="C82" s="121">
        <v>71325.866899999994</v>
      </c>
      <c r="D82" s="121">
        <v>4219.9579999999996</v>
      </c>
      <c r="E82" s="121">
        <v>5610.9683199999999</v>
      </c>
      <c r="F82" s="120">
        <v>81156.793220000007</v>
      </c>
      <c r="H82" s="5"/>
      <c r="I82" s="11"/>
      <c r="J82" s="8"/>
    </row>
    <row r="83" spans="2:10" x14ac:dyDescent="0.25">
      <c r="B83" s="172">
        <v>43344</v>
      </c>
      <c r="C83" s="121">
        <v>69609.632500000007</v>
      </c>
      <c r="D83" s="121">
        <v>4893.1370000000006</v>
      </c>
      <c r="E83" s="121">
        <v>5575.5026399999988</v>
      </c>
      <c r="F83" s="120">
        <v>80078.272140000001</v>
      </c>
      <c r="G83" s="9"/>
      <c r="H83" s="15"/>
      <c r="I83" s="11"/>
      <c r="J83" s="8"/>
    </row>
    <row r="84" spans="2:10" x14ac:dyDescent="0.25">
      <c r="B84" s="172">
        <v>43435</v>
      </c>
      <c r="C84" s="121">
        <v>70601.632000000012</v>
      </c>
      <c r="D84" s="121">
        <v>5062.91</v>
      </c>
      <c r="E84" s="121">
        <v>6162.4018399999995</v>
      </c>
      <c r="F84" s="120">
        <v>81826.943840000007</v>
      </c>
      <c r="G84" s="9"/>
      <c r="H84" s="15"/>
      <c r="I84" s="11"/>
      <c r="J84" s="8"/>
    </row>
    <row r="85" spans="2:10" x14ac:dyDescent="0.25">
      <c r="B85" s="172">
        <v>43525</v>
      </c>
      <c r="C85" s="121">
        <f>Monthly_Data!C237+Monthly_Data!C238+Monthly_Data!C239</f>
        <v>70398.044999999998</v>
      </c>
      <c r="D85" s="121">
        <f>Monthly_Data!D237+Monthly_Data!D238+Monthly_Data!D239</f>
        <v>4054.8249999999998</v>
      </c>
      <c r="E85" s="121">
        <f>Monthly_Data!E237+Monthly_Data!E238+Monthly_Data!E239</f>
        <v>5683.6400199999998</v>
      </c>
      <c r="F85" s="121">
        <f>Monthly_Data!F237+Monthly_Data!F238+Monthly_Data!F239</f>
        <v>80136.510019999987</v>
      </c>
      <c r="G85" s="9"/>
      <c r="H85" s="15"/>
      <c r="I85" s="11"/>
      <c r="J85" s="8"/>
    </row>
    <row r="86" spans="2:10" x14ac:dyDescent="0.25">
      <c r="B86" s="172">
        <v>43617</v>
      </c>
      <c r="C86" s="121">
        <f>Monthly_Data!C240+Monthly_Data!C241+Monthly_Data!C242</f>
        <v>71816.956000000006</v>
      </c>
      <c r="D86" s="121">
        <f>Monthly_Data!D240+Monthly_Data!D241+Monthly_Data!D242</f>
        <v>4793.9290000000001</v>
      </c>
      <c r="E86" s="121">
        <f>Monthly_Data!E240+Monthly_Data!E241+Monthly_Data!E242</f>
        <v>7720.5934399999987</v>
      </c>
      <c r="F86" s="121">
        <f>Monthly_Data!F240+Monthly_Data!F241+Monthly_Data!F242</f>
        <v>84331.478440000006</v>
      </c>
      <c r="G86" s="9"/>
      <c r="H86" s="15"/>
      <c r="I86" s="11"/>
      <c r="J86" s="8"/>
    </row>
    <row r="87" spans="2:10" x14ac:dyDescent="0.25">
      <c r="B87" s="172">
        <v>43709</v>
      </c>
      <c r="C87" s="121">
        <f>Monthly_Data!C243+Monthly_Data!C244+Monthly_Data!C245</f>
        <v>74397.22050000001</v>
      </c>
      <c r="D87" s="121">
        <f>Monthly_Data!D243+Monthly_Data!D244+Monthly_Data!D245</f>
        <v>5522.1939999999995</v>
      </c>
      <c r="E87" s="121">
        <f>Monthly_Data!E243+Monthly_Data!E244+Monthly_Data!E245</f>
        <v>6502.9458699999996</v>
      </c>
      <c r="F87" s="121">
        <f>Monthly_Data!F243+Monthly_Data!F244+Monthly_Data!F245</f>
        <v>86422.360370000009</v>
      </c>
      <c r="G87" s="9"/>
      <c r="H87" s="15"/>
      <c r="I87" s="11"/>
      <c r="J87" s="8"/>
    </row>
    <row r="88" spans="2:10" x14ac:dyDescent="0.25">
      <c r="B88" s="172">
        <v>43800</v>
      </c>
      <c r="C88" s="121">
        <f>Monthly_Data!C246+Monthly_Data!C247+Monthly_Data!C248</f>
        <v>71648.014999999999</v>
      </c>
      <c r="D88" s="121">
        <f>Monthly_Data!D246+Monthly_Data!D247+Monthly_Data!D248</f>
        <v>4377.1810000000005</v>
      </c>
      <c r="E88" s="121">
        <f>Monthly_Data!E246+Monthly_Data!E247+Monthly_Data!E248</f>
        <v>8302.9102000000003</v>
      </c>
      <c r="F88" s="121">
        <f>Monthly_Data!F246+Monthly_Data!F247+Monthly_Data!F248</f>
        <v>84328.106200000009</v>
      </c>
      <c r="H88" s="15"/>
      <c r="I88" s="11"/>
      <c r="J88" s="8"/>
    </row>
    <row r="89" spans="2:10" x14ac:dyDescent="0.25">
      <c r="B89" s="172">
        <v>43891</v>
      </c>
      <c r="C89" s="121">
        <v>73277.654999999999</v>
      </c>
      <c r="D89" s="121">
        <v>4924.5390000000007</v>
      </c>
      <c r="E89" s="121">
        <v>7221.4556000000002</v>
      </c>
      <c r="F89" s="121">
        <v>85423.649600000004</v>
      </c>
      <c r="H89" s="15"/>
      <c r="I89" s="11"/>
      <c r="J89" s="8"/>
    </row>
    <row r="90" spans="2:10" x14ac:dyDescent="0.25">
      <c r="B90" s="172" t="s">
        <v>109</v>
      </c>
      <c r="C90" s="121">
        <v>70390.634999999995</v>
      </c>
      <c r="D90" s="121">
        <v>5120.3909999999996</v>
      </c>
      <c r="E90" s="121">
        <v>7424.2642799999994</v>
      </c>
      <c r="F90" s="121">
        <v>82935.290279999987</v>
      </c>
      <c r="H90" s="15"/>
      <c r="I90" s="11"/>
      <c r="J90" s="8"/>
    </row>
    <row r="91" spans="2:10" x14ac:dyDescent="0.25">
      <c r="B91" s="172" t="s">
        <v>112</v>
      </c>
      <c r="C91" s="121">
        <v>70390.634999999995</v>
      </c>
      <c r="D91" s="121">
        <v>5120.3909999999996</v>
      </c>
      <c r="E91" s="121">
        <v>7424.2642799999994</v>
      </c>
      <c r="F91" s="121">
        <v>82935.290279999987</v>
      </c>
      <c r="H91" s="15"/>
      <c r="I91" s="11"/>
      <c r="J91" s="8"/>
    </row>
    <row r="92" spans="2:10" x14ac:dyDescent="0.25">
      <c r="B92" s="172" t="s">
        <v>126</v>
      </c>
      <c r="C92" s="121">
        <v>70390.634999999995</v>
      </c>
      <c r="D92" s="121">
        <v>5120.3909999999996</v>
      </c>
      <c r="E92" s="121">
        <v>7424.2642799999994</v>
      </c>
      <c r="F92" s="121">
        <v>82935.290279999987</v>
      </c>
      <c r="H92" s="15"/>
      <c r="I92" s="11"/>
      <c r="J92" s="8"/>
    </row>
    <row r="93" spans="2:10" x14ac:dyDescent="0.25">
      <c r="B93" s="172" t="s">
        <v>124</v>
      </c>
      <c r="C93" s="121">
        <v>70390.634999999995</v>
      </c>
      <c r="D93" s="121">
        <v>5120.3909999999996</v>
      </c>
      <c r="E93" s="121">
        <v>7424.2642799999994</v>
      </c>
      <c r="F93" s="121">
        <v>82935.290279999987</v>
      </c>
      <c r="H93" s="15"/>
      <c r="I93" s="11"/>
      <c r="J93" s="8"/>
    </row>
    <row r="94" spans="2:10" x14ac:dyDescent="0.25">
      <c r="B94" s="172" t="s">
        <v>120</v>
      </c>
      <c r="C94" s="121">
        <v>70390.634999999995</v>
      </c>
      <c r="D94" s="121">
        <v>5120.3909999999996</v>
      </c>
      <c r="E94" s="121">
        <v>7424.2642799999994</v>
      </c>
      <c r="F94" s="121">
        <v>82935.290279999987</v>
      </c>
      <c r="H94" s="15"/>
      <c r="I94" s="11"/>
      <c r="J94" s="8"/>
    </row>
    <row r="95" spans="2:10" x14ac:dyDescent="0.25">
      <c r="B95" s="172" t="s">
        <v>125</v>
      </c>
      <c r="C95" s="121">
        <v>70390.634999999995</v>
      </c>
      <c r="D95" s="121">
        <v>5120.3909999999996</v>
      </c>
      <c r="E95" s="121">
        <v>7424.2642799999994</v>
      </c>
      <c r="F95" s="121">
        <v>82935.290279999987</v>
      </c>
      <c r="H95" s="15"/>
      <c r="I95" s="11"/>
      <c r="J95" s="8"/>
    </row>
    <row r="96" spans="2:10" x14ac:dyDescent="0.25">
      <c r="B96" s="172" t="s">
        <v>129</v>
      </c>
      <c r="C96" s="121">
        <v>70390.634999999995</v>
      </c>
      <c r="D96" s="121">
        <v>5120.3909999999996</v>
      </c>
      <c r="E96" s="121">
        <v>7424.2642799999994</v>
      </c>
      <c r="F96" s="121">
        <v>82935.290279999987</v>
      </c>
      <c r="H96" s="15"/>
      <c r="I96" s="11"/>
      <c r="J96" s="8"/>
    </row>
    <row r="97" spans="2:11" x14ac:dyDescent="0.25">
      <c r="B97" s="172" t="s">
        <v>133</v>
      </c>
      <c r="C97" s="121">
        <v>70390.634999999995</v>
      </c>
      <c r="D97" s="121">
        <v>5120.3909999999996</v>
      </c>
      <c r="E97" s="121">
        <v>7424.2642799999994</v>
      </c>
      <c r="F97" s="121">
        <v>82935.290279999987</v>
      </c>
      <c r="H97" s="15"/>
      <c r="I97" s="11"/>
      <c r="J97" s="8"/>
    </row>
    <row r="98" spans="2:11" x14ac:dyDescent="0.25">
      <c r="B98" s="175" t="s">
        <v>136</v>
      </c>
      <c r="C98" s="121">
        <v>70390.634999999995</v>
      </c>
      <c r="D98" s="121">
        <v>5120.3909999999996</v>
      </c>
      <c r="E98" s="121">
        <v>7424.2642799999994</v>
      </c>
      <c r="F98" s="121">
        <v>82935.290279999987</v>
      </c>
      <c r="H98" s="15"/>
      <c r="I98" s="11"/>
      <c r="J98" s="8"/>
    </row>
    <row r="99" spans="2:11" x14ac:dyDescent="0.25">
      <c r="B99" s="118" t="s">
        <v>139</v>
      </c>
      <c r="C99" s="121">
        <v>70390.634999999995</v>
      </c>
      <c r="D99" s="121">
        <v>5120.3909999999996</v>
      </c>
      <c r="E99" s="121">
        <v>7424.2642799999994</v>
      </c>
      <c r="F99" s="121">
        <v>82935.290279999987</v>
      </c>
      <c r="H99" s="15"/>
      <c r="I99" s="11"/>
      <c r="J99" s="8"/>
    </row>
    <row r="100" spans="2:11" x14ac:dyDescent="0.25">
      <c r="B100" s="175"/>
      <c r="C100" s="57"/>
      <c r="D100" s="57"/>
      <c r="E100" s="57"/>
      <c r="F100" s="68"/>
      <c r="H100" s="15"/>
      <c r="I100" s="11"/>
      <c r="J100" s="8"/>
    </row>
    <row r="101" spans="2:11" x14ac:dyDescent="0.25">
      <c r="B101" s="114" t="s">
        <v>71</v>
      </c>
      <c r="C101" s="72"/>
      <c r="D101" s="72"/>
      <c r="E101" s="72"/>
      <c r="F101" s="82"/>
      <c r="H101" s="17"/>
      <c r="I101" s="9"/>
      <c r="J101" s="12"/>
      <c r="K101" s="8"/>
    </row>
    <row r="102" spans="2:11" x14ac:dyDescent="0.25">
      <c r="B102" s="83" t="s">
        <v>106</v>
      </c>
      <c r="C102" s="38"/>
      <c r="D102" s="38"/>
      <c r="E102" s="38"/>
      <c r="F102" s="39"/>
      <c r="G102" s="8"/>
      <c r="H102" s="17"/>
    </row>
    <row r="103" spans="2:11" x14ac:dyDescent="0.25">
      <c r="C103" s="2"/>
      <c r="D103" s="10"/>
      <c r="E103" s="2"/>
      <c r="F103" s="5"/>
      <c r="G103" s="9"/>
    </row>
    <row r="104" spans="2:11" x14ac:dyDescent="0.25">
      <c r="D104" s="8"/>
      <c r="F104" s="8"/>
      <c r="G104" s="9"/>
    </row>
    <row r="105" spans="2:11" x14ac:dyDescent="0.25">
      <c r="E105" s="5"/>
    </row>
    <row r="106" spans="2:11" x14ac:dyDescent="0.25">
      <c r="D106" s="3"/>
      <c r="G106" s="9"/>
      <c r="H106" s="9"/>
    </row>
    <row r="107" spans="2:11" x14ac:dyDescent="0.25">
      <c r="C107" s="6"/>
    </row>
    <row r="108" spans="2:11" x14ac:dyDescent="0.25">
      <c r="E108" s="3"/>
      <c r="F108" s="3"/>
      <c r="H108" s="9"/>
    </row>
    <row r="109" spans="2:11" x14ac:dyDescent="0.25">
      <c r="E109" s="8"/>
      <c r="F109" s="8"/>
    </row>
    <row r="117" spans="5:5" x14ac:dyDescent="0.25">
      <c r="E117" s="6"/>
    </row>
    <row r="119" spans="5:5" x14ac:dyDescent="0.25">
      <c r="E119" s="8"/>
    </row>
  </sheetData>
  <mergeCells count="2">
    <mergeCell ref="B3:F3"/>
    <mergeCell ref="B4:F4"/>
  </mergeCells>
  <hyperlinks>
    <hyperlink ref="B1" location="Table_of_Contents!A1" display="Back to the table of contents"/>
  </hyperlinks>
  <pageMargins left="0.7" right="0.7" top="0.75" bottom="0.75" header="0.3" footer="0.3"/>
  <pageSetup paperSize="0" orientation="portrait" horizontalDpi="0" verticalDpi="0" copie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240"/>
  <sheetViews>
    <sheetView topLeftCell="A28" workbookViewId="0">
      <selection activeCell="I40" sqref="I40"/>
    </sheetView>
  </sheetViews>
  <sheetFormatPr baseColWidth="10" defaultColWidth="12.6640625" defaultRowHeight="15.75" x14ac:dyDescent="0.25"/>
  <cols>
    <col min="1" max="1" width="10.77734375" customWidth="1"/>
    <col min="2" max="2" width="13.5546875" customWidth="1"/>
    <col min="3" max="3" width="17.5546875" customWidth="1"/>
    <col min="4" max="4" width="18.21875" customWidth="1"/>
    <col min="5" max="5" width="19.21875" customWidth="1"/>
    <col min="6" max="6" width="18.109375" customWidth="1"/>
    <col min="7" max="7" width="17.88671875" customWidth="1"/>
  </cols>
  <sheetData>
    <row r="1" spans="1:7" x14ac:dyDescent="0.25">
      <c r="A1" s="171" t="s">
        <v>103</v>
      </c>
      <c r="B1" s="44"/>
      <c r="C1" s="30"/>
      <c r="D1" s="30"/>
      <c r="E1" s="30"/>
      <c r="F1" s="31"/>
    </row>
    <row r="2" spans="1:7" x14ac:dyDescent="0.25">
      <c r="B2" s="161"/>
      <c r="C2" s="162" t="s">
        <v>0</v>
      </c>
      <c r="D2" s="163"/>
      <c r="E2" s="163"/>
      <c r="F2" s="164" t="s">
        <v>64</v>
      </c>
    </row>
    <row r="3" spans="1:7" x14ac:dyDescent="0.25">
      <c r="B3" s="182" t="s">
        <v>100</v>
      </c>
      <c r="C3" s="183"/>
      <c r="D3" s="183"/>
      <c r="E3" s="183"/>
      <c r="F3" s="184"/>
    </row>
    <row r="4" spans="1:7" x14ac:dyDescent="0.25">
      <c r="B4" s="185" t="s">
        <v>101</v>
      </c>
      <c r="C4" s="186"/>
      <c r="D4" s="186"/>
      <c r="E4" s="186"/>
      <c r="F4" s="187"/>
      <c r="G4" s="9"/>
    </row>
    <row r="5" spans="1:7" x14ac:dyDescent="0.25">
      <c r="B5" s="135"/>
      <c r="C5" s="136"/>
      <c r="D5" s="137"/>
      <c r="E5" s="137"/>
      <c r="F5" s="138"/>
    </row>
    <row r="6" spans="1:7" x14ac:dyDescent="0.25">
      <c r="B6" s="139" t="s">
        <v>95</v>
      </c>
      <c r="C6" s="140" t="s">
        <v>1</v>
      </c>
      <c r="D6" s="141" t="s">
        <v>2</v>
      </c>
      <c r="E6" s="141" t="s">
        <v>94</v>
      </c>
      <c r="F6" s="142" t="s">
        <v>3</v>
      </c>
    </row>
    <row r="7" spans="1:7" x14ac:dyDescent="0.25">
      <c r="B7" s="143" t="s">
        <v>96</v>
      </c>
      <c r="C7" s="144"/>
      <c r="D7" s="145"/>
      <c r="E7" s="145"/>
      <c r="F7" s="145"/>
      <c r="G7" s="2"/>
    </row>
    <row r="8" spans="1:7" x14ac:dyDescent="0.25">
      <c r="B8" s="118"/>
      <c r="C8" s="50"/>
      <c r="D8" s="51"/>
      <c r="E8" s="51"/>
      <c r="F8" s="51"/>
    </row>
    <row r="9" spans="1:7" x14ac:dyDescent="0.25">
      <c r="B9" s="119">
        <v>1995</v>
      </c>
      <c r="C9" s="50">
        <v>117827</v>
      </c>
      <c r="D9" s="51">
        <v>3806</v>
      </c>
      <c r="E9" s="51">
        <v>6886</v>
      </c>
      <c r="F9" s="51">
        <v>128519</v>
      </c>
    </row>
    <row r="10" spans="1:7" x14ac:dyDescent="0.25">
      <c r="B10" s="119">
        <v>1996</v>
      </c>
      <c r="C10" s="50">
        <v>90365</v>
      </c>
      <c r="D10" s="51">
        <v>4457</v>
      </c>
      <c r="E10" s="51">
        <v>5963</v>
      </c>
      <c r="F10" s="51">
        <f t="shared" ref="F10:F18" si="0">SUM(C10:E10)</f>
        <v>100785</v>
      </c>
    </row>
    <row r="11" spans="1:7" x14ac:dyDescent="0.25">
      <c r="B11" s="119">
        <v>1997</v>
      </c>
      <c r="C11" s="50">
        <v>118824</v>
      </c>
      <c r="D11" s="51">
        <v>3888</v>
      </c>
      <c r="E11" s="51">
        <v>5917</v>
      </c>
      <c r="F11" s="51">
        <f t="shared" si="0"/>
        <v>128629</v>
      </c>
    </row>
    <row r="12" spans="1:7" x14ac:dyDescent="0.25">
      <c r="B12" s="119">
        <v>1998</v>
      </c>
      <c r="C12" s="50">
        <v>123720</v>
      </c>
      <c r="D12" s="51">
        <v>8775</v>
      </c>
      <c r="E12" s="51">
        <v>8068</v>
      </c>
      <c r="F12" s="51">
        <f t="shared" si="0"/>
        <v>140563</v>
      </c>
    </row>
    <row r="13" spans="1:7" x14ac:dyDescent="0.25">
      <c r="B13" s="119">
        <v>1999</v>
      </c>
      <c r="C13" s="50">
        <v>130554</v>
      </c>
      <c r="D13" s="51">
        <v>8566</v>
      </c>
      <c r="E13" s="51">
        <v>7867</v>
      </c>
      <c r="F13" s="51">
        <f t="shared" si="0"/>
        <v>146987</v>
      </c>
    </row>
    <row r="14" spans="1:7" x14ac:dyDescent="0.25">
      <c r="B14" s="119">
        <v>2000</v>
      </c>
      <c r="C14" s="50">
        <f>SUM(Monthly_Data!C9:C20)</f>
        <v>129194.38400000001</v>
      </c>
      <c r="D14" s="51">
        <f>SUM(Monthly_Data!D9:D20)</f>
        <v>6182.9650000000001</v>
      </c>
      <c r="E14" s="51">
        <f>SUM(Monthly_Data!E9:E20)</f>
        <v>8492.4395000000004</v>
      </c>
      <c r="F14" s="51">
        <f t="shared" si="0"/>
        <v>143869.78850000002</v>
      </c>
    </row>
    <row r="15" spans="1:7" x14ac:dyDescent="0.25">
      <c r="B15" s="119">
        <v>2001</v>
      </c>
      <c r="C15" s="54">
        <f>SUM(Monthly_Data!C21:C32)</f>
        <v>126695.674</v>
      </c>
      <c r="D15" s="51">
        <f>SUM(Monthly_Data!D21:D32)</f>
        <v>3786.3830000000003</v>
      </c>
      <c r="E15" s="51">
        <f>SUM(Monthly_Data!E21:E32)</f>
        <v>9596.3260000000009</v>
      </c>
      <c r="F15" s="51">
        <f t="shared" si="0"/>
        <v>140078.383</v>
      </c>
    </row>
    <row r="16" spans="1:7" x14ac:dyDescent="0.25">
      <c r="B16" s="119">
        <v>2002</v>
      </c>
      <c r="C16" s="54">
        <f>SUM(Monthly_Data!C33:C44)</f>
        <v>142002.55100000001</v>
      </c>
      <c r="D16" s="51">
        <f>SUM(Monthly_Data!D33:D44)</f>
        <v>3355.32</v>
      </c>
      <c r="E16" s="51">
        <f>SUM(Monthly_Data!E33:E44)</f>
        <v>9035.34</v>
      </c>
      <c r="F16" s="51">
        <f t="shared" si="0"/>
        <v>154393.21100000001</v>
      </c>
    </row>
    <row r="17" spans="2:6" x14ac:dyDescent="0.25">
      <c r="B17" s="119">
        <v>2003</v>
      </c>
      <c r="C17" s="57">
        <f>SUM(Monthly_Data!C45:C56)</f>
        <v>143178.03200000001</v>
      </c>
      <c r="D17" s="58">
        <f>SUM(Monthly_Data!D45:D56)</f>
        <v>3592.2950000000001</v>
      </c>
      <c r="E17" s="58">
        <f>SUM(Monthly_Data!E45:E56)</f>
        <v>7758.0680000000002</v>
      </c>
      <c r="F17" s="51">
        <f t="shared" si="0"/>
        <v>154528.39500000002</v>
      </c>
    </row>
    <row r="18" spans="2:6" x14ac:dyDescent="0.25">
      <c r="B18" s="119">
        <v>2004</v>
      </c>
      <c r="C18" s="57">
        <f>SUM(Monthly_Data!C57:C68)</f>
        <v>147643.87400000001</v>
      </c>
      <c r="D18" s="58">
        <f>SUM(Monthly_Data!D57:D68)</f>
        <v>10162.927</v>
      </c>
      <c r="E18" s="58">
        <f>SUM(Monthly_Data!E57:E68)</f>
        <v>6855.1994999999997</v>
      </c>
      <c r="F18" s="51">
        <f t="shared" si="0"/>
        <v>164662.00049999999</v>
      </c>
    </row>
    <row r="19" spans="2:6" s="28" customFormat="1" x14ac:dyDescent="0.25">
      <c r="B19" s="160">
        <v>2005</v>
      </c>
      <c r="C19" s="158">
        <v>153313</v>
      </c>
      <c r="D19" s="76">
        <v>11451</v>
      </c>
      <c r="E19" s="76">
        <v>6099</v>
      </c>
      <c r="F19" s="110">
        <v>170863</v>
      </c>
    </row>
    <row r="20" spans="2:6" s="28" customFormat="1" x14ac:dyDescent="0.25">
      <c r="B20" s="160">
        <v>2006</v>
      </c>
      <c r="C20" s="158">
        <v>134375.22399999999</v>
      </c>
      <c r="D20" s="76">
        <v>10849</v>
      </c>
      <c r="E20" s="76">
        <v>6290</v>
      </c>
      <c r="F20" s="110">
        <v>151514.22399999999</v>
      </c>
    </row>
    <row r="21" spans="2:6" s="28" customFormat="1" x14ac:dyDescent="0.25">
      <c r="B21" s="160">
        <v>2007</v>
      </c>
      <c r="C21" s="158">
        <v>170220.432</v>
      </c>
      <c r="D21" s="76">
        <v>14721.073</v>
      </c>
      <c r="E21" s="76">
        <v>7677.3159999999989</v>
      </c>
      <c r="F21" s="110">
        <v>192618</v>
      </c>
    </row>
    <row r="22" spans="2:6" s="28" customFormat="1" x14ac:dyDescent="0.25">
      <c r="B22" s="160">
        <v>2008</v>
      </c>
      <c r="C22" s="158">
        <v>183923.3</v>
      </c>
      <c r="D22" s="76">
        <v>12667.8</v>
      </c>
      <c r="E22" s="76">
        <v>9837.2000000000007</v>
      </c>
      <c r="F22" s="110">
        <v>206428.99400000001</v>
      </c>
    </row>
    <row r="23" spans="2:6" s="28" customFormat="1" x14ac:dyDescent="0.25">
      <c r="B23" s="160">
        <v>2009</v>
      </c>
      <c r="C23" s="158">
        <v>176664.44099999999</v>
      </c>
      <c r="D23" s="76">
        <v>16703.727000000003</v>
      </c>
      <c r="E23" s="76">
        <v>13332.731</v>
      </c>
      <c r="F23" s="110">
        <v>206700.89899999998</v>
      </c>
    </row>
    <row r="24" spans="2:6" s="28" customFormat="1" x14ac:dyDescent="0.25">
      <c r="B24" s="160">
        <v>2010</v>
      </c>
      <c r="C24" s="158">
        <v>208229.43169999996</v>
      </c>
      <c r="D24" s="76">
        <v>14670.622000000001</v>
      </c>
      <c r="E24" s="76">
        <v>15350.468010000001</v>
      </c>
      <c r="F24" s="110">
        <v>238250.52170999997</v>
      </c>
    </row>
    <row r="25" spans="2:6" s="28" customFormat="1" x14ac:dyDescent="0.25">
      <c r="B25" s="160">
        <v>2011</v>
      </c>
      <c r="C25" s="158">
        <v>210501.72899999999</v>
      </c>
      <c r="D25" s="76">
        <v>15150.1476</v>
      </c>
      <c r="E25" s="76">
        <v>18653.520812000002</v>
      </c>
      <c r="F25" s="110">
        <v>244305.39741199999</v>
      </c>
    </row>
    <row r="26" spans="2:6" s="28" customFormat="1" x14ac:dyDescent="0.25">
      <c r="B26" s="160">
        <v>2012</v>
      </c>
      <c r="C26" s="158">
        <v>212692.07049999997</v>
      </c>
      <c r="D26" s="76">
        <v>14731.901</v>
      </c>
      <c r="E26" s="76">
        <v>17112.808400000002</v>
      </c>
      <c r="F26" s="110">
        <v>237887.06429999997</v>
      </c>
    </row>
    <row r="27" spans="2:6" s="28" customFormat="1" x14ac:dyDescent="0.25">
      <c r="B27" s="160">
        <v>2013</v>
      </c>
      <c r="C27" s="158">
        <v>227399.87800000003</v>
      </c>
      <c r="D27" s="76">
        <v>15042.34</v>
      </c>
      <c r="E27" s="76">
        <v>16848.784100000001</v>
      </c>
      <c r="F27" s="110">
        <v>259291.00210000001</v>
      </c>
    </row>
    <row r="28" spans="2:6" s="28" customFormat="1" x14ac:dyDescent="0.25">
      <c r="B28" s="160">
        <v>2014</v>
      </c>
      <c r="C28" s="158">
        <v>224773.568</v>
      </c>
      <c r="D28" s="76">
        <v>14620.314</v>
      </c>
      <c r="E28" s="76">
        <v>25529.250100000001</v>
      </c>
      <c r="F28" s="110">
        <v>264923.13209999999</v>
      </c>
    </row>
    <row r="29" spans="2:6" s="28" customFormat="1" x14ac:dyDescent="0.25">
      <c r="B29" s="160">
        <v>2015</v>
      </c>
      <c r="C29" s="158">
        <v>220106.62900000002</v>
      </c>
      <c r="D29" s="76">
        <v>16368.629999999997</v>
      </c>
      <c r="E29" s="76">
        <v>21333.2294</v>
      </c>
      <c r="F29" s="110">
        <v>257808.48840000003</v>
      </c>
    </row>
    <row r="30" spans="2:6" s="28" customFormat="1" x14ac:dyDescent="0.25">
      <c r="B30" s="160">
        <v>2016</v>
      </c>
      <c r="C30" s="158">
        <v>248262.23699999999</v>
      </c>
      <c r="D30" s="76">
        <v>17913.131000000001</v>
      </c>
      <c r="E30" s="76">
        <v>20688.196980000001</v>
      </c>
      <c r="F30" s="110">
        <v>286863.56498000002</v>
      </c>
    </row>
    <row r="31" spans="2:6" s="28" customFormat="1" x14ac:dyDescent="0.25">
      <c r="B31" s="160">
        <v>2017</v>
      </c>
      <c r="C31" s="158">
        <v>216803.59599999999</v>
      </c>
      <c r="D31" s="76">
        <v>17805.440999999999</v>
      </c>
      <c r="E31" s="76">
        <v>23246.922210000001</v>
      </c>
      <c r="F31" s="110">
        <v>257855.95921</v>
      </c>
    </row>
    <row r="32" spans="2:6" s="28" customFormat="1" x14ac:dyDescent="0.25">
      <c r="B32" s="160">
        <v>2018</v>
      </c>
      <c r="C32" s="158">
        <v>272947.37140000006</v>
      </c>
      <c r="D32" s="76">
        <v>18775.510000000002</v>
      </c>
      <c r="E32" s="76">
        <v>23870.479800000001</v>
      </c>
      <c r="F32" s="110">
        <v>315593.36119999998</v>
      </c>
    </row>
    <row r="33" spans="2:8" x14ac:dyDescent="0.25">
      <c r="B33" s="160">
        <v>2019</v>
      </c>
      <c r="C33" s="173">
        <v>288260.2365</v>
      </c>
      <c r="D33" s="174">
        <v>18748.129000000001</v>
      </c>
      <c r="E33" s="174">
        <v>28210.089529999997</v>
      </c>
      <c r="F33" s="174">
        <v>335218.45503000001</v>
      </c>
      <c r="G33" s="76"/>
    </row>
    <row r="34" spans="2:8" x14ac:dyDescent="0.25">
      <c r="B34" s="160" t="s">
        <v>117</v>
      </c>
      <c r="C34" s="158">
        <v>284449.56</v>
      </c>
      <c r="D34" s="76">
        <v>20285.712</v>
      </c>
      <c r="E34" s="76">
        <v>29494.248439999999</v>
      </c>
      <c r="F34" s="76">
        <v>334229.52043999999</v>
      </c>
      <c r="G34" s="5"/>
    </row>
    <row r="35" spans="2:8" x14ac:dyDescent="0.25">
      <c r="B35" s="160" t="s">
        <v>130</v>
      </c>
      <c r="C35" s="158">
        <v>284449.56</v>
      </c>
      <c r="D35" s="76">
        <v>20285.712</v>
      </c>
      <c r="E35" s="76">
        <v>29494.248439999999</v>
      </c>
      <c r="F35" s="76">
        <v>334229.52043999999</v>
      </c>
      <c r="G35" s="9"/>
      <c r="H35" s="9"/>
    </row>
    <row r="36" spans="2:8" x14ac:dyDescent="0.25">
      <c r="B36" s="118"/>
      <c r="C36" s="57"/>
      <c r="D36" s="58"/>
      <c r="E36" s="58"/>
      <c r="F36" s="51"/>
      <c r="G36" s="9"/>
    </row>
    <row r="37" spans="2:8" x14ac:dyDescent="0.25">
      <c r="B37" s="118"/>
      <c r="C37" s="57"/>
      <c r="D37" s="58"/>
      <c r="E37" s="58"/>
      <c r="F37" s="51"/>
      <c r="G37" s="8"/>
    </row>
    <row r="38" spans="2:8" x14ac:dyDescent="0.25">
      <c r="B38" s="118"/>
      <c r="C38" s="57"/>
      <c r="D38" s="58"/>
      <c r="E38" s="58"/>
      <c r="F38" s="51"/>
      <c r="G38" s="8"/>
    </row>
    <row r="39" spans="2:8" x14ac:dyDescent="0.25">
      <c r="B39" s="118"/>
      <c r="C39" s="57"/>
      <c r="D39" s="58"/>
      <c r="E39" s="58"/>
      <c r="F39" s="51"/>
      <c r="G39" s="11"/>
    </row>
    <row r="40" spans="2:8" x14ac:dyDescent="0.25">
      <c r="B40" s="118"/>
      <c r="C40" s="57"/>
      <c r="D40" s="58"/>
      <c r="E40" s="58"/>
      <c r="F40" s="51"/>
      <c r="G40" s="11"/>
    </row>
    <row r="41" spans="2:8" x14ac:dyDescent="0.25">
      <c r="B41" s="118"/>
      <c r="C41" s="57"/>
      <c r="D41" s="58"/>
      <c r="E41" s="58"/>
      <c r="F41" s="51"/>
      <c r="G41" s="11"/>
    </row>
    <row r="42" spans="2:8" x14ac:dyDescent="0.25">
      <c r="B42" s="118"/>
      <c r="C42" s="57"/>
      <c r="D42" s="58"/>
      <c r="E42" s="58"/>
      <c r="F42" s="51"/>
      <c r="G42" s="11"/>
    </row>
    <row r="43" spans="2:8" x14ac:dyDescent="0.25">
      <c r="B43" s="118"/>
      <c r="C43" s="57"/>
      <c r="D43" s="58"/>
      <c r="E43" s="58"/>
      <c r="F43" s="51"/>
      <c r="G43" s="11"/>
    </row>
    <row r="44" spans="2:8" x14ac:dyDescent="0.25">
      <c r="B44" s="118"/>
      <c r="C44" s="57"/>
      <c r="D44" s="64"/>
      <c r="E44" s="64"/>
      <c r="F44" s="51"/>
      <c r="G44" s="17"/>
    </row>
    <row r="45" spans="2:8" x14ac:dyDescent="0.25">
      <c r="B45" s="118"/>
      <c r="C45" s="57"/>
      <c r="D45" s="64"/>
      <c r="E45" s="64"/>
      <c r="F45" s="51"/>
      <c r="G45" s="17"/>
    </row>
    <row r="46" spans="2:8" x14ac:dyDescent="0.25">
      <c r="B46" s="118"/>
      <c r="C46" s="57"/>
      <c r="D46" s="64"/>
      <c r="E46" s="64"/>
      <c r="F46" s="51"/>
      <c r="G46" s="17"/>
    </row>
    <row r="47" spans="2:8" x14ac:dyDescent="0.25">
      <c r="B47" s="118"/>
      <c r="C47" s="57"/>
      <c r="D47" s="64"/>
      <c r="E47" s="64"/>
      <c r="F47" s="51"/>
      <c r="G47" s="17"/>
    </row>
    <row r="48" spans="2:8" x14ac:dyDescent="0.25">
      <c r="B48" s="118"/>
      <c r="C48" s="57"/>
      <c r="D48" s="64"/>
      <c r="E48" s="64"/>
      <c r="F48" s="51"/>
      <c r="G48" s="17"/>
    </row>
    <row r="49" spans="2:9" x14ac:dyDescent="0.25">
      <c r="B49" s="118"/>
      <c r="C49" s="57"/>
      <c r="D49" s="64"/>
      <c r="E49" s="64"/>
      <c r="F49" s="51"/>
      <c r="G49" s="18"/>
    </row>
    <row r="50" spans="2:9" x14ac:dyDescent="0.25">
      <c r="B50" s="118"/>
      <c r="C50" s="57"/>
      <c r="D50" s="64"/>
      <c r="E50" s="64"/>
      <c r="F50" s="51"/>
      <c r="G50" s="18"/>
    </row>
    <row r="51" spans="2:9" x14ac:dyDescent="0.25">
      <c r="B51" s="118"/>
      <c r="C51" s="57"/>
      <c r="D51" s="64"/>
      <c r="E51" s="64"/>
      <c r="F51" s="51"/>
      <c r="G51" s="18"/>
    </row>
    <row r="52" spans="2:9" x14ac:dyDescent="0.25">
      <c r="B52" s="118"/>
      <c r="C52" s="57"/>
      <c r="D52" s="64"/>
      <c r="E52" s="64"/>
      <c r="F52" s="51"/>
      <c r="G52" s="18"/>
    </row>
    <row r="53" spans="2:9" x14ac:dyDescent="0.25">
      <c r="B53" s="118"/>
      <c r="C53" s="57"/>
      <c r="D53" s="64"/>
      <c r="E53" s="64"/>
      <c r="F53" s="51"/>
      <c r="G53" s="17"/>
    </row>
    <row r="54" spans="2:9" x14ac:dyDescent="0.25">
      <c r="B54" s="118"/>
      <c r="C54" s="57"/>
      <c r="D54" s="64"/>
      <c r="E54" s="64"/>
      <c r="F54" s="51"/>
      <c r="G54" s="18"/>
    </row>
    <row r="55" spans="2:9" x14ac:dyDescent="0.25">
      <c r="B55" s="118"/>
      <c r="C55" s="57"/>
      <c r="D55" s="64"/>
      <c r="E55" s="64"/>
      <c r="F55" s="51"/>
      <c r="G55" s="18"/>
    </row>
    <row r="56" spans="2:9" x14ac:dyDescent="0.25">
      <c r="B56" s="118"/>
      <c r="C56" s="57"/>
      <c r="D56" s="58"/>
      <c r="E56" s="58"/>
      <c r="F56" s="56"/>
      <c r="G56" s="5"/>
    </row>
    <row r="57" spans="2:9" x14ac:dyDescent="0.25">
      <c r="B57" s="118"/>
      <c r="C57" s="57"/>
      <c r="D57" s="58"/>
      <c r="E57" s="58"/>
      <c r="F57" s="56"/>
      <c r="G57" s="5"/>
    </row>
    <row r="58" spans="2:9" x14ac:dyDescent="0.25">
      <c r="B58" s="118"/>
      <c r="C58" s="57"/>
      <c r="D58" s="58"/>
      <c r="E58" s="58"/>
      <c r="F58" s="56"/>
      <c r="G58" s="11"/>
    </row>
    <row r="59" spans="2:9" x14ac:dyDescent="0.25">
      <c r="B59" s="118"/>
      <c r="C59" s="57"/>
      <c r="D59" s="58"/>
      <c r="E59" s="58"/>
      <c r="F59" s="56"/>
      <c r="G59" s="11"/>
    </row>
    <row r="60" spans="2:9" x14ac:dyDescent="0.25">
      <c r="B60" s="118"/>
      <c r="C60" s="57"/>
      <c r="D60" s="58"/>
      <c r="E60" s="58"/>
      <c r="F60" s="56"/>
      <c r="G60" s="11"/>
    </row>
    <row r="61" spans="2:9" x14ac:dyDescent="0.25">
      <c r="B61" s="118"/>
      <c r="C61" s="57"/>
      <c r="D61" s="58"/>
      <c r="E61" s="58"/>
      <c r="F61" s="56"/>
      <c r="H61" s="11"/>
      <c r="I61" s="8"/>
    </row>
    <row r="62" spans="2:9" x14ac:dyDescent="0.25">
      <c r="B62" s="118"/>
      <c r="C62" s="57"/>
      <c r="D62" s="58"/>
      <c r="E62" s="58"/>
      <c r="F62" s="56"/>
      <c r="G62" s="9"/>
      <c r="H62" s="11"/>
      <c r="I62" s="8"/>
    </row>
    <row r="63" spans="2:9" x14ac:dyDescent="0.25">
      <c r="B63" s="118"/>
      <c r="C63" s="57"/>
      <c r="D63" s="58"/>
      <c r="E63" s="58"/>
      <c r="F63" s="56"/>
      <c r="H63" s="11"/>
      <c r="I63" s="8"/>
    </row>
    <row r="64" spans="2:9" x14ac:dyDescent="0.25">
      <c r="B64" s="118"/>
      <c r="C64" s="68"/>
      <c r="D64" s="69"/>
      <c r="E64" s="58"/>
      <c r="F64" s="56"/>
      <c r="G64" s="8"/>
      <c r="H64" s="11"/>
      <c r="I64" s="8"/>
    </row>
    <row r="65" spans="2:9" x14ac:dyDescent="0.25">
      <c r="B65" s="118"/>
      <c r="C65" s="68"/>
      <c r="D65" s="69"/>
      <c r="E65" s="58"/>
      <c r="F65" s="56"/>
      <c r="G65" s="9"/>
      <c r="H65" s="11"/>
      <c r="I65" s="8"/>
    </row>
    <row r="66" spans="2:9" x14ac:dyDescent="0.25">
      <c r="B66" s="118"/>
      <c r="C66" s="68"/>
      <c r="D66" s="69"/>
      <c r="E66" s="58"/>
      <c r="F66" s="56"/>
      <c r="G66" s="9"/>
      <c r="H66" s="11"/>
      <c r="I66" s="8"/>
    </row>
    <row r="67" spans="2:9" x14ac:dyDescent="0.25">
      <c r="B67" s="118"/>
      <c r="C67" s="68"/>
      <c r="D67" s="69"/>
      <c r="E67" s="58"/>
      <c r="F67" s="56"/>
      <c r="G67" s="9"/>
      <c r="H67" s="11"/>
      <c r="I67" s="8"/>
    </row>
    <row r="68" spans="2:9" x14ac:dyDescent="0.25">
      <c r="B68" s="118"/>
      <c r="C68" s="68"/>
      <c r="D68" s="69"/>
      <c r="E68" s="58"/>
      <c r="F68" s="56"/>
      <c r="G68" s="9"/>
      <c r="H68" s="11"/>
      <c r="I68" s="8"/>
    </row>
    <row r="69" spans="2:9" x14ac:dyDescent="0.25">
      <c r="B69" s="118"/>
      <c r="C69" s="68"/>
      <c r="D69" s="69"/>
      <c r="E69" s="58"/>
      <c r="F69" s="56"/>
      <c r="G69" s="9"/>
      <c r="H69" s="11"/>
      <c r="I69" s="8"/>
    </row>
    <row r="70" spans="2:9" x14ac:dyDescent="0.25">
      <c r="B70" s="118"/>
      <c r="C70" s="68"/>
      <c r="D70" s="69"/>
      <c r="E70" s="58"/>
      <c r="F70" s="56"/>
      <c r="G70" s="9"/>
      <c r="H70" s="11"/>
      <c r="I70" s="8"/>
    </row>
    <row r="71" spans="2:9" x14ac:dyDescent="0.25">
      <c r="B71" s="118"/>
      <c r="C71" s="68"/>
      <c r="D71" s="69"/>
      <c r="E71" s="58"/>
      <c r="F71" s="56"/>
      <c r="G71" s="5"/>
      <c r="H71" s="11"/>
      <c r="I71" s="8"/>
    </row>
    <row r="72" spans="2:9" x14ac:dyDescent="0.25">
      <c r="B72" s="118"/>
      <c r="C72" s="68"/>
      <c r="D72" s="69"/>
      <c r="E72" s="58"/>
      <c r="F72" s="56"/>
      <c r="G72" s="5"/>
      <c r="H72" s="11"/>
      <c r="I72" s="8"/>
    </row>
    <row r="73" spans="2:9" x14ac:dyDescent="0.25">
      <c r="B73" s="118"/>
      <c r="C73" s="68"/>
      <c r="D73" s="69"/>
      <c r="E73" s="58"/>
      <c r="F73" s="56"/>
      <c r="G73" s="5"/>
      <c r="H73" s="11"/>
      <c r="I73" s="8"/>
    </row>
    <row r="74" spans="2:9" x14ac:dyDescent="0.25">
      <c r="B74" s="118"/>
      <c r="C74" s="68"/>
      <c r="D74" s="69"/>
      <c r="E74" s="58"/>
      <c r="F74" s="56"/>
      <c r="G74" s="5"/>
      <c r="H74" s="11"/>
      <c r="I74" s="8"/>
    </row>
    <row r="75" spans="2:9" x14ac:dyDescent="0.25">
      <c r="B75" s="118"/>
      <c r="C75" s="68"/>
      <c r="D75" s="69"/>
      <c r="E75" s="58"/>
      <c r="F75" s="56"/>
      <c r="G75" s="5"/>
      <c r="H75" s="11"/>
      <c r="I75" s="8"/>
    </row>
    <row r="76" spans="2:9" x14ac:dyDescent="0.25">
      <c r="B76" s="118"/>
      <c r="C76" s="68"/>
      <c r="D76" s="69"/>
      <c r="E76" s="58"/>
      <c r="F76" s="56"/>
      <c r="G76" s="5"/>
      <c r="H76" s="11"/>
      <c r="I76" s="8"/>
    </row>
    <row r="77" spans="2:9" x14ac:dyDescent="0.25">
      <c r="B77" s="118"/>
      <c r="C77" s="68"/>
      <c r="D77" s="69"/>
      <c r="E77" s="58"/>
      <c r="F77" s="56"/>
      <c r="G77" s="5"/>
      <c r="H77" s="11"/>
      <c r="I77" s="8"/>
    </row>
    <row r="78" spans="2:9" x14ac:dyDescent="0.25">
      <c r="B78" s="118"/>
      <c r="C78" s="57"/>
      <c r="D78" s="58"/>
      <c r="E78" s="58"/>
      <c r="F78" s="56"/>
      <c r="G78" s="5"/>
      <c r="H78" s="11"/>
      <c r="I78" s="8"/>
    </row>
    <row r="79" spans="2:9" x14ac:dyDescent="0.25">
      <c r="B79" s="118"/>
      <c r="C79" s="57"/>
      <c r="D79" s="58"/>
      <c r="E79" s="58"/>
      <c r="F79" s="56"/>
      <c r="G79" s="5"/>
      <c r="H79" s="11"/>
      <c r="I79" s="8"/>
    </row>
    <row r="80" spans="2:9" x14ac:dyDescent="0.25">
      <c r="B80" s="118"/>
      <c r="C80" s="57"/>
      <c r="D80" s="58"/>
      <c r="E80" s="58"/>
      <c r="F80" s="56"/>
      <c r="G80" s="9"/>
      <c r="H80" s="11"/>
      <c r="I80" s="8"/>
    </row>
    <row r="81" spans="2:9" x14ac:dyDescent="0.25">
      <c r="B81" s="118"/>
      <c r="C81" s="57"/>
      <c r="D81" s="58"/>
      <c r="E81" s="58"/>
      <c r="F81" s="56"/>
      <c r="G81" s="5"/>
      <c r="H81" s="11"/>
      <c r="I81" s="8"/>
    </row>
    <row r="82" spans="2:9" x14ac:dyDescent="0.25">
      <c r="B82" s="118"/>
      <c r="C82" s="57"/>
      <c r="D82" s="58"/>
      <c r="E82" s="58"/>
      <c r="F82" s="56"/>
      <c r="G82" s="15"/>
      <c r="H82" s="11"/>
      <c r="I82" s="8"/>
    </row>
    <row r="83" spans="2:9" x14ac:dyDescent="0.25">
      <c r="B83" s="118"/>
      <c r="C83" s="57"/>
      <c r="D83" s="58"/>
      <c r="E83" s="58"/>
      <c r="F83" s="56"/>
      <c r="G83" s="15"/>
      <c r="H83" s="11"/>
      <c r="I83" s="8"/>
    </row>
    <row r="84" spans="2:9" x14ac:dyDescent="0.25">
      <c r="B84" s="118"/>
      <c r="C84" s="57"/>
      <c r="D84" s="58"/>
      <c r="E84" s="58"/>
      <c r="F84" s="56"/>
      <c r="G84" s="15"/>
      <c r="H84" s="11"/>
      <c r="I84" s="8"/>
    </row>
    <row r="85" spans="2:9" x14ac:dyDescent="0.25">
      <c r="B85" s="118"/>
      <c r="C85" s="57"/>
      <c r="D85" s="58"/>
      <c r="E85" s="58"/>
      <c r="F85" s="56"/>
      <c r="G85" s="15"/>
      <c r="H85" s="11"/>
      <c r="I85" s="8"/>
    </row>
    <row r="86" spans="2:9" x14ac:dyDescent="0.25">
      <c r="B86" s="118"/>
      <c r="C86" s="57"/>
      <c r="D86" s="58"/>
      <c r="E86" s="58"/>
      <c r="F86" s="56"/>
      <c r="G86" s="15"/>
      <c r="H86" s="11"/>
      <c r="I86" s="8"/>
    </row>
    <row r="87" spans="2:9" x14ac:dyDescent="0.25">
      <c r="B87" s="118"/>
      <c r="C87" s="57"/>
      <c r="D87" s="58"/>
      <c r="E87" s="58"/>
      <c r="F87" s="56"/>
      <c r="G87" s="15"/>
      <c r="H87" s="11"/>
      <c r="I87" s="8"/>
    </row>
    <row r="88" spans="2:9" x14ac:dyDescent="0.25">
      <c r="B88" s="118"/>
      <c r="C88" s="57"/>
      <c r="D88" s="58"/>
      <c r="E88" s="58"/>
      <c r="F88" s="56"/>
      <c r="G88" s="15"/>
      <c r="H88" s="11"/>
      <c r="I88" s="8"/>
    </row>
    <row r="89" spans="2:9" x14ac:dyDescent="0.25">
      <c r="B89" s="118"/>
      <c r="C89" s="57"/>
      <c r="D89" s="58"/>
      <c r="E89" s="58"/>
      <c r="F89" s="56"/>
      <c r="G89" s="15"/>
      <c r="H89" s="11"/>
      <c r="I89" s="8"/>
    </row>
    <row r="90" spans="2:9" x14ac:dyDescent="0.25">
      <c r="B90" s="118"/>
      <c r="C90" s="57"/>
      <c r="D90" s="58"/>
      <c r="E90" s="58"/>
      <c r="F90" s="56"/>
      <c r="G90" s="15"/>
      <c r="H90" s="11"/>
      <c r="I90" s="8"/>
    </row>
    <row r="91" spans="2:9" x14ac:dyDescent="0.25">
      <c r="B91" s="118"/>
      <c r="C91" s="57"/>
      <c r="D91" s="58"/>
      <c r="E91" s="58"/>
      <c r="F91" s="56"/>
      <c r="G91" s="15"/>
      <c r="H91" s="11"/>
      <c r="I91" s="8"/>
    </row>
    <row r="92" spans="2:9" x14ac:dyDescent="0.25">
      <c r="B92" s="118"/>
      <c r="C92" s="57"/>
      <c r="D92" s="58"/>
      <c r="E92" s="58"/>
      <c r="F92" s="56"/>
      <c r="G92" s="15"/>
      <c r="H92" s="11"/>
      <c r="I92" s="8"/>
    </row>
    <row r="93" spans="2:9" x14ac:dyDescent="0.25">
      <c r="B93" s="118"/>
      <c r="C93" s="57"/>
      <c r="D93" s="58"/>
      <c r="E93" s="58"/>
      <c r="F93" s="56"/>
      <c r="G93" s="9"/>
      <c r="H93" s="11"/>
      <c r="I93" s="8"/>
    </row>
    <row r="94" spans="2:9" x14ac:dyDescent="0.25">
      <c r="B94" s="118"/>
      <c r="C94" s="57"/>
      <c r="D94" s="58"/>
      <c r="E94" s="58"/>
      <c r="F94" s="56"/>
      <c r="G94" s="9"/>
      <c r="H94" s="11"/>
      <c r="I94" s="8"/>
    </row>
    <row r="95" spans="2:9" x14ac:dyDescent="0.25">
      <c r="B95" s="118"/>
      <c r="C95" s="57"/>
      <c r="D95" s="58"/>
      <c r="E95" s="58"/>
      <c r="F95" s="56"/>
      <c r="G95" s="17"/>
      <c r="H95" s="11"/>
      <c r="I95" s="8"/>
    </row>
    <row r="96" spans="2:9" x14ac:dyDescent="0.25">
      <c r="B96" s="118"/>
      <c r="C96" s="57"/>
      <c r="D96" s="58"/>
      <c r="E96" s="58"/>
      <c r="F96" s="56"/>
      <c r="G96" s="17"/>
      <c r="H96" s="11"/>
      <c r="I96" s="8"/>
    </row>
    <row r="97" spans="2:9" x14ac:dyDescent="0.25">
      <c r="B97" s="118"/>
      <c r="C97" s="57"/>
      <c r="D97" s="58"/>
      <c r="E97" s="58"/>
      <c r="F97" s="56"/>
      <c r="G97" s="17"/>
      <c r="H97" s="11"/>
      <c r="I97" s="8"/>
    </row>
    <row r="98" spans="2:9" x14ac:dyDescent="0.25">
      <c r="B98" s="118"/>
      <c r="C98" s="57"/>
      <c r="D98" s="58"/>
      <c r="E98" s="58"/>
      <c r="F98" s="56"/>
      <c r="G98" s="17"/>
      <c r="H98" s="11"/>
      <c r="I98" s="8"/>
    </row>
    <row r="99" spans="2:9" x14ac:dyDescent="0.25">
      <c r="B99" s="118"/>
      <c r="C99" s="57"/>
      <c r="D99" s="58"/>
      <c r="E99" s="58"/>
      <c r="F99" s="56"/>
      <c r="G99" s="17"/>
      <c r="H99" s="11"/>
      <c r="I99" s="8"/>
    </row>
    <row r="100" spans="2:9" x14ac:dyDescent="0.25">
      <c r="B100" s="118"/>
      <c r="C100" s="57"/>
      <c r="D100" s="58"/>
      <c r="E100" s="58"/>
      <c r="F100" s="56"/>
      <c r="G100" s="17"/>
      <c r="H100" s="11"/>
      <c r="I100" s="8"/>
    </row>
    <row r="101" spans="2:9" x14ac:dyDescent="0.25">
      <c r="B101" s="118"/>
      <c r="C101" s="57"/>
      <c r="D101" s="58"/>
      <c r="E101" s="58"/>
      <c r="F101" s="56"/>
      <c r="G101" s="17"/>
      <c r="H101" s="11"/>
      <c r="I101" s="8"/>
    </row>
    <row r="102" spans="2:9" x14ac:dyDescent="0.25">
      <c r="B102" s="118"/>
      <c r="C102" s="57"/>
      <c r="D102" s="58"/>
      <c r="E102" s="58"/>
      <c r="F102" s="56"/>
      <c r="G102" s="17"/>
      <c r="H102" s="11"/>
      <c r="I102" s="8"/>
    </row>
    <row r="103" spans="2:9" x14ac:dyDescent="0.25">
      <c r="B103" s="118"/>
      <c r="C103" s="57"/>
      <c r="D103" s="58"/>
      <c r="E103" s="58"/>
      <c r="F103" s="56"/>
      <c r="G103" s="17"/>
      <c r="H103" s="11"/>
      <c r="I103" s="8"/>
    </row>
    <row r="104" spans="2:9" x14ac:dyDescent="0.25">
      <c r="B104" s="118"/>
      <c r="C104" s="57"/>
      <c r="D104" s="58"/>
      <c r="E104" s="58"/>
      <c r="F104" s="56"/>
      <c r="G104" s="17"/>
      <c r="H104" s="11"/>
      <c r="I104" s="8"/>
    </row>
    <row r="105" spans="2:9" x14ac:dyDescent="0.25">
      <c r="B105" s="118"/>
      <c r="C105" s="57"/>
      <c r="D105" s="58"/>
      <c r="E105" s="58"/>
      <c r="F105" s="56"/>
      <c r="G105" s="17"/>
      <c r="H105" s="11"/>
      <c r="I105" s="8"/>
    </row>
    <row r="106" spans="2:9" x14ac:dyDescent="0.25">
      <c r="B106" s="118"/>
      <c r="C106" s="57"/>
      <c r="D106" s="58"/>
      <c r="E106" s="58"/>
      <c r="F106" s="56"/>
      <c r="G106" s="17"/>
      <c r="H106" s="11"/>
      <c r="I106" s="8"/>
    </row>
    <row r="107" spans="2:9" x14ac:dyDescent="0.25">
      <c r="B107" s="118"/>
      <c r="C107" s="57"/>
      <c r="D107" s="58"/>
      <c r="E107" s="58"/>
      <c r="F107" s="56"/>
      <c r="G107" s="17"/>
      <c r="H107" s="11"/>
      <c r="I107" s="8"/>
    </row>
    <row r="108" spans="2:9" x14ac:dyDescent="0.25">
      <c r="B108" s="118"/>
      <c r="C108" s="57"/>
      <c r="D108" s="58"/>
      <c r="E108" s="58"/>
      <c r="F108" s="56"/>
      <c r="G108" s="17"/>
      <c r="H108" s="11"/>
      <c r="I108" s="8"/>
    </row>
    <row r="109" spans="2:9" x14ac:dyDescent="0.25">
      <c r="B109" s="118"/>
      <c r="C109" s="57"/>
      <c r="D109" s="58"/>
      <c r="E109" s="58"/>
      <c r="F109" s="56"/>
      <c r="G109" s="15"/>
      <c r="H109" s="11"/>
      <c r="I109" s="8"/>
    </row>
    <row r="110" spans="2:9" x14ac:dyDescent="0.25">
      <c r="B110" s="118"/>
      <c r="C110" s="57"/>
      <c r="D110" s="58"/>
      <c r="E110" s="58"/>
      <c r="F110" s="56"/>
      <c r="G110" s="17"/>
      <c r="H110" s="11"/>
      <c r="I110" s="8"/>
    </row>
    <row r="111" spans="2:9" x14ac:dyDescent="0.25">
      <c r="B111" s="118"/>
      <c r="C111" s="57"/>
      <c r="D111" s="58"/>
      <c r="E111" s="58"/>
      <c r="F111" s="56"/>
      <c r="G111" s="17"/>
      <c r="H111" s="11"/>
      <c r="I111" s="8"/>
    </row>
    <row r="112" spans="2:9" x14ac:dyDescent="0.25">
      <c r="B112" s="118"/>
      <c r="C112" s="57"/>
      <c r="D112" s="58"/>
      <c r="E112" s="58"/>
      <c r="F112" s="56"/>
      <c r="G112" s="17"/>
      <c r="H112" s="11"/>
      <c r="I112" s="8"/>
    </row>
    <row r="113" spans="2:9" x14ac:dyDescent="0.25">
      <c r="B113" s="118"/>
      <c r="C113" s="57"/>
      <c r="D113" s="58"/>
      <c r="E113" s="58"/>
      <c r="F113" s="56"/>
      <c r="G113" s="17"/>
      <c r="H113" s="11"/>
      <c r="I113" s="8"/>
    </row>
    <row r="114" spans="2:9" x14ac:dyDescent="0.25">
      <c r="B114" s="118"/>
      <c r="C114" s="57"/>
      <c r="D114" s="58"/>
      <c r="E114" s="58"/>
      <c r="F114" s="56"/>
      <c r="G114" s="9"/>
      <c r="H114" s="11"/>
      <c r="I114" s="8"/>
    </row>
    <row r="115" spans="2:9" x14ac:dyDescent="0.25">
      <c r="B115" s="118"/>
      <c r="C115" s="57"/>
      <c r="D115" s="58"/>
      <c r="E115" s="58"/>
      <c r="F115" s="56"/>
      <c r="G115" s="17"/>
      <c r="H115" s="11"/>
      <c r="I115" s="8"/>
    </row>
    <row r="116" spans="2:9" x14ac:dyDescent="0.25">
      <c r="B116" s="118"/>
      <c r="C116" s="57"/>
      <c r="D116" s="58"/>
      <c r="E116" s="58"/>
      <c r="F116" s="56"/>
      <c r="G116" s="17"/>
      <c r="H116" s="11"/>
      <c r="I116" s="8"/>
    </row>
    <row r="117" spans="2:9" x14ac:dyDescent="0.25">
      <c r="B117" s="118"/>
      <c r="C117" s="57"/>
      <c r="D117" s="58"/>
      <c r="E117" s="58"/>
      <c r="F117" s="56"/>
      <c r="G117" s="17"/>
      <c r="H117" s="11"/>
      <c r="I117" s="8"/>
    </row>
    <row r="118" spans="2:9" x14ac:dyDescent="0.25">
      <c r="B118" s="118"/>
      <c r="C118" s="57"/>
      <c r="D118" s="58"/>
      <c r="E118" s="58"/>
      <c r="F118" s="56"/>
      <c r="G118" s="17"/>
      <c r="H118" s="11"/>
      <c r="I118" s="8"/>
    </row>
    <row r="119" spans="2:9" x14ac:dyDescent="0.25">
      <c r="B119" s="118"/>
      <c r="C119" s="57"/>
      <c r="D119" s="58"/>
      <c r="E119" s="58"/>
      <c r="F119" s="56"/>
      <c r="G119" s="17"/>
      <c r="H119" s="11"/>
      <c r="I119" s="8"/>
    </row>
    <row r="120" spans="2:9" x14ac:dyDescent="0.25">
      <c r="B120" s="118"/>
      <c r="C120" s="57"/>
      <c r="D120" s="58"/>
      <c r="E120" s="58"/>
      <c r="F120" s="56"/>
      <c r="G120" s="17"/>
      <c r="H120" s="11"/>
      <c r="I120" s="8"/>
    </row>
    <row r="121" spans="2:9" x14ac:dyDescent="0.25">
      <c r="B121" s="118"/>
      <c r="C121" s="57"/>
      <c r="D121" s="58"/>
      <c r="E121" s="58"/>
      <c r="F121" s="56"/>
      <c r="G121" s="17"/>
      <c r="H121" s="11"/>
      <c r="I121" s="8"/>
    </row>
    <row r="122" spans="2:9" x14ac:dyDescent="0.25">
      <c r="B122" s="118"/>
      <c r="C122" s="57"/>
      <c r="D122" s="58"/>
      <c r="E122" s="58"/>
      <c r="F122" s="56"/>
      <c r="G122" s="17"/>
      <c r="H122" s="11"/>
      <c r="I122" s="8"/>
    </row>
    <row r="123" spans="2:9" x14ac:dyDescent="0.25">
      <c r="B123" s="118"/>
      <c r="C123" s="57"/>
      <c r="D123" s="58"/>
      <c r="E123" s="58"/>
      <c r="F123" s="56"/>
      <c r="G123" s="17"/>
      <c r="H123" s="11"/>
      <c r="I123" s="8"/>
    </row>
    <row r="124" spans="2:9" x14ac:dyDescent="0.25">
      <c r="B124" s="118"/>
      <c r="C124" s="57"/>
      <c r="D124" s="58"/>
      <c r="E124" s="58"/>
      <c r="F124" s="56"/>
      <c r="G124" s="19"/>
      <c r="H124" s="11"/>
      <c r="I124" s="8"/>
    </row>
    <row r="125" spans="2:9" ht="15.75" customHeight="1" x14ac:dyDescent="0.25">
      <c r="B125" s="118"/>
      <c r="C125" s="57"/>
      <c r="D125" s="58"/>
      <c r="E125" s="58"/>
      <c r="F125" s="56"/>
      <c r="G125" s="19"/>
      <c r="H125" s="11"/>
      <c r="I125" s="8"/>
    </row>
    <row r="126" spans="2:9" x14ac:dyDescent="0.25">
      <c r="B126" s="118"/>
      <c r="C126" s="57"/>
      <c r="D126" s="58"/>
      <c r="E126" s="58"/>
      <c r="F126" s="56"/>
      <c r="G126" s="19"/>
      <c r="H126" s="11"/>
      <c r="I126" s="8"/>
    </row>
    <row r="127" spans="2:9" x14ac:dyDescent="0.25">
      <c r="B127" s="118"/>
      <c r="C127" s="68"/>
      <c r="D127" s="58"/>
      <c r="E127" s="58"/>
      <c r="F127" s="56"/>
      <c r="G127" s="19"/>
      <c r="H127" s="11"/>
      <c r="I127" s="8"/>
    </row>
    <row r="128" spans="2:9" x14ac:dyDescent="0.25">
      <c r="B128" s="118"/>
      <c r="C128" s="68"/>
      <c r="D128" s="58"/>
      <c r="E128" s="58"/>
      <c r="F128" s="56"/>
      <c r="G128" s="19"/>
      <c r="H128" s="11"/>
      <c r="I128" s="8"/>
    </row>
    <row r="129" spans="2:9" x14ac:dyDescent="0.25">
      <c r="B129" s="118"/>
      <c r="C129" s="68"/>
      <c r="D129" s="58"/>
      <c r="E129" s="58"/>
      <c r="F129" s="56"/>
      <c r="G129" s="19"/>
      <c r="H129" s="11"/>
      <c r="I129" s="8"/>
    </row>
    <row r="130" spans="2:9" x14ac:dyDescent="0.25">
      <c r="B130" s="118"/>
      <c r="C130" s="68"/>
      <c r="D130" s="58"/>
      <c r="E130" s="58"/>
      <c r="F130" s="56"/>
      <c r="G130" s="19"/>
      <c r="H130" s="11"/>
      <c r="I130" s="8"/>
    </row>
    <row r="131" spans="2:9" x14ac:dyDescent="0.25">
      <c r="B131" s="118"/>
      <c r="C131" s="68"/>
      <c r="D131" s="58"/>
      <c r="E131" s="58"/>
      <c r="F131" s="56"/>
      <c r="G131" s="19"/>
      <c r="H131" s="11"/>
      <c r="I131" s="8"/>
    </row>
    <row r="132" spans="2:9" x14ac:dyDescent="0.25">
      <c r="B132" s="118"/>
      <c r="C132" s="68"/>
      <c r="D132" s="58"/>
      <c r="E132" s="58"/>
      <c r="F132" s="56"/>
      <c r="G132" s="19"/>
      <c r="H132" s="11"/>
      <c r="I132" s="8"/>
    </row>
    <row r="133" spans="2:9" x14ac:dyDescent="0.25">
      <c r="B133" s="118"/>
      <c r="C133" s="68"/>
      <c r="D133" s="58"/>
      <c r="E133" s="58"/>
      <c r="F133" s="56"/>
      <c r="G133" s="19"/>
      <c r="H133" s="11"/>
      <c r="I133" s="8"/>
    </row>
    <row r="134" spans="2:9" x14ac:dyDescent="0.25">
      <c r="B134" s="118"/>
      <c r="C134" s="72"/>
      <c r="D134" s="58"/>
      <c r="E134" s="72"/>
      <c r="F134" s="51"/>
      <c r="G134" s="19"/>
      <c r="H134" s="11"/>
      <c r="I134" s="8"/>
    </row>
    <row r="135" spans="2:9" x14ac:dyDescent="0.25">
      <c r="B135" s="118"/>
      <c r="C135" s="77"/>
      <c r="D135" s="32"/>
      <c r="E135" s="43"/>
      <c r="F135" s="51"/>
      <c r="G135" s="19"/>
      <c r="H135" s="11"/>
      <c r="I135" s="8"/>
    </row>
    <row r="136" spans="2:9" x14ac:dyDescent="0.25">
      <c r="B136" s="118"/>
      <c r="C136" s="77"/>
      <c r="D136" s="32"/>
      <c r="E136" s="43"/>
      <c r="F136" s="51"/>
      <c r="G136" s="19"/>
      <c r="H136" s="11"/>
      <c r="I136" s="8"/>
    </row>
    <row r="137" spans="2:9" x14ac:dyDescent="0.25">
      <c r="B137" s="118"/>
      <c r="C137" s="77"/>
      <c r="D137" s="32"/>
      <c r="E137" s="43"/>
      <c r="F137" s="51"/>
      <c r="G137" s="19"/>
      <c r="H137" s="11"/>
      <c r="I137" s="8"/>
    </row>
    <row r="138" spans="2:9" x14ac:dyDescent="0.25">
      <c r="B138" s="118"/>
      <c r="C138" s="77"/>
      <c r="D138" s="32"/>
      <c r="E138" s="43"/>
      <c r="F138" s="51"/>
      <c r="G138" s="19"/>
      <c r="H138" s="11"/>
      <c r="I138" s="8"/>
    </row>
    <row r="139" spans="2:9" x14ac:dyDescent="0.25">
      <c r="B139" s="118"/>
      <c r="C139" s="77"/>
      <c r="D139" s="32"/>
      <c r="E139" s="43"/>
      <c r="F139" s="51"/>
      <c r="G139" s="19"/>
      <c r="H139" s="11"/>
      <c r="I139" s="8"/>
    </row>
    <row r="140" spans="2:9" x14ac:dyDescent="0.25">
      <c r="B140" s="118"/>
      <c r="C140" s="68"/>
      <c r="D140" s="58"/>
      <c r="E140" s="58"/>
      <c r="F140" s="51"/>
      <c r="G140" s="19"/>
      <c r="H140" s="11"/>
      <c r="I140" s="8"/>
    </row>
    <row r="141" spans="2:9" x14ac:dyDescent="0.25">
      <c r="B141" s="118"/>
      <c r="C141" s="72"/>
      <c r="D141" s="43"/>
      <c r="E141" s="58"/>
      <c r="F141" s="51"/>
      <c r="G141" s="19"/>
      <c r="H141" s="11"/>
      <c r="I141" s="8"/>
    </row>
    <row r="142" spans="2:9" x14ac:dyDescent="0.25">
      <c r="B142" s="118"/>
      <c r="C142" s="107"/>
      <c r="D142" s="43"/>
      <c r="E142" s="58"/>
      <c r="F142" s="51"/>
      <c r="G142" s="19"/>
      <c r="H142" s="11"/>
      <c r="I142" s="8"/>
    </row>
    <row r="143" spans="2:9" x14ac:dyDescent="0.25">
      <c r="B143" s="118"/>
      <c r="C143" s="107"/>
      <c r="D143" s="43"/>
      <c r="E143" s="58"/>
      <c r="F143" s="51"/>
      <c r="G143" s="19"/>
      <c r="H143" s="11"/>
      <c r="I143" s="8"/>
    </row>
    <row r="144" spans="2:9" x14ac:dyDescent="0.25">
      <c r="B144" s="118"/>
      <c r="C144" s="107"/>
      <c r="D144" s="43"/>
      <c r="E144" s="58"/>
      <c r="F144" s="51"/>
      <c r="G144" s="19"/>
      <c r="H144" s="11"/>
      <c r="I144" s="8"/>
    </row>
    <row r="145" spans="2:9" x14ac:dyDescent="0.25">
      <c r="B145" s="118"/>
      <c r="C145" s="107"/>
      <c r="D145" s="43"/>
      <c r="E145" s="58"/>
      <c r="F145" s="51"/>
      <c r="G145" s="19"/>
      <c r="H145" s="11"/>
      <c r="I145" s="8"/>
    </row>
    <row r="146" spans="2:9" x14ac:dyDescent="0.25">
      <c r="B146" s="118"/>
      <c r="C146" s="107"/>
      <c r="D146" s="43"/>
      <c r="E146" s="58"/>
      <c r="F146" s="51"/>
      <c r="G146" s="19"/>
      <c r="H146" s="11"/>
      <c r="I146" s="8"/>
    </row>
    <row r="147" spans="2:9" x14ac:dyDescent="0.25">
      <c r="B147" s="118"/>
      <c r="C147" s="107"/>
      <c r="D147" s="43"/>
      <c r="E147" s="58"/>
      <c r="F147" s="51"/>
      <c r="G147" s="19"/>
      <c r="H147" s="11"/>
      <c r="I147" s="8"/>
    </row>
    <row r="148" spans="2:9" x14ac:dyDescent="0.25">
      <c r="B148" s="118"/>
      <c r="C148" s="107"/>
      <c r="D148" s="43"/>
      <c r="E148" s="58"/>
      <c r="F148" s="51"/>
      <c r="G148" s="19"/>
      <c r="H148" s="11"/>
      <c r="I148" s="8"/>
    </row>
    <row r="149" spans="2:9" x14ac:dyDescent="0.25">
      <c r="B149" s="118"/>
      <c r="C149" s="107"/>
      <c r="D149" s="43"/>
      <c r="E149" s="58"/>
      <c r="F149" s="51"/>
      <c r="G149" s="19"/>
      <c r="H149" s="11"/>
      <c r="I149" s="8"/>
    </row>
    <row r="150" spans="2:9" x14ac:dyDescent="0.25">
      <c r="B150" s="118"/>
      <c r="C150" s="107"/>
      <c r="D150" s="43"/>
      <c r="E150" s="58"/>
      <c r="F150" s="51"/>
      <c r="G150" s="19"/>
      <c r="H150" s="11"/>
      <c r="I150" s="8"/>
    </row>
    <row r="151" spans="2:9" x14ac:dyDescent="0.25">
      <c r="B151" s="118"/>
      <c r="C151" s="107"/>
      <c r="D151" s="43"/>
      <c r="E151" s="58"/>
      <c r="F151" s="51"/>
      <c r="G151" s="19"/>
      <c r="H151" s="11"/>
      <c r="I151" s="8"/>
    </row>
    <row r="152" spans="2:9" x14ac:dyDescent="0.25">
      <c r="B152" s="118"/>
      <c r="C152" s="107"/>
      <c r="D152" s="43"/>
      <c r="E152" s="58"/>
      <c r="F152" s="51"/>
      <c r="G152" s="19"/>
      <c r="H152" s="11"/>
      <c r="I152" s="8"/>
    </row>
    <row r="153" spans="2:9" x14ac:dyDescent="0.25">
      <c r="B153" s="118"/>
      <c r="C153" s="107"/>
      <c r="D153" s="43"/>
      <c r="E153" s="58"/>
      <c r="F153" s="51"/>
      <c r="G153" s="19"/>
      <c r="H153" s="11"/>
      <c r="I153" s="8"/>
    </row>
    <row r="154" spans="2:9" x14ac:dyDescent="0.25">
      <c r="B154" s="118"/>
      <c r="C154" s="107"/>
      <c r="D154" s="43"/>
      <c r="E154" s="58"/>
      <c r="F154" s="51"/>
      <c r="G154" s="19"/>
      <c r="H154" s="11"/>
      <c r="I154" s="8"/>
    </row>
    <row r="155" spans="2:9" x14ac:dyDescent="0.25">
      <c r="B155" s="118"/>
      <c r="C155" s="107"/>
      <c r="D155" s="43"/>
      <c r="E155" s="58"/>
      <c r="F155" s="51"/>
      <c r="G155" s="19"/>
      <c r="H155" s="11"/>
      <c r="I155" s="8"/>
    </row>
    <row r="156" spans="2:9" x14ac:dyDescent="0.25">
      <c r="B156" s="118"/>
      <c r="C156" s="107"/>
      <c r="D156" s="43"/>
      <c r="E156" s="58"/>
      <c r="F156" s="51"/>
      <c r="G156" s="19"/>
      <c r="H156" s="11"/>
      <c r="I156" s="8"/>
    </row>
    <row r="157" spans="2:9" x14ac:dyDescent="0.25">
      <c r="B157" s="118"/>
      <c r="C157" s="107"/>
      <c r="D157" s="43"/>
      <c r="E157" s="58"/>
      <c r="F157" s="51"/>
      <c r="G157" s="19"/>
      <c r="H157" s="11"/>
      <c r="I157" s="8"/>
    </row>
    <row r="158" spans="2:9" x14ac:dyDescent="0.25">
      <c r="B158" s="118"/>
      <c r="C158" s="107"/>
      <c r="D158" s="43"/>
      <c r="E158" s="58"/>
      <c r="F158" s="51"/>
      <c r="G158" s="19"/>
      <c r="H158" s="11"/>
      <c r="I158" s="8"/>
    </row>
    <row r="159" spans="2:9" x14ac:dyDescent="0.25">
      <c r="B159" s="118"/>
      <c r="C159" s="107"/>
      <c r="D159" s="43"/>
      <c r="E159" s="58"/>
      <c r="F159" s="51"/>
      <c r="G159" s="19"/>
      <c r="H159" s="11"/>
      <c r="I159" s="8"/>
    </row>
    <row r="160" spans="2:9" x14ac:dyDescent="0.25">
      <c r="B160" s="118"/>
      <c r="C160" s="107"/>
      <c r="D160" s="43"/>
      <c r="E160" s="58"/>
      <c r="F160" s="51"/>
      <c r="G160" s="19"/>
      <c r="H160" s="11"/>
      <c r="I160" s="8"/>
    </row>
    <row r="161" spans="2:9" x14ac:dyDescent="0.25">
      <c r="B161" s="118"/>
      <c r="C161" s="107"/>
      <c r="D161" s="43"/>
      <c r="E161" s="58"/>
      <c r="F161" s="51"/>
      <c r="G161" s="19"/>
      <c r="H161" s="11"/>
      <c r="I161" s="8"/>
    </row>
    <row r="162" spans="2:9" x14ac:dyDescent="0.25">
      <c r="B162" s="118"/>
      <c r="C162" s="107"/>
      <c r="D162" s="43"/>
      <c r="E162" s="58"/>
      <c r="F162" s="51"/>
      <c r="G162" s="19"/>
      <c r="H162" s="11"/>
      <c r="I162" s="8"/>
    </row>
    <row r="163" spans="2:9" x14ac:dyDescent="0.25">
      <c r="B163" s="118"/>
      <c r="C163" s="107"/>
      <c r="D163" s="43"/>
      <c r="E163" s="58"/>
      <c r="F163" s="51"/>
      <c r="G163" s="19"/>
      <c r="H163" s="11"/>
      <c r="I163" s="8"/>
    </row>
    <row r="164" spans="2:9" x14ac:dyDescent="0.25">
      <c r="B164" s="118"/>
      <c r="C164" s="107"/>
      <c r="D164" s="43"/>
      <c r="E164" s="58"/>
      <c r="F164" s="51"/>
      <c r="G164" s="19"/>
      <c r="H164" s="11"/>
      <c r="I164" s="8"/>
    </row>
    <row r="165" spans="2:9" x14ac:dyDescent="0.25">
      <c r="B165" s="118"/>
      <c r="C165" s="107"/>
      <c r="D165" s="43"/>
      <c r="E165" s="58"/>
      <c r="F165" s="51"/>
      <c r="G165" s="19"/>
      <c r="H165" s="11"/>
      <c r="I165" s="8"/>
    </row>
    <row r="166" spans="2:9" x14ac:dyDescent="0.25">
      <c r="B166" s="118"/>
      <c r="C166" s="107"/>
      <c r="D166" s="43"/>
      <c r="E166" s="58"/>
      <c r="F166" s="51"/>
      <c r="G166" s="19"/>
      <c r="H166" s="11"/>
      <c r="I166" s="8"/>
    </row>
    <row r="167" spans="2:9" x14ac:dyDescent="0.25">
      <c r="B167" s="118"/>
      <c r="C167" s="107"/>
      <c r="D167" s="43"/>
      <c r="E167" s="58"/>
      <c r="F167" s="51"/>
      <c r="G167" s="19"/>
      <c r="H167" s="11"/>
      <c r="I167" s="8"/>
    </row>
    <row r="168" spans="2:9" x14ac:dyDescent="0.25">
      <c r="B168" s="118"/>
      <c r="C168" s="107"/>
      <c r="D168" s="43"/>
      <c r="E168" s="58"/>
      <c r="F168" s="51"/>
      <c r="G168" s="19"/>
      <c r="H168" s="11"/>
      <c r="I168" s="8"/>
    </row>
    <row r="169" spans="2:9" x14ac:dyDescent="0.25">
      <c r="B169" s="118"/>
      <c r="C169" s="107"/>
      <c r="D169" s="43"/>
      <c r="E169" s="58"/>
      <c r="F169" s="51"/>
      <c r="G169" s="19"/>
      <c r="H169" s="11"/>
      <c r="I169" s="8"/>
    </row>
    <row r="170" spans="2:9" x14ac:dyDescent="0.25">
      <c r="B170" s="118"/>
      <c r="C170" s="107"/>
      <c r="D170" s="43"/>
      <c r="E170" s="58"/>
      <c r="F170" s="51"/>
      <c r="G170" s="19"/>
      <c r="H170" s="11"/>
      <c r="I170" s="8"/>
    </row>
    <row r="171" spans="2:9" x14ac:dyDescent="0.25">
      <c r="B171" s="118"/>
      <c r="C171" s="107"/>
      <c r="D171" s="43"/>
      <c r="E171" s="58"/>
      <c r="F171" s="51"/>
      <c r="G171" s="19"/>
      <c r="H171" s="11"/>
      <c r="I171" s="8"/>
    </row>
    <row r="172" spans="2:9" x14ac:dyDescent="0.25">
      <c r="B172" s="118"/>
      <c r="C172" s="107"/>
      <c r="D172" s="43"/>
      <c r="E172" s="58"/>
      <c r="F172" s="51"/>
      <c r="G172" s="19"/>
      <c r="H172" s="11"/>
      <c r="I172" s="8"/>
    </row>
    <row r="173" spans="2:9" x14ac:dyDescent="0.25">
      <c r="B173" s="118"/>
      <c r="C173" s="107"/>
      <c r="D173" s="43"/>
      <c r="E173" s="58"/>
      <c r="F173" s="51"/>
      <c r="G173" s="19"/>
      <c r="H173" s="11"/>
      <c r="I173" s="8"/>
    </row>
    <row r="174" spans="2:9" x14ac:dyDescent="0.25">
      <c r="B174" s="118"/>
      <c r="C174" s="107"/>
      <c r="D174" s="43"/>
      <c r="E174" s="58"/>
      <c r="F174" s="51"/>
      <c r="G174" s="19"/>
      <c r="H174" s="11"/>
      <c r="I174" s="8"/>
    </row>
    <row r="175" spans="2:9" x14ac:dyDescent="0.25">
      <c r="B175" s="118"/>
      <c r="C175" s="107"/>
      <c r="D175" s="43"/>
      <c r="E175" s="58"/>
      <c r="F175" s="51"/>
      <c r="G175" s="19"/>
      <c r="H175" s="11"/>
      <c r="I175" s="8"/>
    </row>
    <row r="176" spans="2:9" x14ac:dyDescent="0.25">
      <c r="B176" s="118"/>
      <c r="C176" s="107"/>
      <c r="D176" s="43"/>
      <c r="E176" s="58"/>
      <c r="F176" s="51"/>
      <c r="G176" s="19"/>
      <c r="H176" s="11"/>
      <c r="I176" s="8"/>
    </row>
    <row r="177" spans="2:9" x14ac:dyDescent="0.25">
      <c r="B177" s="118"/>
      <c r="C177" s="107"/>
      <c r="D177" s="43"/>
      <c r="E177" s="58"/>
      <c r="F177" s="51"/>
      <c r="G177" s="19"/>
      <c r="H177" s="11"/>
      <c r="I177" s="8"/>
    </row>
    <row r="178" spans="2:9" x14ac:dyDescent="0.25">
      <c r="B178" s="118"/>
      <c r="C178" s="107"/>
      <c r="D178" s="43"/>
      <c r="E178" s="58"/>
      <c r="F178" s="51"/>
      <c r="G178" s="19"/>
      <c r="H178" s="11"/>
      <c r="I178" s="8"/>
    </row>
    <row r="179" spans="2:9" x14ac:dyDescent="0.25">
      <c r="B179" s="118"/>
      <c r="C179" s="107"/>
      <c r="D179" s="43"/>
      <c r="E179" s="58"/>
      <c r="F179" s="51"/>
      <c r="G179" s="19"/>
      <c r="H179" s="11"/>
      <c r="I179" s="8"/>
    </row>
    <row r="180" spans="2:9" x14ac:dyDescent="0.25">
      <c r="B180" s="118"/>
      <c r="C180" s="107"/>
      <c r="D180" s="43"/>
      <c r="E180" s="58"/>
      <c r="F180" s="51"/>
      <c r="G180" s="19"/>
      <c r="H180" s="11"/>
      <c r="I180" s="8"/>
    </row>
    <row r="181" spans="2:9" x14ac:dyDescent="0.25">
      <c r="B181" s="118"/>
      <c r="C181" s="107"/>
      <c r="D181" s="43"/>
      <c r="E181" s="51"/>
      <c r="F181" s="51"/>
      <c r="G181" s="19"/>
      <c r="H181" s="11"/>
      <c r="I181" s="8"/>
    </row>
    <row r="182" spans="2:9" x14ac:dyDescent="0.25">
      <c r="B182" s="118"/>
      <c r="C182" s="107"/>
      <c r="D182" s="43"/>
      <c r="E182" s="51"/>
      <c r="F182" s="51"/>
      <c r="G182" s="19"/>
      <c r="H182" s="11"/>
      <c r="I182" s="8"/>
    </row>
    <row r="183" spans="2:9" x14ac:dyDescent="0.25">
      <c r="B183" s="118"/>
      <c r="C183" s="107"/>
      <c r="D183" s="43"/>
      <c r="E183" s="51"/>
      <c r="F183" s="51"/>
      <c r="G183" s="19"/>
      <c r="H183" s="11"/>
      <c r="I183" s="8"/>
    </row>
    <row r="184" spans="2:9" x14ac:dyDescent="0.25">
      <c r="B184" s="118"/>
      <c r="C184" s="107"/>
      <c r="D184" s="43"/>
      <c r="E184" s="51"/>
      <c r="F184" s="51"/>
      <c r="G184" s="19"/>
      <c r="H184" s="11"/>
      <c r="I184" s="8"/>
    </row>
    <row r="185" spans="2:9" x14ac:dyDescent="0.25">
      <c r="B185" s="118"/>
      <c r="C185" s="107"/>
      <c r="D185" s="43"/>
      <c r="E185" s="51"/>
      <c r="F185" s="51"/>
      <c r="G185" s="19"/>
      <c r="H185" s="11"/>
      <c r="I185" s="8"/>
    </row>
    <row r="186" spans="2:9" x14ac:dyDescent="0.25">
      <c r="B186" s="118"/>
      <c r="C186" s="107"/>
      <c r="D186" s="43"/>
      <c r="E186" s="51"/>
      <c r="F186" s="51"/>
      <c r="G186" s="19"/>
      <c r="H186" s="11"/>
      <c r="I186" s="8"/>
    </row>
    <row r="187" spans="2:9" x14ac:dyDescent="0.25">
      <c r="B187" s="118"/>
      <c r="C187" s="107"/>
      <c r="D187" s="43"/>
      <c r="E187" s="51"/>
      <c r="F187" s="51"/>
      <c r="G187" s="19"/>
      <c r="H187" s="11"/>
      <c r="I187" s="8"/>
    </row>
    <row r="188" spans="2:9" ht="15.75" customHeight="1" x14ac:dyDescent="0.25">
      <c r="B188" s="118"/>
      <c r="C188" s="107"/>
      <c r="D188" s="43"/>
      <c r="E188" s="51"/>
      <c r="F188" s="51"/>
      <c r="G188" s="19"/>
      <c r="H188" s="11"/>
      <c r="I188" s="8"/>
    </row>
    <row r="189" spans="2:9" x14ac:dyDescent="0.25">
      <c r="B189" s="118"/>
      <c r="C189" s="107"/>
      <c r="D189" s="43"/>
      <c r="E189" s="51"/>
      <c r="F189" s="51"/>
      <c r="G189" s="19"/>
      <c r="H189" s="11"/>
      <c r="I189" s="8"/>
    </row>
    <row r="190" spans="2:9" x14ac:dyDescent="0.25">
      <c r="B190" s="118"/>
      <c r="C190" s="43"/>
      <c r="D190" s="107"/>
      <c r="E190" s="51"/>
      <c r="F190" s="51"/>
      <c r="G190" s="19"/>
      <c r="H190" s="11"/>
      <c r="I190" s="8"/>
    </row>
    <row r="191" spans="2:9" x14ac:dyDescent="0.25">
      <c r="B191" s="118"/>
      <c r="C191" s="43"/>
      <c r="D191" s="107"/>
      <c r="E191" s="51"/>
      <c r="F191" s="51"/>
      <c r="G191" s="19"/>
      <c r="H191" s="11"/>
      <c r="I191" s="8"/>
    </row>
    <row r="192" spans="2:9" x14ac:dyDescent="0.25">
      <c r="B192" s="118"/>
      <c r="C192" s="43"/>
      <c r="D192" s="107"/>
      <c r="E192" s="51"/>
      <c r="F192" s="51"/>
      <c r="G192" s="19"/>
      <c r="H192" s="11"/>
      <c r="I192" s="8"/>
    </row>
    <row r="193" spans="2:9" x14ac:dyDescent="0.25">
      <c r="B193" s="118"/>
      <c r="C193" s="43"/>
      <c r="D193" s="43"/>
      <c r="E193" s="51"/>
      <c r="F193" s="51"/>
      <c r="G193" s="19"/>
      <c r="H193" s="11"/>
      <c r="I193" s="8"/>
    </row>
    <row r="194" spans="2:9" s="28" customFormat="1" x14ac:dyDescent="0.25">
      <c r="B194" s="118"/>
      <c r="C194" s="108"/>
      <c r="D194" s="109"/>
      <c r="E194" s="110"/>
      <c r="F194" s="110"/>
      <c r="G194" s="111"/>
      <c r="H194" s="112"/>
      <c r="I194" s="27"/>
    </row>
    <row r="195" spans="2:9" s="28" customFormat="1" x14ac:dyDescent="0.25">
      <c r="B195" s="118"/>
      <c r="C195" s="108"/>
      <c r="D195" s="109"/>
      <c r="E195" s="110"/>
      <c r="F195" s="110"/>
      <c r="G195" s="111"/>
      <c r="H195" s="112"/>
      <c r="I195" s="27"/>
    </row>
    <row r="196" spans="2:9" s="28" customFormat="1" x14ac:dyDescent="0.25">
      <c r="B196" s="118"/>
      <c r="C196" s="108"/>
      <c r="D196" s="109"/>
      <c r="E196" s="110"/>
      <c r="F196" s="110"/>
      <c r="G196" s="111"/>
      <c r="H196" s="112"/>
      <c r="I196" s="27"/>
    </row>
    <row r="197" spans="2:9" s="28" customFormat="1" x14ac:dyDescent="0.25">
      <c r="B197" s="118"/>
      <c r="C197" s="108"/>
      <c r="D197" s="109"/>
      <c r="E197" s="110"/>
      <c r="F197" s="110"/>
      <c r="G197" s="111"/>
      <c r="H197" s="112"/>
      <c r="I197" s="27"/>
    </row>
    <row r="198" spans="2:9" s="28" customFormat="1" x14ac:dyDescent="0.25">
      <c r="B198" s="118"/>
      <c r="C198" s="108"/>
      <c r="D198" s="109"/>
      <c r="E198" s="110"/>
      <c r="F198" s="110"/>
      <c r="G198" s="111"/>
      <c r="H198" s="112"/>
      <c r="I198" s="27"/>
    </row>
    <row r="199" spans="2:9" s="28" customFormat="1" x14ac:dyDescent="0.25">
      <c r="B199" s="118"/>
      <c r="C199" s="108"/>
      <c r="D199" s="109"/>
      <c r="E199" s="110"/>
      <c r="F199" s="110"/>
      <c r="G199" s="111"/>
      <c r="H199" s="112"/>
      <c r="I199" s="27"/>
    </row>
    <row r="200" spans="2:9" s="28" customFormat="1" x14ac:dyDescent="0.25">
      <c r="B200" s="118"/>
      <c r="C200" s="108"/>
      <c r="D200" s="109"/>
      <c r="E200" s="110"/>
      <c r="F200" s="110"/>
      <c r="G200" s="111"/>
      <c r="H200" s="112"/>
      <c r="I200" s="27"/>
    </row>
    <row r="201" spans="2:9" s="28" customFormat="1" x14ac:dyDescent="0.25">
      <c r="B201" s="118"/>
      <c r="C201" s="108"/>
      <c r="D201" s="109"/>
      <c r="E201" s="110"/>
      <c r="F201" s="110"/>
      <c r="G201" s="111"/>
      <c r="H201" s="112"/>
      <c r="I201" s="27"/>
    </row>
    <row r="202" spans="2:9" s="28" customFormat="1" x14ac:dyDescent="0.25">
      <c r="B202" s="118"/>
      <c r="C202" s="108"/>
      <c r="D202" s="109"/>
      <c r="E202" s="110"/>
      <c r="F202" s="110"/>
      <c r="G202" s="111"/>
      <c r="H202" s="112"/>
      <c r="I202" s="27"/>
    </row>
    <row r="203" spans="2:9" s="28" customFormat="1" x14ac:dyDescent="0.25">
      <c r="B203" s="118"/>
      <c r="C203" s="108"/>
      <c r="D203" s="109"/>
      <c r="E203" s="110"/>
      <c r="F203" s="110"/>
      <c r="G203" s="111"/>
      <c r="H203" s="112"/>
      <c r="I203" s="27"/>
    </row>
    <row r="204" spans="2:9" s="28" customFormat="1" x14ac:dyDescent="0.25">
      <c r="B204" s="118"/>
      <c r="C204" s="108"/>
      <c r="D204" s="109"/>
      <c r="E204" s="110"/>
      <c r="F204" s="110"/>
      <c r="G204" s="111"/>
      <c r="H204" s="112"/>
      <c r="I204" s="27"/>
    </row>
    <row r="205" spans="2:9" s="28" customFormat="1" x14ac:dyDescent="0.25">
      <c r="B205" s="118"/>
      <c r="C205" s="108"/>
      <c r="D205" s="109"/>
      <c r="E205" s="110"/>
      <c r="F205" s="110"/>
      <c r="G205" s="111"/>
      <c r="H205" s="112"/>
      <c r="I205" s="27"/>
    </row>
    <row r="206" spans="2:9" s="28" customFormat="1" x14ac:dyDescent="0.25">
      <c r="B206" s="118"/>
      <c r="C206" s="108"/>
      <c r="D206" s="109"/>
      <c r="E206" s="110"/>
      <c r="F206" s="110"/>
      <c r="G206" s="111"/>
      <c r="H206" s="112"/>
      <c r="I206" s="27"/>
    </row>
    <row r="207" spans="2:9" s="28" customFormat="1" x14ac:dyDescent="0.25">
      <c r="B207" s="118"/>
      <c r="C207" s="108"/>
      <c r="D207" s="109"/>
      <c r="E207" s="110"/>
      <c r="F207" s="110"/>
      <c r="G207" s="111"/>
      <c r="H207" s="112"/>
      <c r="I207" s="27"/>
    </row>
    <row r="208" spans="2:9" s="28" customFormat="1" x14ac:dyDescent="0.25">
      <c r="B208" s="118"/>
      <c r="C208" s="108"/>
      <c r="D208" s="109"/>
      <c r="E208" s="110"/>
      <c r="F208" s="110"/>
      <c r="G208" s="111"/>
      <c r="H208" s="112"/>
      <c r="I208" s="27"/>
    </row>
    <row r="209" spans="2:10" s="28" customFormat="1" x14ac:dyDescent="0.25">
      <c r="B209" s="118"/>
      <c r="C209" s="108"/>
      <c r="D209" s="109"/>
      <c r="E209" s="110"/>
      <c r="F209" s="110"/>
      <c r="G209" s="111"/>
      <c r="H209" s="112"/>
      <c r="I209" s="27"/>
    </row>
    <row r="210" spans="2:10" s="28" customFormat="1" x14ac:dyDescent="0.25">
      <c r="B210" s="118"/>
      <c r="C210" s="108"/>
      <c r="D210" s="109"/>
      <c r="E210" s="110"/>
      <c r="F210" s="110"/>
      <c r="G210" s="111"/>
      <c r="H210" s="112"/>
      <c r="I210" s="27"/>
    </row>
    <row r="211" spans="2:10" s="28" customFormat="1" x14ac:dyDescent="0.25">
      <c r="B211" s="118"/>
      <c r="C211" s="108"/>
      <c r="D211" s="109"/>
      <c r="E211" s="110"/>
      <c r="F211" s="110"/>
      <c r="G211" s="111"/>
      <c r="H211" s="112"/>
      <c r="I211" s="27"/>
    </row>
    <row r="212" spans="2:10" s="28" customFormat="1" x14ac:dyDescent="0.25">
      <c r="B212" s="118"/>
      <c r="C212" s="108"/>
      <c r="D212" s="109"/>
      <c r="E212" s="110"/>
      <c r="F212" s="110"/>
      <c r="G212" s="111"/>
      <c r="H212" s="112"/>
      <c r="I212" s="27"/>
    </row>
    <row r="213" spans="2:10" s="28" customFormat="1" x14ac:dyDescent="0.25">
      <c r="B213" s="118"/>
      <c r="C213" s="108"/>
      <c r="D213" s="109"/>
      <c r="E213" s="110"/>
      <c r="F213" s="110"/>
      <c r="G213" s="111"/>
      <c r="H213" s="112"/>
      <c r="I213" s="27"/>
    </row>
    <row r="214" spans="2:10" s="28" customFormat="1" x14ac:dyDescent="0.25">
      <c r="B214" s="118"/>
      <c r="C214" s="108"/>
      <c r="D214" s="109"/>
      <c r="E214" s="110"/>
      <c r="F214" s="110"/>
      <c r="G214" s="111"/>
      <c r="H214" s="112"/>
      <c r="I214" s="27"/>
    </row>
    <row r="215" spans="2:10" s="28" customFormat="1" x14ac:dyDescent="0.25">
      <c r="B215" s="118"/>
      <c r="C215" s="108"/>
      <c r="D215" s="109"/>
      <c r="E215" s="110"/>
      <c r="F215" s="110"/>
      <c r="G215" s="111"/>
      <c r="H215" s="112"/>
      <c r="I215" s="27"/>
    </row>
    <row r="216" spans="2:10" s="28" customFormat="1" x14ac:dyDescent="0.25">
      <c r="B216" s="118"/>
      <c r="C216" s="108"/>
      <c r="D216" s="109"/>
      <c r="E216" s="110"/>
      <c r="F216" s="110"/>
      <c r="G216" s="111"/>
      <c r="H216" s="112"/>
      <c r="I216" s="27"/>
    </row>
    <row r="217" spans="2:10" s="28" customFormat="1" x14ac:dyDescent="0.25">
      <c r="B217" s="118"/>
      <c r="C217" s="108"/>
      <c r="D217" s="109"/>
      <c r="E217" s="110"/>
      <c r="F217" s="110"/>
      <c r="G217" s="111"/>
      <c r="H217" s="112"/>
      <c r="I217" s="27"/>
    </row>
    <row r="218" spans="2:10" s="28" customFormat="1" x14ac:dyDescent="0.25">
      <c r="B218" s="118"/>
      <c r="C218" s="108"/>
      <c r="D218" s="109"/>
      <c r="E218" s="110"/>
      <c r="F218" s="110"/>
      <c r="G218" s="111"/>
      <c r="H218" s="112"/>
      <c r="I218" s="27"/>
    </row>
    <row r="219" spans="2:10" x14ac:dyDescent="0.25">
      <c r="B219" s="52"/>
      <c r="C219" s="57"/>
      <c r="D219" s="58"/>
      <c r="E219" s="58"/>
      <c r="F219" s="51"/>
      <c r="G219" s="5"/>
    </row>
    <row r="220" spans="2:10" x14ac:dyDescent="0.25">
      <c r="B220" s="52"/>
      <c r="C220" s="107"/>
      <c r="D220" s="43"/>
      <c r="E220" s="58"/>
      <c r="F220" s="79"/>
      <c r="G220" s="19"/>
      <c r="H220" s="11"/>
      <c r="I220" s="8"/>
    </row>
    <row r="221" spans="2:10" x14ac:dyDescent="0.25">
      <c r="B221" s="80"/>
      <c r="C221" s="81"/>
      <c r="D221" s="81"/>
      <c r="E221" s="81"/>
      <c r="F221" s="56"/>
      <c r="G221" s="17"/>
      <c r="H221" s="14"/>
      <c r="I221" s="8"/>
    </row>
    <row r="222" spans="2:10" x14ac:dyDescent="0.25">
      <c r="B222" s="114" t="s">
        <v>71</v>
      </c>
      <c r="C222" s="72"/>
      <c r="D222" s="72"/>
      <c r="E222" s="72"/>
      <c r="F222" s="82"/>
      <c r="G222" s="17"/>
      <c r="H222" s="9"/>
      <c r="I222" s="12"/>
      <c r="J222" s="8"/>
    </row>
    <row r="223" spans="2:10" x14ac:dyDescent="0.25">
      <c r="B223" s="83"/>
      <c r="C223" s="38"/>
      <c r="D223" s="38"/>
      <c r="E223" s="38"/>
      <c r="F223" s="39"/>
      <c r="G223" s="17"/>
    </row>
    <row r="224" spans="2:10" x14ac:dyDescent="0.25">
      <c r="C224" s="2"/>
      <c r="D224" s="10"/>
      <c r="E224" s="2"/>
      <c r="F224" s="5"/>
    </row>
    <row r="225" spans="3:7" x14ac:dyDescent="0.25">
      <c r="D225" s="8"/>
      <c r="F225" s="8"/>
    </row>
    <row r="226" spans="3:7" x14ac:dyDescent="0.25">
      <c r="E226" s="5"/>
    </row>
    <row r="227" spans="3:7" x14ac:dyDescent="0.25">
      <c r="D227" s="3"/>
      <c r="G227" s="9"/>
    </row>
    <row r="228" spans="3:7" x14ac:dyDescent="0.25">
      <c r="C228" s="6"/>
    </row>
    <row r="229" spans="3:7" x14ac:dyDescent="0.25">
      <c r="E229" s="3"/>
      <c r="F229" s="3"/>
      <c r="G229" s="9"/>
    </row>
    <row r="230" spans="3:7" x14ac:dyDescent="0.25">
      <c r="E230" s="8"/>
      <c r="F230" s="8"/>
    </row>
    <row r="238" spans="3:7" x14ac:dyDescent="0.25">
      <c r="E238" s="6"/>
    </row>
    <row r="240" spans="3:7" x14ac:dyDescent="0.25">
      <c r="E240" s="8"/>
    </row>
  </sheetData>
  <mergeCells count="2">
    <mergeCell ref="B3:F3"/>
    <mergeCell ref="B4:F4"/>
  </mergeCells>
  <hyperlinks>
    <hyperlink ref="A1" location="Table_of_Contents!A1" display="Table_of_Contents!A1"/>
  </hyperlinks>
  <pageMargins left="0.7" right="0.7" top="0.75" bottom="0.75" header="0.3" footer="0.3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2</vt:i4>
      </vt:variant>
    </vt:vector>
  </HeadingPairs>
  <TitlesOfParts>
    <vt:vector size="8" baseType="lpstr">
      <vt:lpstr>I.8 Fr</vt:lpstr>
      <vt:lpstr>Sheet1</vt:lpstr>
      <vt:lpstr>Table_of_Contents</vt:lpstr>
      <vt:lpstr>Monthly_Data</vt:lpstr>
      <vt:lpstr>Quarterly_Data</vt:lpstr>
      <vt:lpstr>Annually_Data</vt:lpstr>
      <vt:lpstr>'I.8 Fr'!Zone_d_impression</vt:lpstr>
      <vt:lpstr>Zone_impres_MI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NAHIMANA EGIDE</dc:creator>
  <cp:lastModifiedBy>BIZIMANA Gildas</cp:lastModifiedBy>
  <cp:lastPrinted>2017-01-23T07:19:50Z</cp:lastPrinted>
  <dcterms:created xsi:type="dcterms:W3CDTF">2000-08-22T08:23:22Z</dcterms:created>
  <dcterms:modified xsi:type="dcterms:W3CDTF">2022-12-19T09:25:31Z</dcterms:modified>
</cp:coreProperties>
</file>