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p1\ETD-Monnaie_Credit\TABLEAUX BULLETINS MENSUELS ET TABLEAUX SITES\tableaux site\tableaux site en Français\Monnaie_Crédit en Français 2026\Tableaux site en français-JANVIER-2026\"/>
    </mc:Choice>
  </mc:AlternateContent>
  <bookViews>
    <workbookView xWindow="0" yWindow="0" windowWidth="12090" windowHeight="7860" activeTab="1"/>
  </bookViews>
  <sheets>
    <sheet name="Table_de_Matière" sheetId="8" r:id="rId1"/>
    <sheet name="Mensuelle" sheetId="5" r:id="rId2"/>
    <sheet name="Trimestrielle" sheetId="6" r:id="rId3"/>
    <sheet name="Annuelle" sheetId="7" r:id="rId4"/>
  </sheet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L74" i="6" l="1"/>
  <c r="S74" i="6" l="1"/>
  <c r="E209" i="5"/>
  <c r="E210" i="5"/>
  <c r="L207" i="5"/>
  <c r="L208" i="5"/>
  <c r="L209" i="5"/>
  <c r="L210" i="5"/>
  <c r="U56" i="6" l="1"/>
  <c r="U57" i="6"/>
  <c r="U58" i="6"/>
  <c r="U59" i="6"/>
  <c r="U60" i="6"/>
  <c r="U61" i="6"/>
  <c r="U62" i="6"/>
  <c r="U63" i="6"/>
  <c r="U64" i="6"/>
  <c r="U65" i="6"/>
  <c r="U66" i="6"/>
  <c r="U67" i="6"/>
  <c r="U68" i="6"/>
  <c r="U69" i="6"/>
  <c r="U70" i="6"/>
  <c r="U71" i="6"/>
  <c r="U72" i="6"/>
  <c r="U73" i="6"/>
  <c r="T57" i="6"/>
  <c r="T58" i="6"/>
  <c r="T59" i="6"/>
  <c r="T60" i="6"/>
  <c r="T61" i="6"/>
  <c r="T62" i="6"/>
  <c r="T63" i="6"/>
  <c r="T64" i="6"/>
  <c r="T65" i="6"/>
  <c r="T66" i="6"/>
  <c r="T67" i="6"/>
  <c r="T68" i="6"/>
  <c r="T69" i="6"/>
  <c r="T70" i="6"/>
  <c r="T71" i="6"/>
  <c r="T72" i="6"/>
  <c r="T73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S63" i="6"/>
  <c r="S64" i="6"/>
  <c r="S65" i="6"/>
  <c r="S66" i="6"/>
  <c r="S67" i="6"/>
  <c r="S68" i="6"/>
  <c r="S69" i="6"/>
  <c r="S70" i="6"/>
  <c r="S71" i="6"/>
  <c r="S72" i="6"/>
  <c r="S73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T74" i="6" s="1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O210" i="5"/>
  <c r="S210" i="5" l="1"/>
  <c r="S23" i="7" l="1"/>
  <c r="L23" i="7"/>
  <c r="O23" i="7" s="1"/>
  <c r="T23" i="7" s="1"/>
  <c r="E23" i="7"/>
  <c r="U23" i="7" s="1"/>
  <c r="E74" i="6"/>
  <c r="U74" i="6" s="1"/>
  <c r="S206" i="5"/>
  <c r="S207" i="5"/>
  <c r="S208" i="5"/>
  <c r="S209" i="5"/>
  <c r="T210" i="5"/>
  <c r="U210" i="5" s="1"/>
  <c r="O207" i="5"/>
  <c r="O208" i="5"/>
  <c r="O209" i="5"/>
  <c r="L206" i="5"/>
  <c r="O206" i="5" s="1"/>
  <c r="E206" i="5"/>
  <c r="E207" i="5"/>
  <c r="E208" i="5"/>
  <c r="L205" i="5"/>
  <c r="T207" i="5" l="1"/>
  <c r="U207" i="5" s="1"/>
  <c r="T208" i="5"/>
  <c r="U208" i="5" s="1"/>
  <c r="T206" i="5"/>
  <c r="U206" i="5" s="1"/>
  <c r="T209" i="5"/>
  <c r="U209" i="5" s="1"/>
  <c r="S205" i="5"/>
  <c r="O205" i="5"/>
  <c r="T205" i="5" s="1"/>
  <c r="E205" i="5"/>
  <c r="S204" i="5"/>
  <c r="L204" i="5"/>
  <c r="O204" i="5" s="1"/>
  <c r="E204" i="5"/>
  <c r="S203" i="5"/>
  <c r="L203" i="5"/>
  <c r="O203" i="5" s="1"/>
  <c r="T203" i="5" s="1"/>
  <c r="E203" i="5"/>
  <c r="U203" i="5" s="1"/>
  <c r="S202" i="5"/>
  <c r="L202" i="5"/>
  <c r="O202" i="5" s="1"/>
  <c r="E202" i="5"/>
  <c r="S201" i="5"/>
  <c r="L201" i="5"/>
  <c r="O201" i="5" s="1"/>
  <c r="T201" i="5" s="1"/>
  <c r="E201" i="5"/>
  <c r="S200" i="5"/>
  <c r="L200" i="5"/>
  <c r="O200" i="5" s="1"/>
  <c r="T200" i="5" s="1"/>
  <c r="E200" i="5"/>
  <c r="S199" i="5"/>
  <c r="L199" i="5"/>
  <c r="O199" i="5" s="1"/>
  <c r="T199" i="5" s="1"/>
  <c r="E199" i="5"/>
  <c r="U199" i="5" s="1"/>
  <c r="T204" i="5" l="1"/>
  <c r="U201" i="5"/>
  <c r="U205" i="5"/>
  <c r="U204" i="5"/>
  <c r="U200" i="5"/>
  <c r="T202" i="5"/>
  <c r="U202" i="5" s="1"/>
  <c r="E68" i="6" l="1"/>
  <c r="S192" i="5"/>
  <c r="L192" i="5"/>
  <c r="O192" i="5" s="1"/>
  <c r="T192" i="5" s="1"/>
  <c r="U192" i="5" s="1"/>
  <c r="E192" i="5"/>
  <c r="S191" i="5" l="1"/>
  <c r="L191" i="5"/>
  <c r="O191" i="5" s="1"/>
  <c r="T191" i="5" s="1"/>
  <c r="E191" i="5"/>
  <c r="S190" i="5"/>
  <c r="L190" i="5"/>
  <c r="O190" i="5" s="1"/>
  <c r="T190" i="5" s="1"/>
  <c r="E190" i="5"/>
  <c r="S189" i="5"/>
  <c r="L189" i="5"/>
  <c r="O189" i="5" s="1"/>
  <c r="T189" i="5" s="1"/>
  <c r="E189" i="5"/>
  <c r="S188" i="5"/>
  <c r="L188" i="5"/>
  <c r="O188" i="5" s="1"/>
  <c r="E188" i="5"/>
  <c r="S187" i="5"/>
  <c r="L187" i="5"/>
  <c r="O187" i="5" s="1"/>
  <c r="T187" i="5" s="1"/>
  <c r="E187" i="5"/>
  <c r="Q186" i="5"/>
  <c r="P186" i="5"/>
  <c r="S186" i="5" s="1"/>
  <c r="K186" i="5"/>
  <c r="I186" i="5"/>
  <c r="G186" i="5"/>
  <c r="D186" i="5"/>
  <c r="C186" i="5"/>
  <c r="B186" i="5"/>
  <c r="Q185" i="5"/>
  <c r="P185" i="5"/>
  <c r="S185" i="5" s="1"/>
  <c r="K185" i="5"/>
  <c r="I185" i="5"/>
  <c r="G185" i="5"/>
  <c r="C185" i="5"/>
  <c r="B185" i="5"/>
  <c r="Q184" i="5"/>
  <c r="P184" i="5"/>
  <c r="K184" i="5"/>
  <c r="I184" i="5"/>
  <c r="G184" i="5"/>
  <c r="C184" i="5"/>
  <c r="B184" i="5"/>
  <c r="E184" i="5" s="1"/>
  <c r="Q183" i="5"/>
  <c r="P183" i="5"/>
  <c r="S183" i="5" s="1"/>
  <c r="K183" i="5"/>
  <c r="I183" i="5"/>
  <c r="G183" i="5"/>
  <c r="C183" i="5"/>
  <c r="B183" i="5"/>
  <c r="Q182" i="5"/>
  <c r="P182" i="5"/>
  <c r="K182" i="5"/>
  <c r="I182" i="5"/>
  <c r="G182" i="5"/>
  <c r="C182" i="5"/>
  <c r="B182" i="5"/>
  <c r="E182" i="5" s="1"/>
  <c r="E186" i="5" l="1"/>
  <c r="T188" i="5"/>
  <c r="U188" i="5" s="1"/>
  <c r="U191" i="5"/>
  <c r="U187" i="5"/>
  <c r="U190" i="5"/>
  <c r="U189" i="5"/>
  <c r="L183" i="5"/>
  <c r="O183" i="5" s="1"/>
  <c r="T183" i="5" s="1"/>
  <c r="U183" i="5" s="1"/>
  <c r="L184" i="5"/>
  <c r="O184" i="5" s="1"/>
  <c r="L182" i="5"/>
  <c r="O182" i="5" s="1"/>
  <c r="S184" i="5"/>
  <c r="S182" i="5"/>
  <c r="E185" i="5"/>
  <c r="E183" i="5"/>
  <c r="L185" i="5"/>
  <c r="O185" i="5" s="1"/>
  <c r="L186" i="5"/>
  <c r="O186" i="5" s="1"/>
  <c r="T186" i="5" s="1"/>
  <c r="T185" i="5"/>
  <c r="U186" i="5" l="1"/>
  <c r="U185" i="5"/>
  <c r="T182" i="5"/>
  <c r="U182" i="5" s="1"/>
  <c r="T184" i="5"/>
  <c r="U184" i="5" s="1"/>
  <c r="L181" i="5"/>
  <c r="O181" i="5" s="1"/>
  <c r="L180" i="5"/>
  <c r="O180" i="5" s="1"/>
  <c r="L179" i="5"/>
  <c r="O179" i="5" s="1"/>
  <c r="L178" i="5"/>
  <c r="O178" i="5" s="1"/>
  <c r="L177" i="5"/>
  <c r="O177" i="5" s="1"/>
  <c r="L176" i="5"/>
  <c r="O176" i="5" s="1"/>
  <c r="L175" i="5"/>
  <c r="O175" i="5" s="1"/>
  <c r="L174" i="5"/>
  <c r="O174" i="5" s="1"/>
  <c r="L173" i="5"/>
  <c r="O173" i="5" s="1"/>
  <c r="L172" i="5"/>
  <c r="O172" i="5" s="1"/>
  <c r="L171" i="5"/>
  <c r="O171" i="5" s="1"/>
  <c r="L170" i="5"/>
  <c r="O170" i="5" s="1"/>
  <c r="L169" i="5"/>
  <c r="O169" i="5" s="1"/>
  <c r="L168" i="5"/>
  <c r="O168" i="5" s="1"/>
  <c r="L167" i="5"/>
  <c r="O167" i="5" s="1"/>
  <c r="L166" i="5"/>
  <c r="O166" i="5" s="1"/>
  <c r="L165" i="5"/>
  <c r="O165" i="5" s="1"/>
  <c r="L164" i="5"/>
  <c r="O164" i="5" s="1"/>
  <c r="L163" i="5"/>
  <c r="O163" i="5" s="1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S181" i="5"/>
  <c r="S180" i="5"/>
  <c r="S179" i="5"/>
  <c r="S178" i="5"/>
  <c r="S177" i="5"/>
  <c r="S176" i="5"/>
  <c r="S175" i="5"/>
  <c r="S174" i="5"/>
  <c r="S173" i="5"/>
  <c r="S172" i="5"/>
  <c r="S171" i="5"/>
  <c r="S170" i="5"/>
  <c r="S169" i="5"/>
  <c r="S168" i="5"/>
  <c r="S167" i="5"/>
  <c r="S166" i="5"/>
  <c r="S165" i="5"/>
  <c r="S164" i="5"/>
  <c r="S163" i="5"/>
  <c r="T173" i="5" l="1"/>
  <c r="T163" i="5"/>
  <c r="T176" i="5"/>
  <c r="T165" i="5"/>
  <c r="T164" i="5"/>
  <c r="T177" i="5"/>
  <c r="U177" i="5" s="1"/>
  <c r="T168" i="5"/>
  <c r="T169" i="5"/>
  <c r="T181" i="5"/>
  <c r="U181" i="5" s="1"/>
  <c r="T170" i="5"/>
  <c r="T171" i="5"/>
  <c r="U171" i="5" s="1"/>
  <c r="T172" i="5"/>
  <c r="U172" i="5" s="1"/>
  <c r="T178" i="5"/>
  <c r="U178" i="5" s="1"/>
  <c r="T179" i="5"/>
  <c r="T180" i="5"/>
  <c r="T166" i="5"/>
  <c r="T174" i="5"/>
  <c r="U174" i="5" s="1"/>
  <c r="T167" i="5"/>
  <c r="U167" i="5" s="1"/>
  <c r="T175" i="5"/>
  <c r="U175" i="5" s="1"/>
  <c r="U166" i="5"/>
  <c r="U168" i="5"/>
  <c r="U169" i="5"/>
  <c r="U170" i="5"/>
  <c r="U173" i="5"/>
  <c r="U176" i="5"/>
  <c r="U179" i="5"/>
  <c r="U180" i="5"/>
  <c r="U163" i="5"/>
  <c r="U164" i="5"/>
  <c r="U165" i="5"/>
  <c r="P19" i="7" l="1"/>
  <c r="S19" i="7" s="1"/>
  <c r="I19" i="7"/>
  <c r="L19" i="7" s="1"/>
  <c r="O19" i="7" s="1"/>
  <c r="T19" i="7" s="1"/>
  <c r="U19" i="7" s="1"/>
  <c r="E19" i="7"/>
  <c r="P58" i="6"/>
  <c r="I58" i="6"/>
  <c r="E58" i="6"/>
  <c r="P162" i="5"/>
  <c r="S162" i="5" s="1"/>
  <c r="I162" i="5"/>
  <c r="L162" i="5" s="1"/>
  <c r="O162" i="5" s="1"/>
  <c r="T162" i="5" s="1"/>
  <c r="E162" i="5"/>
  <c r="U162" i="5" l="1"/>
  <c r="P57" i="6"/>
  <c r="I57" i="6"/>
  <c r="E57" i="6"/>
  <c r="P161" i="5"/>
  <c r="S161" i="5" s="1"/>
  <c r="I161" i="5"/>
  <c r="L161" i="5" s="1"/>
  <c r="O161" i="5" s="1"/>
  <c r="E161" i="5"/>
  <c r="P160" i="5"/>
  <c r="S160" i="5" s="1"/>
  <c r="I160" i="5"/>
  <c r="L160" i="5" s="1"/>
  <c r="O160" i="5" s="1"/>
  <c r="E160" i="5"/>
  <c r="P159" i="5"/>
  <c r="S159" i="5" s="1"/>
  <c r="I159" i="5"/>
  <c r="L159" i="5" s="1"/>
  <c r="O159" i="5" s="1"/>
  <c r="E159" i="5"/>
  <c r="S158" i="5"/>
  <c r="I158" i="5"/>
  <c r="L158" i="5" s="1"/>
  <c r="O158" i="5" s="1"/>
  <c r="C158" i="5"/>
  <c r="E158" i="5" s="1"/>
  <c r="P157" i="5"/>
  <c r="S157" i="5" s="1"/>
  <c r="I157" i="5"/>
  <c r="L157" i="5" s="1"/>
  <c r="O157" i="5" s="1"/>
  <c r="C157" i="5"/>
  <c r="E157" i="5" s="1"/>
  <c r="T159" i="5" l="1"/>
  <c r="U159" i="5" s="1"/>
  <c r="T161" i="5"/>
  <c r="U161" i="5" s="1"/>
  <c r="T160" i="5"/>
  <c r="U160" i="5" s="1"/>
  <c r="T157" i="5"/>
  <c r="U157" i="5" s="1"/>
  <c r="T158" i="5"/>
  <c r="U158" i="5" s="1"/>
  <c r="P18" i="7" l="1"/>
  <c r="S18" i="7" s="1"/>
  <c r="L18" i="7"/>
  <c r="O18" i="7" s="1"/>
  <c r="E18" i="7"/>
  <c r="P56" i="6"/>
  <c r="I56" i="6"/>
  <c r="C56" i="6"/>
  <c r="B56" i="6"/>
  <c r="P55" i="6"/>
  <c r="I55" i="6"/>
  <c r="O55" i="6" s="1"/>
  <c r="C55" i="6"/>
  <c r="B55" i="6"/>
  <c r="P54" i="6"/>
  <c r="O54" i="6"/>
  <c r="E54" i="6"/>
  <c r="Q53" i="6"/>
  <c r="P53" i="6"/>
  <c r="G53" i="6"/>
  <c r="O53" i="6" s="1"/>
  <c r="C53" i="6"/>
  <c r="B53" i="6"/>
  <c r="T18" i="7" l="1"/>
  <c r="U18" i="7" s="1"/>
  <c r="T54" i="6"/>
  <c r="U54" i="6" s="1"/>
  <c r="T53" i="6"/>
  <c r="E56" i="6"/>
  <c r="E53" i="6"/>
  <c r="E55" i="6"/>
  <c r="T55" i="6"/>
  <c r="T56" i="6"/>
  <c r="U55" i="6" l="1"/>
  <c r="U53" i="6"/>
  <c r="P156" i="5" l="1"/>
  <c r="S156" i="5" s="1"/>
  <c r="I156" i="5"/>
  <c r="L156" i="5" s="1"/>
  <c r="O156" i="5" s="1"/>
  <c r="C156" i="5"/>
  <c r="B156" i="5"/>
  <c r="P155" i="5"/>
  <c r="S155" i="5" s="1"/>
  <c r="I155" i="5"/>
  <c r="L155" i="5" s="1"/>
  <c r="O155" i="5" s="1"/>
  <c r="C155" i="5"/>
  <c r="B155" i="5"/>
  <c r="P154" i="5"/>
  <c r="S154" i="5" s="1"/>
  <c r="I154" i="5"/>
  <c r="L154" i="5" s="1"/>
  <c r="O154" i="5" s="1"/>
  <c r="C154" i="5"/>
  <c r="B154" i="5"/>
  <c r="P153" i="5"/>
  <c r="S153" i="5" s="1"/>
  <c r="I153" i="5"/>
  <c r="L153" i="5" s="1"/>
  <c r="O153" i="5" s="1"/>
  <c r="C153" i="5"/>
  <c r="B153" i="5"/>
  <c r="P152" i="5"/>
  <c r="S152" i="5" s="1"/>
  <c r="I152" i="5"/>
  <c r="L152" i="5" s="1"/>
  <c r="O152" i="5" s="1"/>
  <c r="C152" i="5"/>
  <c r="B152" i="5"/>
  <c r="P151" i="5"/>
  <c r="S151" i="5" s="1"/>
  <c r="I151" i="5"/>
  <c r="L151" i="5" s="1"/>
  <c r="O151" i="5" s="1"/>
  <c r="C151" i="5"/>
  <c r="E151" i="5" s="1"/>
  <c r="P150" i="5"/>
  <c r="S150" i="5" s="1"/>
  <c r="L150" i="5"/>
  <c r="O150" i="5" s="1"/>
  <c r="E150" i="5"/>
  <c r="P149" i="5"/>
  <c r="S149" i="5" s="1"/>
  <c r="L149" i="5"/>
  <c r="O149" i="5" s="1"/>
  <c r="C149" i="5"/>
  <c r="B149" i="5"/>
  <c r="P148" i="5"/>
  <c r="S148" i="5" s="1"/>
  <c r="G148" i="5"/>
  <c r="L148" i="5" s="1"/>
  <c r="O148" i="5" s="1"/>
  <c r="C148" i="5"/>
  <c r="B148" i="5"/>
  <c r="Q147" i="5"/>
  <c r="P147" i="5"/>
  <c r="G147" i="5"/>
  <c r="L147" i="5" s="1"/>
  <c r="O147" i="5" s="1"/>
  <c r="C147" i="5"/>
  <c r="B147" i="5"/>
  <c r="P146" i="5"/>
  <c r="S146" i="5" s="1"/>
  <c r="G146" i="5"/>
  <c r="L146" i="5" s="1"/>
  <c r="O146" i="5" s="1"/>
  <c r="C146" i="5"/>
  <c r="B146" i="5"/>
  <c r="P145" i="5"/>
  <c r="S145" i="5" s="1"/>
  <c r="G145" i="5"/>
  <c r="L145" i="5" s="1"/>
  <c r="O145" i="5" s="1"/>
  <c r="C145" i="5"/>
  <c r="B145" i="5"/>
  <c r="T148" i="5" l="1"/>
  <c r="E155" i="5"/>
  <c r="S147" i="5"/>
  <c r="T147" i="5" s="1"/>
  <c r="E152" i="5"/>
  <c r="T150" i="5"/>
  <c r="U150" i="5" s="1"/>
  <c r="E145" i="5"/>
  <c r="T153" i="5"/>
  <c r="T155" i="5"/>
  <c r="U155" i="5" s="1"/>
  <c r="E146" i="5"/>
  <c r="E156" i="5"/>
  <c r="T145" i="5"/>
  <c r="E149" i="5"/>
  <c r="T149" i="5"/>
  <c r="E147" i="5"/>
  <c r="T152" i="5"/>
  <c r="E153" i="5"/>
  <c r="T156" i="5"/>
  <c r="E154" i="5"/>
  <c r="E148" i="5"/>
  <c r="T151" i="5"/>
  <c r="U151" i="5" s="1"/>
  <c r="T146" i="5"/>
  <c r="T154" i="5"/>
  <c r="U156" i="5" l="1"/>
  <c r="U153" i="5"/>
  <c r="U148" i="5"/>
  <c r="U146" i="5"/>
  <c r="U145" i="5"/>
  <c r="U152" i="5"/>
  <c r="U149" i="5"/>
  <c r="U154" i="5"/>
  <c r="U147" i="5"/>
  <c r="P52" i="6" l="1"/>
  <c r="G52" i="6"/>
  <c r="L52" i="6" s="1"/>
  <c r="O52" i="6" s="1"/>
  <c r="C52" i="6"/>
  <c r="B52" i="6"/>
  <c r="G51" i="6"/>
  <c r="L51" i="6" s="1"/>
  <c r="O51" i="6" s="1"/>
  <c r="E51" i="6"/>
  <c r="P144" i="5"/>
  <c r="S144" i="5" s="1"/>
  <c r="G144" i="5"/>
  <c r="L144" i="5" s="1"/>
  <c r="O144" i="5" s="1"/>
  <c r="C144" i="5"/>
  <c r="B144" i="5"/>
  <c r="P143" i="5"/>
  <c r="S143" i="5" s="1"/>
  <c r="G143" i="5"/>
  <c r="L143" i="5" s="1"/>
  <c r="O143" i="5" s="1"/>
  <c r="C143" i="5"/>
  <c r="B143" i="5"/>
  <c r="S142" i="5"/>
  <c r="G142" i="5"/>
  <c r="L142" i="5" s="1"/>
  <c r="O142" i="5" s="1"/>
  <c r="C142" i="5"/>
  <c r="B142" i="5"/>
  <c r="S141" i="5"/>
  <c r="G141" i="5"/>
  <c r="L141" i="5" s="1"/>
  <c r="O141" i="5" s="1"/>
  <c r="E141" i="5"/>
  <c r="S140" i="5"/>
  <c r="L140" i="5"/>
  <c r="O140" i="5" s="1"/>
  <c r="E140" i="5"/>
  <c r="S139" i="5"/>
  <c r="L139" i="5"/>
  <c r="O139" i="5" s="1"/>
  <c r="E139" i="5"/>
  <c r="T142" i="5" l="1"/>
  <c r="T141" i="5"/>
  <c r="U141" i="5" s="1"/>
  <c r="T143" i="5"/>
  <c r="T140" i="5"/>
  <c r="U140" i="5" s="1"/>
  <c r="E52" i="6"/>
  <c r="T51" i="6"/>
  <c r="U51" i="6" s="1"/>
  <c r="T52" i="6"/>
  <c r="T139" i="5"/>
  <c r="U139" i="5" s="1"/>
  <c r="E142" i="5"/>
  <c r="E144" i="5"/>
  <c r="E143" i="5"/>
  <c r="T144" i="5"/>
  <c r="U143" i="5" l="1"/>
  <c r="U142" i="5"/>
  <c r="U144" i="5"/>
  <c r="U52" i="6"/>
  <c r="L50" i="6" l="1"/>
  <c r="O50" i="6" s="1"/>
  <c r="E50" i="6"/>
  <c r="S49" i="6"/>
  <c r="L49" i="6"/>
  <c r="O49" i="6" s="1"/>
  <c r="E49" i="6"/>
  <c r="S48" i="6"/>
  <c r="L48" i="6"/>
  <c r="O48" i="6" s="1"/>
  <c r="E48" i="6"/>
  <c r="S47" i="6"/>
  <c r="L47" i="6"/>
  <c r="O47" i="6" s="1"/>
  <c r="E47" i="6"/>
  <c r="E127" i="5"/>
  <c r="E128" i="5"/>
  <c r="E129" i="5"/>
  <c r="E130" i="5"/>
  <c r="E131" i="5"/>
  <c r="E132" i="5"/>
  <c r="E133" i="5"/>
  <c r="E134" i="5"/>
  <c r="E135" i="5"/>
  <c r="E136" i="5"/>
  <c r="E137" i="5"/>
  <c r="E138" i="5"/>
  <c r="L127" i="5"/>
  <c r="O127" i="5" s="1"/>
  <c r="L128" i="5"/>
  <c r="O128" i="5" s="1"/>
  <c r="L129" i="5"/>
  <c r="O129" i="5" s="1"/>
  <c r="L130" i="5"/>
  <c r="O130" i="5" s="1"/>
  <c r="L131" i="5"/>
  <c r="O131" i="5" s="1"/>
  <c r="L132" i="5"/>
  <c r="O132" i="5" s="1"/>
  <c r="L133" i="5"/>
  <c r="O133" i="5" s="1"/>
  <c r="L134" i="5"/>
  <c r="O134" i="5" s="1"/>
  <c r="L135" i="5"/>
  <c r="O135" i="5" s="1"/>
  <c r="L136" i="5"/>
  <c r="O136" i="5" s="1"/>
  <c r="L137" i="5"/>
  <c r="O137" i="5" s="1"/>
  <c r="L138" i="5"/>
  <c r="O138" i="5" s="1"/>
  <c r="S127" i="5"/>
  <c r="S128" i="5"/>
  <c r="S129" i="5"/>
  <c r="S130" i="5"/>
  <c r="S131" i="5"/>
  <c r="S132" i="5"/>
  <c r="S133" i="5"/>
  <c r="S134" i="5"/>
  <c r="S135" i="5"/>
  <c r="S136" i="5"/>
  <c r="S137" i="5"/>
  <c r="S138" i="5"/>
  <c r="T127" i="5" l="1"/>
  <c r="U127" i="5" s="1"/>
  <c r="T49" i="6"/>
  <c r="U49" i="6" s="1"/>
  <c r="T50" i="6"/>
  <c r="U50" i="6" s="1"/>
  <c r="T48" i="6"/>
  <c r="U48" i="6" s="1"/>
  <c r="T47" i="6"/>
  <c r="U47" i="6" s="1"/>
  <c r="T130" i="5"/>
  <c r="U130" i="5" s="1"/>
  <c r="T131" i="5"/>
  <c r="U131" i="5" s="1"/>
  <c r="T135" i="5"/>
  <c r="U135" i="5" s="1"/>
  <c r="T138" i="5"/>
  <c r="U138" i="5" s="1"/>
  <c r="T137" i="5"/>
  <c r="U137" i="5" s="1"/>
  <c r="T129" i="5"/>
  <c r="U129" i="5" s="1"/>
  <c r="T132" i="5"/>
  <c r="U132" i="5" s="1"/>
  <c r="T128" i="5"/>
  <c r="U128" i="5" s="1"/>
  <c r="T136" i="5"/>
  <c r="U136" i="5" s="1"/>
  <c r="T134" i="5"/>
  <c r="U134" i="5" s="1"/>
  <c r="T133" i="5"/>
  <c r="U133" i="5" s="1"/>
  <c r="S17" i="7" l="1"/>
  <c r="L17" i="7"/>
  <c r="O17" i="7" s="1"/>
  <c r="E17" i="7"/>
  <c r="Q16" i="7"/>
  <c r="P16" i="7"/>
  <c r="G16" i="7"/>
  <c r="L16" i="7" s="1"/>
  <c r="O16" i="7" s="1"/>
  <c r="C16" i="7"/>
  <c r="E16" i="7" s="1"/>
  <c r="S16" i="7" l="1"/>
  <c r="T16" i="7" s="1"/>
  <c r="U16" i="7" s="1"/>
  <c r="T17" i="7"/>
  <c r="U17" i="7" s="1"/>
  <c r="S46" i="6" l="1"/>
  <c r="L46" i="6"/>
  <c r="O46" i="6" s="1"/>
  <c r="E46" i="6"/>
  <c r="S126" i="5"/>
  <c r="L126" i="5"/>
  <c r="O126" i="5" s="1"/>
  <c r="E126" i="5"/>
  <c r="T46" i="6" l="1"/>
  <c r="U46" i="6" s="1"/>
  <c r="T126" i="5"/>
  <c r="U126" i="5" s="1"/>
  <c r="S15" i="7" l="1"/>
  <c r="L15" i="7"/>
  <c r="O15" i="7" s="1"/>
  <c r="E15" i="7"/>
  <c r="S14" i="7"/>
  <c r="L14" i="7"/>
  <c r="O14" i="7" s="1"/>
  <c r="E14" i="7"/>
  <c r="S13" i="7"/>
  <c r="L13" i="7"/>
  <c r="O13" i="7" s="1"/>
  <c r="E13" i="7"/>
  <c r="S12" i="7"/>
  <c r="L12" i="7"/>
  <c r="O12" i="7" s="1"/>
  <c r="E12" i="7"/>
  <c r="S11" i="7"/>
  <c r="L11" i="7"/>
  <c r="O11" i="7" s="1"/>
  <c r="E11" i="7"/>
  <c r="S10" i="7"/>
  <c r="L10" i="7"/>
  <c r="O10" i="7" s="1"/>
  <c r="E10" i="7"/>
  <c r="S9" i="7"/>
  <c r="L9" i="7"/>
  <c r="O9" i="7" s="1"/>
  <c r="E9" i="7"/>
  <c r="S8" i="7"/>
  <c r="L8" i="7"/>
  <c r="O8" i="7" s="1"/>
  <c r="E8" i="7"/>
  <c r="S7" i="7"/>
  <c r="L7" i="7"/>
  <c r="O7" i="7" s="1"/>
  <c r="E7" i="7"/>
  <c r="S45" i="6"/>
  <c r="L45" i="6"/>
  <c r="O45" i="6" s="1"/>
  <c r="E45" i="6"/>
  <c r="S44" i="6"/>
  <c r="L44" i="6"/>
  <c r="O44" i="6" s="1"/>
  <c r="E44" i="6"/>
  <c r="S43" i="6"/>
  <c r="L43" i="6"/>
  <c r="O43" i="6" s="1"/>
  <c r="E43" i="6"/>
  <c r="S42" i="6"/>
  <c r="L42" i="6"/>
  <c r="O42" i="6" s="1"/>
  <c r="E42" i="6"/>
  <c r="S41" i="6"/>
  <c r="L41" i="6"/>
  <c r="O41" i="6" s="1"/>
  <c r="E41" i="6"/>
  <c r="S40" i="6"/>
  <c r="L40" i="6"/>
  <c r="O40" i="6" s="1"/>
  <c r="E40" i="6"/>
  <c r="S39" i="6"/>
  <c r="L39" i="6"/>
  <c r="O39" i="6" s="1"/>
  <c r="E39" i="6"/>
  <c r="S38" i="6"/>
  <c r="L38" i="6"/>
  <c r="O38" i="6" s="1"/>
  <c r="E38" i="6"/>
  <c r="S37" i="6"/>
  <c r="L37" i="6"/>
  <c r="O37" i="6" s="1"/>
  <c r="E37" i="6"/>
  <c r="S36" i="6"/>
  <c r="L36" i="6"/>
  <c r="O36" i="6" s="1"/>
  <c r="E36" i="6"/>
  <c r="S35" i="6"/>
  <c r="L35" i="6"/>
  <c r="O35" i="6" s="1"/>
  <c r="E35" i="6"/>
  <c r="S34" i="6"/>
  <c r="L34" i="6"/>
  <c r="O34" i="6" s="1"/>
  <c r="E34" i="6"/>
  <c r="S33" i="6"/>
  <c r="L33" i="6"/>
  <c r="O33" i="6" s="1"/>
  <c r="E33" i="6"/>
  <c r="S32" i="6"/>
  <c r="L32" i="6"/>
  <c r="O32" i="6" s="1"/>
  <c r="E32" i="6"/>
  <c r="S31" i="6"/>
  <c r="L31" i="6"/>
  <c r="O31" i="6" s="1"/>
  <c r="E31" i="6"/>
  <c r="S30" i="6"/>
  <c r="L30" i="6"/>
  <c r="O30" i="6" s="1"/>
  <c r="E30" i="6"/>
  <c r="S29" i="6"/>
  <c r="L29" i="6"/>
  <c r="O29" i="6" s="1"/>
  <c r="E29" i="6"/>
  <c r="S28" i="6"/>
  <c r="L28" i="6"/>
  <c r="O28" i="6" s="1"/>
  <c r="E28" i="6"/>
  <c r="S27" i="6"/>
  <c r="L27" i="6"/>
  <c r="O27" i="6" s="1"/>
  <c r="E27" i="6"/>
  <c r="S26" i="6"/>
  <c r="L26" i="6"/>
  <c r="O26" i="6" s="1"/>
  <c r="E26" i="6"/>
  <c r="S25" i="6"/>
  <c r="L25" i="6"/>
  <c r="O25" i="6" s="1"/>
  <c r="E25" i="6"/>
  <c r="S24" i="6"/>
  <c r="L24" i="6"/>
  <c r="O24" i="6" s="1"/>
  <c r="E24" i="6"/>
  <c r="S23" i="6"/>
  <c r="L23" i="6"/>
  <c r="O23" i="6" s="1"/>
  <c r="E23" i="6"/>
  <c r="S22" i="6"/>
  <c r="L22" i="6"/>
  <c r="O22" i="6" s="1"/>
  <c r="E22" i="6"/>
  <c r="S21" i="6"/>
  <c r="L21" i="6"/>
  <c r="O21" i="6" s="1"/>
  <c r="E21" i="6"/>
  <c r="S20" i="6"/>
  <c r="L20" i="6"/>
  <c r="O20" i="6" s="1"/>
  <c r="E20" i="6"/>
  <c r="S19" i="6"/>
  <c r="L19" i="6"/>
  <c r="O19" i="6" s="1"/>
  <c r="E19" i="6"/>
  <c r="S18" i="6"/>
  <c r="L18" i="6"/>
  <c r="O18" i="6" s="1"/>
  <c r="E18" i="6"/>
  <c r="S17" i="6"/>
  <c r="L17" i="6"/>
  <c r="O17" i="6" s="1"/>
  <c r="E17" i="6"/>
  <c r="S16" i="6"/>
  <c r="L16" i="6"/>
  <c r="O16" i="6" s="1"/>
  <c r="E16" i="6"/>
  <c r="S15" i="6"/>
  <c r="L15" i="6"/>
  <c r="O15" i="6" s="1"/>
  <c r="E15" i="6"/>
  <c r="S14" i="6"/>
  <c r="L14" i="6"/>
  <c r="O14" i="6" s="1"/>
  <c r="E14" i="6"/>
  <c r="S13" i="6"/>
  <c r="L13" i="6"/>
  <c r="O13" i="6" s="1"/>
  <c r="E13" i="6"/>
  <c r="S12" i="6"/>
  <c r="L12" i="6"/>
  <c r="O12" i="6" s="1"/>
  <c r="E12" i="6"/>
  <c r="S11" i="6"/>
  <c r="L11" i="6"/>
  <c r="O11" i="6" s="1"/>
  <c r="E11" i="6"/>
  <c r="S10" i="6"/>
  <c r="L10" i="6"/>
  <c r="O10" i="6" s="1"/>
  <c r="E10" i="6"/>
  <c r="S9" i="6"/>
  <c r="L9" i="6"/>
  <c r="O9" i="6" s="1"/>
  <c r="E9" i="6"/>
  <c r="S8" i="6"/>
  <c r="L8" i="6"/>
  <c r="O8" i="6" s="1"/>
  <c r="E8" i="6"/>
  <c r="S7" i="6"/>
  <c r="L7" i="6"/>
  <c r="O7" i="6" s="1"/>
  <c r="E7" i="6"/>
  <c r="T14" i="7" l="1"/>
  <c r="U14" i="7" s="1"/>
  <c r="T10" i="7"/>
  <c r="U10" i="7" s="1"/>
  <c r="T8" i="7"/>
  <c r="U8" i="7" s="1"/>
  <c r="T12" i="7"/>
  <c r="U12" i="7" s="1"/>
  <c r="T7" i="7"/>
  <c r="U7" i="7" s="1"/>
  <c r="T11" i="7"/>
  <c r="U11" i="7" s="1"/>
  <c r="T15" i="7"/>
  <c r="U15" i="7" s="1"/>
  <c r="T9" i="7"/>
  <c r="U9" i="7" s="1"/>
  <c r="T13" i="7"/>
  <c r="U13" i="7" s="1"/>
  <c r="T33" i="6"/>
  <c r="U33" i="6" s="1"/>
  <c r="T20" i="6"/>
  <c r="U20" i="6" s="1"/>
  <c r="T29" i="6"/>
  <c r="U29" i="6" s="1"/>
  <c r="T22" i="6"/>
  <c r="U22" i="6" s="1"/>
  <c r="T30" i="6"/>
  <c r="U30" i="6" s="1"/>
  <c r="T34" i="6"/>
  <c r="U34" i="6" s="1"/>
  <c r="T40" i="6"/>
  <c r="U40" i="6" s="1"/>
  <c r="T14" i="6"/>
  <c r="U14" i="6" s="1"/>
  <c r="T24" i="6"/>
  <c r="U24" i="6" s="1"/>
  <c r="T15" i="6"/>
  <c r="U15" i="6" s="1"/>
  <c r="T10" i="6"/>
  <c r="U10" i="6" s="1"/>
  <c r="T23" i="6"/>
  <c r="U23" i="6" s="1"/>
  <c r="T42" i="6"/>
  <c r="U42" i="6" s="1"/>
  <c r="T27" i="6"/>
  <c r="U27" i="6" s="1"/>
  <c r="T19" i="6"/>
  <c r="U19" i="6" s="1"/>
  <c r="T38" i="6"/>
  <c r="U38" i="6" s="1"/>
  <c r="T45" i="6"/>
  <c r="U45" i="6" s="1"/>
  <c r="T11" i="6"/>
  <c r="U11" i="6" s="1"/>
  <c r="T43" i="6"/>
  <c r="U43" i="6" s="1"/>
  <c r="T7" i="6"/>
  <c r="U7" i="6" s="1"/>
  <c r="T12" i="6"/>
  <c r="U12" i="6" s="1"/>
  <c r="T21" i="6"/>
  <c r="U21" i="6" s="1"/>
  <c r="T26" i="6"/>
  <c r="U26" i="6" s="1"/>
  <c r="T39" i="6"/>
  <c r="U39" i="6" s="1"/>
  <c r="T35" i="6"/>
  <c r="U35" i="6" s="1"/>
  <c r="T18" i="6"/>
  <c r="U18" i="6" s="1"/>
  <c r="T31" i="6"/>
  <c r="U31" i="6" s="1"/>
  <c r="T8" i="6"/>
  <c r="U8" i="6" s="1"/>
  <c r="T13" i="6"/>
  <c r="U13" i="6" s="1"/>
  <c r="T9" i="6"/>
  <c r="U9" i="6" s="1"/>
  <c r="T32" i="6"/>
  <c r="U32" i="6" s="1"/>
  <c r="T41" i="6"/>
  <c r="U41" i="6" s="1"/>
  <c r="T36" i="6"/>
  <c r="U36" i="6" s="1"/>
  <c r="T28" i="6"/>
  <c r="U28" i="6" s="1"/>
  <c r="T37" i="6"/>
  <c r="U37" i="6" s="1"/>
  <c r="T17" i="6"/>
  <c r="U17" i="6" s="1"/>
  <c r="T16" i="6"/>
  <c r="U16" i="6" s="1"/>
  <c r="T25" i="6"/>
  <c r="U25" i="6" s="1"/>
  <c r="T44" i="6"/>
  <c r="U44" i="6" s="1"/>
  <c r="E125" i="5" l="1"/>
  <c r="L121" i="5"/>
  <c r="O121" i="5" s="1"/>
  <c r="L122" i="5"/>
  <c r="L123" i="5"/>
  <c r="O123" i="5" s="1"/>
  <c r="L124" i="5"/>
  <c r="O124" i="5" s="1"/>
  <c r="L125" i="5"/>
  <c r="O125" i="5" s="1"/>
  <c r="O122" i="5"/>
  <c r="S122" i="5"/>
  <c r="S123" i="5"/>
  <c r="S124" i="5"/>
  <c r="S125" i="5"/>
  <c r="T122" i="5" l="1"/>
  <c r="T125" i="5"/>
  <c r="T124" i="5"/>
  <c r="T123" i="5"/>
  <c r="E8" i="5" l="1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7" i="5"/>
  <c r="L100" i="5" l="1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S115" i="5" l="1"/>
  <c r="S116" i="5"/>
  <c r="S117" i="5"/>
  <c r="S118" i="5"/>
  <c r="S119" i="5"/>
  <c r="S120" i="5"/>
  <c r="S121" i="5"/>
  <c r="S106" i="5"/>
  <c r="S107" i="5"/>
  <c r="S108" i="5"/>
  <c r="S109" i="5"/>
  <c r="S110" i="5"/>
  <c r="S111" i="5"/>
  <c r="S112" i="5"/>
  <c r="S113" i="5"/>
  <c r="S114" i="5"/>
  <c r="O106" i="5"/>
  <c r="O107" i="5"/>
  <c r="O108" i="5"/>
  <c r="O109" i="5"/>
  <c r="O110" i="5"/>
  <c r="O111" i="5"/>
  <c r="O112" i="5"/>
  <c r="O113" i="5"/>
  <c r="O114" i="5"/>
  <c r="O103" i="5"/>
  <c r="O104" i="5"/>
  <c r="O105" i="5"/>
  <c r="L56" i="5"/>
  <c r="L57" i="5"/>
  <c r="L58" i="5"/>
  <c r="L59" i="5"/>
  <c r="L60" i="5"/>
  <c r="L61" i="5"/>
  <c r="L62" i="5"/>
  <c r="L63" i="5"/>
  <c r="L64" i="5"/>
  <c r="L65" i="5"/>
  <c r="L66" i="5"/>
  <c r="O66" i="5" s="1"/>
  <c r="L67" i="5"/>
  <c r="O67" i="5" s="1"/>
  <c r="L68" i="5"/>
  <c r="O68" i="5" s="1"/>
  <c r="L69" i="5"/>
  <c r="O69" i="5" s="1"/>
  <c r="L70" i="5"/>
  <c r="O70" i="5" s="1"/>
  <c r="L71" i="5"/>
  <c r="O71" i="5" s="1"/>
  <c r="L72" i="5"/>
  <c r="O72" i="5" s="1"/>
  <c r="L73" i="5"/>
  <c r="O73" i="5" s="1"/>
  <c r="L74" i="5"/>
  <c r="O74" i="5" s="1"/>
  <c r="L75" i="5"/>
  <c r="O75" i="5" s="1"/>
  <c r="L76" i="5"/>
  <c r="O76" i="5" s="1"/>
  <c r="L77" i="5"/>
  <c r="O77" i="5" s="1"/>
  <c r="L78" i="5"/>
  <c r="O78" i="5" s="1"/>
  <c r="L79" i="5"/>
  <c r="O79" i="5" s="1"/>
  <c r="L80" i="5"/>
  <c r="O80" i="5" s="1"/>
  <c r="L81" i="5"/>
  <c r="O81" i="5" s="1"/>
  <c r="L82" i="5"/>
  <c r="O82" i="5" s="1"/>
  <c r="L83" i="5"/>
  <c r="O83" i="5" s="1"/>
  <c r="L84" i="5"/>
  <c r="O84" i="5" s="1"/>
  <c r="L85" i="5"/>
  <c r="O85" i="5" s="1"/>
  <c r="L86" i="5"/>
  <c r="O86" i="5" s="1"/>
  <c r="L87" i="5"/>
  <c r="O87" i="5" s="1"/>
  <c r="L88" i="5"/>
  <c r="O88" i="5" s="1"/>
  <c r="L89" i="5"/>
  <c r="O89" i="5" s="1"/>
  <c r="L90" i="5"/>
  <c r="O90" i="5" s="1"/>
  <c r="L91" i="5"/>
  <c r="O91" i="5" s="1"/>
  <c r="L92" i="5"/>
  <c r="O92" i="5" s="1"/>
  <c r="L93" i="5"/>
  <c r="O93" i="5" s="1"/>
  <c r="L94" i="5"/>
  <c r="O94" i="5" s="1"/>
  <c r="L95" i="5"/>
  <c r="O95" i="5" s="1"/>
  <c r="L96" i="5"/>
  <c r="O96" i="5" s="1"/>
  <c r="L97" i="5"/>
  <c r="O97" i="5" s="1"/>
  <c r="L98" i="5"/>
  <c r="O98" i="5" s="1"/>
  <c r="L99" i="5"/>
  <c r="O99" i="5" s="1"/>
  <c r="O100" i="5"/>
  <c r="O102" i="5"/>
  <c r="O115" i="5"/>
  <c r="O116" i="5"/>
  <c r="O117" i="5"/>
  <c r="T117" i="5" s="1"/>
  <c r="O118" i="5"/>
  <c r="O119" i="5"/>
  <c r="O120" i="5"/>
  <c r="U124" i="5"/>
  <c r="U125" i="5"/>
  <c r="O101" i="5"/>
  <c r="S67" i="5"/>
  <c r="S68" i="5"/>
  <c r="S69" i="5"/>
  <c r="S70" i="5"/>
  <c r="S71" i="5"/>
  <c r="S72" i="5"/>
  <c r="S73" i="5"/>
  <c r="S74" i="5"/>
  <c r="S75" i="5"/>
  <c r="S76" i="5"/>
  <c r="S77" i="5"/>
  <c r="S78" i="5"/>
  <c r="S79" i="5"/>
  <c r="S80" i="5"/>
  <c r="T119" i="5" l="1"/>
  <c r="U119" i="5" s="1"/>
  <c r="T116" i="5"/>
  <c r="U116" i="5" s="1"/>
  <c r="T68" i="5"/>
  <c r="T79" i="5"/>
  <c r="T67" i="5"/>
  <c r="T74" i="5"/>
  <c r="T69" i="5"/>
  <c r="T77" i="5"/>
  <c r="T78" i="5"/>
  <c r="T70" i="5"/>
  <c r="U117" i="5"/>
  <c r="U123" i="5"/>
  <c r="T115" i="5"/>
  <c r="U115" i="5" s="1"/>
  <c r="U122" i="5"/>
  <c r="T118" i="5"/>
  <c r="U118" i="5" s="1"/>
  <c r="T121" i="5"/>
  <c r="U121" i="5" s="1"/>
  <c r="T120" i="5"/>
  <c r="U120" i="5" s="1"/>
  <c r="T80" i="5"/>
  <c r="T76" i="5"/>
  <c r="T75" i="5"/>
  <c r="T73" i="5"/>
  <c r="T71" i="5"/>
  <c r="T72" i="5"/>
  <c r="S105" i="5" l="1"/>
  <c r="S104" i="5"/>
  <c r="S103" i="5"/>
  <c r="S102" i="5"/>
  <c r="S101" i="5"/>
  <c r="S100" i="5"/>
  <c r="T100" i="5" s="1"/>
  <c r="S99" i="5"/>
  <c r="S98" i="5"/>
  <c r="S97" i="5"/>
  <c r="S96" i="5"/>
  <c r="S95" i="5"/>
  <c r="S94" i="5"/>
  <c r="S93" i="5"/>
  <c r="S92" i="5"/>
  <c r="T92" i="5" s="1"/>
  <c r="S91" i="5"/>
  <c r="T91" i="5" s="1"/>
  <c r="U91" i="5" s="1"/>
  <c r="S90" i="5"/>
  <c r="S89" i="5"/>
  <c r="T89" i="5" s="1"/>
  <c r="S88" i="5"/>
  <c r="T88" i="5" s="1"/>
  <c r="U88" i="5" s="1"/>
  <c r="S87" i="5"/>
  <c r="S86" i="5"/>
  <c r="T86" i="5" s="1"/>
  <c r="U86" i="5" s="1"/>
  <c r="S85" i="5"/>
  <c r="T85" i="5" s="1"/>
  <c r="U85" i="5" s="1"/>
  <c r="S84" i="5"/>
  <c r="S83" i="5"/>
  <c r="T83" i="5" s="1"/>
  <c r="S82" i="5"/>
  <c r="T82" i="5" s="1"/>
  <c r="U82" i="5" s="1"/>
  <c r="S81" i="5"/>
  <c r="T81" i="5" s="1"/>
  <c r="U81" i="5" s="1"/>
  <c r="U80" i="5"/>
  <c r="U79" i="5"/>
  <c r="S66" i="5"/>
  <c r="S65" i="5"/>
  <c r="O65" i="5"/>
  <c r="S64" i="5"/>
  <c r="O64" i="5"/>
  <c r="S63" i="5"/>
  <c r="S62" i="5"/>
  <c r="O62" i="5"/>
  <c r="S61" i="5"/>
  <c r="O61" i="5"/>
  <c r="S60" i="5"/>
  <c r="S59" i="5"/>
  <c r="O59" i="5"/>
  <c r="S58" i="5"/>
  <c r="O58" i="5"/>
  <c r="S57" i="5"/>
  <c r="S56" i="5"/>
  <c r="O56" i="5"/>
  <c r="S55" i="5"/>
  <c r="L55" i="5"/>
  <c r="O55" i="5" s="1"/>
  <c r="S54" i="5"/>
  <c r="L54" i="5"/>
  <c r="S53" i="5"/>
  <c r="L53" i="5"/>
  <c r="O53" i="5" s="1"/>
  <c r="S52" i="5"/>
  <c r="L52" i="5"/>
  <c r="O52" i="5" s="1"/>
  <c r="S51" i="5"/>
  <c r="L51" i="5"/>
  <c r="S50" i="5"/>
  <c r="L50" i="5"/>
  <c r="O50" i="5" s="1"/>
  <c r="S49" i="5"/>
  <c r="L49" i="5"/>
  <c r="O49" i="5" s="1"/>
  <c r="S48" i="5"/>
  <c r="L48" i="5"/>
  <c r="S47" i="5"/>
  <c r="L47" i="5"/>
  <c r="O47" i="5" s="1"/>
  <c r="S46" i="5"/>
  <c r="L46" i="5"/>
  <c r="O46" i="5" s="1"/>
  <c r="S45" i="5"/>
  <c r="L45" i="5"/>
  <c r="S44" i="5"/>
  <c r="L44" i="5"/>
  <c r="O44" i="5" s="1"/>
  <c r="S43" i="5"/>
  <c r="L43" i="5"/>
  <c r="O43" i="5" s="1"/>
  <c r="S42" i="5"/>
  <c r="L42" i="5"/>
  <c r="S41" i="5"/>
  <c r="L41" i="5"/>
  <c r="O41" i="5" s="1"/>
  <c r="S40" i="5"/>
  <c r="L40" i="5"/>
  <c r="O40" i="5" s="1"/>
  <c r="S39" i="5"/>
  <c r="L39" i="5"/>
  <c r="S38" i="5"/>
  <c r="L38" i="5"/>
  <c r="O38" i="5" s="1"/>
  <c r="S37" i="5"/>
  <c r="L37" i="5"/>
  <c r="O37" i="5" s="1"/>
  <c r="S36" i="5"/>
  <c r="L36" i="5"/>
  <c r="S35" i="5"/>
  <c r="L35" i="5"/>
  <c r="O35" i="5" s="1"/>
  <c r="S34" i="5"/>
  <c r="L34" i="5"/>
  <c r="O34" i="5" s="1"/>
  <c r="S33" i="5"/>
  <c r="L33" i="5"/>
  <c r="S32" i="5"/>
  <c r="L32" i="5"/>
  <c r="O32" i="5" s="1"/>
  <c r="S31" i="5"/>
  <c r="L31" i="5"/>
  <c r="O31" i="5" s="1"/>
  <c r="S30" i="5"/>
  <c r="L30" i="5"/>
  <c r="S29" i="5"/>
  <c r="L29" i="5"/>
  <c r="O29" i="5" s="1"/>
  <c r="S28" i="5"/>
  <c r="L28" i="5"/>
  <c r="O28" i="5" s="1"/>
  <c r="S27" i="5"/>
  <c r="L27" i="5"/>
  <c r="S26" i="5"/>
  <c r="L26" i="5"/>
  <c r="O26" i="5" s="1"/>
  <c r="S25" i="5"/>
  <c r="L25" i="5"/>
  <c r="O25" i="5" s="1"/>
  <c r="S24" i="5"/>
  <c r="L24" i="5"/>
  <c r="S23" i="5"/>
  <c r="L23" i="5"/>
  <c r="O23" i="5" s="1"/>
  <c r="S22" i="5"/>
  <c r="L22" i="5"/>
  <c r="O22" i="5" s="1"/>
  <c r="S21" i="5"/>
  <c r="L21" i="5"/>
  <c r="S20" i="5"/>
  <c r="L20" i="5"/>
  <c r="O20" i="5" s="1"/>
  <c r="S19" i="5"/>
  <c r="L19" i="5"/>
  <c r="O19" i="5" s="1"/>
  <c r="S18" i="5"/>
  <c r="L18" i="5"/>
  <c r="S17" i="5"/>
  <c r="L17" i="5"/>
  <c r="O17" i="5" s="1"/>
  <c r="S16" i="5"/>
  <c r="L16" i="5"/>
  <c r="O16" i="5" s="1"/>
  <c r="S15" i="5"/>
  <c r="L15" i="5"/>
  <c r="S14" i="5"/>
  <c r="L14" i="5"/>
  <c r="O14" i="5" s="1"/>
  <c r="S13" i="5"/>
  <c r="L13" i="5"/>
  <c r="O13" i="5" s="1"/>
  <c r="S12" i="5"/>
  <c r="L12" i="5"/>
  <c r="S11" i="5"/>
  <c r="L11" i="5"/>
  <c r="O11" i="5" s="1"/>
  <c r="S10" i="5"/>
  <c r="L10" i="5"/>
  <c r="O10" i="5" s="1"/>
  <c r="S9" i="5"/>
  <c r="L9" i="5"/>
  <c r="S8" i="5"/>
  <c r="L8" i="5"/>
  <c r="O8" i="5" s="1"/>
  <c r="S7" i="5"/>
  <c r="L7" i="5"/>
  <c r="O7" i="5" s="1"/>
  <c r="U89" i="5" l="1"/>
  <c r="T90" i="5"/>
  <c r="U90" i="5" s="1"/>
  <c r="T84" i="5"/>
  <c r="U84" i="5" s="1"/>
  <c r="U83" i="5"/>
  <c r="U92" i="5"/>
  <c r="T93" i="5"/>
  <c r="U93" i="5" s="1"/>
  <c r="T87" i="5"/>
  <c r="U87" i="5" s="1"/>
  <c r="O57" i="5"/>
  <c r="O12" i="5"/>
  <c r="O24" i="5"/>
  <c r="T24" i="5" s="1"/>
  <c r="O48" i="5"/>
  <c r="O27" i="5"/>
  <c r="T27" i="5" s="1"/>
  <c r="O51" i="5"/>
  <c r="O30" i="5"/>
  <c r="T30" i="5" s="1"/>
  <c r="O54" i="5"/>
  <c r="O9" i="5"/>
  <c r="O36" i="5"/>
  <c r="T36" i="5" s="1"/>
  <c r="O15" i="5"/>
  <c r="O39" i="5"/>
  <c r="T39" i="5" s="1"/>
  <c r="O63" i="5"/>
  <c r="O33" i="5"/>
  <c r="T33" i="5" s="1"/>
  <c r="O60" i="5"/>
  <c r="O42" i="5"/>
  <c r="O18" i="5"/>
  <c r="O21" i="5"/>
  <c r="O45" i="5"/>
  <c r="T109" i="5"/>
  <c r="U109" i="5" s="1"/>
  <c r="T46" i="5"/>
  <c r="U46" i="5" s="1"/>
  <c r="T7" i="5"/>
  <c r="U7" i="5" s="1"/>
  <c r="T65" i="5"/>
  <c r="U65" i="5" s="1"/>
  <c r="T19" i="5"/>
  <c r="U19" i="5" s="1"/>
  <c r="T22" i="5"/>
  <c r="U22" i="5" s="1"/>
  <c r="T8" i="5"/>
  <c r="U8" i="5" s="1"/>
  <c r="T35" i="5"/>
  <c r="U35" i="5" s="1"/>
  <c r="T59" i="5"/>
  <c r="U59" i="5" s="1"/>
  <c r="T102" i="5"/>
  <c r="T37" i="5"/>
  <c r="U37" i="5" s="1"/>
  <c r="T49" i="5"/>
  <c r="U49" i="5" s="1"/>
  <c r="T26" i="5"/>
  <c r="U26" i="5" s="1"/>
  <c r="T104" i="5"/>
  <c r="U104" i="5" s="1"/>
  <c r="T98" i="5"/>
  <c r="U98" i="5" s="1"/>
  <c r="T28" i="5"/>
  <c r="U28" i="5" s="1"/>
  <c r="T106" i="5"/>
  <c r="U106" i="5" s="1"/>
  <c r="T16" i="5"/>
  <c r="U16" i="5" s="1"/>
  <c r="T56" i="5"/>
  <c r="U56" i="5" s="1"/>
  <c r="T94" i="5"/>
  <c r="U94" i="5" s="1"/>
  <c r="T11" i="5"/>
  <c r="U11" i="5" s="1"/>
  <c r="T44" i="5"/>
  <c r="U44" i="5" s="1"/>
  <c r="T55" i="5"/>
  <c r="U55" i="5" s="1"/>
  <c r="U77" i="5"/>
  <c r="T95" i="5"/>
  <c r="U95" i="5" s="1"/>
  <c r="T38" i="5"/>
  <c r="U38" i="5" s="1"/>
  <c r="T113" i="5"/>
  <c r="U113" i="5" s="1"/>
  <c r="T34" i="5"/>
  <c r="U34" i="5" s="1"/>
  <c r="T64" i="5"/>
  <c r="U64" i="5" s="1"/>
  <c r="T53" i="5"/>
  <c r="U53" i="5" s="1"/>
  <c r="T112" i="5"/>
  <c r="U112" i="5" s="1"/>
  <c r="T23" i="5"/>
  <c r="U23" i="5" s="1"/>
  <c r="T41" i="5"/>
  <c r="U41" i="5" s="1"/>
  <c r="T52" i="5"/>
  <c r="U52" i="5" s="1"/>
  <c r="T47" i="5"/>
  <c r="U47" i="5" s="1"/>
  <c r="T14" i="5"/>
  <c r="U14" i="5" s="1"/>
  <c r="T21" i="5"/>
  <c r="T10" i="5"/>
  <c r="U10" i="5" s="1"/>
  <c r="T25" i="5"/>
  <c r="U25" i="5" s="1"/>
  <c r="T103" i="5"/>
  <c r="U103" i="5" s="1"/>
  <c r="T29" i="5"/>
  <c r="U29" i="5" s="1"/>
  <c r="T58" i="5"/>
  <c r="U58" i="5" s="1"/>
  <c r="T101" i="5"/>
  <c r="U101" i="5" s="1"/>
  <c r="T107" i="5"/>
  <c r="U107" i="5" s="1"/>
  <c r="T97" i="5"/>
  <c r="U97" i="5" s="1"/>
  <c r="T20" i="5"/>
  <c r="U20" i="5" s="1"/>
  <c r="T32" i="5"/>
  <c r="U32" i="5" s="1"/>
  <c r="T50" i="5"/>
  <c r="U50" i="5" s="1"/>
  <c r="T62" i="5"/>
  <c r="U62" i="5" s="1"/>
  <c r="T40" i="5"/>
  <c r="U40" i="5" s="1"/>
  <c r="U100" i="5"/>
  <c r="T31" i="5"/>
  <c r="U31" i="5" s="1"/>
  <c r="T43" i="5"/>
  <c r="U43" i="5" s="1"/>
  <c r="T61" i="5"/>
  <c r="U61" i="5" s="1"/>
  <c r="T110" i="5"/>
  <c r="U110" i="5" s="1"/>
  <c r="U73" i="5"/>
  <c r="U71" i="5"/>
  <c r="U74" i="5"/>
  <c r="T17" i="5"/>
  <c r="U17" i="5" s="1"/>
  <c r="U67" i="5"/>
  <c r="T13" i="5"/>
  <c r="U13" i="5" s="1"/>
  <c r="U70" i="5"/>
  <c r="U68" i="5"/>
  <c r="U76" i="5"/>
  <c r="T18" i="5" l="1"/>
  <c r="U18" i="5" s="1"/>
  <c r="T63" i="5"/>
  <c r="U63" i="5" s="1"/>
  <c r="T48" i="5"/>
  <c r="U48" i="5" s="1"/>
  <c r="T114" i="5"/>
  <c r="U114" i="5" s="1"/>
  <c r="T54" i="5"/>
  <c r="U54" i="5" s="1"/>
  <c r="T42" i="5"/>
  <c r="U42" i="5" s="1"/>
  <c r="U75" i="5"/>
  <c r="T96" i="5"/>
  <c r="T57" i="5"/>
  <c r="U57" i="5" s="1"/>
  <c r="T105" i="5"/>
  <c r="U39" i="5"/>
  <c r="U27" i="5"/>
  <c r="T111" i="5"/>
  <c r="T99" i="5"/>
  <c r="T9" i="5"/>
  <c r="T51" i="5"/>
  <c r="U30" i="5"/>
  <c r="T108" i="5"/>
  <c r="U72" i="5"/>
  <c r="T66" i="5"/>
  <c r="U36" i="5"/>
  <c r="T45" i="5"/>
  <c r="T15" i="5"/>
  <c r="U33" i="5"/>
  <c r="U21" i="5"/>
  <c r="U24" i="5"/>
  <c r="U102" i="5"/>
  <c r="T12" i="5"/>
  <c r="T60" i="5"/>
  <c r="U96" i="5" l="1"/>
  <c r="U78" i="5"/>
  <c r="U105" i="5"/>
  <c r="U66" i="5"/>
  <c r="U12" i="5"/>
  <c r="U15" i="5"/>
  <c r="U9" i="5"/>
  <c r="U45" i="5"/>
  <c r="U99" i="5"/>
  <c r="U60" i="5"/>
  <c r="U111" i="5"/>
  <c r="U69" i="5"/>
  <c r="U108" i="5"/>
  <c r="U51" i="5"/>
</calcChain>
</file>

<file path=xl/sharedStrings.xml><?xml version="1.0" encoding="utf-8"?>
<sst xmlns="http://schemas.openxmlformats.org/spreadsheetml/2006/main" count="383" uniqueCount="69">
  <si>
    <t>Total</t>
  </si>
  <si>
    <t>Avances</t>
  </si>
  <si>
    <t>-</t>
  </si>
  <si>
    <t xml:space="preserve">     AVOIRS EXTERIEURS NETS</t>
  </si>
  <si>
    <t>CREDIT INTERIEUR</t>
  </si>
  <si>
    <t>Avoirs extérieurs nets</t>
  </si>
  <si>
    <t>Créances nettes sur l'Etat</t>
  </si>
  <si>
    <t>Créances sur l'économie</t>
  </si>
  <si>
    <t>Crédit intérieur</t>
  </si>
  <si>
    <t>total actif</t>
  </si>
  <si>
    <t xml:space="preserve"> Bons et   obligations du Trésor</t>
  </si>
  <si>
    <t>Certificats du trésor</t>
  </si>
  <si>
    <t xml:space="preserve">  Autres Créances</t>
  </si>
  <si>
    <t xml:space="preserve">  Crédit  spécial</t>
  </si>
  <si>
    <t>Créances Rééchelonnées</t>
  </si>
  <si>
    <t>Total des créances</t>
  </si>
  <si>
    <t xml:space="preserve">  Créances    sur le    secteur    privé</t>
  </si>
  <si>
    <t xml:space="preserve">  Banques commerciales </t>
  </si>
  <si>
    <t>brb</t>
  </si>
  <si>
    <t xml:space="preserve">    Dépôts de l'Administration  Centrale</t>
  </si>
  <si>
    <t xml:space="preserve">   Dépôts    d'agences   gouvernementales</t>
  </si>
  <si>
    <t>Total actif</t>
  </si>
  <si>
    <t>Créances nettes à l'Etat</t>
  </si>
  <si>
    <t>Retour à la Table de Matière</t>
  </si>
  <si>
    <t>Table de Matière</t>
  </si>
  <si>
    <t>Actif de la Banque de la République</t>
  </si>
  <si>
    <t>Cliquez dans cette feuille pour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</si>
  <si>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</si>
  <si>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</si>
  <si>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</si>
  <si>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</si>
  <si>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</si>
  <si>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</si>
  <si>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</si>
  <si>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</si>
  <si>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</si>
  <si>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</si>
  <si>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</si>
  <si>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Actif  situation monétaire données annuelles</t>
  </si>
  <si>
    <t>Actif situation monétaire.xls</t>
  </si>
  <si>
    <t>Dernière date de publication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</si>
  <si>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</si>
  <si>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</si>
  <si>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</si>
  <si>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</si>
  <si>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Source: Compilé sur base des données de la BRB, des banques commerciales, des établissements de microfinances à partir de décembre 2010 et des CCP</t>
  </si>
  <si>
    <t>Période       Rubliques</t>
  </si>
  <si>
    <t xml:space="preserve">Banques commerciales </t>
  </si>
  <si>
    <t xml:space="preserve"> Bons et obligations du Trésor</t>
  </si>
  <si>
    <t>Autres Créances</t>
  </si>
  <si>
    <t>Crédit spécial</t>
  </si>
  <si>
    <t xml:space="preserve">    Dépôts de l' Administration Centrale</t>
  </si>
  <si>
    <t xml:space="preserve">   Dépôts d'agences   gouvernementales</t>
  </si>
  <si>
    <t xml:space="preserve"> Créances sur   les sociétés à participation publique</t>
  </si>
  <si>
    <t xml:space="preserve">  Créances sur les Administrations locales</t>
  </si>
  <si>
    <t>ACTIF SITUATION MONETAIRE</t>
  </si>
  <si>
    <t xml:space="preserve">  Créances sur le secteur privé</t>
  </si>
  <si>
    <t>BRB</t>
  </si>
  <si>
    <t xml:space="preserve">   Créances sur les sociétés à participation publique</t>
  </si>
  <si>
    <t>Actif situation monétaire données mensuelles</t>
  </si>
  <si>
    <t>Actif situation monétaire données trimestrielles</t>
  </si>
  <si>
    <t xml:space="preserve">Actif situation monétaire renseigne sur les contreparties de la masse monétaire à savoir les avoirs extérieurs nets  et le crédit intérieur </t>
  </si>
  <si>
    <t>II.5.1</t>
  </si>
  <si>
    <t>Etablissements de Microfinance</t>
  </si>
  <si>
    <t>Aout-23</t>
  </si>
  <si>
    <t>Aout-24</t>
  </si>
  <si>
    <t>Aout-25</t>
  </si>
  <si>
    <t>Q4-2025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</si>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</sst>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2">
    <numFmt numFmtId="164" formatCode="_-* #,##0\ _€_-;\-* #,##0\ _€_-;_-* &quot;-&quot;\ _€_-;_-@_-"/>
    <numFmt numFmtId="165" formatCode="_-* #,##0.00\ _€_-;\-* #,##0.00\ _€_-;_-* &quot;-&quot;??\ _€_-;_-@_-"/>
    <numFmt numFmtId="166" formatCode="&quot;$&quot;#,##0_);\(&quot;$&quot;#,##0\)"/>
    <numFmt numFmtId="167" formatCode="&quot;$&quot;#,##0_);[Red]\(&quot;$&quot;#,##0\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#,##0.0_);\(#,##0.0\)"/>
    <numFmt numFmtId="171" formatCode="0.0_)"/>
    <numFmt numFmtId="172" formatCode="#,##0.0"/>
    <numFmt numFmtId="173" formatCode="[$-409]dd\-mmm\-yy;@"/>
    <numFmt numFmtId="174" formatCode="_-* #,##0.00\ &quot;F&quot;_-;\-* #,##0.00\ &quot;F&quot;_-;_-* &quot;-&quot;??\ &quot;F&quot;_-;_-@_-"/>
    <numFmt numFmtId="175" formatCode="_-* #,##0.00\ _F_-;\-* #,##0.00\ _F_-;_-* &quot;-&quot;??\ _F_-;_-@_-"/>
    <numFmt numFmtId="176" formatCode="0_)"/>
    <numFmt numFmtId="177" formatCode="General_)"/>
    <numFmt numFmtId="178" formatCode="0.0"/>
    <numFmt numFmtId="179" formatCode="&quot;   &quot;@"/>
    <numFmt numFmtId="180" formatCode="&quot;      &quot;@"/>
    <numFmt numFmtId="181" formatCode="&quot;         &quot;@"/>
    <numFmt numFmtId="182" formatCode="&quot;            &quot;@"/>
    <numFmt numFmtId="183" formatCode="&quot;               &quot;@"/>
    <numFmt numFmtId="184" formatCode="#,##0;[Red]\(#,##0\)"/>
    <numFmt numFmtId="185" formatCode="_ * #,##0.00_ ;_ * \-#,##0.00_ ;_ * &quot;-&quot;??_ ;_ @_ "/>
    <numFmt numFmtId="186" formatCode="_-[$€-2]* #,##0.00_-;\-[$€-2]* #,##0.00_-;_-[$€-2]* &quot;-&quot;??_-"/>
    <numFmt numFmtId="187" formatCode="_-* #,##0.00\ [$€]_-;\-* #,##0.00\ [$€]_-;_-* &quot;-&quot;??\ [$€]_-;_-@_-"/>
    <numFmt numFmtId="188" formatCode="#,#00"/>
    <numFmt numFmtId="189" formatCode="#,"/>
    <numFmt numFmtId="190" formatCode="&quot;Cr$&quot;#,##0_);[Red]\(&quot;Cr$&quot;#,##0\)"/>
    <numFmt numFmtId="191" formatCode="&quot;Cr$&quot;#,##0.00_);[Red]\(&quot;Cr$&quot;#,##0.00\)"/>
    <numFmt numFmtId="192" formatCode="\$#,"/>
    <numFmt numFmtId="193" formatCode="&quot;$&quot;#,#00"/>
    <numFmt numFmtId="194" formatCode="&quot;$&quot;#,"/>
    <numFmt numFmtId="195" formatCode="[&gt;=0.05]#,##0.0;[&lt;=-0.05]\-#,##0.0;?\-\-"/>
  </numFmts>
  <fonts count="58">
    <font>
      <sz val="12"/>
      <name val="Helv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2060"/>
      <name val="Garamond"/>
      <family val="1"/>
    </font>
    <font>
      <sz val="12"/>
      <color theme="1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u/>
      <sz val="11"/>
      <color theme="10"/>
      <name val="Calibri"/>
      <family val="2"/>
    </font>
    <font>
      <u/>
      <sz val="11"/>
      <color rgb="FF7030A0"/>
      <name val="Calibri"/>
      <family val="2"/>
    </font>
    <font>
      <sz val="12"/>
      <color rgb="FF0070C0"/>
      <name val="Garamond"/>
      <family val="1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Calibri"/>
      <family val="2"/>
      <scheme val="minor"/>
    </font>
    <font>
      <b/>
      <sz val="14"/>
      <name val="Calibri "/>
    </font>
    <font>
      <sz val="14"/>
      <name val="Calibri "/>
    </font>
    <font>
      <sz val="12"/>
      <name val="Helv"/>
    </font>
    <font>
      <sz val="11"/>
      <name val="Courier New"/>
      <family val="3"/>
    </font>
    <font>
      <sz val="10"/>
      <name val="Arial"/>
      <family val="2"/>
    </font>
    <font>
      <sz val="11"/>
      <name val="Tms Rmn"/>
    </font>
    <font>
      <sz val="9"/>
      <name val="Times New Roman"/>
      <family val="1"/>
    </font>
    <font>
      <sz val="8"/>
      <color indexed="12"/>
      <name val="Helv"/>
    </font>
    <font>
      <sz val="10"/>
      <name val="Geneva"/>
      <family val="2"/>
    </font>
    <font>
      <sz val="12"/>
      <name val="±¼¸²Ã¼"/>
      <charset val="129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9"/>
      <name val="Tms Rmn"/>
    </font>
    <font>
      <b/>
      <sz val="10"/>
      <color indexed="8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36"/>
      <name val="Arial"/>
      <family val="2"/>
    </font>
    <font>
      <sz val="8"/>
      <color indexed="8"/>
      <name val="Helv"/>
    </font>
    <font>
      <u/>
      <sz val="10"/>
      <name val="Times New Roman"/>
      <family val="1"/>
    </font>
    <font>
      <sz val="12"/>
      <name val="Arial"/>
      <family val="2"/>
    </font>
    <font>
      <sz val="10"/>
      <name val="Tms Rmn"/>
    </font>
    <font>
      <sz val="12"/>
      <name val="Tms Rmn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362">
    <xf numFmtId="171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170" fontId="18" fillId="0" borderId="0"/>
    <xf numFmtId="179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3" fontId="22" fillId="0" borderId="0" applyFont="0" applyFill="0" applyBorder="0" applyAlignment="0" applyProtection="0"/>
    <xf numFmtId="0" fontId="23" fillId="0" borderId="8">
      <protection hidden="1"/>
    </xf>
    <xf numFmtId="0" fontId="24" fillId="7" borderId="8" applyNumberFormat="0" applyFont="0" applyBorder="0" applyAlignment="0" applyProtection="0">
      <protection hidden="1"/>
    </xf>
    <xf numFmtId="0" fontId="20" fillId="0" borderId="0"/>
    <xf numFmtId="0" fontId="25" fillId="0" borderId="0"/>
    <xf numFmtId="2" fontId="26" fillId="0" borderId="0">
      <protection locked="0"/>
    </xf>
    <xf numFmtId="2" fontId="27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184" fontId="20" fillId="0" borderId="0"/>
    <xf numFmtId="184" fontId="20" fillId="0" borderId="0"/>
    <xf numFmtId="184" fontId="20" fillId="0" borderId="0"/>
    <xf numFmtId="184" fontId="20" fillId="0" borderId="0"/>
    <xf numFmtId="184" fontId="20" fillId="0" borderId="0"/>
    <xf numFmtId="184" fontId="20" fillId="0" borderId="0"/>
    <xf numFmtId="184" fontId="20" fillId="0" borderId="0"/>
    <xf numFmtId="184" fontId="20" fillId="0" borderId="0"/>
    <xf numFmtId="184" fontId="20" fillId="0" borderId="0"/>
    <xf numFmtId="184" fontId="20" fillId="0" borderId="0"/>
    <xf numFmtId="0" fontId="28" fillId="8" borderId="10">
      <alignment horizontal="right" vertical="center"/>
    </xf>
    <xf numFmtId="0" fontId="29" fillId="8" borderId="10">
      <alignment horizontal="right" vertical="center"/>
    </xf>
    <xf numFmtId="0" fontId="20" fillId="8" borderId="19"/>
    <xf numFmtId="0" fontId="20" fillId="8" borderId="19"/>
    <xf numFmtId="0" fontId="20" fillId="8" borderId="19"/>
    <xf numFmtId="0" fontId="20" fillId="8" borderId="19"/>
    <xf numFmtId="0" fontId="20" fillId="8" borderId="19"/>
    <xf numFmtId="0" fontId="20" fillId="8" borderId="19"/>
    <xf numFmtId="0" fontId="20" fillId="8" borderId="19"/>
    <xf numFmtId="0" fontId="20" fillId="8" borderId="19"/>
    <xf numFmtId="0" fontId="20" fillId="8" borderId="19"/>
    <xf numFmtId="0" fontId="20" fillId="8" borderId="19"/>
    <xf numFmtId="0" fontId="30" fillId="9" borderId="10">
      <alignment horizontal="center" vertical="center"/>
    </xf>
    <xf numFmtId="0" fontId="28" fillId="8" borderId="10">
      <alignment horizontal="right" vertical="center"/>
    </xf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31" fillId="8" borderId="10">
      <alignment horizontal="left" vertical="center"/>
    </xf>
    <xf numFmtId="0" fontId="31" fillId="8" borderId="20">
      <alignment vertical="center"/>
    </xf>
    <xf numFmtId="0" fontId="32" fillId="8" borderId="21">
      <alignment vertical="center"/>
    </xf>
    <xf numFmtId="0" fontId="31" fillId="8" borderId="10"/>
    <xf numFmtId="0" fontId="29" fillId="8" borderId="10">
      <alignment horizontal="right" vertical="center"/>
    </xf>
    <xf numFmtId="0" fontId="33" fillId="10" borderId="10">
      <alignment horizontal="left" vertical="center"/>
    </xf>
    <xf numFmtId="0" fontId="33" fillId="10" borderId="10">
      <alignment horizontal="left" vertical="center"/>
    </xf>
    <xf numFmtId="0" fontId="34" fillId="8" borderId="10">
      <alignment horizontal="left" vertical="center"/>
    </xf>
    <xf numFmtId="0" fontId="35" fillId="8" borderId="19"/>
    <xf numFmtId="0" fontId="30" fillId="11" borderId="10">
      <alignment horizontal="left" vertical="center"/>
    </xf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37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54" fillId="6" borderId="22" applyNumberFormat="0" applyFont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2" fontId="26" fillId="0" borderId="0">
      <protection locked="0"/>
    </xf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8" fontId="38" fillId="0" borderId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77" fontId="18" fillId="0" borderId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40" fillId="0" borderId="0"/>
    <xf numFmtId="0" fontId="26" fillId="0" borderId="0">
      <protection locked="0"/>
    </xf>
    <xf numFmtId="188" fontId="26" fillId="0" borderId="0">
      <protection locked="0"/>
    </xf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188" fontId="26" fillId="0" borderId="0">
      <protection locked="0"/>
    </xf>
    <xf numFmtId="38" fontId="41" fillId="11" borderId="0" applyNumberFormat="0" applyBorder="0" applyAlignment="0" applyProtection="0"/>
    <xf numFmtId="0" fontId="42" fillId="0" borderId="23" applyNumberFormat="0" applyAlignment="0" applyProtection="0">
      <alignment horizontal="left" vertical="center"/>
    </xf>
    <xf numFmtId="0" fontId="42" fillId="0" borderId="12">
      <alignment horizontal="left" vertical="center"/>
    </xf>
    <xf numFmtId="189" fontId="43" fillId="0" borderId="0">
      <protection locked="0"/>
    </xf>
    <xf numFmtId="189" fontId="43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172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10" fontId="41" fillId="8" borderId="10" applyNumberFormat="0" applyBorder="0" applyAlignment="0" applyProtection="0"/>
    <xf numFmtId="15" fontId="20" fillId="0" borderId="0"/>
    <xf numFmtId="15" fontId="20" fillId="0" borderId="0"/>
    <xf numFmtId="15" fontId="20" fillId="0" borderId="0"/>
    <xf numFmtId="15" fontId="20" fillId="0" borderId="0"/>
    <xf numFmtId="15" fontId="20" fillId="0" borderId="0"/>
    <xf numFmtId="15" fontId="20" fillId="0" borderId="0"/>
    <xf numFmtId="15" fontId="20" fillId="0" borderId="0"/>
    <xf numFmtId="15" fontId="20" fillId="0" borderId="0"/>
    <xf numFmtId="15" fontId="20" fillId="0" borderId="0"/>
    <xf numFmtId="15" fontId="20" fillId="0" borderId="0"/>
    <xf numFmtId="0" fontId="56" fillId="0" borderId="0" applyNumberFormat="0" applyFill="0" applyBorder="0" applyAlignment="0" applyProtection="0">
      <alignment vertical="top"/>
      <protection locked="0"/>
    </xf>
    <xf numFmtId="0" fontId="49" fillId="0" borderId="8">
      <alignment horizontal="left"/>
      <protection locked="0"/>
    </xf>
    <xf numFmtId="1" fontId="36" fillId="0" borderId="0" applyNumberFormat="0" applyAlignment="0">
      <alignment horizontal="center"/>
    </xf>
    <xf numFmtId="176" fontId="50" fillId="0" borderId="0" applyNumberFormat="0">
      <alignment horizontal="centerContinuous"/>
    </xf>
    <xf numFmtId="164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54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85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20" fillId="0" borderId="0" applyFont="0" applyFill="0" applyBorder="0" applyAlignment="0" applyProtection="0"/>
    <xf numFmtId="190" fontId="40" fillId="0" borderId="0" applyFont="0" applyFill="0" applyBorder="0" applyAlignment="0" applyProtection="0"/>
    <xf numFmtId="191" fontId="40" fillId="0" borderId="0" applyFont="0" applyFill="0" applyBorder="0" applyAlignment="0" applyProtection="0"/>
    <xf numFmtId="192" fontId="26" fillId="0" borderId="0">
      <protection locked="0"/>
    </xf>
    <xf numFmtId="168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4" fontId="20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93" fontId="26" fillId="0" borderId="0">
      <protection locked="0"/>
    </xf>
    <xf numFmtId="194" fontId="26" fillId="0" borderId="0">
      <protection locked="0"/>
    </xf>
    <xf numFmtId="0" fontId="51" fillId="0" borderId="0"/>
    <xf numFmtId="0" fontId="52" fillId="0" borderId="0"/>
    <xf numFmtId="0" fontId="18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0" fontId="18" fillId="0" borderId="0"/>
    <xf numFmtId="0" fontId="3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0" fontId="18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177" fontId="18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18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1" fontId="18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7" fillId="0" borderId="0"/>
    <xf numFmtId="0" fontId="37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0" fontId="18" fillId="0" borderId="0"/>
    <xf numFmtId="177" fontId="18" fillId="0" borderId="0"/>
    <xf numFmtId="0" fontId="18" fillId="0" borderId="0"/>
    <xf numFmtId="177" fontId="18" fillId="0" borderId="0"/>
    <xf numFmtId="0" fontId="18" fillId="0" borderId="0"/>
    <xf numFmtId="177" fontId="18" fillId="0" borderId="0"/>
    <xf numFmtId="0" fontId="18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177" fontId="18" fillId="0" borderId="0"/>
    <xf numFmtId="0" fontId="18" fillId="0" borderId="0"/>
    <xf numFmtId="177" fontId="18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36" fillId="0" borderId="0"/>
    <xf numFmtId="0" fontId="20" fillId="0" borderId="0"/>
    <xf numFmtId="0" fontId="20" fillId="0" borderId="0"/>
    <xf numFmtId="0" fontId="20" fillId="0" borderId="0"/>
    <xf numFmtId="0" fontId="37" fillId="0" borderId="0"/>
    <xf numFmtId="0" fontId="37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3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7" fillId="0" borderId="0"/>
    <xf numFmtId="0" fontId="20" fillId="0" borderId="0"/>
    <xf numFmtId="0" fontId="37" fillId="0" borderId="0"/>
    <xf numFmtId="0" fontId="37" fillId="0" borderId="0"/>
    <xf numFmtId="0" fontId="20" fillId="0" borderId="0"/>
    <xf numFmtId="0" fontId="20" fillId="0" borderId="0"/>
    <xf numFmtId="0" fontId="37" fillId="0" borderId="0"/>
    <xf numFmtId="0" fontId="20" fillId="0" borderId="0"/>
    <xf numFmtId="0" fontId="20" fillId="0" borderId="0"/>
    <xf numFmtId="0" fontId="37" fillId="0" borderId="0"/>
    <xf numFmtId="0" fontId="20" fillId="0" borderId="0"/>
    <xf numFmtId="0" fontId="20" fillId="0" borderId="0"/>
    <xf numFmtId="0" fontId="37" fillId="0" borderId="0"/>
    <xf numFmtId="0" fontId="20" fillId="0" borderId="0"/>
    <xf numFmtId="0" fontId="20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0" fillId="0" borderId="0"/>
    <xf numFmtId="0" fontId="36" fillId="0" borderId="0"/>
    <xf numFmtId="0" fontId="20" fillId="0" borderId="0"/>
    <xf numFmtId="0" fontId="36" fillId="0" borderId="0"/>
    <xf numFmtId="0" fontId="20" fillId="0" borderId="0"/>
    <xf numFmtId="0" fontId="36" fillId="0" borderId="0"/>
    <xf numFmtId="0" fontId="20" fillId="0" borderId="0"/>
    <xf numFmtId="0" fontId="36" fillId="0" borderId="0"/>
    <xf numFmtId="0" fontId="20" fillId="0" borderId="0"/>
    <xf numFmtId="171" fontId="51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177" fontId="18" fillId="0" borderId="0"/>
    <xf numFmtId="177" fontId="18" fillId="0" borderId="0"/>
    <xf numFmtId="0" fontId="18" fillId="0" borderId="0"/>
    <xf numFmtId="177" fontId="18" fillId="0" borderId="0"/>
    <xf numFmtId="177" fontId="18" fillId="0" borderId="0"/>
    <xf numFmtId="0" fontId="18" fillId="0" borderId="0"/>
    <xf numFmtId="177" fontId="18" fillId="0" borderId="0"/>
    <xf numFmtId="0" fontId="20" fillId="0" borderId="0"/>
    <xf numFmtId="0" fontId="18" fillId="0" borderId="0"/>
    <xf numFmtId="177" fontId="18" fillId="0" borderId="0"/>
    <xf numFmtId="0" fontId="20" fillId="0" borderId="0"/>
    <xf numFmtId="0" fontId="18" fillId="0" borderId="0"/>
    <xf numFmtId="0" fontId="20" fillId="0" borderId="0"/>
    <xf numFmtId="177" fontId="18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18" fillId="0" borderId="0"/>
    <xf numFmtId="0" fontId="20" fillId="0" borderId="0"/>
    <xf numFmtId="177" fontId="18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18" fillId="0" borderId="0"/>
    <xf numFmtId="0" fontId="20" fillId="0" borderId="0"/>
    <xf numFmtId="0" fontId="1" fillId="0" borderId="0"/>
    <xf numFmtId="0" fontId="18" fillId="0" borderId="0"/>
    <xf numFmtId="0" fontId="20" fillId="0" borderId="0"/>
    <xf numFmtId="0" fontId="20" fillId="0" borderId="0"/>
    <xf numFmtId="0" fontId="1" fillId="0" borderId="0"/>
    <xf numFmtId="177" fontId="18" fillId="0" borderId="0"/>
    <xf numFmtId="0" fontId="54" fillId="0" borderId="0"/>
    <xf numFmtId="177" fontId="18" fillId="0" borderId="0"/>
    <xf numFmtId="0" fontId="1" fillId="0" borderId="0"/>
    <xf numFmtId="0" fontId="20" fillId="0" borderId="0"/>
    <xf numFmtId="0" fontId="1" fillId="0" borderId="0"/>
    <xf numFmtId="0" fontId="54" fillId="0" borderId="0"/>
    <xf numFmtId="177" fontId="18" fillId="0" borderId="0"/>
    <xf numFmtId="0" fontId="1" fillId="0" borderId="0"/>
    <xf numFmtId="0" fontId="20" fillId="0" borderId="0"/>
    <xf numFmtId="0" fontId="1" fillId="0" borderId="0"/>
    <xf numFmtId="0" fontId="54" fillId="0" borderId="0"/>
    <xf numFmtId="177" fontId="18" fillId="0" borderId="0"/>
    <xf numFmtId="0" fontId="1" fillId="0" borderId="0"/>
    <xf numFmtId="0" fontId="1" fillId="0" borderId="0"/>
    <xf numFmtId="177" fontId="18" fillId="0" borderId="0"/>
    <xf numFmtId="0" fontId="18" fillId="0" borderId="0"/>
    <xf numFmtId="177" fontId="18" fillId="0" borderId="0"/>
    <xf numFmtId="0" fontId="54" fillId="0" borderId="0"/>
    <xf numFmtId="177" fontId="18" fillId="0" borderId="0"/>
    <xf numFmtId="0" fontId="1" fillId="0" borderId="0"/>
    <xf numFmtId="0" fontId="1" fillId="0" borderId="0"/>
    <xf numFmtId="177" fontId="18" fillId="0" borderId="0"/>
    <xf numFmtId="0" fontId="18" fillId="0" borderId="0"/>
    <xf numFmtId="177" fontId="18" fillId="0" borderId="0"/>
    <xf numFmtId="0" fontId="54" fillId="0" borderId="0"/>
    <xf numFmtId="177" fontId="18" fillId="0" borderId="0"/>
    <xf numFmtId="0" fontId="1" fillId="0" borderId="0"/>
    <xf numFmtId="0" fontId="1" fillId="0" borderId="0"/>
    <xf numFmtId="0" fontId="20" fillId="0" borderId="0"/>
    <xf numFmtId="0" fontId="18" fillId="0" borderId="0"/>
    <xf numFmtId="0" fontId="20" fillId="0" borderId="0"/>
    <xf numFmtId="0" fontId="54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8" fillId="0" borderId="0"/>
    <xf numFmtId="0" fontId="54" fillId="0" borderId="0"/>
    <xf numFmtId="177" fontId="18" fillId="0" borderId="0"/>
    <xf numFmtId="177" fontId="18" fillId="0" borderId="0"/>
    <xf numFmtId="0" fontId="18" fillId="0" borderId="0"/>
    <xf numFmtId="0" fontId="20" fillId="0" borderId="0"/>
    <xf numFmtId="0" fontId="54" fillId="0" borderId="0"/>
    <xf numFmtId="177" fontId="18" fillId="0" borderId="0"/>
    <xf numFmtId="0" fontId="18" fillId="0" borderId="0"/>
    <xf numFmtId="0" fontId="20" fillId="0" borderId="0"/>
    <xf numFmtId="0" fontId="54" fillId="0" borderId="0"/>
    <xf numFmtId="177" fontId="18" fillId="0" borderId="0"/>
    <xf numFmtId="0" fontId="18" fillId="0" borderId="0"/>
    <xf numFmtId="0" fontId="20" fillId="0" borderId="0"/>
    <xf numFmtId="0" fontId="54" fillId="0" borderId="0"/>
    <xf numFmtId="177" fontId="18" fillId="0" borderId="0"/>
    <xf numFmtId="0" fontId="18" fillId="0" borderId="0"/>
    <xf numFmtId="0" fontId="20" fillId="0" borderId="0"/>
    <xf numFmtId="0" fontId="54" fillId="0" borderId="0"/>
    <xf numFmtId="177" fontId="18" fillId="0" borderId="0"/>
    <xf numFmtId="0" fontId="18" fillId="0" borderId="0"/>
    <xf numFmtId="0" fontId="20" fillId="0" borderId="0"/>
    <xf numFmtId="0" fontId="54" fillId="0" borderId="0"/>
    <xf numFmtId="177" fontId="18" fillId="0" borderId="0"/>
    <xf numFmtId="0" fontId="20" fillId="0" borderId="0"/>
    <xf numFmtId="0" fontId="54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6" fillId="0" borderId="0"/>
    <xf numFmtId="0" fontId="20" fillId="0" borderId="0"/>
    <xf numFmtId="0" fontId="54" fillId="0" borderId="0"/>
    <xf numFmtId="0" fontId="54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4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171" fontId="18" fillId="0" borderId="0"/>
    <xf numFmtId="171" fontId="18" fillId="0" borderId="0"/>
    <xf numFmtId="171" fontId="18" fillId="0" borderId="0"/>
    <xf numFmtId="171" fontId="18" fillId="0" borderId="0"/>
    <xf numFmtId="171" fontId="18" fillId="0" borderId="0"/>
    <xf numFmtId="171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17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170" fontId="18" fillId="0" borderId="0"/>
    <xf numFmtId="0" fontId="20" fillId="0" borderId="0"/>
    <xf numFmtId="0" fontId="20" fillId="0" borderId="0"/>
    <xf numFmtId="0" fontId="18" fillId="0" borderId="0"/>
    <xf numFmtId="195" fontId="36" fillId="0" borderId="0" applyFill="0" applyBorder="0" applyProtection="0">
      <alignment horizontal="right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0" fillId="0" borderId="0"/>
    <xf numFmtId="0" fontId="18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0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0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0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1" fontId="18" fillId="0" borderId="0"/>
    <xf numFmtId="0" fontId="20" fillId="0" borderId="0"/>
    <xf numFmtId="0" fontId="57" fillId="0" borderId="0" applyNumberFormat="0" applyBorder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1" fontId="18" fillId="0" borderId="0"/>
    <xf numFmtId="171" fontId="18" fillId="0" borderId="0"/>
    <xf numFmtId="0" fontId="20" fillId="0" borderId="0"/>
    <xf numFmtId="171" fontId="18" fillId="0" borderId="0"/>
    <xf numFmtId="171" fontId="18" fillId="0" borderId="0"/>
    <xf numFmtId="171" fontId="18" fillId="0" borderId="0"/>
    <xf numFmtId="171" fontId="18" fillId="0" borderId="0"/>
    <xf numFmtId="170" fontId="18" fillId="0" borderId="0"/>
    <xf numFmtId="175" fontId="19" fillId="0" borderId="0" applyFont="0" applyFill="0" applyBorder="0" applyAlignment="0" applyProtection="0"/>
    <xf numFmtId="170" fontId="18" fillId="0" borderId="0"/>
  </cellStyleXfs>
  <cellXfs count="66">
    <xf numFmtId="171" fontId="0" fillId="0" borderId="0" xfId="0"/>
    <xf numFmtId="171" fontId="3" fillId="0" borderId="0" xfId="0" applyFont="1"/>
    <xf numFmtId="171" fontId="3" fillId="0" borderId="0" xfId="0" applyFont="1" applyAlignment="1">
      <alignment horizontal="center"/>
    </xf>
    <xf numFmtId="171" fontId="4" fillId="0" borderId="0" xfId="0" applyFont="1"/>
    <xf numFmtId="171" fontId="5" fillId="0" borderId="0" xfId="0" applyFont="1"/>
    <xf numFmtId="171" fontId="6" fillId="0" borderId="0" xfId="0" applyFont="1"/>
    <xf numFmtId="171" fontId="7" fillId="3" borderId="14" xfId="0" applyFont="1" applyFill="1" applyBorder="1"/>
    <xf numFmtId="0" fontId="9" fillId="4" borderId="0" xfId="1" applyFont="1" applyFill="1" applyAlignment="1" applyProtection="1"/>
    <xf numFmtId="171" fontId="5" fillId="4" borderId="0" xfId="0" applyFont="1" applyFill="1"/>
    <xf numFmtId="49" fontId="5" fillId="4" borderId="0" xfId="0" applyNumberFormat="1" applyFont="1" applyFill="1" applyAlignment="1">
      <alignment horizontal="right"/>
    </xf>
    <xf numFmtId="49" fontId="5" fillId="4" borderId="0" xfId="0" quotePrefix="1" applyNumberFormat="1" applyFont="1" applyFill="1" applyAlignment="1">
      <alignment horizontal="right"/>
    </xf>
    <xf numFmtId="171" fontId="10" fillId="4" borderId="15" xfId="0" applyFont="1" applyFill="1" applyBorder="1"/>
    <xf numFmtId="171" fontId="5" fillId="4" borderId="15" xfId="0" applyFont="1" applyFill="1" applyBorder="1"/>
    <xf numFmtId="173" fontId="5" fillId="0" borderId="0" xfId="0" applyNumberFormat="1" applyFont="1" applyAlignment="1">
      <alignment horizontal="left"/>
    </xf>
    <xf numFmtId="0" fontId="8" fillId="0" borderId="0" xfId="1" applyAlignment="1" applyProtection="1"/>
    <xf numFmtId="171" fontId="8" fillId="0" borderId="0" xfId="1" applyNumberFormat="1" applyAlignment="1" applyProtection="1">
      <alignment horizontal="center"/>
    </xf>
    <xf numFmtId="171" fontId="8" fillId="0" borderId="0" xfId="1" applyNumberFormat="1" applyAlignment="1" applyProtection="1"/>
    <xf numFmtId="171" fontId="12" fillId="0" borderId="7" xfId="0" applyFont="1" applyBorder="1" applyAlignment="1">
      <alignment horizontal="center"/>
    </xf>
    <xf numFmtId="171" fontId="12" fillId="0" borderId="8" xfId="0" applyFont="1" applyBorder="1" applyAlignment="1">
      <alignment horizontal="center"/>
    </xf>
    <xf numFmtId="171" fontId="12" fillId="0" borderId="9" xfId="0" applyFont="1" applyBorder="1" applyAlignment="1">
      <alignment horizontal="center"/>
    </xf>
    <xf numFmtId="171" fontId="13" fillId="0" borderId="0" xfId="0" applyFont="1" applyAlignment="1">
      <alignment horizontal="justify" vertical="center"/>
    </xf>
    <xf numFmtId="171" fontId="3" fillId="0" borderId="0" xfId="0" applyFont="1" applyBorder="1" applyAlignment="1">
      <alignment horizontal="center"/>
    </xf>
    <xf numFmtId="171" fontId="17" fillId="0" borderId="0" xfId="0" applyFont="1" applyBorder="1"/>
    <xf numFmtId="171" fontId="17" fillId="0" borderId="0" xfId="0" applyFont="1"/>
    <xf numFmtId="170" fontId="17" fillId="0" borderId="0" xfId="0" applyNumberFormat="1" applyFont="1" applyBorder="1" applyAlignment="1" applyProtection="1">
      <alignment horizontal="center"/>
    </xf>
    <xf numFmtId="170" fontId="17" fillId="0" borderId="0" xfId="0" applyNumberFormat="1" applyFont="1" applyBorder="1" applyAlignment="1" applyProtection="1">
      <alignment horizontal="fill"/>
    </xf>
    <xf numFmtId="171" fontId="16" fillId="5" borderId="10" xfId="0" applyFont="1" applyFill="1" applyBorder="1" applyAlignment="1">
      <alignment horizontal="center" vertical="center" wrapText="1"/>
    </xf>
    <xf numFmtId="170" fontId="16" fillId="5" borderId="10" xfId="0" applyNumberFormat="1" applyFont="1" applyFill="1" applyBorder="1" applyAlignment="1" applyProtection="1">
      <alignment horizontal="center" vertical="center" wrapText="1"/>
    </xf>
    <xf numFmtId="170" fontId="16" fillId="5" borderId="11" xfId="0" applyNumberFormat="1" applyFont="1" applyFill="1" applyBorder="1" applyAlignment="1" applyProtection="1">
      <alignment horizontal="center" vertical="center" wrapText="1"/>
    </xf>
    <xf numFmtId="172" fontId="15" fillId="0" borderId="10" xfId="0" applyNumberFormat="1" applyFont="1" applyFill="1" applyBorder="1" applyAlignment="1" applyProtection="1">
      <alignment horizontal="center"/>
    </xf>
    <xf numFmtId="172" fontId="15" fillId="0" borderId="10" xfId="0" quotePrefix="1" applyNumberFormat="1" applyFont="1" applyFill="1" applyBorder="1" applyAlignment="1" applyProtection="1">
      <alignment horizontal="center"/>
    </xf>
    <xf numFmtId="172" fontId="15" fillId="2" borderId="10" xfId="0" applyNumberFormat="1" applyFont="1" applyFill="1" applyBorder="1" applyAlignment="1" applyProtection="1">
      <alignment horizontal="center"/>
    </xf>
    <xf numFmtId="172" fontId="15" fillId="0" borderId="10" xfId="0" applyNumberFormat="1" applyFont="1" applyFill="1" applyBorder="1" applyAlignment="1">
      <alignment horizontal="center"/>
    </xf>
    <xf numFmtId="172" fontId="15" fillId="0" borderId="11" xfId="0" applyNumberFormat="1" applyFont="1" applyFill="1" applyBorder="1" applyAlignment="1" applyProtection="1">
      <alignment horizontal="center"/>
    </xf>
    <xf numFmtId="171" fontId="15" fillId="0" borderId="0" xfId="0" applyFont="1" applyBorder="1" applyAlignment="1">
      <alignment horizontal="center"/>
    </xf>
    <xf numFmtId="171" fontId="15" fillId="0" borderId="0" xfId="0" applyFont="1" applyAlignment="1">
      <alignment horizontal="center"/>
    </xf>
    <xf numFmtId="171" fontId="15" fillId="0" borderId="10" xfId="0" applyNumberFormat="1" applyFont="1" applyBorder="1" applyAlignment="1" applyProtection="1">
      <alignment horizontal="center"/>
    </xf>
    <xf numFmtId="0" fontId="15" fillId="2" borderId="10" xfId="0" quotePrefix="1" applyNumberFormat="1" applyFont="1" applyFill="1" applyBorder="1" applyAlignment="1" applyProtection="1">
      <alignment horizontal="left"/>
    </xf>
    <xf numFmtId="171" fontId="11" fillId="0" borderId="0" xfId="0" applyFont="1" applyBorder="1" applyAlignment="1">
      <alignment horizontal="center" wrapText="1"/>
    </xf>
    <xf numFmtId="17" fontId="15" fillId="0" borderId="10" xfId="0" applyNumberFormat="1" applyFont="1" applyFill="1" applyBorder="1" applyAlignment="1" applyProtection="1">
      <alignment horizontal="center" vertical="center"/>
    </xf>
    <xf numFmtId="17" fontId="15" fillId="0" borderId="10" xfId="0" applyNumberFormat="1" applyFont="1" applyFill="1" applyBorder="1" applyAlignment="1" applyProtection="1">
      <alignment horizontal="left" vertical="center" indent="2"/>
    </xf>
    <xf numFmtId="17" fontId="5" fillId="4" borderId="0" xfId="0" applyNumberFormat="1" applyFont="1" applyFill="1" applyAlignment="1">
      <alignment horizontal="right"/>
    </xf>
    <xf numFmtId="171" fontId="2" fillId="0" borderId="0" xfId="0" applyFont="1" applyAlignment="1">
      <alignment horizontal="center"/>
    </xf>
    <xf numFmtId="171" fontId="16" fillId="5" borderId="11" xfId="0" applyFont="1" applyFill="1" applyBorder="1" applyAlignment="1">
      <alignment horizontal="center"/>
    </xf>
    <xf numFmtId="171" fontId="16" fillId="5" borderId="12" xfId="0" applyFont="1" applyFill="1" applyBorder="1" applyAlignment="1">
      <alignment horizontal="center"/>
    </xf>
    <xf numFmtId="171" fontId="16" fillId="5" borderId="13" xfId="0" applyFont="1" applyFill="1" applyBorder="1" applyAlignment="1">
      <alignment horizontal="center"/>
    </xf>
    <xf numFmtId="171" fontId="12" fillId="0" borderId="4" xfId="0" applyFont="1" applyBorder="1" applyAlignment="1">
      <alignment horizontal="left"/>
    </xf>
    <xf numFmtId="171" fontId="12" fillId="0" borderId="5" xfId="0" applyFont="1" applyBorder="1" applyAlignment="1">
      <alignment horizontal="left"/>
    </xf>
    <xf numFmtId="171" fontId="12" fillId="0" borderId="6" xfId="0" applyFont="1" applyBorder="1" applyAlignment="1">
      <alignment horizontal="left"/>
    </xf>
    <xf numFmtId="171" fontId="12" fillId="0" borderId="1" xfId="0" applyFont="1" applyBorder="1" applyAlignment="1">
      <alignment horizontal="left"/>
    </xf>
    <xf numFmtId="171" fontId="12" fillId="0" borderId="2" xfId="0" applyFont="1" applyBorder="1" applyAlignment="1">
      <alignment horizontal="left"/>
    </xf>
    <xf numFmtId="171" fontId="12" fillId="0" borderId="3" xfId="0" applyFont="1" applyBorder="1" applyAlignment="1">
      <alignment horizontal="left"/>
    </xf>
    <xf numFmtId="171" fontId="16" fillId="5" borderId="7" xfId="0" applyFont="1" applyFill="1" applyBorder="1" applyAlignment="1">
      <alignment horizontal="center" vertical="center"/>
    </xf>
    <xf numFmtId="171" fontId="16" fillId="5" borderId="9" xfId="0" applyFont="1" applyFill="1" applyBorder="1" applyAlignment="1">
      <alignment horizontal="center" vertical="center"/>
    </xf>
    <xf numFmtId="170" fontId="16" fillId="5" borderId="7" xfId="0" applyNumberFormat="1" applyFont="1" applyFill="1" applyBorder="1" applyAlignment="1" applyProtection="1">
      <alignment horizontal="center" vertical="center"/>
    </xf>
    <xf numFmtId="170" fontId="16" fillId="5" borderId="8" xfId="0" applyNumberFormat="1" applyFont="1" applyFill="1" applyBorder="1" applyAlignment="1" applyProtection="1">
      <alignment horizontal="center" vertical="center"/>
    </xf>
    <xf numFmtId="170" fontId="16" fillId="5" borderId="9" xfId="0" applyNumberFormat="1" applyFont="1" applyFill="1" applyBorder="1" applyAlignment="1" applyProtection="1">
      <alignment horizontal="center" vertical="center"/>
    </xf>
    <xf numFmtId="170" fontId="16" fillId="5" borderId="4" xfId="0" applyNumberFormat="1" applyFont="1" applyFill="1" applyBorder="1" applyAlignment="1" applyProtection="1">
      <alignment horizontal="center"/>
    </xf>
    <xf numFmtId="170" fontId="16" fillId="5" borderId="5" xfId="0" applyNumberFormat="1" applyFont="1" applyFill="1" applyBorder="1" applyAlignment="1" applyProtection="1">
      <alignment horizontal="center"/>
    </xf>
    <xf numFmtId="170" fontId="16" fillId="5" borderId="6" xfId="0" applyNumberFormat="1" applyFont="1" applyFill="1" applyBorder="1" applyAlignment="1" applyProtection="1">
      <alignment horizontal="center"/>
    </xf>
    <xf numFmtId="170" fontId="16" fillId="5" borderId="1" xfId="0" applyNumberFormat="1" applyFont="1" applyFill="1" applyBorder="1" applyAlignment="1" applyProtection="1">
      <alignment horizontal="center"/>
    </xf>
    <xf numFmtId="170" fontId="16" fillId="5" borderId="2" xfId="0" applyNumberFormat="1" applyFont="1" applyFill="1" applyBorder="1" applyAlignment="1" applyProtection="1">
      <alignment horizontal="center"/>
    </xf>
    <xf numFmtId="170" fontId="16" fillId="5" borderId="3" xfId="0" applyNumberFormat="1" applyFont="1" applyFill="1" applyBorder="1" applyAlignment="1" applyProtection="1">
      <alignment horizontal="center"/>
    </xf>
    <xf numFmtId="171" fontId="16" fillId="5" borderId="16" xfId="0" applyFont="1" applyFill="1" applyBorder="1" applyAlignment="1">
      <alignment horizontal="center" vertical="center"/>
    </xf>
    <xf numFmtId="171" fontId="16" fillId="5" borderId="17" xfId="0" applyFont="1" applyFill="1" applyBorder="1" applyAlignment="1">
      <alignment horizontal="center" vertical="center"/>
    </xf>
    <xf numFmtId="171" fontId="16" fillId="5" borderId="18" xfId="0" applyFont="1" applyFill="1" applyBorder="1" applyAlignment="1">
      <alignment horizontal="center" vertical="center"/>
    </xf>
  </cellXfs>
  <cellStyles count="4362">
    <cellStyle name="1 indent" xfId="3"/>
    <cellStyle name="2 indents" xfId="4"/>
    <cellStyle name="3 indents" xfId="5"/>
    <cellStyle name="4 indents" xfId="6"/>
    <cellStyle name="5 indents" xfId="7"/>
    <cellStyle name="Array" xfId="8"/>
    <cellStyle name="Array Enter" xfId="9"/>
    <cellStyle name="AutoFormat Options" xfId="10"/>
    <cellStyle name="Ç¥ÁØ_¿ù°£¿ä¾àº¸°í" xfId="11"/>
    <cellStyle name="Cabe‡alho 1" xfId="12"/>
    <cellStyle name="Cabe‡alho 2" xfId="13"/>
    <cellStyle name="Cabecera 1" xfId="14"/>
    <cellStyle name="Cabecera 2" xfId="15"/>
    <cellStyle name="Clive" xfId="16"/>
    <cellStyle name="Clive 10" xfId="17"/>
    <cellStyle name="Clive 2" xfId="18"/>
    <cellStyle name="Clive 3" xfId="19"/>
    <cellStyle name="Clive 4" xfId="20"/>
    <cellStyle name="Clive 5" xfId="21"/>
    <cellStyle name="Clive 6" xfId="22"/>
    <cellStyle name="Clive 7" xfId="23"/>
    <cellStyle name="Clive 8" xfId="24"/>
    <cellStyle name="Clive 9" xfId="25"/>
    <cellStyle name="clsAltData" xfId="26"/>
    <cellStyle name="clsAltMRVData" xfId="27"/>
    <cellStyle name="clsBlank" xfId="28"/>
    <cellStyle name="clsBlank 10" xfId="29"/>
    <cellStyle name="clsBlank 2" xfId="30"/>
    <cellStyle name="clsBlank 3" xfId="31"/>
    <cellStyle name="clsBlank 4" xfId="32"/>
    <cellStyle name="clsBlank 5" xfId="33"/>
    <cellStyle name="clsBlank 6" xfId="34"/>
    <cellStyle name="clsBlank 7" xfId="35"/>
    <cellStyle name="clsBlank 8" xfId="36"/>
    <cellStyle name="clsBlank 9" xfId="37"/>
    <cellStyle name="clsColumnHeader" xfId="38"/>
    <cellStyle name="clsData" xfId="39"/>
    <cellStyle name="clsDefault" xfId="40"/>
    <cellStyle name="clsDefault 10" xfId="41"/>
    <cellStyle name="clsDefault 2" xfId="42"/>
    <cellStyle name="clsDefault 3" xfId="43"/>
    <cellStyle name="clsDefault 4" xfId="44"/>
    <cellStyle name="clsDefault 5" xfId="45"/>
    <cellStyle name="clsDefault 6" xfId="46"/>
    <cellStyle name="clsDefault 7" xfId="47"/>
    <cellStyle name="clsDefault 8" xfId="48"/>
    <cellStyle name="clsDefault 9" xfId="49"/>
    <cellStyle name="clsFooter" xfId="50"/>
    <cellStyle name="clsIndexTableData" xfId="51"/>
    <cellStyle name="clsIndexTableHdr" xfId="52"/>
    <cellStyle name="clsIndexTableTitle" xfId="53"/>
    <cellStyle name="clsMRVData" xfId="54"/>
    <cellStyle name="clsReportFooter" xfId="55"/>
    <cellStyle name="clsReportHeader" xfId="56"/>
    <cellStyle name="clsRowHeader" xfId="57"/>
    <cellStyle name="clsScale" xfId="58"/>
    <cellStyle name="clsSection" xfId="59"/>
    <cellStyle name="Comma 10" xfId="4360"/>
    <cellStyle name="Comma 2" xfId="60"/>
    <cellStyle name="Comma 2 10" xfId="61"/>
    <cellStyle name="Comma 2 11" xfId="62"/>
    <cellStyle name="Comma 2 12" xfId="63"/>
    <cellStyle name="Comma 2 13" xfId="64"/>
    <cellStyle name="Comma 2 2" xfId="65"/>
    <cellStyle name="Comma 2 2 2" xfId="66"/>
    <cellStyle name="Comma 2 2 3" xfId="67"/>
    <cellStyle name="Comma 2 2 4" xfId="68"/>
    <cellStyle name="Comma 2 2 5" xfId="69"/>
    <cellStyle name="Comma 2 2_ACT BNDE NR" xfId="70"/>
    <cellStyle name="Comma 2 3" xfId="71"/>
    <cellStyle name="Comma 2 3 2" xfId="72"/>
    <cellStyle name="Comma 2 3 2 2" xfId="73"/>
    <cellStyle name="Comma 2 3 2_ACT BNDE NR" xfId="74"/>
    <cellStyle name="Comma 2 3 3" xfId="75"/>
    <cellStyle name="Comma 2 3 4" xfId="76"/>
    <cellStyle name="Comma 2 3 5" xfId="77"/>
    <cellStyle name="Comma 2 3_ACT BNDE NR" xfId="78"/>
    <cellStyle name="Comma 2 4" xfId="79"/>
    <cellStyle name="Comma 2 4 2" xfId="80"/>
    <cellStyle name="Comma 2 4_ACT BNDE NR" xfId="81"/>
    <cellStyle name="Comma 2 5" xfId="82"/>
    <cellStyle name="Comma 2 5 2" xfId="83"/>
    <cellStyle name="Comma 2 5_ACT FPHU NR" xfId="84"/>
    <cellStyle name="Comma 2 6" xfId="85"/>
    <cellStyle name="Comma 2 6 2" xfId="86"/>
    <cellStyle name="Comma 2 6_ACT FPHU NR" xfId="87"/>
    <cellStyle name="Comma 2 7" xfId="88"/>
    <cellStyle name="Comma 2 7 2" xfId="89"/>
    <cellStyle name="Comma 2 7_ACT FPHU NR" xfId="90"/>
    <cellStyle name="Comma 2 8" xfId="91"/>
    <cellStyle name="Comma 2 9" xfId="92"/>
    <cellStyle name="Comma 2_ACT BNDE NR" xfId="93"/>
    <cellStyle name="Comma 3" xfId="94"/>
    <cellStyle name="Comma 3 10" xfId="95"/>
    <cellStyle name="Comma 3 2" xfId="96"/>
    <cellStyle name="Comma 3 2 2" xfId="97"/>
    <cellStyle name="Comma 3 3" xfId="98"/>
    <cellStyle name="Comma 3 4" xfId="99"/>
    <cellStyle name="Comma 3 5" xfId="100"/>
    <cellStyle name="Comma 3 6" xfId="101"/>
    <cellStyle name="Comma 3 7" xfId="102"/>
    <cellStyle name="Comma 3 8" xfId="103"/>
    <cellStyle name="Comma 3 9" xfId="104"/>
    <cellStyle name="Comma 4" xfId="105"/>
    <cellStyle name="Comma 4 2" xfId="106"/>
    <cellStyle name="Comma 5" xfId="107"/>
    <cellStyle name="Comma 5 2" xfId="108"/>
    <cellStyle name="Comma 6" xfId="109"/>
    <cellStyle name="Comma 7" xfId="110"/>
    <cellStyle name="Comma 8" xfId="111"/>
    <cellStyle name="Comma 9" xfId="278"/>
    <cellStyle name="Comma0" xfId="112"/>
    <cellStyle name="Comma0 10" xfId="113"/>
    <cellStyle name="Comma0 2" xfId="114"/>
    <cellStyle name="Comma0 3" xfId="115"/>
    <cellStyle name="Comma0 4" xfId="116"/>
    <cellStyle name="Comma0 5" xfId="117"/>
    <cellStyle name="Comma0 6" xfId="118"/>
    <cellStyle name="Comma0 7" xfId="119"/>
    <cellStyle name="Comma0 8" xfId="120"/>
    <cellStyle name="Comma0 9" xfId="121"/>
    <cellStyle name="Commentaire 2" xfId="122"/>
    <cellStyle name="Currency0" xfId="123"/>
    <cellStyle name="Currency0 10" xfId="124"/>
    <cellStyle name="Currency0 2" xfId="125"/>
    <cellStyle name="Currency0 3" xfId="126"/>
    <cellStyle name="Currency0 4" xfId="127"/>
    <cellStyle name="Currency0 5" xfId="128"/>
    <cellStyle name="Currency0 6" xfId="129"/>
    <cellStyle name="Currency0 7" xfId="130"/>
    <cellStyle name="Currency0 8" xfId="131"/>
    <cellStyle name="Currency0 9" xfId="132"/>
    <cellStyle name="Data" xfId="133"/>
    <cellStyle name="Date" xfId="134"/>
    <cellStyle name="Date 10" xfId="135"/>
    <cellStyle name="Date 2" xfId="136"/>
    <cellStyle name="Date 3" xfId="137"/>
    <cellStyle name="Date 4" xfId="138"/>
    <cellStyle name="Date 5" xfId="139"/>
    <cellStyle name="Date 6" xfId="140"/>
    <cellStyle name="Date 7" xfId="141"/>
    <cellStyle name="Date 8" xfId="142"/>
    <cellStyle name="Date 9" xfId="143"/>
    <cellStyle name="diskette" xfId="144"/>
    <cellStyle name="Emphasis 1" xfId="145"/>
    <cellStyle name="Emphasis 2" xfId="146"/>
    <cellStyle name="Emphasis 3" xfId="147"/>
    <cellStyle name="Euro" xfId="148"/>
    <cellStyle name="Euro 10" xfId="149"/>
    <cellStyle name="Euro 10 2" xfId="150"/>
    <cellStyle name="Euro 10_ACT FPHU NR" xfId="151"/>
    <cellStyle name="Euro 2" xfId="152"/>
    <cellStyle name="Euro 2 2" xfId="153"/>
    <cellStyle name="Euro 2 3" xfId="154"/>
    <cellStyle name="Euro 3" xfId="155"/>
    <cellStyle name="Euro 4" xfId="156"/>
    <cellStyle name="Euro 5" xfId="157"/>
    <cellStyle name="Euro 6" xfId="158"/>
    <cellStyle name="Euro 7" xfId="159"/>
    <cellStyle name="Euro 8" xfId="160"/>
    <cellStyle name="Euro 9" xfId="161"/>
    <cellStyle name="Excel.Chart" xfId="162"/>
    <cellStyle name="F2" xfId="163"/>
    <cellStyle name="F2 10" xfId="164"/>
    <cellStyle name="F2 2" xfId="165"/>
    <cellStyle name="F2 3" xfId="166"/>
    <cellStyle name="F2 4" xfId="167"/>
    <cellStyle name="F2 5" xfId="168"/>
    <cellStyle name="F2 6" xfId="169"/>
    <cellStyle name="F2 7" xfId="170"/>
    <cellStyle name="F2 8" xfId="171"/>
    <cellStyle name="F2 9" xfId="172"/>
    <cellStyle name="F3" xfId="173"/>
    <cellStyle name="F3 10" xfId="174"/>
    <cellStyle name="F3 2" xfId="175"/>
    <cellStyle name="F3 3" xfId="176"/>
    <cellStyle name="F3 4" xfId="177"/>
    <cellStyle name="F3 5" xfId="178"/>
    <cellStyle name="F3 6" xfId="179"/>
    <cellStyle name="F3 7" xfId="180"/>
    <cellStyle name="F3 8" xfId="181"/>
    <cellStyle name="F3 9" xfId="182"/>
    <cellStyle name="F4" xfId="183"/>
    <cellStyle name="F4 10" xfId="184"/>
    <cellStyle name="F4 2" xfId="185"/>
    <cellStyle name="F4 3" xfId="186"/>
    <cellStyle name="F4 4" xfId="187"/>
    <cellStyle name="F4 5" xfId="188"/>
    <cellStyle name="F4 6" xfId="189"/>
    <cellStyle name="F4 7" xfId="190"/>
    <cellStyle name="F4 8" xfId="191"/>
    <cellStyle name="F4 9" xfId="192"/>
    <cellStyle name="F5" xfId="193"/>
    <cellStyle name="F5 10" xfId="194"/>
    <cellStyle name="F5 2" xfId="195"/>
    <cellStyle name="F5 3" xfId="196"/>
    <cellStyle name="F5 4" xfId="197"/>
    <cellStyle name="F5 5" xfId="198"/>
    <cellStyle name="F5 6" xfId="199"/>
    <cellStyle name="F5 7" xfId="200"/>
    <cellStyle name="F5 8" xfId="201"/>
    <cellStyle name="F5 9" xfId="202"/>
    <cellStyle name="F6" xfId="203"/>
    <cellStyle name="F6 10" xfId="204"/>
    <cellStyle name="F6 2" xfId="205"/>
    <cellStyle name="F6 3" xfId="206"/>
    <cellStyle name="F6 4" xfId="207"/>
    <cellStyle name="F6 5" xfId="208"/>
    <cellStyle name="F6 6" xfId="209"/>
    <cellStyle name="F6 7" xfId="210"/>
    <cellStyle name="F6 8" xfId="211"/>
    <cellStyle name="F6 9" xfId="212"/>
    <cellStyle name="F7" xfId="213"/>
    <cellStyle name="F7 10" xfId="214"/>
    <cellStyle name="F7 2" xfId="215"/>
    <cellStyle name="F7 3" xfId="216"/>
    <cellStyle name="F7 4" xfId="217"/>
    <cellStyle name="F7 5" xfId="218"/>
    <cellStyle name="F7 6" xfId="219"/>
    <cellStyle name="F7 7" xfId="220"/>
    <cellStyle name="F7 8" xfId="221"/>
    <cellStyle name="F7 9" xfId="222"/>
    <cellStyle name="F8" xfId="223"/>
    <cellStyle name="F8 10" xfId="224"/>
    <cellStyle name="F8 2" xfId="225"/>
    <cellStyle name="F8 3" xfId="226"/>
    <cellStyle name="F8 4" xfId="227"/>
    <cellStyle name="F8 5" xfId="228"/>
    <cellStyle name="F8 6" xfId="229"/>
    <cellStyle name="F8 7" xfId="230"/>
    <cellStyle name="F8 8" xfId="231"/>
    <cellStyle name="F8 9" xfId="232"/>
    <cellStyle name="facha" xfId="233"/>
    <cellStyle name="Fecha" xfId="234"/>
    <cellStyle name="Fijo" xfId="235"/>
    <cellStyle name="Fixed" xfId="236"/>
    <cellStyle name="Fixed 10" xfId="237"/>
    <cellStyle name="Fixed 2" xfId="238"/>
    <cellStyle name="Fixed 3" xfId="239"/>
    <cellStyle name="Fixed 4" xfId="240"/>
    <cellStyle name="Fixed 5" xfId="241"/>
    <cellStyle name="Fixed 6" xfId="242"/>
    <cellStyle name="Fixed 7" xfId="243"/>
    <cellStyle name="Fixed 8" xfId="244"/>
    <cellStyle name="Fixed 9" xfId="245"/>
    <cellStyle name="Fixo" xfId="246"/>
    <cellStyle name="Grey" xfId="247"/>
    <cellStyle name="Header1" xfId="248"/>
    <cellStyle name="Header2" xfId="249"/>
    <cellStyle name="Heading1" xfId="250"/>
    <cellStyle name="Heading2" xfId="251"/>
    <cellStyle name="Hipervínculo" xfId="252"/>
    <cellStyle name="Hipervínculo visitado" xfId="253"/>
    <cellStyle name="Hipervínculo_10-01-03 2003 2003 NUEVOS RON -NUEVOS INTERESES" xfId="254"/>
    <cellStyle name="Hyperlink 2" xfId="255"/>
    <cellStyle name="Hyperlink 2 2" xfId="256"/>
    <cellStyle name="Hyperlink 2_II_7_2 Liabilities Fcial interm" xfId="257"/>
    <cellStyle name="Hyperlink seguido_NFGC_SPE_1995_2003" xfId="258"/>
    <cellStyle name="imf-one decimal" xfId="259"/>
    <cellStyle name="imf-zero decimal" xfId="260"/>
    <cellStyle name="Input [yellow]" xfId="261"/>
    <cellStyle name="jo[" xfId="262"/>
    <cellStyle name="jo[ 10" xfId="263"/>
    <cellStyle name="jo[ 2" xfId="264"/>
    <cellStyle name="jo[ 3" xfId="265"/>
    <cellStyle name="jo[ 4" xfId="266"/>
    <cellStyle name="jo[ 5" xfId="267"/>
    <cellStyle name="jo[ 6" xfId="268"/>
    <cellStyle name="jo[ 7" xfId="269"/>
    <cellStyle name="jo[ 8" xfId="270"/>
    <cellStyle name="jo[ 9" xfId="271"/>
    <cellStyle name="Lien hypertexte" xfId="1" builtinId="8"/>
    <cellStyle name="Lien hypertexte 2" xfId="272"/>
    <cellStyle name="MacroCode" xfId="273"/>
    <cellStyle name="Mheading1" xfId="274"/>
    <cellStyle name="Mheading2" xfId="275"/>
    <cellStyle name="Millares [0]_11.1.3. bis" xfId="276"/>
    <cellStyle name="Millares_11.1.3. bis" xfId="277"/>
    <cellStyle name="Milliers 10" xfId="279"/>
    <cellStyle name="Milliers 10 2" xfId="280"/>
    <cellStyle name="Milliers 10 3" xfId="281"/>
    <cellStyle name="Milliers 11" xfId="282"/>
    <cellStyle name="Milliers 11 2" xfId="283"/>
    <cellStyle name="Milliers 11 2 10" xfId="284"/>
    <cellStyle name="Milliers 11 2 11" xfId="285"/>
    <cellStyle name="Milliers 11 2 12" xfId="286"/>
    <cellStyle name="Milliers 11 2 2" xfId="287"/>
    <cellStyle name="Milliers 11 2 3" xfId="288"/>
    <cellStyle name="Milliers 11 2 4" xfId="289"/>
    <cellStyle name="Milliers 11 2 5" xfId="290"/>
    <cellStyle name="Milliers 11 2 6" xfId="291"/>
    <cellStyle name="Milliers 11 2 7" xfId="292"/>
    <cellStyle name="Milliers 11 2 8" xfId="293"/>
    <cellStyle name="Milliers 11 2 9" xfId="294"/>
    <cellStyle name="Milliers 11 3" xfId="295"/>
    <cellStyle name="Milliers 11 3 2" xfId="296"/>
    <cellStyle name="Milliers 11 3 3" xfId="297"/>
    <cellStyle name="Milliers 11 4" xfId="298"/>
    <cellStyle name="Milliers 11 4 2" xfId="299"/>
    <cellStyle name="Milliers 11 4 3" xfId="300"/>
    <cellStyle name="Milliers 12" xfId="301"/>
    <cellStyle name="Milliers 13" xfId="302"/>
    <cellStyle name="Milliers 13 2" xfId="303"/>
    <cellStyle name="Milliers 13 2 2" xfId="304"/>
    <cellStyle name="Milliers 13 2 2 2" xfId="305"/>
    <cellStyle name="Milliers 13 2 2 3" xfId="306"/>
    <cellStyle name="Milliers 13 2 3" xfId="307"/>
    <cellStyle name="Milliers 13 3" xfId="308"/>
    <cellStyle name="Milliers 13 4" xfId="309"/>
    <cellStyle name="Milliers 13 5" xfId="310"/>
    <cellStyle name="Milliers 13 6" xfId="311"/>
    <cellStyle name="Milliers 13 7" xfId="312"/>
    <cellStyle name="Milliers 13 8" xfId="313"/>
    <cellStyle name="Milliers 13 9" xfId="314"/>
    <cellStyle name="Milliers 14" xfId="315"/>
    <cellStyle name="Milliers 15" xfId="316"/>
    <cellStyle name="Milliers 15 2" xfId="317"/>
    <cellStyle name="Milliers 15 2 2" xfId="318"/>
    <cellStyle name="Milliers 15 2 2 2" xfId="319"/>
    <cellStyle name="Milliers 15 2 2 3" xfId="320"/>
    <cellStyle name="Milliers 15 2 3" xfId="321"/>
    <cellStyle name="Milliers 15 3" xfId="322"/>
    <cellStyle name="Milliers 15 4" xfId="323"/>
    <cellStyle name="Milliers 15 5" xfId="324"/>
    <cellStyle name="Milliers 15 6" xfId="325"/>
    <cellStyle name="Milliers 15 7" xfId="326"/>
    <cellStyle name="Milliers 15 8" xfId="327"/>
    <cellStyle name="Milliers 15 9" xfId="328"/>
    <cellStyle name="Milliers 16" xfId="329"/>
    <cellStyle name="Milliers 17" xfId="330"/>
    <cellStyle name="Milliers 17 2" xfId="331"/>
    <cellStyle name="Milliers 17 2 2" xfId="332"/>
    <cellStyle name="Milliers 17 2 2 2" xfId="333"/>
    <cellStyle name="Milliers 17 2 2 3" xfId="334"/>
    <cellStyle name="Milliers 17 2 3" xfId="335"/>
    <cellStyle name="Milliers 17 3" xfId="336"/>
    <cellStyle name="Milliers 17 3 2" xfId="337"/>
    <cellStyle name="Milliers 17 3 3" xfId="338"/>
    <cellStyle name="Milliers 17 4" xfId="339"/>
    <cellStyle name="Milliers 17 4 2" xfId="340"/>
    <cellStyle name="Milliers 17 4 3" xfId="341"/>
    <cellStyle name="Milliers 17 5" xfId="342"/>
    <cellStyle name="Milliers 17 6" xfId="343"/>
    <cellStyle name="Milliers 18" xfId="344"/>
    <cellStyle name="Milliers 19" xfId="345"/>
    <cellStyle name="Milliers 2" xfId="346"/>
    <cellStyle name="Milliers 2 10" xfId="347"/>
    <cellStyle name="Milliers 2 11" xfId="348"/>
    <cellStyle name="Milliers 2 12" xfId="349"/>
    <cellStyle name="Milliers 2 13" xfId="350"/>
    <cellStyle name="Milliers 2 14" xfId="351"/>
    <cellStyle name="Milliers 2 15" xfId="352"/>
    <cellStyle name="Milliers 2 16" xfId="353"/>
    <cellStyle name="Milliers 2 17" xfId="354"/>
    <cellStyle name="Milliers 2 18" xfId="355"/>
    <cellStyle name="Milliers 2 19" xfId="356"/>
    <cellStyle name="Milliers 2 2" xfId="357"/>
    <cellStyle name="Milliers 2 2 2" xfId="358"/>
    <cellStyle name="Milliers 2 2 2 2" xfId="359"/>
    <cellStyle name="Milliers 2 2 2 3" xfId="360"/>
    <cellStyle name="Milliers 2 2 2_ACT BNDE NR" xfId="361"/>
    <cellStyle name="Milliers 2 2 3" xfId="362"/>
    <cellStyle name="Milliers 2 2 4" xfId="363"/>
    <cellStyle name="Milliers 2 2_ACT BNDE NR" xfId="364"/>
    <cellStyle name="Milliers 2 20" xfId="365"/>
    <cellStyle name="Milliers 2 21" xfId="366"/>
    <cellStyle name="Milliers 2 3" xfId="367"/>
    <cellStyle name="Milliers 2 3 2" xfId="368"/>
    <cellStyle name="Milliers 2 3_ACT FPHU NR" xfId="369"/>
    <cellStyle name="Milliers 2 4" xfId="370"/>
    <cellStyle name="Milliers 2 4 2" xfId="371"/>
    <cellStyle name="Milliers 2 4_ACT FPHU NR" xfId="372"/>
    <cellStyle name="Milliers 2 5" xfId="373"/>
    <cellStyle name="Milliers 2 5 2" xfId="374"/>
    <cellStyle name="Milliers 2 5_ACT FPHU NR" xfId="375"/>
    <cellStyle name="Milliers 2 6" xfId="376"/>
    <cellStyle name="Milliers 2 7" xfId="377"/>
    <cellStyle name="Milliers 2 8" xfId="378"/>
    <cellStyle name="Milliers 2 9" xfId="379"/>
    <cellStyle name="Milliers 2_ACT BNDE NR" xfId="380"/>
    <cellStyle name="Milliers 20" xfId="381"/>
    <cellStyle name="Milliers 20 2" xfId="382"/>
    <cellStyle name="Milliers 20 2 2" xfId="383"/>
    <cellStyle name="Milliers 20 2 3" xfId="384"/>
    <cellStyle name="Milliers 20 3" xfId="385"/>
    <cellStyle name="Milliers 21" xfId="386"/>
    <cellStyle name="Milliers 21 2" xfId="387"/>
    <cellStyle name="Milliers 21 2 2" xfId="388"/>
    <cellStyle name="Milliers 21 2 3" xfId="389"/>
    <cellStyle name="Milliers 21 3" xfId="390"/>
    <cellStyle name="Milliers 22" xfId="391"/>
    <cellStyle name="Milliers 22 2" xfId="392"/>
    <cellStyle name="Milliers 22 2 2" xfId="393"/>
    <cellStyle name="Milliers 22 2 3" xfId="394"/>
    <cellStyle name="Milliers 22 3" xfId="395"/>
    <cellStyle name="Milliers 23" xfId="396"/>
    <cellStyle name="Milliers 24" xfId="397"/>
    <cellStyle name="Milliers 24 2" xfId="398"/>
    <cellStyle name="Milliers 25" xfId="399"/>
    <cellStyle name="Milliers 26" xfId="400"/>
    <cellStyle name="Milliers 27" xfId="401"/>
    <cellStyle name="Milliers 28" xfId="402"/>
    <cellStyle name="Milliers 29" xfId="403"/>
    <cellStyle name="Milliers 3" xfId="404"/>
    <cellStyle name="Milliers 3 10" xfId="405"/>
    <cellStyle name="Milliers 3 11" xfId="406"/>
    <cellStyle name="Milliers 3 12" xfId="407"/>
    <cellStyle name="Milliers 3 13" xfId="408"/>
    <cellStyle name="Milliers 3 2" xfId="409"/>
    <cellStyle name="Milliers 3 2 2" xfId="410"/>
    <cellStyle name="Milliers 3 2 2 2" xfId="411"/>
    <cellStyle name="Milliers 3 2 2 3" xfId="412"/>
    <cellStyle name="Milliers 3 2 2 4" xfId="413"/>
    <cellStyle name="Milliers 3 2 2_ACT BNDE NR" xfId="414"/>
    <cellStyle name="Milliers 3 2 3" xfId="415"/>
    <cellStyle name="Milliers 3 2 3 2" xfId="416"/>
    <cellStyle name="Milliers 3 2 3_ACT FPHU NR" xfId="417"/>
    <cellStyle name="Milliers 3 2 4" xfId="418"/>
    <cellStyle name="Milliers 3 2 5" xfId="419"/>
    <cellStyle name="Milliers 3 2_ACT BNDE NR" xfId="420"/>
    <cellStyle name="Milliers 3 3" xfId="421"/>
    <cellStyle name="Milliers 3 3 2" xfId="422"/>
    <cellStyle name="Milliers 3 3 3" xfId="423"/>
    <cellStyle name="Milliers 3 3 4" xfId="424"/>
    <cellStyle name="Milliers 3 3 5" xfId="425"/>
    <cellStyle name="Milliers 3 3_ACT BNDE NR" xfId="426"/>
    <cellStyle name="Milliers 3 4" xfId="427"/>
    <cellStyle name="Milliers 3 4 2" xfId="428"/>
    <cellStyle name="Milliers 3 4_ACT BNDE NR" xfId="429"/>
    <cellStyle name="Milliers 3 5" xfId="430"/>
    <cellStyle name="Milliers 3 5 2" xfId="431"/>
    <cellStyle name="Milliers 3 5_ACT FPHU NR" xfId="432"/>
    <cellStyle name="Milliers 3 6" xfId="433"/>
    <cellStyle name="Milliers 3 6 2" xfId="434"/>
    <cellStyle name="Milliers 3 6_ACT FPHU NR" xfId="435"/>
    <cellStyle name="Milliers 3 7" xfId="436"/>
    <cellStyle name="Milliers 3 7 2" xfId="437"/>
    <cellStyle name="Milliers 3 7_ACT FPHU NR" xfId="438"/>
    <cellStyle name="Milliers 3 8" xfId="439"/>
    <cellStyle name="Milliers 3 9" xfId="440"/>
    <cellStyle name="Milliers 3_ACT BNDE NR" xfId="441"/>
    <cellStyle name="Milliers 30" xfId="442"/>
    <cellStyle name="Milliers 31" xfId="443"/>
    <cellStyle name="Milliers 32" xfId="444"/>
    <cellStyle name="Milliers 32 2" xfId="445"/>
    <cellStyle name="Milliers 33" xfId="446"/>
    <cellStyle name="Milliers 33 2" xfId="447"/>
    <cellStyle name="Milliers 33 3" xfId="448"/>
    <cellStyle name="Milliers 34" xfId="449"/>
    <cellStyle name="Milliers 35" xfId="450"/>
    <cellStyle name="Milliers 35 2" xfId="451"/>
    <cellStyle name="Milliers 36" xfId="452"/>
    <cellStyle name="Milliers 36 2" xfId="453"/>
    <cellStyle name="Milliers 36 3" xfId="454"/>
    <cellStyle name="Milliers 37" xfId="455"/>
    <cellStyle name="Milliers 37 2" xfId="456"/>
    <cellStyle name="Milliers 38" xfId="457"/>
    <cellStyle name="Milliers 39" xfId="458"/>
    <cellStyle name="Milliers 4" xfId="459"/>
    <cellStyle name="Milliers 4 10" xfId="460"/>
    <cellStyle name="Milliers 4 11" xfId="461"/>
    <cellStyle name="Milliers 4 12" xfId="462"/>
    <cellStyle name="Milliers 4 13" xfId="463"/>
    <cellStyle name="Milliers 4 14" xfId="464"/>
    <cellStyle name="Milliers 4 2" xfId="465"/>
    <cellStyle name="Milliers 4 2 2" xfId="466"/>
    <cellStyle name="Milliers 4 2 2 2" xfId="467"/>
    <cellStyle name="Milliers 4 2 2_ACT BNDE NR" xfId="468"/>
    <cellStyle name="Milliers 4 2 3" xfId="469"/>
    <cellStyle name="Milliers 4 2 4" xfId="470"/>
    <cellStyle name="Milliers 4 2 5" xfId="471"/>
    <cellStyle name="Milliers 4 2_ACT BNDE NR" xfId="472"/>
    <cellStyle name="Milliers 4 3" xfId="473"/>
    <cellStyle name="Milliers 4 3 2" xfId="474"/>
    <cellStyle name="Milliers 4 3 3" xfId="475"/>
    <cellStyle name="Milliers 4 3 4" xfId="476"/>
    <cellStyle name="Milliers 4 3 5" xfId="477"/>
    <cellStyle name="Milliers 4 3_ACT BNDE NR" xfId="478"/>
    <cellStyle name="Milliers 4 4" xfId="479"/>
    <cellStyle name="Milliers 4 4 2" xfId="480"/>
    <cellStyle name="Milliers 4 4_ACT BNDE NR" xfId="481"/>
    <cellStyle name="Milliers 4 5" xfId="482"/>
    <cellStyle name="Milliers 4 5 2" xfId="483"/>
    <cellStyle name="Milliers 4 5_ACT FPHU NR" xfId="484"/>
    <cellStyle name="Milliers 4 6" xfId="485"/>
    <cellStyle name="Milliers 4 6 2" xfId="486"/>
    <cellStyle name="Milliers 4 6_ACT FPHU NR" xfId="487"/>
    <cellStyle name="Milliers 4 7" xfId="488"/>
    <cellStyle name="Milliers 4 7 2" xfId="489"/>
    <cellStyle name="Milliers 4 7_ACT FPHU NR" xfId="490"/>
    <cellStyle name="Milliers 4 8" xfId="491"/>
    <cellStyle name="Milliers 4 9" xfId="492"/>
    <cellStyle name="Milliers 40" xfId="493"/>
    <cellStyle name="Milliers 40 2" xfId="494"/>
    <cellStyle name="Milliers 41" xfId="495"/>
    <cellStyle name="Milliers 41 2" xfId="496"/>
    <cellStyle name="Milliers 42" xfId="497"/>
    <cellStyle name="Milliers 42 2" xfId="498"/>
    <cellStyle name="Milliers 43" xfId="499"/>
    <cellStyle name="Milliers 43 2" xfId="500"/>
    <cellStyle name="Milliers 44" xfId="501"/>
    <cellStyle name="Milliers 44 2" xfId="502"/>
    <cellStyle name="Milliers 45" xfId="503"/>
    <cellStyle name="Milliers 46" xfId="504"/>
    <cellStyle name="Milliers 46 2" xfId="505"/>
    <cellStyle name="Milliers 47" xfId="506"/>
    <cellStyle name="Milliers 47 2" xfId="507"/>
    <cellStyle name="Milliers 48" xfId="508"/>
    <cellStyle name="Milliers 49" xfId="509"/>
    <cellStyle name="Milliers 49 2" xfId="510"/>
    <cellStyle name="Milliers 5" xfId="511"/>
    <cellStyle name="Milliers 5 2" xfId="512"/>
    <cellStyle name="Milliers 5 2 2" xfId="513"/>
    <cellStyle name="Milliers 5 2_ACT BNDE NR" xfId="514"/>
    <cellStyle name="Milliers 5 3" xfId="515"/>
    <cellStyle name="Milliers 5 4" xfId="516"/>
    <cellStyle name="Milliers 5 5" xfId="517"/>
    <cellStyle name="Milliers 5_ACT BNDE NR" xfId="518"/>
    <cellStyle name="Milliers 50" xfId="519"/>
    <cellStyle name="Milliers 50 2" xfId="520"/>
    <cellStyle name="Milliers 51" xfId="521"/>
    <cellStyle name="Milliers 51 2" xfId="522"/>
    <cellStyle name="Milliers 51 3" xfId="523"/>
    <cellStyle name="Milliers 52" xfId="524"/>
    <cellStyle name="Milliers 52 2" xfId="525"/>
    <cellStyle name="Milliers 52 3" xfId="526"/>
    <cellStyle name="Milliers 53" xfId="527"/>
    <cellStyle name="Milliers 6" xfId="528"/>
    <cellStyle name="Milliers 6 2" xfId="529"/>
    <cellStyle name="Milliers 6 2 2" xfId="530"/>
    <cellStyle name="Milliers 6 3" xfId="531"/>
    <cellStyle name="Milliers 6 3 2" xfId="532"/>
    <cellStyle name="Milliers 6 4" xfId="533"/>
    <cellStyle name="Milliers 6 5" xfId="534"/>
    <cellStyle name="Milliers 6_ACT BNDE NR" xfId="535"/>
    <cellStyle name="Milliers 7" xfId="536"/>
    <cellStyle name="Milliers 7 2" xfId="537"/>
    <cellStyle name="Milliers 7 3" xfId="538"/>
    <cellStyle name="Milliers 7 4" xfId="539"/>
    <cellStyle name="Milliers 7 5" xfId="540"/>
    <cellStyle name="Milliers 7_ACT BNDE NR" xfId="541"/>
    <cellStyle name="Milliers 8" xfId="542"/>
    <cellStyle name="Milliers 8 2" xfId="543"/>
    <cellStyle name="Milliers 8_ACT FPHU NR" xfId="544"/>
    <cellStyle name="Milliers 9" xfId="545"/>
    <cellStyle name="Moeda [0]_A" xfId="546"/>
    <cellStyle name="Moeda_A" xfId="547"/>
    <cellStyle name="Moeda0" xfId="548"/>
    <cellStyle name="Moneda [0]_11.1.3. bis" xfId="549"/>
    <cellStyle name="Moneda_11.1.3. bis" xfId="550"/>
    <cellStyle name="Monétaire 2" xfId="551"/>
    <cellStyle name="Monétaire 2 2" xfId="552"/>
    <cellStyle name="Monétaire 2 3" xfId="553"/>
    <cellStyle name="Monétaire 2_ACT FPHU NR" xfId="554"/>
    <cellStyle name="Monétaire 3" xfId="555"/>
    <cellStyle name="Monétaire 3 2" xfId="556"/>
    <cellStyle name="Monétaire 4" xfId="557"/>
    <cellStyle name="Monetario" xfId="558"/>
    <cellStyle name="Monetario0" xfId="559"/>
    <cellStyle name="Non défini" xfId="560"/>
    <cellStyle name="Normal" xfId="0" builtinId="0"/>
    <cellStyle name="Normal - Style1" xfId="561"/>
    <cellStyle name="Normal - Style1 2" xfId="562"/>
    <cellStyle name="Normal - Style2" xfId="563"/>
    <cellStyle name="Normal - Style2 2" xfId="564"/>
    <cellStyle name="Normal - Style3" xfId="565"/>
    <cellStyle name="Normal - Style4" xfId="566"/>
    <cellStyle name="Normal 10" xfId="567"/>
    <cellStyle name="Normal 10 10" xfId="568"/>
    <cellStyle name="Normal 10 11" xfId="569"/>
    <cellStyle name="Normal 10 12" xfId="570"/>
    <cellStyle name="Normal 10 13" xfId="571"/>
    <cellStyle name="Normal 10 14" xfId="572"/>
    <cellStyle name="Normal 10 15" xfId="573"/>
    <cellStyle name="Normal 10 16" xfId="574"/>
    <cellStyle name="Normal 10 17" xfId="575"/>
    <cellStyle name="Normal 10 18" xfId="576"/>
    <cellStyle name="Normal 10 19" xfId="577"/>
    <cellStyle name="Normal 10 2" xfId="578"/>
    <cellStyle name="Normal 10 20" xfId="579"/>
    <cellStyle name="Normal 10 21" xfId="580"/>
    <cellStyle name="Normal 10 22" xfId="581"/>
    <cellStyle name="Normal 10 23" xfId="582"/>
    <cellStyle name="Normal 10 24" xfId="583"/>
    <cellStyle name="Normal 10 25" xfId="584"/>
    <cellStyle name="Normal 10 26" xfId="585"/>
    <cellStyle name="Normal 10 27" xfId="586"/>
    <cellStyle name="Normal 10 28" xfId="587"/>
    <cellStyle name="Normal 10 29" xfId="588"/>
    <cellStyle name="Normal 10 3" xfId="589"/>
    <cellStyle name="Normal 10 30" xfId="590"/>
    <cellStyle name="Normal 10 31" xfId="591"/>
    <cellStyle name="Normal 10 32" xfId="592"/>
    <cellStyle name="Normal 10 33" xfId="593"/>
    <cellStyle name="Normal 10 34" xfId="594"/>
    <cellStyle name="Normal 10 35" xfId="595"/>
    <cellStyle name="Normal 10 36" xfId="596"/>
    <cellStyle name="Normal 10 37" xfId="597"/>
    <cellStyle name="Normal 10 38" xfId="598"/>
    <cellStyle name="Normal 10 39" xfId="599"/>
    <cellStyle name="Normal 10 4" xfId="600"/>
    <cellStyle name="Normal 10 40" xfId="601"/>
    <cellStyle name="Normal 10 41" xfId="602"/>
    <cellStyle name="Normal 10 42" xfId="603"/>
    <cellStyle name="Normal 10 43" xfId="604"/>
    <cellStyle name="Normal 10 44" xfId="605"/>
    <cellStyle name="Normal 10 45" xfId="606"/>
    <cellStyle name="Normal 10 46" xfId="607"/>
    <cellStyle name="Normal 10 47" xfId="608"/>
    <cellStyle name="Normal 10 48" xfId="609"/>
    <cellStyle name="Normal 10 49" xfId="610"/>
    <cellStyle name="Normal 10 5" xfId="611"/>
    <cellStyle name="Normal 10 50" xfId="612"/>
    <cellStyle name="Normal 10 51" xfId="613"/>
    <cellStyle name="Normal 10 52" xfId="614"/>
    <cellStyle name="Normal 10 53" xfId="615"/>
    <cellStyle name="Normal 10 54" xfId="616"/>
    <cellStyle name="Normal 10 55" xfId="617"/>
    <cellStyle name="Normal 10 56" xfId="618"/>
    <cellStyle name="Normal 10 57" xfId="619"/>
    <cellStyle name="Normal 10 58" xfId="620"/>
    <cellStyle name="Normal 10 59" xfId="621"/>
    <cellStyle name="Normal 10 6" xfId="622"/>
    <cellStyle name="Normal 10 60" xfId="623"/>
    <cellStyle name="Normal 10 61" xfId="624"/>
    <cellStyle name="Normal 10 62" xfId="625"/>
    <cellStyle name="Normal 10 63" xfId="626"/>
    <cellStyle name="Normal 10 64" xfId="627"/>
    <cellStyle name="Normal 10 65" xfId="628"/>
    <cellStyle name="Normal 10 7" xfId="629"/>
    <cellStyle name="Normal 10 8" xfId="630"/>
    <cellStyle name="Normal 10 9" xfId="631"/>
    <cellStyle name="Normal 100" xfId="632"/>
    <cellStyle name="Normal 101" xfId="633"/>
    <cellStyle name="Normal 102" xfId="634"/>
    <cellStyle name="Normal 103" xfId="635"/>
    <cellStyle name="Normal 104" xfId="636"/>
    <cellStyle name="Normal 105" xfId="637"/>
    <cellStyle name="Normal 106" xfId="638"/>
    <cellStyle name="Normal 107" xfId="639"/>
    <cellStyle name="Normal 108" xfId="640"/>
    <cellStyle name="Normal 109" xfId="641"/>
    <cellStyle name="Normal 109 2" xfId="642"/>
    <cellStyle name="Normal 11" xfId="643"/>
    <cellStyle name="Normal 11 2" xfId="644"/>
    <cellStyle name="Normal 110" xfId="645"/>
    <cellStyle name="Normal 111" xfId="646"/>
    <cellStyle name="Normal 111 2" xfId="647"/>
    <cellStyle name="Normal 112" xfId="648"/>
    <cellStyle name="Normal 113" xfId="649"/>
    <cellStyle name="Normal 114" xfId="650"/>
    <cellStyle name="Normal 114 10" xfId="651"/>
    <cellStyle name="Normal 114 10 2" xfId="652"/>
    <cellStyle name="Normal 114 10 3" xfId="653"/>
    <cellStyle name="Normal 114 10_II_7_2 Liabilities Fcial interm" xfId="654"/>
    <cellStyle name="Normal 114 11" xfId="655"/>
    <cellStyle name="Normal 114 11 2" xfId="656"/>
    <cellStyle name="Normal 114 12" xfId="657"/>
    <cellStyle name="Normal 114 13" xfId="658"/>
    <cellStyle name="Normal 114 2" xfId="659"/>
    <cellStyle name="Normal 114 2 10" xfId="660"/>
    <cellStyle name="Normal 114 2 10 2" xfId="661"/>
    <cellStyle name="Normal 114 2 11" xfId="662"/>
    <cellStyle name="Normal 114 2 12" xfId="663"/>
    <cellStyle name="Normal 114 2 2" xfId="664"/>
    <cellStyle name="Normal 114 2 2 10" xfId="665"/>
    <cellStyle name="Normal 114 2 2 2" xfId="666"/>
    <cellStyle name="Normal 114 2 2 2 2" xfId="667"/>
    <cellStyle name="Normal 114 2 2 2 2 2" xfId="668"/>
    <cellStyle name="Normal 114 2 2 2 2 2 2" xfId="669"/>
    <cellStyle name="Normal 114 2 2 2 2 2_II_7_2 Liabilities Fcial interm" xfId="670"/>
    <cellStyle name="Normal 114 2 2 2 2 3" xfId="671"/>
    <cellStyle name="Normal 114 2 2 2 2 4" xfId="672"/>
    <cellStyle name="Normal 114 2 2 2 2 5" xfId="673"/>
    <cellStyle name="Normal 114 2 2 2 2_II_7_2 Liabilities Fcial interm" xfId="674"/>
    <cellStyle name="Normal 114 2 2 2 3" xfId="675"/>
    <cellStyle name="Normal 114 2 2 2 3 2" xfId="676"/>
    <cellStyle name="Normal 114 2 2 2 3 3" xfId="677"/>
    <cellStyle name="Normal 114 2 2 2 3 4" xfId="678"/>
    <cellStyle name="Normal 114 2 2 2 3_II_7_2 Liabilities Fcial interm" xfId="679"/>
    <cellStyle name="Normal 114 2 2 2 4" xfId="680"/>
    <cellStyle name="Normal 114 2 2 2 4 2" xfId="681"/>
    <cellStyle name="Normal 114 2 2 2 4 3" xfId="682"/>
    <cellStyle name="Normal 114 2 2 2 4 4" xfId="683"/>
    <cellStyle name="Normal 114 2 2 2 4_II_7_2 Liabilities Fcial interm" xfId="684"/>
    <cellStyle name="Normal 114 2 2 2 5" xfId="685"/>
    <cellStyle name="Normal 114 2 2 2 5 2" xfId="686"/>
    <cellStyle name="Normal 114 2 2 2 5 3" xfId="687"/>
    <cellStyle name="Normal 114 2 2 2 5 4" xfId="688"/>
    <cellStyle name="Normal 114 2 2 2 5_II_7_2 Liabilities Fcial interm" xfId="689"/>
    <cellStyle name="Normal 114 2 2 2 6" xfId="690"/>
    <cellStyle name="Normal 114 2 2 2 6 2" xfId="691"/>
    <cellStyle name="Normal 114 2 2 2 6 3" xfId="692"/>
    <cellStyle name="Normal 114 2 2 2 6_II_7_2 Liabilities Fcial interm" xfId="693"/>
    <cellStyle name="Normal 114 2 2 2 7" xfId="694"/>
    <cellStyle name="Normal 114 2 2 2 7 2" xfId="695"/>
    <cellStyle name="Normal 114 2 2 2 8" xfId="696"/>
    <cellStyle name="Normal 114 2 2 2_II_7_2 Liabilities Fcial interm" xfId="697"/>
    <cellStyle name="Normal 114 2 2 3" xfId="698"/>
    <cellStyle name="Normal 114 2 2 3 2" xfId="699"/>
    <cellStyle name="Normal 114 2 2 3 2 2" xfId="700"/>
    <cellStyle name="Normal 114 2 2 3 2 3" xfId="701"/>
    <cellStyle name="Normal 114 2 2 3 2 4" xfId="702"/>
    <cellStyle name="Normal 114 2 2 3 2_II_7_2 Liabilities Fcial interm" xfId="703"/>
    <cellStyle name="Normal 114 2 2 3 3" xfId="704"/>
    <cellStyle name="Normal 114 2 2 3 3 2" xfId="705"/>
    <cellStyle name="Normal 114 2 2 3 3 3" xfId="706"/>
    <cellStyle name="Normal 114 2 2 3 3 4" xfId="707"/>
    <cellStyle name="Normal 114 2 2 3 3_II_7_2 Liabilities Fcial interm" xfId="708"/>
    <cellStyle name="Normal 114 2 2 3 4" xfId="709"/>
    <cellStyle name="Normal 114 2 2 3 4 2" xfId="710"/>
    <cellStyle name="Normal 114 2 2 3 4 3" xfId="711"/>
    <cellStyle name="Normal 114 2 2 3 4 4" xfId="712"/>
    <cellStyle name="Normal 114 2 2 3 4_II_7_2 Liabilities Fcial interm" xfId="713"/>
    <cellStyle name="Normal 114 2 2 3 5" xfId="714"/>
    <cellStyle name="Normal 114 2 2 3 5 2" xfId="715"/>
    <cellStyle name="Normal 114 2 2 3 5 3" xfId="716"/>
    <cellStyle name="Normal 114 2 2 3 5_II_7_2 Liabilities Fcial interm" xfId="717"/>
    <cellStyle name="Normal 114 2 2 3 6" xfId="718"/>
    <cellStyle name="Normal 114 2 2 3 6 2" xfId="719"/>
    <cellStyle name="Normal 114 2 2 3 7" xfId="720"/>
    <cellStyle name="Normal 114 2 2 3_II_7_2 Liabilities Fcial interm" xfId="721"/>
    <cellStyle name="Normal 114 2 2 4" xfId="722"/>
    <cellStyle name="Normal 114 2 2 4 2" xfId="723"/>
    <cellStyle name="Normal 114 2 2 4 2 2" xfId="724"/>
    <cellStyle name="Normal 114 2 2 4 2 3" xfId="725"/>
    <cellStyle name="Normal 114 2 2 4 2_II_7_2 Liabilities Fcial interm" xfId="726"/>
    <cellStyle name="Normal 114 2 2 4 3" xfId="727"/>
    <cellStyle name="Normal 114 2 2 4 3 2" xfId="728"/>
    <cellStyle name="Normal 114 2 2 4 4" xfId="729"/>
    <cellStyle name="Normal 114 2 2 4_II_7_2 Liabilities Fcial interm" xfId="730"/>
    <cellStyle name="Normal 114 2 2 5" xfId="731"/>
    <cellStyle name="Normal 114 2 2 5 2" xfId="732"/>
    <cellStyle name="Normal 114 2 2 5 2 2" xfId="733"/>
    <cellStyle name="Normal 114 2 2 5 2_II_7_2 Liabilities Fcial interm" xfId="734"/>
    <cellStyle name="Normal 114 2 2 5 3" xfId="735"/>
    <cellStyle name="Normal 114 2 2 5 4" xfId="736"/>
    <cellStyle name="Normal 114 2 2 5_II_7_2 Liabilities Fcial interm" xfId="737"/>
    <cellStyle name="Normal 114 2 2 6" xfId="738"/>
    <cellStyle name="Normal 114 2 2 6 2" xfId="739"/>
    <cellStyle name="Normal 114 2 2 6 3" xfId="740"/>
    <cellStyle name="Normal 114 2 2 6 4" xfId="741"/>
    <cellStyle name="Normal 114 2 2 6_II_7_2 Liabilities Fcial interm" xfId="742"/>
    <cellStyle name="Normal 114 2 2 7" xfId="743"/>
    <cellStyle name="Normal 114 2 2 7 2" xfId="744"/>
    <cellStyle name="Normal 114 2 2 7 3" xfId="745"/>
    <cellStyle name="Normal 114 2 2 7_II_7_2 Liabilities Fcial interm" xfId="746"/>
    <cellStyle name="Normal 114 2 2 8" xfId="747"/>
    <cellStyle name="Normal 114 2 2 8 2" xfId="748"/>
    <cellStyle name="Normal 114 2 2 9" xfId="749"/>
    <cellStyle name="Normal 114 2 2_II_7_2 Liabilities Fcial interm" xfId="750"/>
    <cellStyle name="Normal 114 2 3" xfId="751"/>
    <cellStyle name="Normal 114 2 3 2" xfId="752"/>
    <cellStyle name="Normal 114 2 3 2 2" xfId="753"/>
    <cellStyle name="Normal 114 2 3 2 2 2" xfId="754"/>
    <cellStyle name="Normal 114 2 3 2 2_II_7_2 Liabilities Fcial interm" xfId="755"/>
    <cellStyle name="Normal 114 2 3 2 3" xfId="756"/>
    <cellStyle name="Normal 114 2 3 2 4" xfId="757"/>
    <cellStyle name="Normal 114 2 3 2 5" xfId="758"/>
    <cellStyle name="Normal 114 2 3 2_II_7_2 Liabilities Fcial interm" xfId="759"/>
    <cellStyle name="Normal 114 2 3 3" xfId="760"/>
    <cellStyle name="Normal 114 2 3 3 2" xfId="761"/>
    <cellStyle name="Normal 114 2 3 3 3" xfId="762"/>
    <cellStyle name="Normal 114 2 3 3 4" xfId="763"/>
    <cellStyle name="Normal 114 2 3 3_II_7_2 Liabilities Fcial interm" xfId="764"/>
    <cellStyle name="Normal 114 2 3 4" xfId="765"/>
    <cellStyle name="Normal 114 2 3 4 2" xfId="766"/>
    <cellStyle name="Normal 114 2 3 4 3" xfId="767"/>
    <cellStyle name="Normal 114 2 3 4 4" xfId="768"/>
    <cellStyle name="Normal 114 2 3 4_II_7_2 Liabilities Fcial interm" xfId="769"/>
    <cellStyle name="Normal 114 2 3 5" xfId="770"/>
    <cellStyle name="Normal 114 2 3 5 2" xfId="771"/>
    <cellStyle name="Normal 114 2 3 5 3" xfId="772"/>
    <cellStyle name="Normal 114 2 3 5 4" xfId="773"/>
    <cellStyle name="Normal 114 2 3 5_II_7_2 Liabilities Fcial interm" xfId="774"/>
    <cellStyle name="Normal 114 2 3 6" xfId="775"/>
    <cellStyle name="Normal 114 2 3 6 2" xfId="776"/>
    <cellStyle name="Normal 114 2 3 6 3" xfId="777"/>
    <cellStyle name="Normal 114 2 3 6 4" xfId="778"/>
    <cellStyle name="Normal 114 2 3 6_II_7_2 Liabilities Fcial interm" xfId="779"/>
    <cellStyle name="Normal 114 2 3 7" xfId="780"/>
    <cellStyle name="Normal 114 2 3 7 2" xfId="781"/>
    <cellStyle name="Normal 114 2 3 7 3" xfId="782"/>
    <cellStyle name="Normal 114 2 3 7_II_7_2 Liabilities Fcial interm" xfId="783"/>
    <cellStyle name="Normal 114 2 3 8" xfId="784"/>
    <cellStyle name="Normal 114 2 3 8 2" xfId="785"/>
    <cellStyle name="Normal 114 2 3 9" xfId="786"/>
    <cellStyle name="Normal 114 2 3_II_7_2 Liabilities Fcial interm" xfId="787"/>
    <cellStyle name="Normal 114 2 4" xfId="788"/>
    <cellStyle name="Normal 114 2 4 2" xfId="789"/>
    <cellStyle name="Normal 114 2 4 2 2" xfId="790"/>
    <cellStyle name="Normal 114 2 4 2 2 2" xfId="791"/>
    <cellStyle name="Normal 114 2 4 2 2_II_7_2 Liabilities Fcial interm" xfId="792"/>
    <cellStyle name="Normal 114 2 4 2 3" xfId="793"/>
    <cellStyle name="Normal 114 2 4 2 4" xfId="794"/>
    <cellStyle name="Normal 114 2 4 2 5" xfId="795"/>
    <cellStyle name="Normal 114 2 4 2_II_7_2 Liabilities Fcial interm" xfId="796"/>
    <cellStyle name="Normal 114 2 4 3" xfId="797"/>
    <cellStyle name="Normal 114 2 4 3 2" xfId="798"/>
    <cellStyle name="Normal 114 2 4 3 3" xfId="799"/>
    <cellStyle name="Normal 114 2 4 3 4" xfId="800"/>
    <cellStyle name="Normal 114 2 4 3_II_7_2 Liabilities Fcial interm" xfId="801"/>
    <cellStyle name="Normal 114 2 4 4" xfId="802"/>
    <cellStyle name="Normal 114 2 4 4 2" xfId="803"/>
    <cellStyle name="Normal 114 2 4 4 3" xfId="804"/>
    <cellStyle name="Normal 114 2 4 4 4" xfId="805"/>
    <cellStyle name="Normal 114 2 4 4_II_7_2 Liabilities Fcial interm" xfId="806"/>
    <cellStyle name="Normal 114 2 4 5" xfId="807"/>
    <cellStyle name="Normal 114 2 4 5 2" xfId="808"/>
    <cellStyle name="Normal 114 2 4 5 3" xfId="809"/>
    <cellStyle name="Normal 114 2 4 5_II_7_2 Liabilities Fcial interm" xfId="810"/>
    <cellStyle name="Normal 114 2 4 6" xfId="811"/>
    <cellStyle name="Normal 114 2 4 6 2" xfId="812"/>
    <cellStyle name="Normal 114 2 4 7" xfId="813"/>
    <cellStyle name="Normal 114 2 4_II_7_2 Liabilities Fcial interm" xfId="814"/>
    <cellStyle name="Normal 114 2 5" xfId="815"/>
    <cellStyle name="Normal 114 2 5 2" xfId="816"/>
    <cellStyle name="Normal 114 2 5 2 2" xfId="817"/>
    <cellStyle name="Normal 114 2 5 2 3" xfId="818"/>
    <cellStyle name="Normal 114 2 5 2_II_7_2 Liabilities Fcial interm" xfId="819"/>
    <cellStyle name="Normal 114 2 5 3" xfId="820"/>
    <cellStyle name="Normal 114 2 5 3 2" xfId="821"/>
    <cellStyle name="Normal 114 2 5 3_II_7_2 Liabilities Fcial interm" xfId="822"/>
    <cellStyle name="Normal 114 2 5 4" xfId="823"/>
    <cellStyle name="Normal 114 2 5 5" xfId="824"/>
    <cellStyle name="Normal 114 2 5_II_7_2 Liabilities Fcial interm" xfId="825"/>
    <cellStyle name="Normal 114 2 6" xfId="826"/>
    <cellStyle name="Normal 114 2 6 2" xfId="827"/>
    <cellStyle name="Normal 114 2 6 2 2" xfId="828"/>
    <cellStyle name="Normal 114 2 6 2_II_7_2 Liabilities Fcial interm" xfId="829"/>
    <cellStyle name="Normal 114 2 6 3" xfId="830"/>
    <cellStyle name="Normal 114 2 6 4" xfId="831"/>
    <cellStyle name="Normal 114 2 6_II_7_2 Liabilities Fcial interm" xfId="832"/>
    <cellStyle name="Normal 114 2 7" xfId="833"/>
    <cellStyle name="Normal 114 2 7 2" xfId="834"/>
    <cellStyle name="Normal 114 2 7 3" xfId="835"/>
    <cellStyle name="Normal 114 2 7 4" xfId="836"/>
    <cellStyle name="Normal 114 2 7_II_7_2 Liabilities Fcial interm" xfId="837"/>
    <cellStyle name="Normal 114 2 8" xfId="838"/>
    <cellStyle name="Normal 114 2 8 2" xfId="839"/>
    <cellStyle name="Normal 114 2 8 3" xfId="840"/>
    <cellStyle name="Normal 114 2 8 4" xfId="841"/>
    <cellStyle name="Normal 114 2 8_II_7_2 Liabilities Fcial interm" xfId="842"/>
    <cellStyle name="Normal 114 2 9" xfId="843"/>
    <cellStyle name="Normal 114 2 9 2" xfId="844"/>
    <cellStyle name="Normal 114 2 9 3" xfId="845"/>
    <cellStyle name="Normal 114 2 9_II_7_2 Liabilities Fcial interm" xfId="846"/>
    <cellStyle name="Normal 114 2_II_7_2 Liabilities Fcial interm" xfId="847"/>
    <cellStyle name="Normal 114 3" xfId="848"/>
    <cellStyle name="Normal 114 3 10" xfId="849"/>
    <cellStyle name="Normal 114 3 2" xfId="850"/>
    <cellStyle name="Normal 114 3 2 2" xfId="851"/>
    <cellStyle name="Normal 114 3 2 2 2" xfId="852"/>
    <cellStyle name="Normal 114 3 2 2 2 2" xfId="853"/>
    <cellStyle name="Normal 114 3 2 2 2_II_7_2 Liabilities Fcial interm" xfId="854"/>
    <cellStyle name="Normal 114 3 2 2 3" xfId="855"/>
    <cellStyle name="Normal 114 3 2 2 4" xfId="856"/>
    <cellStyle name="Normal 114 3 2 2 5" xfId="857"/>
    <cellStyle name="Normal 114 3 2 2_II_7_2 Liabilities Fcial interm" xfId="858"/>
    <cellStyle name="Normal 114 3 2 3" xfId="859"/>
    <cellStyle name="Normal 114 3 2 3 2" xfId="860"/>
    <cellStyle name="Normal 114 3 2 3 3" xfId="861"/>
    <cellStyle name="Normal 114 3 2 3 4" xfId="862"/>
    <cellStyle name="Normal 114 3 2 3_II_7_2 Liabilities Fcial interm" xfId="863"/>
    <cellStyle name="Normal 114 3 2 4" xfId="864"/>
    <cellStyle name="Normal 114 3 2 4 2" xfId="865"/>
    <cellStyle name="Normal 114 3 2 4 3" xfId="866"/>
    <cellStyle name="Normal 114 3 2 4 4" xfId="867"/>
    <cellStyle name="Normal 114 3 2 4_II_7_2 Liabilities Fcial interm" xfId="868"/>
    <cellStyle name="Normal 114 3 2 5" xfId="869"/>
    <cellStyle name="Normal 114 3 2 5 2" xfId="870"/>
    <cellStyle name="Normal 114 3 2 5 3" xfId="871"/>
    <cellStyle name="Normal 114 3 2 5 4" xfId="872"/>
    <cellStyle name="Normal 114 3 2 5_II_7_2 Liabilities Fcial interm" xfId="873"/>
    <cellStyle name="Normal 114 3 2 6" xfId="874"/>
    <cellStyle name="Normal 114 3 2 6 2" xfId="875"/>
    <cellStyle name="Normal 114 3 2 6 3" xfId="876"/>
    <cellStyle name="Normal 114 3 2 6_II_7_2 Liabilities Fcial interm" xfId="877"/>
    <cellStyle name="Normal 114 3 2 7" xfId="878"/>
    <cellStyle name="Normal 114 3 2 7 2" xfId="879"/>
    <cellStyle name="Normal 114 3 2 8" xfId="880"/>
    <cellStyle name="Normal 114 3 2_II_7_2 Liabilities Fcial interm" xfId="881"/>
    <cellStyle name="Normal 114 3 3" xfId="882"/>
    <cellStyle name="Normal 114 3 3 2" xfId="883"/>
    <cellStyle name="Normal 114 3 3 2 2" xfId="884"/>
    <cellStyle name="Normal 114 3 3 2 3" xfId="885"/>
    <cellStyle name="Normal 114 3 3 2 4" xfId="886"/>
    <cellStyle name="Normal 114 3 3 2_II_7_2 Liabilities Fcial interm" xfId="887"/>
    <cellStyle name="Normal 114 3 3 3" xfId="888"/>
    <cellStyle name="Normal 114 3 3 3 2" xfId="889"/>
    <cellStyle name="Normal 114 3 3 3 3" xfId="890"/>
    <cellStyle name="Normal 114 3 3 3 4" xfId="891"/>
    <cellStyle name="Normal 114 3 3 3_II_7_2 Liabilities Fcial interm" xfId="892"/>
    <cellStyle name="Normal 114 3 3 4" xfId="893"/>
    <cellStyle name="Normal 114 3 3 4 2" xfId="894"/>
    <cellStyle name="Normal 114 3 3 4 3" xfId="895"/>
    <cellStyle name="Normal 114 3 3 4 4" xfId="896"/>
    <cellStyle name="Normal 114 3 3 4_II_7_2 Liabilities Fcial interm" xfId="897"/>
    <cellStyle name="Normal 114 3 3 5" xfId="898"/>
    <cellStyle name="Normal 114 3 3 5 2" xfId="899"/>
    <cellStyle name="Normal 114 3 3 5 3" xfId="900"/>
    <cellStyle name="Normal 114 3 3 5_II_7_2 Liabilities Fcial interm" xfId="901"/>
    <cellStyle name="Normal 114 3 3 6" xfId="902"/>
    <cellStyle name="Normal 114 3 3 6 2" xfId="903"/>
    <cellStyle name="Normal 114 3 3 7" xfId="904"/>
    <cellStyle name="Normal 114 3 3_II_7_2 Liabilities Fcial interm" xfId="905"/>
    <cellStyle name="Normal 114 3 4" xfId="906"/>
    <cellStyle name="Normal 114 3 4 2" xfId="907"/>
    <cellStyle name="Normal 114 3 4 2 2" xfId="908"/>
    <cellStyle name="Normal 114 3 4 2 3" xfId="909"/>
    <cellStyle name="Normal 114 3 4 2_II_7_2 Liabilities Fcial interm" xfId="910"/>
    <cellStyle name="Normal 114 3 4 3" xfId="911"/>
    <cellStyle name="Normal 114 3 4 3 2" xfId="912"/>
    <cellStyle name="Normal 114 3 4 4" xfId="913"/>
    <cellStyle name="Normal 114 3 4_II_7_2 Liabilities Fcial interm" xfId="914"/>
    <cellStyle name="Normal 114 3 5" xfId="915"/>
    <cellStyle name="Normal 114 3 5 2" xfId="916"/>
    <cellStyle name="Normal 114 3 5 2 2" xfId="917"/>
    <cellStyle name="Normal 114 3 5 2_II_7_2 Liabilities Fcial interm" xfId="918"/>
    <cellStyle name="Normal 114 3 5 3" xfId="919"/>
    <cellStyle name="Normal 114 3 5 4" xfId="920"/>
    <cellStyle name="Normal 114 3 5_II_7_2 Liabilities Fcial interm" xfId="921"/>
    <cellStyle name="Normal 114 3 6" xfId="922"/>
    <cellStyle name="Normal 114 3 6 2" xfId="923"/>
    <cellStyle name="Normal 114 3 6 3" xfId="924"/>
    <cellStyle name="Normal 114 3 6 4" xfId="925"/>
    <cellStyle name="Normal 114 3 6_II_7_2 Liabilities Fcial interm" xfId="926"/>
    <cellStyle name="Normal 114 3 7" xfId="927"/>
    <cellStyle name="Normal 114 3 7 2" xfId="928"/>
    <cellStyle name="Normal 114 3 7 3" xfId="929"/>
    <cellStyle name="Normal 114 3 7_II_7_2 Liabilities Fcial interm" xfId="930"/>
    <cellStyle name="Normal 114 3 8" xfId="931"/>
    <cellStyle name="Normal 114 3 8 2" xfId="932"/>
    <cellStyle name="Normal 114 3 9" xfId="933"/>
    <cellStyle name="Normal 114 3_II_7_2 Liabilities Fcial interm" xfId="934"/>
    <cellStyle name="Normal 114 4" xfId="935"/>
    <cellStyle name="Normal 114 4 2" xfId="936"/>
    <cellStyle name="Normal 114 4 2 2" xfId="937"/>
    <cellStyle name="Normal 114 4 2 2 2" xfId="938"/>
    <cellStyle name="Normal 114 4 2 2_II_7_2 Liabilities Fcial interm" xfId="939"/>
    <cellStyle name="Normal 114 4 2 3" xfId="940"/>
    <cellStyle name="Normal 114 4 2 4" xfId="941"/>
    <cellStyle name="Normal 114 4 2 5" xfId="942"/>
    <cellStyle name="Normal 114 4 2_II_7_2 Liabilities Fcial interm" xfId="943"/>
    <cellStyle name="Normal 114 4 3" xfId="944"/>
    <cellStyle name="Normal 114 4 3 2" xfId="945"/>
    <cellStyle name="Normal 114 4 3 3" xfId="946"/>
    <cellStyle name="Normal 114 4 3 4" xfId="947"/>
    <cellStyle name="Normal 114 4 3_II_7_2 Liabilities Fcial interm" xfId="948"/>
    <cellStyle name="Normal 114 4 4" xfId="949"/>
    <cellStyle name="Normal 114 4 4 2" xfId="950"/>
    <cellStyle name="Normal 114 4 4 3" xfId="951"/>
    <cellStyle name="Normal 114 4 4 4" xfId="952"/>
    <cellStyle name="Normal 114 4 4_II_7_2 Liabilities Fcial interm" xfId="953"/>
    <cellStyle name="Normal 114 4 5" xfId="954"/>
    <cellStyle name="Normal 114 4 5 2" xfId="955"/>
    <cellStyle name="Normal 114 4 5 3" xfId="956"/>
    <cellStyle name="Normal 114 4 5 4" xfId="957"/>
    <cellStyle name="Normal 114 4 5_II_7_2 Liabilities Fcial interm" xfId="958"/>
    <cellStyle name="Normal 114 4 6" xfId="959"/>
    <cellStyle name="Normal 114 4 6 2" xfId="960"/>
    <cellStyle name="Normal 114 4 6 3" xfId="961"/>
    <cellStyle name="Normal 114 4 6 4" xfId="962"/>
    <cellStyle name="Normal 114 4 6_II_7_2 Liabilities Fcial interm" xfId="963"/>
    <cellStyle name="Normal 114 4 7" xfId="964"/>
    <cellStyle name="Normal 114 4 7 2" xfId="965"/>
    <cellStyle name="Normal 114 4 7 3" xfId="966"/>
    <cellStyle name="Normal 114 4 7_II_7_2 Liabilities Fcial interm" xfId="967"/>
    <cellStyle name="Normal 114 4 8" xfId="968"/>
    <cellStyle name="Normal 114 4 8 2" xfId="969"/>
    <cellStyle name="Normal 114 4 9" xfId="970"/>
    <cellStyle name="Normal 114 4_II_7_2 Liabilities Fcial interm" xfId="971"/>
    <cellStyle name="Normal 114 5" xfId="972"/>
    <cellStyle name="Normal 114 5 2" xfId="973"/>
    <cellStyle name="Normal 114 5 2 2" xfId="974"/>
    <cellStyle name="Normal 114 5 2 2 2" xfId="975"/>
    <cellStyle name="Normal 114 5 2 2_II_7_2 Liabilities Fcial interm" xfId="976"/>
    <cellStyle name="Normal 114 5 2 3" xfId="977"/>
    <cellStyle name="Normal 114 5 2 4" xfId="978"/>
    <cellStyle name="Normal 114 5 2 5" xfId="979"/>
    <cellStyle name="Normal 114 5 2_II_7_2 Liabilities Fcial interm" xfId="980"/>
    <cellStyle name="Normal 114 5 3" xfId="981"/>
    <cellStyle name="Normal 114 5 3 2" xfId="982"/>
    <cellStyle name="Normal 114 5 3 3" xfId="983"/>
    <cellStyle name="Normal 114 5 3 4" xfId="984"/>
    <cellStyle name="Normal 114 5 3_II_7_2 Liabilities Fcial interm" xfId="985"/>
    <cellStyle name="Normal 114 5 4" xfId="986"/>
    <cellStyle name="Normal 114 5 4 2" xfId="987"/>
    <cellStyle name="Normal 114 5 4 3" xfId="988"/>
    <cellStyle name="Normal 114 5 4 4" xfId="989"/>
    <cellStyle name="Normal 114 5 4_II_7_2 Liabilities Fcial interm" xfId="990"/>
    <cellStyle name="Normal 114 5 5" xfId="991"/>
    <cellStyle name="Normal 114 5 5 2" xfId="992"/>
    <cellStyle name="Normal 114 5 5 3" xfId="993"/>
    <cellStyle name="Normal 114 5 5_II_7_2 Liabilities Fcial interm" xfId="994"/>
    <cellStyle name="Normal 114 5 6" xfId="995"/>
    <cellStyle name="Normal 114 5 6 2" xfId="996"/>
    <cellStyle name="Normal 114 5 7" xfId="997"/>
    <cellStyle name="Normal 114 5_II_7_2 Liabilities Fcial interm" xfId="998"/>
    <cellStyle name="Normal 114 6" xfId="999"/>
    <cellStyle name="Normal 114 6 2" xfId="1000"/>
    <cellStyle name="Normal 114 6 2 2" xfId="1001"/>
    <cellStyle name="Normal 114 6 2 3" xfId="1002"/>
    <cellStyle name="Normal 114 6 2_II_7_2 Liabilities Fcial interm" xfId="1003"/>
    <cellStyle name="Normal 114 6 3" xfId="1004"/>
    <cellStyle name="Normal 114 6 3 2" xfId="1005"/>
    <cellStyle name="Normal 114 6 3_II_7_2 Liabilities Fcial interm" xfId="1006"/>
    <cellStyle name="Normal 114 6 4" xfId="1007"/>
    <cellStyle name="Normal 114 6 5" xfId="1008"/>
    <cellStyle name="Normal 114 6_II_7_2 Liabilities Fcial interm" xfId="1009"/>
    <cellStyle name="Normal 114 7" xfId="1010"/>
    <cellStyle name="Normal 114 7 2" xfId="1011"/>
    <cellStyle name="Normal 114 7 2 2" xfId="1012"/>
    <cellStyle name="Normal 114 7 2_II_7_2 Liabilities Fcial interm" xfId="1013"/>
    <cellStyle name="Normal 114 7 3" xfId="1014"/>
    <cellStyle name="Normal 114 7 4" xfId="1015"/>
    <cellStyle name="Normal 114 7_II_7_2 Liabilities Fcial interm" xfId="1016"/>
    <cellStyle name="Normal 114 8" xfId="1017"/>
    <cellStyle name="Normal 114 8 2" xfId="1018"/>
    <cellStyle name="Normal 114 8 3" xfId="1019"/>
    <cellStyle name="Normal 114 8 4" xfId="1020"/>
    <cellStyle name="Normal 114 8_II_7_2 Liabilities Fcial interm" xfId="1021"/>
    <cellStyle name="Normal 114 9" xfId="1022"/>
    <cellStyle name="Normal 114 9 2" xfId="1023"/>
    <cellStyle name="Normal 114 9 3" xfId="1024"/>
    <cellStyle name="Normal 114 9 4" xfId="1025"/>
    <cellStyle name="Normal 114 9_II_7_2 Liabilities Fcial interm" xfId="1026"/>
    <cellStyle name="Normal 114_II_7_2 Liabilities Fcial interm" xfId="1027"/>
    <cellStyle name="Normal 115" xfId="1028"/>
    <cellStyle name="Normal 116" xfId="1029"/>
    <cellStyle name="Normal 117" xfId="1030"/>
    <cellStyle name="Normal 117 2" xfId="1031"/>
    <cellStyle name="Normal 118" xfId="1032"/>
    <cellStyle name="Normal 119" xfId="1033"/>
    <cellStyle name="Normal 12" xfId="1034"/>
    <cellStyle name="Normal 12 2" xfId="1035"/>
    <cellStyle name="Normal 120" xfId="1036"/>
    <cellStyle name="Normal 121" xfId="1037"/>
    <cellStyle name="Normal 122" xfId="1038"/>
    <cellStyle name="Normal 123" xfId="1039"/>
    <cellStyle name="Normal 124" xfId="1040"/>
    <cellStyle name="Normal 125" xfId="1041"/>
    <cellStyle name="Normal 126" xfId="1042"/>
    <cellStyle name="Normal 127" xfId="1043"/>
    <cellStyle name="Normal 128" xfId="1044"/>
    <cellStyle name="Normal 129" xfId="1045"/>
    <cellStyle name="Normal 129 2" xfId="1046"/>
    <cellStyle name="Normal 13" xfId="1047"/>
    <cellStyle name="Normal 13 2" xfId="1048"/>
    <cellStyle name="Normal 13 3" xfId="1049"/>
    <cellStyle name="Normal 130" xfId="1050"/>
    <cellStyle name="Normal 131" xfId="1051"/>
    <cellStyle name="Normal 132" xfId="1052"/>
    <cellStyle name="Normal 133" xfId="1053"/>
    <cellStyle name="Normal 133 2" xfId="1054"/>
    <cellStyle name="Normal 134" xfId="1055"/>
    <cellStyle name="Normal 135" xfId="1056"/>
    <cellStyle name="Normal 136" xfId="1057"/>
    <cellStyle name="Normal 137" xfId="1058"/>
    <cellStyle name="Normal 138" xfId="1059"/>
    <cellStyle name="Normal 139" xfId="1060"/>
    <cellStyle name="Normal 14" xfId="1061"/>
    <cellStyle name="Normal 14 2" xfId="1062"/>
    <cellStyle name="Normal 140" xfId="1063"/>
    <cellStyle name="Normal 141" xfId="1064"/>
    <cellStyle name="Normal 142" xfId="1065"/>
    <cellStyle name="Normal 142 2" xfId="1066"/>
    <cellStyle name="Normal 143" xfId="1067"/>
    <cellStyle name="Normal 143 2" xfId="1068"/>
    <cellStyle name="Normal 144" xfId="1069"/>
    <cellStyle name="Normal 145" xfId="1070"/>
    <cellStyle name="Normal 146" xfId="1071"/>
    <cellStyle name="Normal 146 2" xfId="1072"/>
    <cellStyle name="Normal 147" xfId="1073"/>
    <cellStyle name="Normal 148" xfId="1074"/>
    <cellStyle name="Normal 149" xfId="1075"/>
    <cellStyle name="Normal 15" xfId="1076"/>
    <cellStyle name="Normal 150" xfId="1077"/>
    <cellStyle name="Normal 151" xfId="1078"/>
    <cellStyle name="Normal 152" xfId="1079"/>
    <cellStyle name="Normal 153" xfId="1080"/>
    <cellStyle name="Normal 154" xfId="1081"/>
    <cellStyle name="Normal 154 2" xfId="1082"/>
    <cellStyle name="Normal 155" xfId="1083"/>
    <cellStyle name="Normal 156" xfId="1084"/>
    <cellStyle name="Normal 157" xfId="1085"/>
    <cellStyle name="Normal 158" xfId="1086"/>
    <cellStyle name="Normal 158 2" xfId="1087"/>
    <cellStyle name="Normal 159" xfId="1088"/>
    <cellStyle name="Normal 16" xfId="1089"/>
    <cellStyle name="Normal 160" xfId="1090"/>
    <cellStyle name="Normal 161" xfId="1091"/>
    <cellStyle name="Normal 162" xfId="1092"/>
    <cellStyle name="Normal 163" xfId="1093"/>
    <cellStyle name="Normal 163 2" xfId="1094"/>
    <cellStyle name="Normal 164" xfId="1095"/>
    <cellStyle name="Normal 165" xfId="1096"/>
    <cellStyle name="Normal 166" xfId="1097"/>
    <cellStyle name="Normal 166 2" xfId="1098"/>
    <cellStyle name="Normal 167" xfId="1099"/>
    <cellStyle name="Normal 168" xfId="1100"/>
    <cellStyle name="Normal 169" xfId="1101"/>
    <cellStyle name="Normal 17" xfId="1102"/>
    <cellStyle name="Normal 17 2" xfId="1103"/>
    <cellStyle name="Normal 170" xfId="1104"/>
    <cellStyle name="Normal 171" xfId="1105"/>
    <cellStyle name="Normal 172" xfId="1106"/>
    <cellStyle name="Normal 173" xfId="1107"/>
    <cellStyle name="Normal 173 2" xfId="1108"/>
    <cellStyle name="Normal 174" xfId="1109"/>
    <cellStyle name="Normal 174 2" xfId="1110"/>
    <cellStyle name="Normal 175" xfId="1111"/>
    <cellStyle name="Normal 176" xfId="1112"/>
    <cellStyle name="Normal 177" xfId="1113"/>
    <cellStyle name="Normal 177 2" xfId="1114"/>
    <cellStyle name="Normal 178" xfId="1115"/>
    <cellStyle name="Normal 179" xfId="1116"/>
    <cellStyle name="Normal 18" xfId="1117"/>
    <cellStyle name="Normal 18 10" xfId="1118"/>
    <cellStyle name="Normal 18 11" xfId="1119"/>
    <cellStyle name="Normal 18 12" xfId="1120"/>
    <cellStyle name="Normal 18 2" xfId="1121"/>
    <cellStyle name="Normal 18 3" xfId="1122"/>
    <cellStyle name="Normal 18 3 2" xfId="1123"/>
    <cellStyle name="Normal 18 3 2 2" xfId="1124"/>
    <cellStyle name="Normal 18 3 2 3" xfId="1125"/>
    <cellStyle name="Normal 18 3 3" xfId="1126"/>
    <cellStyle name="Normal 18 4" xfId="1127"/>
    <cellStyle name="Normal 18 5" xfId="1128"/>
    <cellStyle name="Normal 18 6" xfId="1129"/>
    <cellStyle name="Normal 18 7" xfId="1130"/>
    <cellStyle name="Normal 18 8" xfId="1131"/>
    <cellStyle name="Normal 18 9" xfId="1132"/>
    <cellStyle name="Normal 180" xfId="1133"/>
    <cellStyle name="Normal 181" xfId="1134"/>
    <cellStyle name="Normal 182" xfId="1135"/>
    <cellStyle name="Normal 182 2" xfId="1136"/>
    <cellStyle name="Normal 183" xfId="1137"/>
    <cellStyle name="Normal 183 2" xfId="1138"/>
    <cellStyle name="Normal 184" xfId="1139"/>
    <cellStyle name="Normal 184 2" xfId="1140"/>
    <cellStyle name="Normal 185" xfId="1141"/>
    <cellStyle name="Normal 185 2" xfId="1142"/>
    <cellStyle name="Normal 186" xfId="1143"/>
    <cellStyle name="Normal 187" xfId="1144"/>
    <cellStyle name="Normal 188" xfId="1145"/>
    <cellStyle name="Normal 189" xfId="1146"/>
    <cellStyle name="Normal 189 2" xfId="1147"/>
    <cellStyle name="Normal 19" xfId="1148"/>
    <cellStyle name="Normal 19 10" xfId="1149"/>
    <cellStyle name="Normal 19 11" xfId="1150"/>
    <cellStyle name="Normal 19 12" xfId="1151"/>
    <cellStyle name="Normal 19 2" xfId="1152"/>
    <cellStyle name="Normal 19 3" xfId="1153"/>
    <cellStyle name="Normal 19 3 2" xfId="1154"/>
    <cellStyle name="Normal 19 3 2 2" xfId="1155"/>
    <cellStyle name="Normal 19 3 2 3" xfId="1156"/>
    <cellStyle name="Normal 19 3 3" xfId="1157"/>
    <cellStyle name="Normal 19 4" xfId="1158"/>
    <cellStyle name="Normal 19 5" xfId="1159"/>
    <cellStyle name="Normal 19 6" xfId="1160"/>
    <cellStyle name="Normal 19 7" xfId="1161"/>
    <cellStyle name="Normal 19 8" xfId="1162"/>
    <cellStyle name="Normal 19 9" xfId="1163"/>
    <cellStyle name="Normal 190" xfId="1164"/>
    <cellStyle name="Normal 191" xfId="1165"/>
    <cellStyle name="Normal 191 2" xfId="1166"/>
    <cellStyle name="Normal 192" xfId="1167"/>
    <cellStyle name="Normal 192 2" xfId="1168"/>
    <cellStyle name="Normal 193" xfId="1169"/>
    <cellStyle name="Normal 194" xfId="1170"/>
    <cellStyle name="Normal 195" xfId="1171"/>
    <cellStyle name="Normal 195 2" xfId="1172"/>
    <cellStyle name="Normal 196" xfId="1173"/>
    <cellStyle name="Normal 196 2" xfId="1174"/>
    <cellStyle name="Normal 197" xfId="1175"/>
    <cellStyle name="Normal 197 2" xfId="1176"/>
    <cellStyle name="Normal 198" xfId="1177"/>
    <cellStyle name="Normal 198 2" xfId="1178"/>
    <cellStyle name="Normal 199" xfId="1179"/>
    <cellStyle name="Normal 199 2" xfId="1180"/>
    <cellStyle name="Normal 2" xfId="1181"/>
    <cellStyle name="Normal 2 10" xfId="1182"/>
    <cellStyle name="Normal 2 10 2" xfId="1183"/>
    <cellStyle name="Normal 2 11" xfId="1184"/>
    <cellStyle name="Normal 2 12" xfId="1185"/>
    <cellStyle name="Normal 2 13" xfId="1186"/>
    <cellStyle name="Normal 2 14" xfId="1187"/>
    <cellStyle name="Normal 2 15" xfId="1188"/>
    <cellStyle name="Normal 2 16" xfId="1189"/>
    <cellStyle name="Normal 2 17" xfId="1190"/>
    <cellStyle name="Normal 2 18" xfId="1191"/>
    <cellStyle name="Normal 2 19" xfId="1192"/>
    <cellStyle name="Normal 2 2" xfId="1193"/>
    <cellStyle name="Normal 2 2 10" xfId="1194"/>
    <cellStyle name="Normal 2 2 10 2" xfId="4342"/>
    <cellStyle name="Normal 2 2 11" xfId="1195"/>
    <cellStyle name="Normal 2 2 2" xfId="1196"/>
    <cellStyle name="Normal 2 2 2 2" xfId="1197"/>
    <cellStyle name="Normal 2 2 2_ACT BNDE NR" xfId="1198"/>
    <cellStyle name="Normal 2 2 3" xfId="1199"/>
    <cellStyle name="Normal 2 2 4" xfId="1200"/>
    <cellStyle name="Normal 2 2 5" xfId="1201"/>
    <cellStyle name="Normal 2 2 6" xfId="1202"/>
    <cellStyle name="Normal 2 2 7" xfId="1203"/>
    <cellStyle name="Normal 2 2 8" xfId="1204"/>
    <cellStyle name="Normal 2 2 9" xfId="1205"/>
    <cellStyle name="Normal 2 20" xfId="1206"/>
    <cellStyle name="Normal 2 3" xfId="1207"/>
    <cellStyle name="Normal 2 3 2" xfId="1208"/>
    <cellStyle name="Normal 2 3 2 2" xfId="1209"/>
    <cellStyle name="Normal 2 3 2_ACT BNDE NR" xfId="1210"/>
    <cellStyle name="Normal 2 3 3" xfId="1211"/>
    <cellStyle name="Normal 2 3 4" xfId="1212"/>
    <cellStyle name="Normal 2 3 5" xfId="1213"/>
    <cellStyle name="Normal 2 4" xfId="1214"/>
    <cellStyle name="Normal 2 4 10" xfId="1215"/>
    <cellStyle name="Normal 2 4 11" xfId="1216"/>
    <cellStyle name="Normal 2 4 12" xfId="1217"/>
    <cellStyle name="Normal 2 4 13" xfId="1218"/>
    <cellStyle name="Normal 2 4 2" xfId="1219"/>
    <cellStyle name="Normal 2 4 2 2" xfId="1220"/>
    <cellStyle name="Normal 2 4 2 2 2" xfId="1221"/>
    <cellStyle name="Normal 2 4 2 2 3" xfId="1222"/>
    <cellStyle name="Normal 2 4 2 3" xfId="1223"/>
    <cellStyle name="Normal 2 4 2_ACT BNDE NR" xfId="1224"/>
    <cellStyle name="Normal 2 4 3" xfId="1225"/>
    <cellStyle name="Normal 2 4 3 2" xfId="1226"/>
    <cellStyle name="Normal 2 4 3_ACT FPHU NR" xfId="1227"/>
    <cellStyle name="Normal 2 4 4" xfId="1228"/>
    <cellStyle name="Normal 2 4 4 2" xfId="1229"/>
    <cellStyle name="Normal 2 4 4_ACT FPHU NR" xfId="1230"/>
    <cellStyle name="Normal 2 4 5" xfId="1231"/>
    <cellStyle name="Normal 2 4 5 2" xfId="1232"/>
    <cellStyle name="Normal 2 4 5_ACT FPHU NR" xfId="1233"/>
    <cellStyle name="Normal 2 4 6" xfId="1234"/>
    <cellStyle name="Normal 2 4 7" xfId="1235"/>
    <cellStyle name="Normal 2 4 8" xfId="1236"/>
    <cellStyle name="Normal 2 4 9" xfId="1237"/>
    <cellStyle name="Normal 2 5" xfId="1238"/>
    <cellStyle name="Normal 2 5 2" xfId="1239"/>
    <cellStyle name="Normal 2 6" xfId="1240"/>
    <cellStyle name="Normal 2 6 2" xfId="1241"/>
    <cellStyle name="Normal 2 7" xfId="1242"/>
    <cellStyle name="Normal 2 7 2" xfId="1243"/>
    <cellStyle name="Normal 2 8" xfId="1244"/>
    <cellStyle name="Normal 2 8 2" xfId="1245"/>
    <cellStyle name="Normal 2 9" xfId="1246"/>
    <cellStyle name="Normal 2 9 2" xfId="1247"/>
    <cellStyle name="Normal 2_ACT BNDE NR" xfId="1248"/>
    <cellStyle name="Normal 20" xfId="1249"/>
    <cellStyle name="Normal 200" xfId="1250"/>
    <cellStyle name="Normal 200 2" xfId="1251"/>
    <cellStyle name="Normal 201" xfId="1252"/>
    <cellStyle name="Normal 202" xfId="1253"/>
    <cellStyle name="Normal 203" xfId="1254"/>
    <cellStyle name="Normal 204" xfId="1255"/>
    <cellStyle name="Normal 204 2" xfId="1256"/>
    <cellStyle name="Normal 205" xfId="1257"/>
    <cellStyle name="Normal 205 2" xfId="1258"/>
    <cellStyle name="Normal 206" xfId="1259"/>
    <cellStyle name="Normal 206 2" xfId="1260"/>
    <cellStyle name="Normal 206 3" xfId="1261"/>
    <cellStyle name="Normal 207" xfId="1262"/>
    <cellStyle name="Normal 207 2" xfId="1263"/>
    <cellStyle name="Normal 207 3" xfId="1264"/>
    <cellStyle name="Normal 208" xfId="1265"/>
    <cellStyle name="Normal 208 2" xfId="1266"/>
    <cellStyle name="Normal 208 3" xfId="1267"/>
    <cellStyle name="Normal 209" xfId="1268"/>
    <cellStyle name="Normal 209 2" xfId="1269"/>
    <cellStyle name="Normal 209 3" xfId="1270"/>
    <cellStyle name="Normal 21" xfId="1271"/>
    <cellStyle name="Normal 210" xfId="1272"/>
    <cellStyle name="Normal 210 2" xfId="1273"/>
    <cellStyle name="Normal 210 2 2" xfId="1274"/>
    <cellStyle name="Normal 210 2 3" xfId="1275"/>
    <cellStyle name="Normal 210 3" xfId="1276"/>
    <cellStyle name="Normal 211" xfId="1277"/>
    <cellStyle name="Normal 211 2" xfId="1278"/>
    <cellStyle name="Normal 211 2 2" xfId="1279"/>
    <cellStyle name="Normal 212" xfId="1280"/>
    <cellStyle name="Normal 212 2" xfId="1281"/>
    <cellStyle name="Normal 212 2 2" xfId="1282"/>
    <cellStyle name="Normal 212 2 3" xfId="1283"/>
    <cellStyle name="Normal 212 3" xfId="1284"/>
    <cellStyle name="Normal 213" xfId="1285"/>
    <cellStyle name="Normal 213 2" xfId="1286"/>
    <cellStyle name="Normal 213 2 2" xfId="1287"/>
    <cellStyle name="Normal 214" xfId="1288"/>
    <cellStyle name="Normal 214 2" xfId="1289"/>
    <cellStyle name="Normal 214 2 2" xfId="1290"/>
    <cellStyle name="Normal 214 2 3" xfId="1291"/>
    <cellStyle name="Normal 214 3" xfId="1292"/>
    <cellStyle name="Normal 214 4" xfId="1293"/>
    <cellStyle name="Normal 214 5" xfId="1294"/>
    <cellStyle name="Normal 214_II_7_2 Liabilities Fcial interm" xfId="1295"/>
    <cellStyle name="Normal 215" xfId="1296"/>
    <cellStyle name="Normal 215 2" xfId="1297"/>
    <cellStyle name="Normal 215 3" xfId="1298"/>
    <cellStyle name="Normal 215 4" xfId="1299"/>
    <cellStyle name="Normal 215_II_7_2 Liabilities Fcial interm" xfId="1300"/>
    <cellStyle name="Normal 216" xfId="1301"/>
    <cellStyle name="Normal 216 2" xfId="1302"/>
    <cellStyle name="Normal 216 3" xfId="1303"/>
    <cellStyle name="Normal 216 4" xfId="1304"/>
    <cellStyle name="Normal 216_II_7_2 Liabilities Fcial interm" xfId="1305"/>
    <cellStyle name="Normal 217" xfId="1306"/>
    <cellStyle name="Normal 217 2" xfId="1307"/>
    <cellStyle name="Normal 217 2 2" xfId="1308"/>
    <cellStyle name="Normal 217 2_II_7_2 Liabilities Fcial interm" xfId="1309"/>
    <cellStyle name="Normal 217 3" xfId="1310"/>
    <cellStyle name="Normal 217 4" xfId="1311"/>
    <cellStyle name="Normal 217_II_7_2 Liabilities Fcial interm" xfId="1312"/>
    <cellStyle name="Normal 218" xfId="1313"/>
    <cellStyle name="Normal 218 2" xfId="1314"/>
    <cellStyle name="Normal 218 2 2" xfId="1315"/>
    <cellStyle name="Normal 218 2_II_7_2 Liabilities Fcial interm" xfId="1316"/>
    <cellStyle name="Normal 218 3" xfId="1317"/>
    <cellStyle name="Normal 218 4" xfId="1318"/>
    <cellStyle name="Normal 218_II_7_2 Liabilities Fcial interm" xfId="1319"/>
    <cellStyle name="Normal 219" xfId="1320"/>
    <cellStyle name="Normal 219 2" xfId="1321"/>
    <cellStyle name="Normal 219 2 2" xfId="1322"/>
    <cellStyle name="Normal 219 2_II_7_2 Liabilities Fcial interm" xfId="1323"/>
    <cellStyle name="Normal 219 3" xfId="1324"/>
    <cellStyle name="Normal 219 4" xfId="1325"/>
    <cellStyle name="Normal 219_II_7_2 Liabilities Fcial interm" xfId="1326"/>
    <cellStyle name="Normal 22" xfId="1327"/>
    <cellStyle name="Normal 22 10" xfId="1328"/>
    <cellStyle name="Normal 22 11" xfId="1329"/>
    <cellStyle name="Normal 22 12" xfId="1330"/>
    <cellStyle name="Normal 22 2" xfId="1331"/>
    <cellStyle name="Normal 22 2 2" xfId="1332"/>
    <cellStyle name="Normal 22 2 2 2" xfId="1333"/>
    <cellStyle name="Normal 22 2 2 3" xfId="1334"/>
    <cellStyle name="Normal 22 2 3" xfId="1335"/>
    <cellStyle name="Normal 22 3" xfId="1336"/>
    <cellStyle name="Normal 22 4" xfId="1337"/>
    <cellStyle name="Normal 22 5" xfId="1338"/>
    <cellStyle name="Normal 22 6" xfId="1339"/>
    <cellStyle name="Normal 22 7" xfId="1340"/>
    <cellStyle name="Normal 22 8" xfId="1341"/>
    <cellStyle name="Normal 22 9" xfId="1342"/>
    <cellStyle name="Normal 220" xfId="1343"/>
    <cellStyle name="Normal 220 2" xfId="1344"/>
    <cellStyle name="Normal 220 2 2" xfId="1345"/>
    <cellStyle name="Normal 220 2_II_7_2 Liabilities Fcial interm" xfId="1346"/>
    <cellStyle name="Normal 220 3" xfId="1347"/>
    <cellStyle name="Normal 220_II_7_2 Liabilities Fcial interm" xfId="1348"/>
    <cellStyle name="Normal 221" xfId="1349"/>
    <cellStyle name="Normal 221 2" xfId="1350"/>
    <cellStyle name="Normal 221 2 2" xfId="1351"/>
    <cellStyle name="Normal 221 3" xfId="1352"/>
    <cellStyle name="Normal 222" xfId="1353"/>
    <cellStyle name="Normal 222 2" xfId="1354"/>
    <cellStyle name="Normal 222 2 2" xfId="1355"/>
    <cellStyle name="Normal 222 3" xfId="1356"/>
    <cellStyle name="Normal 223" xfId="1357"/>
    <cellStyle name="Normal 223 2" xfId="1358"/>
    <cellStyle name="Normal 223 2 2" xfId="1359"/>
    <cellStyle name="Normal 223_II_7_2 Liabilities Fcial interm" xfId="1360"/>
    <cellStyle name="Normal 224" xfId="1361"/>
    <cellStyle name="Normal 224 2" xfId="1362"/>
    <cellStyle name="Normal 224 2 2" xfId="1363"/>
    <cellStyle name="Normal 224_II_7_2 Liabilities Fcial interm" xfId="1364"/>
    <cellStyle name="Normal 225" xfId="1365"/>
    <cellStyle name="Normal 225 2" xfId="1366"/>
    <cellStyle name="Normal 225 2 2" xfId="1367"/>
    <cellStyle name="Normal 225_II_7_2 Liabilities Fcial interm" xfId="1368"/>
    <cellStyle name="Normal 226" xfId="1369"/>
    <cellStyle name="Normal 226 2" xfId="1370"/>
    <cellStyle name="Normal 226_II_7_2 Liabilities Fcial interm" xfId="1371"/>
    <cellStyle name="Normal 227" xfId="1372"/>
    <cellStyle name="Normal 228" xfId="1373"/>
    <cellStyle name="Normal 229" xfId="1374"/>
    <cellStyle name="Normal 23" xfId="1375"/>
    <cellStyle name="Normal 23 10" xfId="1376"/>
    <cellStyle name="Normal 23 11" xfId="1377"/>
    <cellStyle name="Normal 23 12" xfId="1378"/>
    <cellStyle name="Normal 23 2" xfId="1379"/>
    <cellStyle name="Normal 23 2 10" xfId="1380"/>
    <cellStyle name="Normal 23 2 11" xfId="1381"/>
    <cellStyle name="Normal 23 2 12" xfId="1382"/>
    <cellStyle name="Normal 23 2 2" xfId="1383"/>
    <cellStyle name="Normal 23 2 3" xfId="1384"/>
    <cellStyle name="Normal 23 2 4" xfId="1385"/>
    <cellStyle name="Normal 23 2 5" xfId="1386"/>
    <cellStyle name="Normal 23 2 6" xfId="1387"/>
    <cellStyle name="Normal 23 2 7" xfId="1388"/>
    <cellStyle name="Normal 23 2 8" xfId="1389"/>
    <cellStyle name="Normal 23 2 9" xfId="1390"/>
    <cellStyle name="Normal 23 3" xfId="1391"/>
    <cellStyle name="Normal 23 3 2" xfId="1392"/>
    <cellStyle name="Normal 23 3 2 2" xfId="1393"/>
    <cellStyle name="Normal 23 3 2 3" xfId="1394"/>
    <cellStyle name="Normal 23 3 3" xfId="1395"/>
    <cellStyle name="Normal 23 4" xfId="1396"/>
    <cellStyle name="Normal 23 4 2" xfId="1397"/>
    <cellStyle name="Normal 23 4 3" xfId="1398"/>
    <cellStyle name="Normal 23 5" xfId="1399"/>
    <cellStyle name="Normal 23 6" xfId="1400"/>
    <cellStyle name="Normal 23 7" xfId="1401"/>
    <cellStyle name="Normal 23 8" xfId="1402"/>
    <cellStyle name="Normal 23 9" xfId="1403"/>
    <cellStyle name="Normal 230" xfId="1404"/>
    <cellStyle name="Normal 231" xfId="1405"/>
    <cellStyle name="Normal 232" xfId="1406"/>
    <cellStyle name="Normal 233" xfId="1407"/>
    <cellStyle name="Normal 234" xfId="1408"/>
    <cellStyle name="Normal 235" xfId="1409"/>
    <cellStyle name="Normal 236" xfId="1410"/>
    <cellStyle name="Normal 237" xfId="1411"/>
    <cellStyle name="Normal 238" xfId="1412"/>
    <cellStyle name="Normal 239" xfId="1413"/>
    <cellStyle name="Normal 24" xfId="1414"/>
    <cellStyle name="Normal 24 10" xfId="1415"/>
    <cellStyle name="Normal 24 2" xfId="1416"/>
    <cellStyle name="Normal 24 2 2" xfId="1417"/>
    <cellStyle name="Normal 24 2 2 2" xfId="1418"/>
    <cellStyle name="Normal 24 2 2 3" xfId="1419"/>
    <cellStyle name="Normal 24 2 3" xfId="1420"/>
    <cellStyle name="Normal 24 3" xfId="1421"/>
    <cellStyle name="Normal 24 4" xfId="1422"/>
    <cellStyle name="Normal 24 5" xfId="1423"/>
    <cellStyle name="Normal 24 6" xfId="1424"/>
    <cellStyle name="Normal 24 7" xfId="1425"/>
    <cellStyle name="Normal 24 8" xfId="1426"/>
    <cellStyle name="Normal 24 9" xfId="1427"/>
    <cellStyle name="Normal 240" xfId="1428"/>
    <cellStyle name="Normal 241" xfId="1429"/>
    <cellStyle name="Normal 242" xfId="1430"/>
    <cellStyle name="Normal 242 2" xfId="1431"/>
    <cellStyle name="Normal 242_II_7_2 Liabilities Fcial interm" xfId="1432"/>
    <cellStyle name="Normal 243" xfId="1433"/>
    <cellStyle name="Normal 243 2" xfId="1434"/>
    <cellStyle name="Normal 243_II_7_2 Liabilities Fcial interm" xfId="1435"/>
    <cellStyle name="Normal 244" xfId="1436"/>
    <cellStyle name="Normal 245" xfId="1437"/>
    <cellStyle name="Normal 246" xfId="1438"/>
    <cellStyle name="Normal 247" xfId="1439"/>
    <cellStyle name="Normal 248" xfId="1440"/>
    <cellStyle name="Normal 249" xfId="1441"/>
    <cellStyle name="Normal 25" xfId="1442"/>
    <cellStyle name="Normal 25 2" xfId="1443"/>
    <cellStyle name="Normal 250" xfId="1444"/>
    <cellStyle name="Normal 251" xfId="1445"/>
    <cellStyle name="Normal 252" xfId="1446"/>
    <cellStyle name="Normal 253" xfId="1447"/>
    <cellStyle name="Normal 254" xfId="1448"/>
    <cellStyle name="Normal 255" xfId="1449"/>
    <cellStyle name="Normal 256" xfId="1450"/>
    <cellStyle name="Normal 257" xfId="1451"/>
    <cellStyle name="Normal 258" xfId="1452"/>
    <cellStyle name="Normal 259" xfId="1453"/>
    <cellStyle name="Normal 26" xfId="1454"/>
    <cellStyle name="Normal 26 10" xfId="1455"/>
    <cellStyle name="Normal 26 11" xfId="1456"/>
    <cellStyle name="Normal 26 12" xfId="1457"/>
    <cellStyle name="Normal 26 2" xfId="1458"/>
    <cellStyle name="Normal 26 2 2" xfId="1459"/>
    <cellStyle name="Normal 26 2 2 2" xfId="1460"/>
    <cellStyle name="Normal 26 2 2 3" xfId="1461"/>
    <cellStyle name="Normal 26 2 3" xfId="1462"/>
    <cellStyle name="Normal 26 3" xfId="1463"/>
    <cellStyle name="Normal 26 4" xfId="1464"/>
    <cellStyle name="Normal 26 5" xfId="1465"/>
    <cellStyle name="Normal 26 6" xfId="1466"/>
    <cellStyle name="Normal 26 7" xfId="1467"/>
    <cellStyle name="Normal 26 8" xfId="1468"/>
    <cellStyle name="Normal 26 9" xfId="1469"/>
    <cellStyle name="Normal 260" xfId="1470"/>
    <cellStyle name="Normal 261" xfId="1471"/>
    <cellStyle name="Normal 262" xfId="1472"/>
    <cellStyle name="Normal 263" xfId="1473"/>
    <cellStyle name="Normal 264" xfId="1474"/>
    <cellStyle name="Normal 265" xfId="1475"/>
    <cellStyle name="Normal 266" xfId="1476"/>
    <cellStyle name="Normal 267" xfId="1477"/>
    <cellStyle name="Normal 268" xfId="1478"/>
    <cellStyle name="Normal 269" xfId="1479"/>
    <cellStyle name="Normal 27" xfId="1480"/>
    <cellStyle name="Normal 27 10" xfId="1481"/>
    <cellStyle name="Normal 27 11" xfId="1482"/>
    <cellStyle name="Normal 27 12" xfId="1483"/>
    <cellStyle name="Normal 27 2" xfId="1484"/>
    <cellStyle name="Normal 27 2 2" xfId="1485"/>
    <cellStyle name="Normal 27 2 2 2" xfId="1486"/>
    <cellStyle name="Normal 27 2 2 3" xfId="1487"/>
    <cellStyle name="Normal 27 2 3" xfId="1488"/>
    <cellStyle name="Normal 27 3" xfId="1489"/>
    <cellStyle name="Normal 27 4" xfId="1490"/>
    <cellStyle name="Normal 27 5" xfId="1491"/>
    <cellStyle name="Normal 27 6" xfId="1492"/>
    <cellStyle name="Normal 27 7" xfId="1493"/>
    <cellStyle name="Normal 27 8" xfId="1494"/>
    <cellStyle name="Normal 27 9" xfId="1495"/>
    <cellStyle name="Normal 270" xfId="1496"/>
    <cellStyle name="Normal 271" xfId="1497"/>
    <cellStyle name="Normal 272" xfId="1498"/>
    <cellStyle name="Normal 273" xfId="1499"/>
    <cellStyle name="Normal 274" xfId="1500"/>
    <cellStyle name="Normal 275" xfId="1501"/>
    <cellStyle name="Normal 276" xfId="1502"/>
    <cellStyle name="Normal 277" xfId="1503"/>
    <cellStyle name="Normal 278" xfId="1504"/>
    <cellStyle name="Normal 279" xfId="1505"/>
    <cellStyle name="Normal 28" xfId="1506"/>
    <cellStyle name="Normal 28 10" xfId="1507"/>
    <cellStyle name="Normal 28 2" xfId="1508"/>
    <cellStyle name="Normal 28 2 2" xfId="1509"/>
    <cellStyle name="Normal 28 2 2 2" xfId="1510"/>
    <cellStyle name="Normal 28 2 2 3" xfId="1511"/>
    <cellStyle name="Normal 28 2 3" xfId="1512"/>
    <cellStyle name="Normal 28 3" xfId="1513"/>
    <cellStyle name="Normal 28 4" xfId="1514"/>
    <cellStyle name="Normal 28 5" xfId="1515"/>
    <cellStyle name="Normal 28 6" xfId="1516"/>
    <cellStyle name="Normal 28 7" xfId="1517"/>
    <cellStyle name="Normal 28 8" xfId="1518"/>
    <cellStyle name="Normal 28 9" xfId="1519"/>
    <cellStyle name="Normal 280" xfId="1520"/>
    <cellStyle name="Normal 281" xfId="1521"/>
    <cellStyle name="Normal 282" xfId="1522"/>
    <cellStyle name="Normal 283" xfId="1523"/>
    <cellStyle name="Normal 284" xfId="1524"/>
    <cellStyle name="Normal 285" xfId="1525"/>
    <cellStyle name="Normal 286" xfId="1526"/>
    <cellStyle name="Normal 287" xfId="1527"/>
    <cellStyle name="Normal 288" xfId="1528"/>
    <cellStyle name="Normal 289" xfId="1529"/>
    <cellStyle name="Normal 29" xfId="1530"/>
    <cellStyle name="Normal 290" xfId="1531"/>
    <cellStyle name="Normal 291" xfId="1532"/>
    <cellStyle name="Normal 292" xfId="1533"/>
    <cellStyle name="Normal 293" xfId="1534"/>
    <cellStyle name="Normal 294" xfId="1535"/>
    <cellStyle name="Normal 295" xfId="1536"/>
    <cellStyle name="Normal 296" xfId="1537"/>
    <cellStyle name="Normal 297" xfId="1538"/>
    <cellStyle name="Normal 298" xfId="1539"/>
    <cellStyle name="Normal 299" xfId="1540"/>
    <cellStyle name="Normal 3" xfId="1541"/>
    <cellStyle name="Normal 3 10" xfId="1542"/>
    <cellStyle name="Normal 3 11" xfId="1543"/>
    <cellStyle name="Normal 3 12" xfId="1544"/>
    <cellStyle name="Normal 3 13" xfId="1545"/>
    <cellStyle name="Normal 3 14" xfId="1546"/>
    <cellStyle name="Normal 3 15" xfId="1547"/>
    <cellStyle name="Normal 3 16" xfId="1548"/>
    <cellStyle name="Normal 3 17" xfId="1549"/>
    <cellStyle name="Normal 3 18" xfId="1550"/>
    <cellStyle name="Normal 3 2" xfId="1551"/>
    <cellStyle name="Normal 3 2 2" xfId="1552"/>
    <cellStyle name="Normal 3 3" xfId="1553"/>
    <cellStyle name="Normal 3 3 2" xfId="1554"/>
    <cellStyle name="Normal 3 3_ACT FPHU NR" xfId="1555"/>
    <cellStyle name="Normal 3 4" xfId="1556"/>
    <cellStyle name="Normal 3 4 10" xfId="1557"/>
    <cellStyle name="Normal 3 4 11" xfId="1558"/>
    <cellStyle name="Normal 3 4 12" xfId="1559"/>
    <cellStyle name="Normal 3 4 2" xfId="1560"/>
    <cellStyle name="Normal 3 4 2 2" xfId="1561"/>
    <cellStyle name="Normal 3 4 2 2 2" xfId="1562"/>
    <cellStyle name="Normal 3 4 2 2 3" xfId="1563"/>
    <cellStyle name="Normal 3 4 2 3" xfId="1564"/>
    <cellStyle name="Normal 3 4 3" xfId="1565"/>
    <cellStyle name="Normal 3 4 4" xfId="1566"/>
    <cellStyle name="Normal 3 4 5" xfId="1567"/>
    <cellStyle name="Normal 3 4 6" xfId="1568"/>
    <cellStyle name="Normal 3 4 7" xfId="1569"/>
    <cellStyle name="Normal 3 4 8" xfId="1570"/>
    <cellStyle name="Normal 3 4 9" xfId="1571"/>
    <cellStyle name="Normal 3 5" xfId="1572"/>
    <cellStyle name="Normal 3 6" xfId="1573"/>
    <cellStyle name="Normal 3 7" xfId="1574"/>
    <cellStyle name="Normal 3 8" xfId="1575"/>
    <cellStyle name="Normal 3 9" xfId="1576"/>
    <cellStyle name="Normal 3_ACT BNDE NR" xfId="1577"/>
    <cellStyle name="Normal 30" xfId="1578"/>
    <cellStyle name="Normal 30 2" xfId="1579"/>
    <cellStyle name="Normal 300" xfId="1580"/>
    <cellStyle name="Normal 301" xfId="1581"/>
    <cellStyle name="Normal 302" xfId="1582"/>
    <cellStyle name="Normal 303" xfId="1583"/>
    <cellStyle name="Normal 304" xfId="1584"/>
    <cellStyle name="Normal 305" xfId="1585"/>
    <cellStyle name="Normal 306" xfId="1586"/>
    <cellStyle name="Normal 307" xfId="1587"/>
    <cellStyle name="Normal 308" xfId="1588"/>
    <cellStyle name="Normal 309" xfId="1589"/>
    <cellStyle name="Normal 31" xfId="1590"/>
    <cellStyle name="Normal 310" xfId="1591"/>
    <cellStyle name="Normal 311" xfId="1592"/>
    <cellStyle name="Normal 312" xfId="1593"/>
    <cellStyle name="Normal 313" xfId="1594"/>
    <cellStyle name="Normal 314" xfId="1595"/>
    <cellStyle name="Normal 315" xfId="1596"/>
    <cellStyle name="Normal 316" xfId="1597"/>
    <cellStyle name="Normal 317" xfId="1598"/>
    <cellStyle name="Normal 318" xfId="1599"/>
    <cellStyle name="Normal 319" xfId="1600"/>
    <cellStyle name="Normal 32" xfId="1601"/>
    <cellStyle name="Normal 32 2" xfId="1602"/>
    <cellStyle name="Normal 32 2 2" xfId="1603"/>
    <cellStyle name="Normal 32 2 2 2" xfId="1604"/>
    <cellStyle name="Normal 32 2 2 3" xfId="1605"/>
    <cellStyle name="Normal 32 2 3" xfId="1606"/>
    <cellStyle name="Normal 32 3" xfId="1607"/>
    <cellStyle name="Normal 32 4" xfId="1608"/>
    <cellStyle name="Normal 32 5" xfId="1609"/>
    <cellStyle name="Normal 32 6" xfId="1610"/>
    <cellStyle name="Normal 320" xfId="1611"/>
    <cellStyle name="Normal 321" xfId="1612"/>
    <cellStyle name="Normal 322" xfId="1613"/>
    <cellStyle name="Normal 323" xfId="1614"/>
    <cellStyle name="Normal 324" xfId="1615"/>
    <cellStyle name="Normal 325" xfId="1616"/>
    <cellStyle name="Normal 326" xfId="1617"/>
    <cellStyle name="Normal 327" xfId="1618"/>
    <cellStyle name="Normal 328" xfId="1619"/>
    <cellStyle name="Normal 329" xfId="1620"/>
    <cellStyle name="Normal 33" xfId="1621"/>
    <cellStyle name="Normal 33 2" xfId="1622"/>
    <cellStyle name="Normal 33 2 2" xfId="1623"/>
    <cellStyle name="Normal 33 2 3" xfId="1624"/>
    <cellStyle name="Normal 33 3" xfId="1625"/>
    <cellStyle name="Normal 33 3 2" xfId="1626"/>
    <cellStyle name="Normal 33 3 3" xfId="1627"/>
    <cellStyle name="Normal 33 4" xfId="1628"/>
    <cellStyle name="Normal 33 4 2" xfId="1629"/>
    <cellStyle name="Normal 33 4 3" xfId="1630"/>
    <cellStyle name="Normal 330" xfId="1631"/>
    <cellStyle name="Normal 331" xfId="1632"/>
    <cellStyle name="Normal 332" xfId="1633"/>
    <cellStyle name="Normal 333" xfId="1634"/>
    <cellStyle name="Normal 334" xfId="1635"/>
    <cellStyle name="Normal 335" xfId="1636"/>
    <cellStyle name="Normal 336" xfId="1637"/>
    <cellStyle name="Normal 337" xfId="1638"/>
    <cellStyle name="Normal 338" xfId="1639"/>
    <cellStyle name="Normal 339" xfId="1640"/>
    <cellStyle name="Normal 34" xfId="1641"/>
    <cellStyle name="Normal 34 2" xfId="1642"/>
    <cellStyle name="Normal 34 2 2" xfId="1643"/>
    <cellStyle name="Normal 34 2 2 2" xfId="1644"/>
    <cellStyle name="Normal 34 2 2 3" xfId="1645"/>
    <cellStyle name="Normal 34 2 3" xfId="1646"/>
    <cellStyle name="Normal 34 3" xfId="1647"/>
    <cellStyle name="Normal 34 3 2" xfId="1648"/>
    <cellStyle name="Normal 34 3 3" xfId="1649"/>
    <cellStyle name="Normal 34 4" xfId="1650"/>
    <cellStyle name="Normal 34 4 2" xfId="1651"/>
    <cellStyle name="Normal 34 4 3" xfId="1652"/>
    <cellStyle name="Normal 34 5" xfId="1653"/>
    <cellStyle name="Normal 34 6" xfId="1654"/>
    <cellStyle name="Normal 340" xfId="1655"/>
    <cellStyle name="Normal 341" xfId="1656"/>
    <cellStyle name="Normal 342" xfId="1657"/>
    <cellStyle name="Normal 343" xfId="1658"/>
    <cellStyle name="Normal 344" xfId="1659"/>
    <cellStyle name="Normal 345" xfId="1660"/>
    <cellStyle name="Normal 346" xfId="1661"/>
    <cellStyle name="Normal 347" xfId="1662"/>
    <cellStyle name="Normal 348" xfId="1663"/>
    <cellStyle name="Normal 349" xfId="1664"/>
    <cellStyle name="Normal 35" xfId="1665"/>
    <cellStyle name="Normal 35 2" xfId="1666"/>
    <cellStyle name="Normal 35 2 2" xfId="1667"/>
    <cellStyle name="Normal 35 2 3" xfId="1668"/>
    <cellStyle name="Normal 35 3" xfId="1669"/>
    <cellStyle name="Normal 350" xfId="1670"/>
    <cellStyle name="Normal 351" xfId="1671"/>
    <cellStyle name="Normal 352" xfId="1672"/>
    <cellStyle name="Normal 353" xfId="1673"/>
    <cellStyle name="Normal 354" xfId="1674"/>
    <cellStyle name="Normal 355" xfId="1675"/>
    <cellStyle name="Normal 356" xfId="4340"/>
    <cellStyle name="Normal 357" xfId="4341"/>
    <cellStyle name="Normal 358" xfId="4345"/>
    <cellStyle name="Normal 359" xfId="4346"/>
    <cellStyle name="Normal 36" xfId="1676"/>
    <cellStyle name="Normal 36 2" xfId="1677"/>
    <cellStyle name="Normal 36 2 2" xfId="1678"/>
    <cellStyle name="Normal 36 2 3" xfId="1679"/>
    <cellStyle name="Normal 36 3" xfId="1680"/>
    <cellStyle name="Normal 360" xfId="4347"/>
    <cellStyle name="Normal 361" xfId="1681"/>
    <cellStyle name="Normal 362" xfId="4348"/>
    <cellStyle name="Normal 363" xfId="4349"/>
    <cellStyle name="Normal 364" xfId="4350"/>
    <cellStyle name="Normal 365" xfId="4351"/>
    <cellStyle name="Normal 366" xfId="4352"/>
    <cellStyle name="Normal 367" xfId="4353"/>
    <cellStyle name="Normal 368" xfId="4354"/>
    <cellStyle name="Normal 369" xfId="4355"/>
    <cellStyle name="Normal 37" xfId="1682"/>
    <cellStyle name="Normal 37 2" xfId="1683"/>
    <cellStyle name="Normal 37 2 2" xfId="1684"/>
    <cellStyle name="Normal 37 2 3" xfId="1685"/>
    <cellStyle name="Normal 37 3" xfId="1686"/>
    <cellStyle name="Normal 370" xfId="4356"/>
    <cellStyle name="Normal 371" xfId="4357"/>
    <cellStyle name="Normal 372" xfId="4358"/>
    <cellStyle name="Normal 373" xfId="2"/>
    <cellStyle name="Normal 374" xfId="4359"/>
    <cellStyle name="Normal 38" xfId="1687"/>
    <cellStyle name="Normal 38 2" xfId="1688"/>
    <cellStyle name="Normal 38 2 2" xfId="1689"/>
    <cellStyle name="Normal 38 2 3" xfId="1690"/>
    <cellStyle name="Normal 38 3" xfId="1691"/>
    <cellStyle name="Normal 39" xfId="1692"/>
    <cellStyle name="Normal 39 2" xfId="1693"/>
    <cellStyle name="Normal 39 2 2" xfId="1694"/>
    <cellStyle name="Normal 39 2 3" xfId="1695"/>
    <cellStyle name="Normal 39 3" xfId="1696"/>
    <cellStyle name="Normal 4" xfId="1697"/>
    <cellStyle name="Normal 4 10" xfId="1698"/>
    <cellStyle name="Normal 4 11" xfId="1699"/>
    <cellStyle name="Normal 4 12" xfId="1700"/>
    <cellStyle name="Normal 4 13" xfId="1701"/>
    <cellStyle name="Normal 4 14" xfId="1702"/>
    <cellStyle name="Normal 4 15" xfId="1703"/>
    <cellStyle name="Normal 4 16" xfId="1704"/>
    <cellStyle name="Normal 4 17" xfId="1705"/>
    <cellStyle name="Normal 4 2" xfId="1706"/>
    <cellStyle name="Normal 4 2 2" xfId="1707"/>
    <cellStyle name="Normal 4 2 3" xfId="1708"/>
    <cellStyle name="Normal 4 3" xfId="1709"/>
    <cellStyle name="Normal 4 4" xfId="1710"/>
    <cellStyle name="Normal 4 5" xfId="1711"/>
    <cellStyle name="Normal 4 6" xfId="1712"/>
    <cellStyle name="Normal 4 7" xfId="1713"/>
    <cellStyle name="Normal 4 8" xfId="1714"/>
    <cellStyle name="Normal 4 9" xfId="1715"/>
    <cellStyle name="Normal 4_II_7_2 Liabilities Fcial interm" xfId="1716"/>
    <cellStyle name="Normal 40" xfId="1717"/>
    <cellStyle name="Normal 40 2" xfId="1718"/>
    <cellStyle name="Normal 40 2 2" xfId="1719"/>
    <cellStyle name="Normal 40 2 3" xfId="1720"/>
    <cellStyle name="Normal 40 3" xfId="1721"/>
    <cellStyle name="Normal 41" xfId="1722"/>
    <cellStyle name="Normal 41 2" xfId="1723"/>
    <cellStyle name="Normal 41 2 2" xfId="1724"/>
    <cellStyle name="Normal 41 2 3" xfId="1725"/>
    <cellStyle name="Normal 41 3" xfId="1726"/>
    <cellStyle name="Normal 42" xfId="1727"/>
    <cellStyle name="Normal 42 2" xfId="1728"/>
    <cellStyle name="Normal 43" xfId="1729"/>
    <cellStyle name="Normal 44" xfId="1730"/>
    <cellStyle name="Normal 44 2" xfId="1731"/>
    <cellStyle name="Normal 44 2 2" xfId="1732"/>
    <cellStyle name="Normal 44 2 3" xfId="1733"/>
    <cellStyle name="Normal 44 3" xfId="1734"/>
    <cellStyle name="Normal 45" xfId="1735"/>
    <cellStyle name="Normal 45 2" xfId="1736"/>
    <cellStyle name="Normal 45 2 2" xfId="1737"/>
    <cellStyle name="Normal 45 2 3" xfId="1738"/>
    <cellStyle name="Normal 45 3" xfId="1739"/>
    <cellStyle name="Normal 46" xfId="1740"/>
    <cellStyle name="Normal 46 2" xfId="1741"/>
    <cellStyle name="Normal 46 2 2" xfId="1742"/>
    <cellStyle name="Normal 46 2 3" xfId="1743"/>
    <cellStyle name="Normal 46 3" xfId="1744"/>
    <cellStyle name="Normal 47" xfId="1745"/>
    <cellStyle name="Normal 47 2" xfId="1746"/>
    <cellStyle name="Normal 47 2 2" xfId="1747"/>
    <cellStyle name="Normal 47 2 3" xfId="1748"/>
    <cellStyle name="Normal 47 3" xfId="1749"/>
    <cellStyle name="Normal 48" xfId="1750"/>
    <cellStyle name="Normal 48 2" xfId="1751"/>
    <cellStyle name="Normal 48 2 2" xfId="1752"/>
    <cellStyle name="Normal 48 2 3" xfId="1753"/>
    <cellStyle name="Normal 48 3" xfId="1754"/>
    <cellStyle name="Normal 49" xfId="1755"/>
    <cellStyle name="Normal 49 2" xfId="1756"/>
    <cellStyle name="Normal 49 2 2" xfId="1757"/>
    <cellStyle name="Normal 49 2 3" xfId="1758"/>
    <cellStyle name="Normal 49 3" xfId="1759"/>
    <cellStyle name="Normal 5" xfId="1760"/>
    <cellStyle name="Normal 5 10" xfId="1761"/>
    <cellStyle name="Normal 5 11" xfId="1762"/>
    <cellStyle name="Normal 5 12" xfId="1763"/>
    <cellStyle name="Normal 5 13" xfId="1764"/>
    <cellStyle name="Normal 5 14" xfId="1765"/>
    <cellStyle name="Normal 5 15" xfId="1766"/>
    <cellStyle name="Normal 5 16" xfId="1767"/>
    <cellStyle name="Normal 5 16 10" xfId="1768"/>
    <cellStyle name="Normal 5 16 10 2" xfId="1769"/>
    <cellStyle name="Normal 5 16 11" xfId="1770"/>
    <cellStyle name="Normal 5 16 12" xfId="1771"/>
    <cellStyle name="Normal 5 16 2" xfId="1772"/>
    <cellStyle name="Normal 5 16 2 10" xfId="1773"/>
    <cellStyle name="Normal 5 16 2 2" xfId="1774"/>
    <cellStyle name="Normal 5 16 2 2 2" xfId="1775"/>
    <cellStyle name="Normal 5 16 2 2 2 2" xfId="1776"/>
    <cellStyle name="Normal 5 16 2 2 2 2 2" xfId="1777"/>
    <cellStyle name="Normal 5 16 2 2 2 2_II_7_2 Liabilities Fcial interm" xfId="1778"/>
    <cellStyle name="Normal 5 16 2 2 2 3" xfId="1779"/>
    <cellStyle name="Normal 5 16 2 2 2 4" xfId="1780"/>
    <cellStyle name="Normal 5 16 2 2 2 5" xfId="1781"/>
    <cellStyle name="Normal 5 16 2 2 2_II_7_2 Liabilities Fcial interm" xfId="1782"/>
    <cellStyle name="Normal 5 16 2 2 3" xfId="1783"/>
    <cellStyle name="Normal 5 16 2 2 3 2" xfId="1784"/>
    <cellStyle name="Normal 5 16 2 2 3 3" xfId="1785"/>
    <cellStyle name="Normal 5 16 2 2 3 4" xfId="1786"/>
    <cellStyle name="Normal 5 16 2 2 3_II_7_2 Liabilities Fcial interm" xfId="1787"/>
    <cellStyle name="Normal 5 16 2 2 4" xfId="1788"/>
    <cellStyle name="Normal 5 16 2 2 4 2" xfId="1789"/>
    <cellStyle name="Normal 5 16 2 2 4 3" xfId="1790"/>
    <cellStyle name="Normal 5 16 2 2 4 4" xfId="1791"/>
    <cellStyle name="Normal 5 16 2 2 4_II_7_2 Liabilities Fcial interm" xfId="1792"/>
    <cellStyle name="Normal 5 16 2 2 5" xfId="1793"/>
    <cellStyle name="Normal 5 16 2 2 5 2" xfId="1794"/>
    <cellStyle name="Normal 5 16 2 2 5 3" xfId="1795"/>
    <cellStyle name="Normal 5 16 2 2 5 4" xfId="1796"/>
    <cellStyle name="Normal 5 16 2 2 5_II_7_2 Liabilities Fcial interm" xfId="1797"/>
    <cellStyle name="Normal 5 16 2 2 6" xfId="1798"/>
    <cellStyle name="Normal 5 16 2 2 6 2" xfId="1799"/>
    <cellStyle name="Normal 5 16 2 2 6 3" xfId="1800"/>
    <cellStyle name="Normal 5 16 2 2 6_II_7_2 Liabilities Fcial interm" xfId="1801"/>
    <cellStyle name="Normal 5 16 2 2 7" xfId="1802"/>
    <cellStyle name="Normal 5 16 2 2 7 2" xfId="1803"/>
    <cellStyle name="Normal 5 16 2 2 8" xfId="1804"/>
    <cellStyle name="Normal 5 16 2 2_II_7_2 Liabilities Fcial interm" xfId="1805"/>
    <cellStyle name="Normal 5 16 2 3" xfId="1806"/>
    <cellStyle name="Normal 5 16 2 3 2" xfId="1807"/>
    <cellStyle name="Normal 5 16 2 3 2 2" xfId="1808"/>
    <cellStyle name="Normal 5 16 2 3 2 3" xfId="1809"/>
    <cellStyle name="Normal 5 16 2 3 2 4" xfId="1810"/>
    <cellStyle name="Normal 5 16 2 3 2_II_7_2 Liabilities Fcial interm" xfId="1811"/>
    <cellStyle name="Normal 5 16 2 3 3" xfId="1812"/>
    <cellStyle name="Normal 5 16 2 3 3 2" xfId="1813"/>
    <cellStyle name="Normal 5 16 2 3 3 3" xfId="1814"/>
    <cellStyle name="Normal 5 16 2 3 3 4" xfId="1815"/>
    <cellStyle name="Normal 5 16 2 3 3_II_7_2 Liabilities Fcial interm" xfId="1816"/>
    <cellStyle name="Normal 5 16 2 3 4" xfId="1817"/>
    <cellStyle name="Normal 5 16 2 3 4 2" xfId="1818"/>
    <cellStyle name="Normal 5 16 2 3 4 3" xfId="1819"/>
    <cellStyle name="Normal 5 16 2 3 4 4" xfId="1820"/>
    <cellStyle name="Normal 5 16 2 3 4_II_7_2 Liabilities Fcial interm" xfId="1821"/>
    <cellStyle name="Normal 5 16 2 3 5" xfId="1822"/>
    <cellStyle name="Normal 5 16 2 3 5 2" xfId="1823"/>
    <cellStyle name="Normal 5 16 2 3 5 3" xfId="1824"/>
    <cellStyle name="Normal 5 16 2 3 5_II_7_2 Liabilities Fcial interm" xfId="1825"/>
    <cellStyle name="Normal 5 16 2 3 6" xfId="1826"/>
    <cellStyle name="Normal 5 16 2 3 6 2" xfId="1827"/>
    <cellStyle name="Normal 5 16 2 3 7" xfId="1828"/>
    <cellStyle name="Normal 5 16 2 3_II_7_2 Liabilities Fcial interm" xfId="1829"/>
    <cellStyle name="Normal 5 16 2 4" xfId="1830"/>
    <cellStyle name="Normal 5 16 2 4 2" xfId="1831"/>
    <cellStyle name="Normal 5 16 2 4 2 2" xfId="1832"/>
    <cellStyle name="Normal 5 16 2 4 2 3" xfId="1833"/>
    <cellStyle name="Normal 5 16 2 4 2_II_7_2 Liabilities Fcial interm" xfId="1834"/>
    <cellStyle name="Normal 5 16 2 4 3" xfId="1835"/>
    <cellStyle name="Normal 5 16 2 4 3 2" xfId="1836"/>
    <cellStyle name="Normal 5 16 2 4 4" xfId="1837"/>
    <cellStyle name="Normal 5 16 2 4_II_7_2 Liabilities Fcial interm" xfId="1838"/>
    <cellStyle name="Normal 5 16 2 5" xfId="1839"/>
    <cellStyle name="Normal 5 16 2 5 2" xfId="1840"/>
    <cellStyle name="Normal 5 16 2 5 2 2" xfId="1841"/>
    <cellStyle name="Normal 5 16 2 5 2_II_7_2 Liabilities Fcial interm" xfId="1842"/>
    <cellStyle name="Normal 5 16 2 5 3" xfId="1843"/>
    <cellStyle name="Normal 5 16 2 5 4" xfId="1844"/>
    <cellStyle name="Normal 5 16 2 5_II_7_2 Liabilities Fcial interm" xfId="1845"/>
    <cellStyle name="Normal 5 16 2 6" xfId="1846"/>
    <cellStyle name="Normal 5 16 2 6 2" xfId="1847"/>
    <cellStyle name="Normal 5 16 2 6 3" xfId="1848"/>
    <cellStyle name="Normal 5 16 2 6 4" xfId="1849"/>
    <cellStyle name="Normal 5 16 2 6_II_7_2 Liabilities Fcial interm" xfId="1850"/>
    <cellStyle name="Normal 5 16 2 7" xfId="1851"/>
    <cellStyle name="Normal 5 16 2 7 2" xfId="1852"/>
    <cellStyle name="Normal 5 16 2 7 3" xfId="1853"/>
    <cellStyle name="Normal 5 16 2 7_II_7_2 Liabilities Fcial interm" xfId="1854"/>
    <cellStyle name="Normal 5 16 2 8" xfId="1855"/>
    <cellStyle name="Normal 5 16 2 8 2" xfId="1856"/>
    <cellStyle name="Normal 5 16 2 9" xfId="1857"/>
    <cellStyle name="Normal 5 16 2_II_7_2 Liabilities Fcial interm" xfId="1858"/>
    <cellStyle name="Normal 5 16 3" xfId="1859"/>
    <cellStyle name="Normal 5 16 3 2" xfId="1860"/>
    <cellStyle name="Normal 5 16 3 2 2" xfId="1861"/>
    <cellStyle name="Normal 5 16 3 2 2 2" xfId="1862"/>
    <cellStyle name="Normal 5 16 3 2 2_II_7_2 Liabilities Fcial interm" xfId="1863"/>
    <cellStyle name="Normal 5 16 3 2 3" xfId="1864"/>
    <cellStyle name="Normal 5 16 3 2 4" xfId="1865"/>
    <cellStyle name="Normal 5 16 3 2 5" xfId="1866"/>
    <cellStyle name="Normal 5 16 3 2_II_7_2 Liabilities Fcial interm" xfId="1867"/>
    <cellStyle name="Normal 5 16 3 3" xfId="1868"/>
    <cellStyle name="Normal 5 16 3 3 2" xfId="1869"/>
    <cellStyle name="Normal 5 16 3 3 3" xfId="1870"/>
    <cellStyle name="Normal 5 16 3 3 4" xfId="1871"/>
    <cellStyle name="Normal 5 16 3 3_II_7_2 Liabilities Fcial interm" xfId="1872"/>
    <cellStyle name="Normal 5 16 3 4" xfId="1873"/>
    <cellStyle name="Normal 5 16 3 4 2" xfId="1874"/>
    <cellStyle name="Normal 5 16 3 4 3" xfId="1875"/>
    <cellStyle name="Normal 5 16 3 4 4" xfId="1876"/>
    <cellStyle name="Normal 5 16 3 4_II_7_2 Liabilities Fcial interm" xfId="1877"/>
    <cellStyle name="Normal 5 16 3 5" xfId="1878"/>
    <cellStyle name="Normal 5 16 3 5 2" xfId="1879"/>
    <cellStyle name="Normal 5 16 3 5 3" xfId="1880"/>
    <cellStyle name="Normal 5 16 3 5 4" xfId="1881"/>
    <cellStyle name="Normal 5 16 3 5_II_7_2 Liabilities Fcial interm" xfId="1882"/>
    <cellStyle name="Normal 5 16 3 6" xfId="1883"/>
    <cellStyle name="Normal 5 16 3 6 2" xfId="1884"/>
    <cellStyle name="Normal 5 16 3 6 3" xfId="1885"/>
    <cellStyle name="Normal 5 16 3 6 4" xfId="1886"/>
    <cellStyle name="Normal 5 16 3 6_II_7_2 Liabilities Fcial interm" xfId="1887"/>
    <cellStyle name="Normal 5 16 3 7" xfId="1888"/>
    <cellStyle name="Normal 5 16 3 7 2" xfId="1889"/>
    <cellStyle name="Normal 5 16 3 7 3" xfId="1890"/>
    <cellStyle name="Normal 5 16 3 7_II_7_2 Liabilities Fcial interm" xfId="1891"/>
    <cellStyle name="Normal 5 16 3 8" xfId="1892"/>
    <cellStyle name="Normal 5 16 3 8 2" xfId="1893"/>
    <cellStyle name="Normal 5 16 3 9" xfId="1894"/>
    <cellStyle name="Normal 5 16 3_II_7_2 Liabilities Fcial interm" xfId="1895"/>
    <cellStyle name="Normal 5 16 4" xfId="1896"/>
    <cellStyle name="Normal 5 16 4 2" xfId="1897"/>
    <cellStyle name="Normal 5 16 4 2 2" xfId="1898"/>
    <cellStyle name="Normal 5 16 4 2 2 2" xfId="1899"/>
    <cellStyle name="Normal 5 16 4 2 2_II_7_2 Liabilities Fcial interm" xfId="1900"/>
    <cellStyle name="Normal 5 16 4 2 3" xfId="1901"/>
    <cellStyle name="Normal 5 16 4 2 4" xfId="1902"/>
    <cellStyle name="Normal 5 16 4 2 5" xfId="1903"/>
    <cellStyle name="Normal 5 16 4 2_II_7_2 Liabilities Fcial interm" xfId="1904"/>
    <cellStyle name="Normal 5 16 4 3" xfId="1905"/>
    <cellStyle name="Normal 5 16 4 3 2" xfId="1906"/>
    <cellStyle name="Normal 5 16 4 3 3" xfId="1907"/>
    <cellStyle name="Normal 5 16 4 3 4" xfId="1908"/>
    <cellStyle name="Normal 5 16 4 3_II_7_2 Liabilities Fcial interm" xfId="1909"/>
    <cellStyle name="Normal 5 16 4 4" xfId="1910"/>
    <cellStyle name="Normal 5 16 4 4 2" xfId="1911"/>
    <cellStyle name="Normal 5 16 4 4 3" xfId="1912"/>
    <cellStyle name="Normal 5 16 4 4 4" xfId="1913"/>
    <cellStyle name="Normal 5 16 4 4_II_7_2 Liabilities Fcial interm" xfId="1914"/>
    <cellStyle name="Normal 5 16 4 5" xfId="1915"/>
    <cellStyle name="Normal 5 16 4 5 2" xfId="1916"/>
    <cellStyle name="Normal 5 16 4 5 3" xfId="1917"/>
    <cellStyle name="Normal 5 16 4 5_II_7_2 Liabilities Fcial interm" xfId="1918"/>
    <cellStyle name="Normal 5 16 4 6" xfId="1919"/>
    <cellStyle name="Normal 5 16 4 6 2" xfId="1920"/>
    <cellStyle name="Normal 5 16 4 7" xfId="1921"/>
    <cellStyle name="Normal 5 16 4_II_7_2 Liabilities Fcial interm" xfId="1922"/>
    <cellStyle name="Normal 5 16 5" xfId="1923"/>
    <cellStyle name="Normal 5 16 5 2" xfId="1924"/>
    <cellStyle name="Normal 5 16 5 2 2" xfId="1925"/>
    <cellStyle name="Normal 5 16 5 2 3" xfId="1926"/>
    <cellStyle name="Normal 5 16 5 2_II_7_2 Liabilities Fcial interm" xfId="1927"/>
    <cellStyle name="Normal 5 16 5 3" xfId="1928"/>
    <cellStyle name="Normal 5 16 5 3 2" xfId="1929"/>
    <cellStyle name="Normal 5 16 5 3_II_7_2 Liabilities Fcial interm" xfId="1930"/>
    <cellStyle name="Normal 5 16 5 4" xfId="1931"/>
    <cellStyle name="Normal 5 16 5 5" xfId="1932"/>
    <cellStyle name="Normal 5 16 5_II_7_2 Liabilities Fcial interm" xfId="1933"/>
    <cellStyle name="Normal 5 16 6" xfId="1934"/>
    <cellStyle name="Normal 5 16 6 2" xfId="1935"/>
    <cellStyle name="Normal 5 16 6 2 2" xfId="1936"/>
    <cellStyle name="Normal 5 16 6 2_II_7_2 Liabilities Fcial interm" xfId="1937"/>
    <cellStyle name="Normal 5 16 6 3" xfId="1938"/>
    <cellStyle name="Normal 5 16 6 4" xfId="1939"/>
    <cellStyle name="Normal 5 16 6_II_7_2 Liabilities Fcial interm" xfId="1940"/>
    <cellStyle name="Normal 5 16 7" xfId="1941"/>
    <cellStyle name="Normal 5 16 7 2" xfId="1942"/>
    <cellStyle name="Normal 5 16 7 3" xfId="1943"/>
    <cellStyle name="Normal 5 16 7 4" xfId="1944"/>
    <cellStyle name="Normal 5 16 7_II_7_2 Liabilities Fcial interm" xfId="1945"/>
    <cellStyle name="Normal 5 16 8" xfId="1946"/>
    <cellStyle name="Normal 5 16 8 2" xfId="1947"/>
    <cellStyle name="Normal 5 16 8 3" xfId="1948"/>
    <cellStyle name="Normal 5 16 8 4" xfId="1949"/>
    <cellStyle name="Normal 5 16 8_II_7_2 Liabilities Fcial interm" xfId="1950"/>
    <cellStyle name="Normal 5 16 9" xfId="1951"/>
    <cellStyle name="Normal 5 16 9 2" xfId="1952"/>
    <cellStyle name="Normal 5 16 9 3" xfId="1953"/>
    <cellStyle name="Normal 5 16 9_II_7_2 Liabilities Fcial interm" xfId="1954"/>
    <cellStyle name="Normal 5 16_II_7_2 Liabilities Fcial interm" xfId="1955"/>
    <cellStyle name="Normal 5 2" xfId="1956"/>
    <cellStyle name="Normal 5 2 2" xfId="1957"/>
    <cellStyle name="Normal 5 2 2 2" xfId="1958"/>
    <cellStyle name="Normal 5 2 2 2 10" xfId="1959"/>
    <cellStyle name="Normal 5 2 2 2 10 2" xfId="1960"/>
    <cellStyle name="Normal 5 2 2 2 11" xfId="1961"/>
    <cellStyle name="Normal 5 2 2 2 12" xfId="1962"/>
    <cellStyle name="Normal 5 2 2 2 2" xfId="1963"/>
    <cellStyle name="Normal 5 2 2 2 2 10" xfId="1964"/>
    <cellStyle name="Normal 5 2 2 2 2 2" xfId="1965"/>
    <cellStyle name="Normal 5 2 2 2 2 2 2" xfId="1966"/>
    <cellStyle name="Normal 5 2 2 2 2 2 2 2" xfId="1967"/>
    <cellStyle name="Normal 5 2 2 2 2 2 2 2 2" xfId="1968"/>
    <cellStyle name="Normal 5 2 2 2 2 2 2 2_II_7_2 Liabilities Fcial interm" xfId="1969"/>
    <cellStyle name="Normal 5 2 2 2 2 2 2 3" xfId="1970"/>
    <cellStyle name="Normal 5 2 2 2 2 2 2 4" xfId="1971"/>
    <cellStyle name="Normal 5 2 2 2 2 2 2 5" xfId="1972"/>
    <cellStyle name="Normal 5 2 2 2 2 2 2_II_7_2 Liabilities Fcial interm" xfId="1973"/>
    <cellStyle name="Normal 5 2 2 2 2 2 3" xfId="1974"/>
    <cellStyle name="Normal 5 2 2 2 2 2 3 2" xfId="1975"/>
    <cellStyle name="Normal 5 2 2 2 2 2 3 3" xfId="1976"/>
    <cellStyle name="Normal 5 2 2 2 2 2 3 4" xfId="1977"/>
    <cellStyle name="Normal 5 2 2 2 2 2 3_II_7_2 Liabilities Fcial interm" xfId="1978"/>
    <cellStyle name="Normal 5 2 2 2 2 2 4" xfId="1979"/>
    <cellStyle name="Normal 5 2 2 2 2 2 4 2" xfId="1980"/>
    <cellStyle name="Normal 5 2 2 2 2 2 4 3" xfId="1981"/>
    <cellStyle name="Normal 5 2 2 2 2 2 4 4" xfId="1982"/>
    <cellStyle name="Normal 5 2 2 2 2 2 4_II_7_2 Liabilities Fcial interm" xfId="1983"/>
    <cellStyle name="Normal 5 2 2 2 2 2 5" xfId="1984"/>
    <cellStyle name="Normal 5 2 2 2 2 2 5 2" xfId="1985"/>
    <cellStyle name="Normal 5 2 2 2 2 2 5 3" xfId="1986"/>
    <cellStyle name="Normal 5 2 2 2 2 2 5 4" xfId="1987"/>
    <cellStyle name="Normal 5 2 2 2 2 2 5_II_7_2 Liabilities Fcial interm" xfId="1988"/>
    <cellStyle name="Normal 5 2 2 2 2 2 6" xfId="1989"/>
    <cellStyle name="Normal 5 2 2 2 2 2 6 2" xfId="1990"/>
    <cellStyle name="Normal 5 2 2 2 2 2 6 3" xfId="1991"/>
    <cellStyle name="Normal 5 2 2 2 2 2 6_II_7_2 Liabilities Fcial interm" xfId="1992"/>
    <cellStyle name="Normal 5 2 2 2 2 2 7" xfId="1993"/>
    <cellStyle name="Normal 5 2 2 2 2 2 7 2" xfId="1994"/>
    <cellStyle name="Normal 5 2 2 2 2 2 8" xfId="1995"/>
    <cellStyle name="Normal 5 2 2 2 2 2_II_7_2 Liabilities Fcial interm" xfId="1996"/>
    <cellStyle name="Normal 5 2 2 2 2 3" xfId="1997"/>
    <cellStyle name="Normal 5 2 2 2 2 3 2" xfId="1998"/>
    <cellStyle name="Normal 5 2 2 2 2 3 2 2" xfId="1999"/>
    <cellStyle name="Normal 5 2 2 2 2 3 2 3" xfId="2000"/>
    <cellStyle name="Normal 5 2 2 2 2 3 2 4" xfId="2001"/>
    <cellStyle name="Normal 5 2 2 2 2 3 2_II_7_2 Liabilities Fcial interm" xfId="2002"/>
    <cellStyle name="Normal 5 2 2 2 2 3 3" xfId="2003"/>
    <cellStyle name="Normal 5 2 2 2 2 3 3 2" xfId="2004"/>
    <cellStyle name="Normal 5 2 2 2 2 3 3 3" xfId="2005"/>
    <cellStyle name="Normal 5 2 2 2 2 3 3 4" xfId="2006"/>
    <cellStyle name="Normal 5 2 2 2 2 3 3_II_7_2 Liabilities Fcial interm" xfId="2007"/>
    <cellStyle name="Normal 5 2 2 2 2 3 4" xfId="2008"/>
    <cellStyle name="Normal 5 2 2 2 2 3 4 2" xfId="2009"/>
    <cellStyle name="Normal 5 2 2 2 2 3 4 3" xfId="2010"/>
    <cellStyle name="Normal 5 2 2 2 2 3 4 4" xfId="2011"/>
    <cellStyle name="Normal 5 2 2 2 2 3 4_II_7_2 Liabilities Fcial interm" xfId="2012"/>
    <cellStyle name="Normal 5 2 2 2 2 3 5" xfId="2013"/>
    <cellStyle name="Normal 5 2 2 2 2 3 5 2" xfId="2014"/>
    <cellStyle name="Normal 5 2 2 2 2 3 5 3" xfId="2015"/>
    <cellStyle name="Normal 5 2 2 2 2 3 5_II_7_2 Liabilities Fcial interm" xfId="2016"/>
    <cellStyle name="Normal 5 2 2 2 2 3 6" xfId="2017"/>
    <cellStyle name="Normal 5 2 2 2 2 3 6 2" xfId="2018"/>
    <cellStyle name="Normal 5 2 2 2 2 3 7" xfId="2019"/>
    <cellStyle name="Normal 5 2 2 2 2 3_II_7_2 Liabilities Fcial interm" xfId="2020"/>
    <cellStyle name="Normal 5 2 2 2 2 4" xfId="2021"/>
    <cellStyle name="Normal 5 2 2 2 2 4 2" xfId="2022"/>
    <cellStyle name="Normal 5 2 2 2 2 4 2 2" xfId="2023"/>
    <cellStyle name="Normal 5 2 2 2 2 4 2 3" xfId="2024"/>
    <cellStyle name="Normal 5 2 2 2 2 4 2_II_7_2 Liabilities Fcial interm" xfId="2025"/>
    <cellStyle name="Normal 5 2 2 2 2 4 3" xfId="2026"/>
    <cellStyle name="Normal 5 2 2 2 2 4 3 2" xfId="2027"/>
    <cellStyle name="Normal 5 2 2 2 2 4 4" xfId="2028"/>
    <cellStyle name="Normal 5 2 2 2 2 4_II_7_2 Liabilities Fcial interm" xfId="2029"/>
    <cellStyle name="Normal 5 2 2 2 2 5" xfId="2030"/>
    <cellStyle name="Normal 5 2 2 2 2 5 2" xfId="2031"/>
    <cellStyle name="Normal 5 2 2 2 2 5 2 2" xfId="2032"/>
    <cellStyle name="Normal 5 2 2 2 2 5 2_II_7_2 Liabilities Fcial interm" xfId="2033"/>
    <cellStyle name="Normal 5 2 2 2 2 5 3" xfId="2034"/>
    <cellStyle name="Normal 5 2 2 2 2 5 4" xfId="2035"/>
    <cellStyle name="Normal 5 2 2 2 2 5_II_7_2 Liabilities Fcial interm" xfId="2036"/>
    <cellStyle name="Normal 5 2 2 2 2 6" xfId="2037"/>
    <cellStyle name="Normal 5 2 2 2 2 6 2" xfId="2038"/>
    <cellStyle name="Normal 5 2 2 2 2 6 3" xfId="2039"/>
    <cellStyle name="Normal 5 2 2 2 2 6 4" xfId="2040"/>
    <cellStyle name="Normal 5 2 2 2 2 6_II_7_2 Liabilities Fcial interm" xfId="2041"/>
    <cellStyle name="Normal 5 2 2 2 2 7" xfId="2042"/>
    <cellStyle name="Normal 5 2 2 2 2 7 2" xfId="2043"/>
    <cellStyle name="Normal 5 2 2 2 2 7 3" xfId="2044"/>
    <cellStyle name="Normal 5 2 2 2 2 7_II_7_2 Liabilities Fcial interm" xfId="2045"/>
    <cellStyle name="Normal 5 2 2 2 2 8" xfId="2046"/>
    <cellStyle name="Normal 5 2 2 2 2 8 2" xfId="2047"/>
    <cellStyle name="Normal 5 2 2 2 2 9" xfId="2048"/>
    <cellStyle name="Normal 5 2 2 2 2_II_7_2 Liabilities Fcial interm" xfId="2049"/>
    <cellStyle name="Normal 5 2 2 2 3" xfId="2050"/>
    <cellStyle name="Normal 5 2 2 2 3 2" xfId="2051"/>
    <cellStyle name="Normal 5 2 2 2 3 2 2" xfId="2052"/>
    <cellStyle name="Normal 5 2 2 2 3 2 2 2" xfId="2053"/>
    <cellStyle name="Normal 5 2 2 2 3 2 2_II_7_2 Liabilities Fcial interm" xfId="2054"/>
    <cellStyle name="Normal 5 2 2 2 3 2 3" xfId="2055"/>
    <cellStyle name="Normal 5 2 2 2 3 2 4" xfId="2056"/>
    <cellStyle name="Normal 5 2 2 2 3 2 5" xfId="2057"/>
    <cellStyle name="Normal 5 2 2 2 3 2_II_7_2 Liabilities Fcial interm" xfId="2058"/>
    <cellStyle name="Normal 5 2 2 2 3 3" xfId="2059"/>
    <cellStyle name="Normal 5 2 2 2 3 3 2" xfId="2060"/>
    <cellStyle name="Normal 5 2 2 2 3 3 3" xfId="2061"/>
    <cellStyle name="Normal 5 2 2 2 3 3 4" xfId="2062"/>
    <cellStyle name="Normal 5 2 2 2 3 3_II_7_2 Liabilities Fcial interm" xfId="2063"/>
    <cellStyle name="Normal 5 2 2 2 3 4" xfId="2064"/>
    <cellStyle name="Normal 5 2 2 2 3 4 2" xfId="2065"/>
    <cellStyle name="Normal 5 2 2 2 3 4 3" xfId="2066"/>
    <cellStyle name="Normal 5 2 2 2 3 4 4" xfId="2067"/>
    <cellStyle name="Normal 5 2 2 2 3 4_II_7_2 Liabilities Fcial interm" xfId="2068"/>
    <cellStyle name="Normal 5 2 2 2 3 5" xfId="2069"/>
    <cellStyle name="Normal 5 2 2 2 3 5 2" xfId="2070"/>
    <cellStyle name="Normal 5 2 2 2 3 5 3" xfId="2071"/>
    <cellStyle name="Normal 5 2 2 2 3 5 4" xfId="2072"/>
    <cellStyle name="Normal 5 2 2 2 3 5_II_7_2 Liabilities Fcial interm" xfId="2073"/>
    <cellStyle name="Normal 5 2 2 2 3 6" xfId="2074"/>
    <cellStyle name="Normal 5 2 2 2 3 6 2" xfId="2075"/>
    <cellStyle name="Normal 5 2 2 2 3 6 3" xfId="2076"/>
    <cellStyle name="Normal 5 2 2 2 3 6 4" xfId="2077"/>
    <cellStyle name="Normal 5 2 2 2 3 6_II_7_2 Liabilities Fcial interm" xfId="2078"/>
    <cellStyle name="Normal 5 2 2 2 3 7" xfId="2079"/>
    <cellStyle name="Normal 5 2 2 2 3 7 2" xfId="2080"/>
    <cellStyle name="Normal 5 2 2 2 3 7 3" xfId="2081"/>
    <cellStyle name="Normal 5 2 2 2 3 7_II_7_2 Liabilities Fcial interm" xfId="2082"/>
    <cellStyle name="Normal 5 2 2 2 3 8" xfId="2083"/>
    <cellStyle name="Normal 5 2 2 2 3 8 2" xfId="2084"/>
    <cellStyle name="Normal 5 2 2 2 3 9" xfId="2085"/>
    <cellStyle name="Normal 5 2 2 2 3_II_7_2 Liabilities Fcial interm" xfId="2086"/>
    <cellStyle name="Normal 5 2 2 2 4" xfId="2087"/>
    <cellStyle name="Normal 5 2 2 2 4 2" xfId="2088"/>
    <cellStyle name="Normal 5 2 2 2 4 2 2" xfId="2089"/>
    <cellStyle name="Normal 5 2 2 2 4 2 2 2" xfId="2090"/>
    <cellStyle name="Normal 5 2 2 2 4 2 2_II_7_2 Liabilities Fcial interm" xfId="2091"/>
    <cellStyle name="Normal 5 2 2 2 4 2 3" xfId="2092"/>
    <cellStyle name="Normal 5 2 2 2 4 2 4" xfId="2093"/>
    <cellStyle name="Normal 5 2 2 2 4 2 5" xfId="2094"/>
    <cellStyle name="Normal 5 2 2 2 4 2_II_7_2 Liabilities Fcial interm" xfId="2095"/>
    <cellStyle name="Normal 5 2 2 2 4 3" xfId="2096"/>
    <cellStyle name="Normal 5 2 2 2 4 3 2" xfId="2097"/>
    <cellStyle name="Normal 5 2 2 2 4 3 3" xfId="2098"/>
    <cellStyle name="Normal 5 2 2 2 4 3 4" xfId="2099"/>
    <cellStyle name="Normal 5 2 2 2 4 3_II_7_2 Liabilities Fcial interm" xfId="2100"/>
    <cellStyle name="Normal 5 2 2 2 4 4" xfId="2101"/>
    <cellStyle name="Normal 5 2 2 2 4 4 2" xfId="2102"/>
    <cellStyle name="Normal 5 2 2 2 4 4 3" xfId="2103"/>
    <cellStyle name="Normal 5 2 2 2 4 4 4" xfId="2104"/>
    <cellStyle name="Normal 5 2 2 2 4 4_II_7_2 Liabilities Fcial interm" xfId="2105"/>
    <cellStyle name="Normal 5 2 2 2 4 5" xfId="2106"/>
    <cellStyle name="Normal 5 2 2 2 4 5 2" xfId="2107"/>
    <cellStyle name="Normal 5 2 2 2 4 5 3" xfId="2108"/>
    <cellStyle name="Normal 5 2 2 2 4 5_II_7_2 Liabilities Fcial interm" xfId="2109"/>
    <cellStyle name="Normal 5 2 2 2 4 6" xfId="2110"/>
    <cellStyle name="Normal 5 2 2 2 4 6 2" xfId="2111"/>
    <cellStyle name="Normal 5 2 2 2 4 7" xfId="2112"/>
    <cellStyle name="Normal 5 2 2 2 4_II_7_2 Liabilities Fcial interm" xfId="2113"/>
    <cellStyle name="Normal 5 2 2 2 5" xfId="2114"/>
    <cellStyle name="Normal 5 2 2 2 5 2" xfId="2115"/>
    <cellStyle name="Normal 5 2 2 2 5 2 2" xfId="2116"/>
    <cellStyle name="Normal 5 2 2 2 5 2 3" xfId="2117"/>
    <cellStyle name="Normal 5 2 2 2 5 2_II_7_2 Liabilities Fcial interm" xfId="2118"/>
    <cellStyle name="Normal 5 2 2 2 5 3" xfId="2119"/>
    <cellStyle name="Normal 5 2 2 2 5 3 2" xfId="2120"/>
    <cellStyle name="Normal 5 2 2 2 5 3_II_7_2 Liabilities Fcial interm" xfId="2121"/>
    <cellStyle name="Normal 5 2 2 2 5 4" xfId="2122"/>
    <cellStyle name="Normal 5 2 2 2 5 5" xfId="2123"/>
    <cellStyle name="Normal 5 2 2 2 5_II_7_2 Liabilities Fcial interm" xfId="2124"/>
    <cellStyle name="Normal 5 2 2 2 6" xfId="2125"/>
    <cellStyle name="Normal 5 2 2 2 6 2" xfId="2126"/>
    <cellStyle name="Normal 5 2 2 2 6 2 2" xfId="2127"/>
    <cellStyle name="Normal 5 2 2 2 6 2_II_7_2 Liabilities Fcial interm" xfId="2128"/>
    <cellStyle name="Normal 5 2 2 2 6 3" xfId="2129"/>
    <cellStyle name="Normal 5 2 2 2 6 4" xfId="2130"/>
    <cellStyle name="Normal 5 2 2 2 6_II_7_2 Liabilities Fcial interm" xfId="2131"/>
    <cellStyle name="Normal 5 2 2 2 7" xfId="2132"/>
    <cellStyle name="Normal 5 2 2 2 7 2" xfId="2133"/>
    <cellStyle name="Normal 5 2 2 2 7 3" xfId="2134"/>
    <cellStyle name="Normal 5 2 2 2 7 4" xfId="2135"/>
    <cellStyle name="Normal 5 2 2 2 7_II_7_2 Liabilities Fcial interm" xfId="2136"/>
    <cellStyle name="Normal 5 2 2 2 8" xfId="2137"/>
    <cellStyle name="Normal 5 2 2 2 8 2" xfId="2138"/>
    <cellStyle name="Normal 5 2 2 2 8 3" xfId="2139"/>
    <cellStyle name="Normal 5 2 2 2 8 4" xfId="2140"/>
    <cellStyle name="Normal 5 2 2 2 8_II_7_2 Liabilities Fcial interm" xfId="2141"/>
    <cellStyle name="Normal 5 2 2 2 9" xfId="2142"/>
    <cellStyle name="Normal 5 2 2 2 9 2" xfId="2143"/>
    <cellStyle name="Normal 5 2 2 2 9 3" xfId="2144"/>
    <cellStyle name="Normal 5 2 2 2 9_II_7_2 Liabilities Fcial interm" xfId="2145"/>
    <cellStyle name="Normal 5 2 2 2_II_7_2 Liabilities Fcial interm" xfId="2146"/>
    <cellStyle name="Normal 5 2 2 3" xfId="2147"/>
    <cellStyle name="Normal 5 2 2 3 10" xfId="2148"/>
    <cellStyle name="Normal 5 2 2 3 10 2" xfId="2149"/>
    <cellStyle name="Normal 5 2 2 3 11" xfId="2150"/>
    <cellStyle name="Normal 5 2 2 3 12" xfId="2151"/>
    <cellStyle name="Normal 5 2 2 3 2" xfId="2152"/>
    <cellStyle name="Normal 5 2 2 3 2 10" xfId="2153"/>
    <cellStyle name="Normal 5 2 2 3 2 2" xfId="2154"/>
    <cellStyle name="Normal 5 2 2 3 2 2 2" xfId="2155"/>
    <cellStyle name="Normal 5 2 2 3 2 2 2 2" xfId="2156"/>
    <cellStyle name="Normal 5 2 2 3 2 2 2 2 2" xfId="2157"/>
    <cellStyle name="Normal 5 2 2 3 2 2 2 2_II_7_2 Liabilities Fcial interm" xfId="2158"/>
    <cellStyle name="Normal 5 2 2 3 2 2 2 3" xfId="2159"/>
    <cellStyle name="Normal 5 2 2 3 2 2 2 4" xfId="2160"/>
    <cellStyle name="Normal 5 2 2 3 2 2 2 5" xfId="2161"/>
    <cellStyle name="Normal 5 2 2 3 2 2 2_II_7_2 Liabilities Fcial interm" xfId="2162"/>
    <cellStyle name="Normal 5 2 2 3 2 2 3" xfId="2163"/>
    <cellStyle name="Normal 5 2 2 3 2 2 3 2" xfId="2164"/>
    <cellStyle name="Normal 5 2 2 3 2 2 3 3" xfId="2165"/>
    <cellStyle name="Normal 5 2 2 3 2 2 3 4" xfId="2166"/>
    <cellStyle name="Normal 5 2 2 3 2 2 3_II_7_2 Liabilities Fcial interm" xfId="2167"/>
    <cellStyle name="Normal 5 2 2 3 2 2 4" xfId="2168"/>
    <cellStyle name="Normal 5 2 2 3 2 2 4 2" xfId="2169"/>
    <cellStyle name="Normal 5 2 2 3 2 2 4 3" xfId="2170"/>
    <cellStyle name="Normal 5 2 2 3 2 2 4 4" xfId="2171"/>
    <cellStyle name="Normal 5 2 2 3 2 2 4_II_7_2 Liabilities Fcial interm" xfId="2172"/>
    <cellStyle name="Normal 5 2 2 3 2 2 5" xfId="2173"/>
    <cellStyle name="Normal 5 2 2 3 2 2 5 2" xfId="2174"/>
    <cellStyle name="Normal 5 2 2 3 2 2 5 3" xfId="2175"/>
    <cellStyle name="Normal 5 2 2 3 2 2 5 4" xfId="2176"/>
    <cellStyle name="Normal 5 2 2 3 2 2 5_II_7_2 Liabilities Fcial interm" xfId="2177"/>
    <cellStyle name="Normal 5 2 2 3 2 2 6" xfId="2178"/>
    <cellStyle name="Normal 5 2 2 3 2 2 6 2" xfId="2179"/>
    <cellStyle name="Normal 5 2 2 3 2 2 6 3" xfId="2180"/>
    <cellStyle name="Normal 5 2 2 3 2 2 6_II_7_2 Liabilities Fcial interm" xfId="2181"/>
    <cellStyle name="Normal 5 2 2 3 2 2 7" xfId="2182"/>
    <cellStyle name="Normal 5 2 2 3 2 2 7 2" xfId="2183"/>
    <cellStyle name="Normal 5 2 2 3 2 2 8" xfId="2184"/>
    <cellStyle name="Normal 5 2 2 3 2 2_II_7_2 Liabilities Fcial interm" xfId="2185"/>
    <cellStyle name="Normal 5 2 2 3 2 3" xfId="2186"/>
    <cellStyle name="Normal 5 2 2 3 2 3 2" xfId="2187"/>
    <cellStyle name="Normal 5 2 2 3 2 3 2 2" xfId="2188"/>
    <cellStyle name="Normal 5 2 2 3 2 3 2 3" xfId="2189"/>
    <cellStyle name="Normal 5 2 2 3 2 3 2 4" xfId="2190"/>
    <cellStyle name="Normal 5 2 2 3 2 3 2_II_7_2 Liabilities Fcial interm" xfId="2191"/>
    <cellStyle name="Normal 5 2 2 3 2 3 3" xfId="2192"/>
    <cellStyle name="Normal 5 2 2 3 2 3 3 2" xfId="2193"/>
    <cellStyle name="Normal 5 2 2 3 2 3 3 3" xfId="2194"/>
    <cellStyle name="Normal 5 2 2 3 2 3 3 4" xfId="2195"/>
    <cellStyle name="Normal 5 2 2 3 2 3 3_II_7_2 Liabilities Fcial interm" xfId="2196"/>
    <cellStyle name="Normal 5 2 2 3 2 3 4" xfId="2197"/>
    <cellStyle name="Normal 5 2 2 3 2 3 4 2" xfId="2198"/>
    <cellStyle name="Normal 5 2 2 3 2 3 4 3" xfId="2199"/>
    <cellStyle name="Normal 5 2 2 3 2 3 4 4" xfId="2200"/>
    <cellStyle name="Normal 5 2 2 3 2 3 4_II_7_2 Liabilities Fcial interm" xfId="2201"/>
    <cellStyle name="Normal 5 2 2 3 2 3 5" xfId="2202"/>
    <cellStyle name="Normal 5 2 2 3 2 3 5 2" xfId="2203"/>
    <cellStyle name="Normal 5 2 2 3 2 3 5 3" xfId="2204"/>
    <cellStyle name="Normal 5 2 2 3 2 3 5_II_7_2 Liabilities Fcial interm" xfId="2205"/>
    <cellStyle name="Normal 5 2 2 3 2 3 6" xfId="2206"/>
    <cellStyle name="Normal 5 2 2 3 2 3 6 2" xfId="2207"/>
    <cellStyle name="Normal 5 2 2 3 2 3 7" xfId="2208"/>
    <cellStyle name="Normal 5 2 2 3 2 3_II_7_2 Liabilities Fcial interm" xfId="2209"/>
    <cellStyle name="Normal 5 2 2 3 2 4" xfId="2210"/>
    <cellStyle name="Normal 5 2 2 3 2 4 2" xfId="2211"/>
    <cellStyle name="Normal 5 2 2 3 2 4 2 2" xfId="2212"/>
    <cellStyle name="Normal 5 2 2 3 2 4 2 3" xfId="2213"/>
    <cellStyle name="Normal 5 2 2 3 2 4 2_II_7_2 Liabilities Fcial interm" xfId="2214"/>
    <cellStyle name="Normal 5 2 2 3 2 4 3" xfId="2215"/>
    <cellStyle name="Normal 5 2 2 3 2 4 3 2" xfId="2216"/>
    <cellStyle name="Normal 5 2 2 3 2 4 4" xfId="2217"/>
    <cellStyle name="Normal 5 2 2 3 2 4_II_7_2 Liabilities Fcial interm" xfId="2218"/>
    <cellStyle name="Normal 5 2 2 3 2 5" xfId="2219"/>
    <cellStyle name="Normal 5 2 2 3 2 5 2" xfId="2220"/>
    <cellStyle name="Normal 5 2 2 3 2 5 2 2" xfId="2221"/>
    <cellStyle name="Normal 5 2 2 3 2 5 2_II_7_2 Liabilities Fcial interm" xfId="2222"/>
    <cellStyle name="Normal 5 2 2 3 2 5 3" xfId="2223"/>
    <cellStyle name="Normal 5 2 2 3 2 5 4" xfId="2224"/>
    <cellStyle name="Normal 5 2 2 3 2 5_II_7_2 Liabilities Fcial interm" xfId="2225"/>
    <cellStyle name="Normal 5 2 2 3 2 6" xfId="2226"/>
    <cellStyle name="Normal 5 2 2 3 2 6 2" xfId="2227"/>
    <cellStyle name="Normal 5 2 2 3 2 6 3" xfId="2228"/>
    <cellStyle name="Normal 5 2 2 3 2 6 4" xfId="2229"/>
    <cellStyle name="Normal 5 2 2 3 2 6_II_7_2 Liabilities Fcial interm" xfId="2230"/>
    <cellStyle name="Normal 5 2 2 3 2 7" xfId="2231"/>
    <cellStyle name="Normal 5 2 2 3 2 7 2" xfId="2232"/>
    <cellStyle name="Normal 5 2 2 3 2 7 3" xfId="2233"/>
    <cellStyle name="Normal 5 2 2 3 2 7_II_7_2 Liabilities Fcial interm" xfId="2234"/>
    <cellStyle name="Normal 5 2 2 3 2 8" xfId="2235"/>
    <cellStyle name="Normal 5 2 2 3 2 8 2" xfId="2236"/>
    <cellStyle name="Normal 5 2 2 3 2 9" xfId="2237"/>
    <cellStyle name="Normal 5 2 2 3 2_II_7_2 Liabilities Fcial interm" xfId="2238"/>
    <cellStyle name="Normal 5 2 2 3 3" xfId="2239"/>
    <cellStyle name="Normal 5 2 2 3 3 2" xfId="2240"/>
    <cellStyle name="Normal 5 2 2 3 3 2 2" xfId="2241"/>
    <cellStyle name="Normal 5 2 2 3 3 2 2 2" xfId="2242"/>
    <cellStyle name="Normal 5 2 2 3 3 2 2_II_7_2 Liabilities Fcial interm" xfId="2243"/>
    <cellStyle name="Normal 5 2 2 3 3 2 3" xfId="2244"/>
    <cellStyle name="Normal 5 2 2 3 3 2 4" xfId="2245"/>
    <cellStyle name="Normal 5 2 2 3 3 2 5" xfId="2246"/>
    <cellStyle name="Normal 5 2 2 3 3 2_II_7_2 Liabilities Fcial interm" xfId="2247"/>
    <cellStyle name="Normal 5 2 2 3 3 3" xfId="2248"/>
    <cellStyle name="Normal 5 2 2 3 3 3 2" xfId="2249"/>
    <cellStyle name="Normal 5 2 2 3 3 3 3" xfId="2250"/>
    <cellStyle name="Normal 5 2 2 3 3 3 4" xfId="2251"/>
    <cellStyle name="Normal 5 2 2 3 3 3_II_7_2 Liabilities Fcial interm" xfId="2252"/>
    <cellStyle name="Normal 5 2 2 3 3 4" xfId="2253"/>
    <cellStyle name="Normal 5 2 2 3 3 4 2" xfId="2254"/>
    <cellStyle name="Normal 5 2 2 3 3 4 3" xfId="2255"/>
    <cellStyle name="Normal 5 2 2 3 3 4 4" xfId="2256"/>
    <cellStyle name="Normal 5 2 2 3 3 4_II_7_2 Liabilities Fcial interm" xfId="2257"/>
    <cellStyle name="Normal 5 2 2 3 3 5" xfId="2258"/>
    <cellStyle name="Normal 5 2 2 3 3 5 2" xfId="2259"/>
    <cellStyle name="Normal 5 2 2 3 3 5 3" xfId="2260"/>
    <cellStyle name="Normal 5 2 2 3 3 5 4" xfId="2261"/>
    <cellStyle name="Normal 5 2 2 3 3 5_II_7_2 Liabilities Fcial interm" xfId="2262"/>
    <cellStyle name="Normal 5 2 2 3 3 6" xfId="2263"/>
    <cellStyle name="Normal 5 2 2 3 3 6 2" xfId="2264"/>
    <cellStyle name="Normal 5 2 2 3 3 6 3" xfId="2265"/>
    <cellStyle name="Normal 5 2 2 3 3 6 4" xfId="2266"/>
    <cellStyle name="Normal 5 2 2 3 3 6_II_7_2 Liabilities Fcial interm" xfId="2267"/>
    <cellStyle name="Normal 5 2 2 3 3 7" xfId="2268"/>
    <cellStyle name="Normal 5 2 2 3 3 7 2" xfId="2269"/>
    <cellStyle name="Normal 5 2 2 3 3 7 3" xfId="2270"/>
    <cellStyle name="Normal 5 2 2 3 3 7_II_7_2 Liabilities Fcial interm" xfId="2271"/>
    <cellStyle name="Normal 5 2 2 3 3 8" xfId="2272"/>
    <cellStyle name="Normal 5 2 2 3 3 8 2" xfId="2273"/>
    <cellStyle name="Normal 5 2 2 3 3 9" xfId="2274"/>
    <cellStyle name="Normal 5 2 2 3 3_II_7_2 Liabilities Fcial interm" xfId="2275"/>
    <cellStyle name="Normal 5 2 2 3 4" xfId="2276"/>
    <cellStyle name="Normal 5 2 2 3 4 2" xfId="2277"/>
    <cellStyle name="Normal 5 2 2 3 4 2 2" xfId="2278"/>
    <cellStyle name="Normal 5 2 2 3 4 2 2 2" xfId="2279"/>
    <cellStyle name="Normal 5 2 2 3 4 2 2_II_7_2 Liabilities Fcial interm" xfId="2280"/>
    <cellStyle name="Normal 5 2 2 3 4 2 3" xfId="2281"/>
    <cellStyle name="Normal 5 2 2 3 4 2 4" xfId="2282"/>
    <cellStyle name="Normal 5 2 2 3 4 2 5" xfId="2283"/>
    <cellStyle name="Normal 5 2 2 3 4 2_II_7_2 Liabilities Fcial interm" xfId="2284"/>
    <cellStyle name="Normal 5 2 2 3 4 3" xfId="2285"/>
    <cellStyle name="Normal 5 2 2 3 4 3 2" xfId="2286"/>
    <cellStyle name="Normal 5 2 2 3 4 3 3" xfId="2287"/>
    <cellStyle name="Normal 5 2 2 3 4 3 4" xfId="2288"/>
    <cellStyle name="Normal 5 2 2 3 4 3_II_7_2 Liabilities Fcial interm" xfId="2289"/>
    <cellStyle name="Normal 5 2 2 3 4 4" xfId="2290"/>
    <cellStyle name="Normal 5 2 2 3 4 4 2" xfId="2291"/>
    <cellStyle name="Normal 5 2 2 3 4 4 3" xfId="2292"/>
    <cellStyle name="Normal 5 2 2 3 4 4 4" xfId="2293"/>
    <cellStyle name="Normal 5 2 2 3 4 4_II_7_2 Liabilities Fcial interm" xfId="2294"/>
    <cellStyle name="Normal 5 2 2 3 4 5" xfId="2295"/>
    <cellStyle name="Normal 5 2 2 3 4 5 2" xfId="2296"/>
    <cellStyle name="Normal 5 2 2 3 4 5 3" xfId="2297"/>
    <cellStyle name="Normal 5 2 2 3 4 5_II_7_2 Liabilities Fcial interm" xfId="2298"/>
    <cellStyle name="Normal 5 2 2 3 4 6" xfId="2299"/>
    <cellStyle name="Normal 5 2 2 3 4 6 2" xfId="2300"/>
    <cellStyle name="Normal 5 2 2 3 4 7" xfId="2301"/>
    <cellStyle name="Normal 5 2 2 3 4_II_7_2 Liabilities Fcial interm" xfId="2302"/>
    <cellStyle name="Normal 5 2 2 3 5" xfId="2303"/>
    <cellStyle name="Normal 5 2 2 3 5 2" xfId="2304"/>
    <cellStyle name="Normal 5 2 2 3 5 2 2" xfId="2305"/>
    <cellStyle name="Normal 5 2 2 3 5 2 3" xfId="2306"/>
    <cellStyle name="Normal 5 2 2 3 5 2_II_7_2 Liabilities Fcial interm" xfId="2307"/>
    <cellStyle name="Normal 5 2 2 3 5 3" xfId="2308"/>
    <cellStyle name="Normal 5 2 2 3 5 3 2" xfId="2309"/>
    <cellStyle name="Normal 5 2 2 3 5 3_II_7_2 Liabilities Fcial interm" xfId="2310"/>
    <cellStyle name="Normal 5 2 2 3 5 4" xfId="2311"/>
    <cellStyle name="Normal 5 2 2 3 5 5" xfId="2312"/>
    <cellStyle name="Normal 5 2 2 3 5_II_7_2 Liabilities Fcial interm" xfId="2313"/>
    <cellStyle name="Normal 5 2 2 3 6" xfId="2314"/>
    <cellStyle name="Normal 5 2 2 3 6 2" xfId="2315"/>
    <cellStyle name="Normal 5 2 2 3 6 2 2" xfId="2316"/>
    <cellStyle name="Normal 5 2 2 3 6 2_II_7_2 Liabilities Fcial interm" xfId="2317"/>
    <cellStyle name="Normal 5 2 2 3 6 3" xfId="2318"/>
    <cellStyle name="Normal 5 2 2 3 6 4" xfId="2319"/>
    <cellStyle name="Normal 5 2 2 3 6_II_7_2 Liabilities Fcial interm" xfId="2320"/>
    <cellStyle name="Normal 5 2 2 3 7" xfId="2321"/>
    <cellStyle name="Normal 5 2 2 3 7 2" xfId="2322"/>
    <cellStyle name="Normal 5 2 2 3 7 3" xfId="2323"/>
    <cellStyle name="Normal 5 2 2 3 7 4" xfId="2324"/>
    <cellStyle name="Normal 5 2 2 3 7_II_7_2 Liabilities Fcial interm" xfId="2325"/>
    <cellStyle name="Normal 5 2 2 3 8" xfId="2326"/>
    <cellStyle name="Normal 5 2 2 3 8 2" xfId="2327"/>
    <cellStyle name="Normal 5 2 2 3 8 3" xfId="2328"/>
    <cellStyle name="Normal 5 2 2 3 8 4" xfId="2329"/>
    <cellStyle name="Normal 5 2 2 3 8_II_7_2 Liabilities Fcial interm" xfId="2330"/>
    <cellStyle name="Normal 5 2 2 3 9" xfId="2331"/>
    <cellStyle name="Normal 5 2 2 3 9 2" xfId="2332"/>
    <cellStyle name="Normal 5 2 2 3 9 3" xfId="2333"/>
    <cellStyle name="Normal 5 2 2 3 9_II_7_2 Liabilities Fcial interm" xfId="2334"/>
    <cellStyle name="Normal 5 2 2 3_II_7_2 Liabilities Fcial interm" xfId="2335"/>
    <cellStyle name="Normal 5 2 3" xfId="2336"/>
    <cellStyle name="Normal 5 2 3 10" xfId="2337"/>
    <cellStyle name="Normal 5 2 3 10 2" xfId="2338"/>
    <cellStyle name="Normal 5 2 3 11" xfId="2339"/>
    <cellStyle name="Normal 5 2 3 12" xfId="2340"/>
    <cellStyle name="Normal 5 2 3 2" xfId="2341"/>
    <cellStyle name="Normal 5 2 3 2 10" xfId="2342"/>
    <cellStyle name="Normal 5 2 3 2 2" xfId="2343"/>
    <cellStyle name="Normal 5 2 3 2 2 2" xfId="2344"/>
    <cellStyle name="Normal 5 2 3 2 2 2 2" xfId="2345"/>
    <cellStyle name="Normal 5 2 3 2 2 2 2 2" xfId="2346"/>
    <cellStyle name="Normal 5 2 3 2 2 2 2_II_7_2 Liabilities Fcial interm" xfId="2347"/>
    <cellStyle name="Normal 5 2 3 2 2 2 3" xfId="2348"/>
    <cellStyle name="Normal 5 2 3 2 2 2 4" xfId="2349"/>
    <cellStyle name="Normal 5 2 3 2 2 2 5" xfId="2350"/>
    <cellStyle name="Normal 5 2 3 2 2 2_II_7_2 Liabilities Fcial interm" xfId="2351"/>
    <cellStyle name="Normal 5 2 3 2 2 3" xfId="2352"/>
    <cellStyle name="Normal 5 2 3 2 2 3 2" xfId="2353"/>
    <cellStyle name="Normal 5 2 3 2 2 3 3" xfId="2354"/>
    <cellStyle name="Normal 5 2 3 2 2 3 4" xfId="2355"/>
    <cellStyle name="Normal 5 2 3 2 2 3_II_7_2 Liabilities Fcial interm" xfId="2356"/>
    <cellStyle name="Normal 5 2 3 2 2 4" xfId="2357"/>
    <cellStyle name="Normal 5 2 3 2 2 4 2" xfId="2358"/>
    <cellStyle name="Normal 5 2 3 2 2 4 3" xfId="2359"/>
    <cellStyle name="Normal 5 2 3 2 2 4 4" xfId="2360"/>
    <cellStyle name="Normal 5 2 3 2 2 4_II_7_2 Liabilities Fcial interm" xfId="2361"/>
    <cellStyle name="Normal 5 2 3 2 2 5" xfId="2362"/>
    <cellStyle name="Normal 5 2 3 2 2 5 2" xfId="2363"/>
    <cellStyle name="Normal 5 2 3 2 2 5 3" xfId="2364"/>
    <cellStyle name="Normal 5 2 3 2 2 5 4" xfId="2365"/>
    <cellStyle name="Normal 5 2 3 2 2 5_II_7_2 Liabilities Fcial interm" xfId="2366"/>
    <cellStyle name="Normal 5 2 3 2 2 6" xfId="2367"/>
    <cellStyle name="Normal 5 2 3 2 2 6 2" xfId="2368"/>
    <cellStyle name="Normal 5 2 3 2 2 6 3" xfId="2369"/>
    <cellStyle name="Normal 5 2 3 2 2 6_II_7_2 Liabilities Fcial interm" xfId="2370"/>
    <cellStyle name="Normal 5 2 3 2 2 7" xfId="2371"/>
    <cellStyle name="Normal 5 2 3 2 2 7 2" xfId="2372"/>
    <cellStyle name="Normal 5 2 3 2 2 8" xfId="2373"/>
    <cellStyle name="Normal 5 2 3 2 2_II_7_2 Liabilities Fcial interm" xfId="2374"/>
    <cellStyle name="Normal 5 2 3 2 3" xfId="2375"/>
    <cellStyle name="Normal 5 2 3 2 3 2" xfId="2376"/>
    <cellStyle name="Normal 5 2 3 2 3 2 2" xfId="2377"/>
    <cellStyle name="Normal 5 2 3 2 3 2 3" xfId="2378"/>
    <cellStyle name="Normal 5 2 3 2 3 2 4" xfId="2379"/>
    <cellStyle name="Normal 5 2 3 2 3 2_II_7_2 Liabilities Fcial interm" xfId="2380"/>
    <cellStyle name="Normal 5 2 3 2 3 3" xfId="2381"/>
    <cellStyle name="Normal 5 2 3 2 3 3 2" xfId="2382"/>
    <cellStyle name="Normal 5 2 3 2 3 3 3" xfId="2383"/>
    <cellStyle name="Normal 5 2 3 2 3 3 4" xfId="2384"/>
    <cellStyle name="Normal 5 2 3 2 3 3_II_7_2 Liabilities Fcial interm" xfId="2385"/>
    <cellStyle name="Normal 5 2 3 2 3 4" xfId="2386"/>
    <cellStyle name="Normal 5 2 3 2 3 4 2" xfId="2387"/>
    <cellStyle name="Normal 5 2 3 2 3 4 3" xfId="2388"/>
    <cellStyle name="Normal 5 2 3 2 3 4 4" xfId="2389"/>
    <cellStyle name="Normal 5 2 3 2 3 4_II_7_2 Liabilities Fcial interm" xfId="2390"/>
    <cellStyle name="Normal 5 2 3 2 3 5" xfId="2391"/>
    <cellStyle name="Normal 5 2 3 2 3 5 2" xfId="2392"/>
    <cellStyle name="Normal 5 2 3 2 3 5 3" xfId="2393"/>
    <cellStyle name="Normal 5 2 3 2 3 5_II_7_2 Liabilities Fcial interm" xfId="2394"/>
    <cellStyle name="Normal 5 2 3 2 3 6" xfId="2395"/>
    <cellStyle name="Normal 5 2 3 2 3 6 2" xfId="2396"/>
    <cellStyle name="Normal 5 2 3 2 3 7" xfId="2397"/>
    <cellStyle name="Normal 5 2 3 2 3_II_7_2 Liabilities Fcial interm" xfId="2398"/>
    <cellStyle name="Normal 5 2 3 2 4" xfId="2399"/>
    <cellStyle name="Normal 5 2 3 2 4 2" xfId="2400"/>
    <cellStyle name="Normal 5 2 3 2 4 2 2" xfId="2401"/>
    <cellStyle name="Normal 5 2 3 2 4 2 3" xfId="2402"/>
    <cellStyle name="Normal 5 2 3 2 4 2_II_7_2 Liabilities Fcial interm" xfId="2403"/>
    <cellStyle name="Normal 5 2 3 2 4 3" xfId="2404"/>
    <cellStyle name="Normal 5 2 3 2 4 3 2" xfId="2405"/>
    <cellStyle name="Normal 5 2 3 2 4 4" xfId="2406"/>
    <cellStyle name="Normal 5 2 3 2 4_II_7_2 Liabilities Fcial interm" xfId="2407"/>
    <cellStyle name="Normal 5 2 3 2 5" xfId="2408"/>
    <cellStyle name="Normal 5 2 3 2 5 2" xfId="2409"/>
    <cellStyle name="Normal 5 2 3 2 5 2 2" xfId="2410"/>
    <cellStyle name="Normal 5 2 3 2 5 2_II_7_2 Liabilities Fcial interm" xfId="2411"/>
    <cellStyle name="Normal 5 2 3 2 5 3" xfId="2412"/>
    <cellStyle name="Normal 5 2 3 2 5 4" xfId="2413"/>
    <cellStyle name="Normal 5 2 3 2 5_II_7_2 Liabilities Fcial interm" xfId="2414"/>
    <cellStyle name="Normal 5 2 3 2 6" xfId="2415"/>
    <cellStyle name="Normal 5 2 3 2 6 2" xfId="2416"/>
    <cellStyle name="Normal 5 2 3 2 6 3" xfId="2417"/>
    <cellStyle name="Normal 5 2 3 2 6 4" xfId="2418"/>
    <cellStyle name="Normal 5 2 3 2 6_II_7_2 Liabilities Fcial interm" xfId="2419"/>
    <cellStyle name="Normal 5 2 3 2 7" xfId="2420"/>
    <cellStyle name="Normal 5 2 3 2 7 2" xfId="2421"/>
    <cellStyle name="Normal 5 2 3 2 7 3" xfId="2422"/>
    <cellStyle name="Normal 5 2 3 2 7_II_7_2 Liabilities Fcial interm" xfId="2423"/>
    <cellStyle name="Normal 5 2 3 2 8" xfId="2424"/>
    <cellStyle name="Normal 5 2 3 2 8 2" xfId="2425"/>
    <cellStyle name="Normal 5 2 3 2 9" xfId="2426"/>
    <cellStyle name="Normal 5 2 3 2_II_7_2 Liabilities Fcial interm" xfId="2427"/>
    <cellStyle name="Normal 5 2 3 3" xfId="2428"/>
    <cellStyle name="Normal 5 2 3 3 2" xfId="2429"/>
    <cellStyle name="Normal 5 2 3 3 2 2" xfId="2430"/>
    <cellStyle name="Normal 5 2 3 3 2 2 2" xfId="2431"/>
    <cellStyle name="Normal 5 2 3 3 2 2_II_7_2 Liabilities Fcial interm" xfId="2432"/>
    <cellStyle name="Normal 5 2 3 3 2 3" xfId="2433"/>
    <cellStyle name="Normal 5 2 3 3 2 4" xfId="2434"/>
    <cellStyle name="Normal 5 2 3 3 2 5" xfId="2435"/>
    <cellStyle name="Normal 5 2 3 3 2_II_7_2 Liabilities Fcial interm" xfId="2436"/>
    <cellStyle name="Normal 5 2 3 3 3" xfId="2437"/>
    <cellStyle name="Normal 5 2 3 3 3 2" xfId="2438"/>
    <cellStyle name="Normal 5 2 3 3 3 3" xfId="2439"/>
    <cellStyle name="Normal 5 2 3 3 3 4" xfId="2440"/>
    <cellStyle name="Normal 5 2 3 3 3_II_7_2 Liabilities Fcial interm" xfId="2441"/>
    <cellStyle name="Normal 5 2 3 3 4" xfId="2442"/>
    <cellStyle name="Normal 5 2 3 3 4 2" xfId="2443"/>
    <cellStyle name="Normal 5 2 3 3 4 3" xfId="2444"/>
    <cellStyle name="Normal 5 2 3 3 4 4" xfId="2445"/>
    <cellStyle name="Normal 5 2 3 3 4_II_7_2 Liabilities Fcial interm" xfId="2446"/>
    <cellStyle name="Normal 5 2 3 3 5" xfId="2447"/>
    <cellStyle name="Normal 5 2 3 3 5 2" xfId="2448"/>
    <cellStyle name="Normal 5 2 3 3 5 3" xfId="2449"/>
    <cellStyle name="Normal 5 2 3 3 5 4" xfId="2450"/>
    <cellStyle name="Normal 5 2 3 3 5_II_7_2 Liabilities Fcial interm" xfId="2451"/>
    <cellStyle name="Normal 5 2 3 3 6" xfId="2452"/>
    <cellStyle name="Normal 5 2 3 3 6 2" xfId="2453"/>
    <cellStyle name="Normal 5 2 3 3 6 3" xfId="2454"/>
    <cellStyle name="Normal 5 2 3 3 6 4" xfId="2455"/>
    <cellStyle name="Normal 5 2 3 3 6_II_7_2 Liabilities Fcial interm" xfId="2456"/>
    <cellStyle name="Normal 5 2 3 3 7" xfId="2457"/>
    <cellStyle name="Normal 5 2 3 3 7 2" xfId="2458"/>
    <cellStyle name="Normal 5 2 3 3 7 3" xfId="2459"/>
    <cellStyle name="Normal 5 2 3 3 7_II_7_2 Liabilities Fcial interm" xfId="2460"/>
    <cellStyle name="Normal 5 2 3 3 8" xfId="2461"/>
    <cellStyle name="Normal 5 2 3 3 8 2" xfId="2462"/>
    <cellStyle name="Normal 5 2 3 3 9" xfId="2463"/>
    <cellStyle name="Normal 5 2 3 3_II_7_2 Liabilities Fcial interm" xfId="2464"/>
    <cellStyle name="Normal 5 2 3 4" xfId="2465"/>
    <cellStyle name="Normal 5 2 3 4 2" xfId="2466"/>
    <cellStyle name="Normal 5 2 3 4 2 2" xfId="2467"/>
    <cellStyle name="Normal 5 2 3 4 2 2 2" xfId="2468"/>
    <cellStyle name="Normal 5 2 3 4 2 2_II_7_2 Liabilities Fcial interm" xfId="2469"/>
    <cellStyle name="Normal 5 2 3 4 2 3" xfId="2470"/>
    <cellStyle name="Normal 5 2 3 4 2 4" xfId="2471"/>
    <cellStyle name="Normal 5 2 3 4 2 5" xfId="2472"/>
    <cellStyle name="Normal 5 2 3 4 2_II_7_2 Liabilities Fcial interm" xfId="2473"/>
    <cellStyle name="Normal 5 2 3 4 3" xfId="2474"/>
    <cellStyle name="Normal 5 2 3 4 3 2" xfId="2475"/>
    <cellStyle name="Normal 5 2 3 4 3 3" xfId="2476"/>
    <cellStyle name="Normal 5 2 3 4 3 4" xfId="2477"/>
    <cellStyle name="Normal 5 2 3 4 3_II_7_2 Liabilities Fcial interm" xfId="2478"/>
    <cellStyle name="Normal 5 2 3 4 4" xfId="2479"/>
    <cellStyle name="Normal 5 2 3 4 4 2" xfId="2480"/>
    <cellStyle name="Normal 5 2 3 4 4 3" xfId="2481"/>
    <cellStyle name="Normal 5 2 3 4 4 4" xfId="2482"/>
    <cellStyle name="Normal 5 2 3 4 4_II_7_2 Liabilities Fcial interm" xfId="2483"/>
    <cellStyle name="Normal 5 2 3 4 5" xfId="2484"/>
    <cellStyle name="Normal 5 2 3 4 5 2" xfId="2485"/>
    <cellStyle name="Normal 5 2 3 4 5 3" xfId="2486"/>
    <cellStyle name="Normal 5 2 3 4 5_II_7_2 Liabilities Fcial interm" xfId="2487"/>
    <cellStyle name="Normal 5 2 3 4 6" xfId="2488"/>
    <cellStyle name="Normal 5 2 3 4 6 2" xfId="2489"/>
    <cellStyle name="Normal 5 2 3 4 7" xfId="2490"/>
    <cellStyle name="Normal 5 2 3 4_II_7_2 Liabilities Fcial interm" xfId="2491"/>
    <cellStyle name="Normal 5 2 3 5" xfId="2492"/>
    <cellStyle name="Normal 5 2 3 5 2" xfId="2493"/>
    <cellStyle name="Normal 5 2 3 5 2 2" xfId="2494"/>
    <cellStyle name="Normal 5 2 3 5 2 3" xfId="2495"/>
    <cellStyle name="Normal 5 2 3 5 2_II_7_2 Liabilities Fcial interm" xfId="2496"/>
    <cellStyle name="Normal 5 2 3 5 3" xfId="2497"/>
    <cellStyle name="Normal 5 2 3 5 3 2" xfId="2498"/>
    <cellStyle name="Normal 5 2 3 5 3_II_7_2 Liabilities Fcial interm" xfId="2499"/>
    <cellStyle name="Normal 5 2 3 5 4" xfId="2500"/>
    <cellStyle name="Normal 5 2 3 5 5" xfId="2501"/>
    <cellStyle name="Normal 5 2 3 5_II_7_2 Liabilities Fcial interm" xfId="2502"/>
    <cellStyle name="Normal 5 2 3 6" xfId="2503"/>
    <cellStyle name="Normal 5 2 3 6 2" xfId="2504"/>
    <cellStyle name="Normal 5 2 3 6 2 2" xfId="2505"/>
    <cellStyle name="Normal 5 2 3 6 2_II_7_2 Liabilities Fcial interm" xfId="2506"/>
    <cellStyle name="Normal 5 2 3 6 3" xfId="2507"/>
    <cellStyle name="Normal 5 2 3 6 4" xfId="2508"/>
    <cellStyle name="Normal 5 2 3 6_II_7_2 Liabilities Fcial interm" xfId="2509"/>
    <cellStyle name="Normal 5 2 3 7" xfId="2510"/>
    <cellStyle name="Normal 5 2 3 7 2" xfId="2511"/>
    <cellStyle name="Normal 5 2 3 7 3" xfId="2512"/>
    <cellStyle name="Normal 5 2 3 7 4" xfId="2513"/>
    <cellStyle name="Normal 5 2 3 7_II_7_2 Liabilities Fcial interm" xfId="2514"/>
    <cellStyle name="Normal 5 2 3 8" xfId="2515"/>
    <cellStyle name="Normal 5 2 3 8 2" xfId="2516"/>
    <cellStyle name="Normal 5 2 3 8 3" xfId="2517"/>
    <cellStyle name="Normal 5 2 3 8 4" xfId="2518"/>
    <cellStyle name="Normal 5 2 3 8_II_7_2 Liabilities Fcial interm" xfId="2519"/>
    <cellStyle name="Normal 5 2 3 9" xfId="2520"/>
    <cellStyle name="Normal 5 2 3 9 2" xfId="2521"/>
    <cellStyle name="Normal 5 2 3 9 3" xfId="2522"/>
    <cellStyle name="Normal 5 2 3 9_II_7_2 Liabilities Fcial interm" xfId="2523"/>
    <cellStyle name="Normal 5 2 3_II_7_2 Liabilities Fcial interm" xfId="2524"/>
    <cellStyle name="Normal 5 2 4" xfId="2525"/>
    <cellStyle name="Normal 5 2 4 10" xfId="2526"/>
    <cellStyle name="Normal 5 2 4 10 2" xfId="2527"/>
    <cellStyle name="Normal 5 2 4 11" xfId="2528"/>
    <cellStyle name="Normal 5 2 4 12" xfId="2529"/>
    <cellStyle name="Normal 5 2 4 2" xfId="2530"/>
    <cellStyle name="Normal 5 2 4 2 10" xfId="2531"/>
    <cellStyle name="Normal 5 2 4 2 2" xfId="2532"/>
    <cellStyle name="Normal 5 2 4 2 2 2" xfId="2533"/>
    <cellStyle name="Normal 5 2 4 2 2 2 2" xfId="2534"/>
    <cellStyle name="Normal 5 2 4 2 2 2 2 2" xfId="2535"/>
    <cellStyle name="Normal 5 2 4 2 2 2 2_II_7_2 Liabilities Fcial interm" xfId="2536"/>
    <cellStyle name="Normal 5 2 4 2 2 2 3" xfId="2537"/>
    <cellStyle name="Normal 5 2 4 2 2 2 4" xfId="2538"/>
    <cellStyle name="Normal 5 2 4 2 2 2 5" xfId="2539"/>
    <cellStyle name="Normal 5 2 4 2 2 2_II_7_2 Liabilities Fcial interm" xfId="2540"/>
    <cellStyle name="Normal 5 2 4 2 2 3" xfId="2541"/>
    <cellStyle name="Normal 5 2 4 2 2 3 2" xfId="2542"/>
    <cellStyle name="Normal 5 2 4 2 2 3 3" xfId="2543"/>
    <cellStyle name="Normal 5 2 4 2 2 3 4" xfId="2544"/>
    <cellStyle name="Normal 5 2 4 2 2 3_II_7_2 Liabilities Fcial interm" xfId="2545"/>
    <cellStyle name="Normal 5 2 4 2 2 4" xfId="2546"/>
    <cellStyle name="Normal 5 2 4 2 2 4 2" xfId="2547"/>
    <cellStyle name="Normal 5 2 4 2 2 4 3" xfId="2548"/>
    <cellStyle name="Normal 5 2 4 2 2 4 4" xfId="2549"/>
    <cellStyle name="Normal 5 2 4 2 2 4_II_7_2 Liabilities Fcial interm" xfId="2550"/>
    <cellStyle name="Normal 5 2 4 2 2 5" xfId="2551"/>
    <cellStyle name="Normal 5 2 4 2 2 5 2" xfId="2552"/>
    <cellStyle name="Normal 5 2 4 2 2 5 3" xfId="2553"/>
    <cellStyle name="Normal 5 2 4 2 2 5 4" xfId="2554"/>
    <cellStyle name="Normal 5 2 4 2 2 5_II_7_2 Liabilities Fcial interm" xfId="2555"/>
    <cellStyle name="Normal 5 2 4 2 2 6" xfId="2556"/>
    <cellStyle name="Normal 5 2 4 2 2 6 2" xfId="2557"/>
    <cellStyle name="Normal 5 2 4 2 2 6 3" xfId="2558"/>
    <cellStyle name="Normal 5 2 4 2 2 6_II_7_2 Liabilities Fcial interm" xfId="2559"/>
    <cellStyle name="Normal 5 2 4 2 2 7" xfId="2560"/>
    <cellStyle name="Normal 5 2 4 2 2 7 2" xfId="2561"/>
    <cellStyle name="Normal 5 2 4 2 2 8" xfId="2562"/>
    <cellStyle name="Normal 5 2 4 2 2_II_7_2 Liabilities Fcial interm" xfId="2563"/>
    <cellStyle name="Normal 5 2 4 2 3" xfId="2564"/>
    <cellStyle name="Normal 5 2 4 2 3 2" xfId="2565"/>
    <cellStyle name="Normal 5 2 4 2 3 2 2" xfId="2566"/>
    <cellStyle name="Normal 5 2 4 2 3 2 3" xfId="2567"/>
    <cellStyle name="Normal 5 2 4 2 3 2 4" xfId="2568"/>
    <cellStyle name="Normal 5 2 4 2 3 2_II_7_2 Liabilities Fcial interm" xfId="2569"/>
    <cellStyle name="Normal 5 2 4 2 3 3" xfId="2570"/>
    <cellStyle name="Normal 5 2 4 2 3 3 2" xfId="2571"/>
    <cellStyle name="Normal 5 2 4 2 3 3 3" xfId="2572"/>
    <cellStyle name="Normal 5 2 4 2 3 3 4" xfId="2573"/>
    <cellStyle name="Normal 5 2 4 2 3 3_II_7_2 Liabilities Fcial interm" xfId="2574"/>
    <cellStyle name="Normal 5 2 4 2 3 4" xfId="2575"/>
    <cellStyle name="Normal 5 2 4 2 3 4 2" xfId="2576"/>
    <cellStyle name="Normal 5 2 4 2 3 4 3" xfId="2577"/>
    <cellStyle name="Normal 5 2 4 2 3 4 4" xfId="2578"/>
    <cellStyle name="Normal 5 2 4 2 3 4_II_7_2 Liabilities Fcial interm" xfId="2579"/>
    <cellStyle name="Normal 5 2 4 2 3 5" xfId="2580"/>
    <cellStyle name="Normal 5 2 4 2 3 5 2" xfId="2581"/>
    <cellStyle name="Normal 5 2 4 2 3 5 3" xfId="2582"/>
    <cellStyle name="Normal 5 2 4 2 3 5_II_7_2 Liabilities Fcial interm" xfId="2583"/>
    <cellStyle name="Normal 5 2 4 2 3 6" xfId="2584"/>
    <cellStyle name="Normal 5 2 4 2 3 6 2" xfId="2585"/>
    <cellStyle name="Normal 5 2 4 2 3 7" xfId="2586"/>
    <cellStyle name="Normal 5 2 4 2 3_II_7_2 Liabilities Fcial interm" xfId="2587"/>
    <cellStyle name="Normal 5 2 4 2 4" xfId="2588"/>
    <cellStyle name="Normal 5 2 4 2 4 2" xfId="2589"/>
    <cellStyle name="Normal 5 2 4 2 4 2 2" xfId="2590"/>
    <cellStyle name="Normal 5 2 4 2 4 2 3" xfId="2591"/>
    <cellStyle name="Normal 5 2 4 2 4 2_II_7_2 Liabilities Fcial interm" xfId="2592"/>
    <cellStyle name="Normal 5 2 4 2 4 3" xfId="2593"/>
    <cellStyle name="Normal 5 2 4 2 4 3 2" xfId="2594"/>
    <cellStyle name="Normal 5 2 4 2 4 4" xfId="2595"/>
    <cellStyle name="Normal 5 2 4 2 4_II_7_2 Liabilities Fcial interm" xfId="2596"/>
    <cellStyle name="Normal 5 2 4 2 5" xfId="2597"/>
    <cellStyle name="Normal 5 2 4 2 5 2" xfId="2598"/>
    <cellStyle name="Normal 5 2 4 2 5 2 2" xfId="2599"/>
    <cellStyle name="Normal 5 2 4 2 5 2_II_7_2 Liabilities Fcial interm" xfId="2600"/>
    <cellStyle name="Normal 5 2 4 2 5 3" xfId="2601"/>
    <cellStyle name="Normal 5 2 4 2 5 4" xfId="2602"/>
    <cellStyle name="Normal 5 2 4 2 5_II_7_2 Liabilities Fcial interm" xfId="2603"/>
    <cellStyle name="Normal 5 2 4 2 6" xfId="2604"/>
    <cellStyle name="Normal 5 2 4 2 6 2" xfId="2605"/>
    <cellStyle name="Normal 5 2 4 2 6 3" xfId="2606"/>
    <cellStyle name="Normal 5 2 4 2 6 4" xfId="2607"/>
    <cellStyle name="Normal 5 2 4 2 6_II_7_2 Liabilities Fcial interm" xfId="2608"/>
    <cellStyle name="Normal 5 2 4 2 7" xfId="2609"/>
    <cellStyle name="Normal 5 2 4 2 7 2" xfId="2610"/>
    <cellStyle name="Normal 5 2 4 2 7 3" xfId="2611"/>
    <cellStyle name="Normal 5 2 4 2 7_II_7_2 Liabilities Fcial interm" xfId="2612"/>
    <cellStyle name="Normal 5 2 4 2 8" xfId="2613"/>
    <cellStyle name="Normal 5 2 4 2 8 2" xfId="2614"/>
    <cellStyle name="Normal 5 2 4 2 9" xfId="2615"/>
    <cellStyle name="Normal 5 2 4 2_II_7_2 Liabilities Fcial interm" xfId="2616"/>
    <cellStyle name="Normal 5 2 4 3" xfId="2617"/>
    <cellStyle name="Normal 5 2 4 3 2" xfId="2618"/>
    <cellStyle name="Normal 5 2 4 3 2 2" xfId="2619"/>
    <cellStyle name="Normal 5 2 4 3 2 2 2" xfId="2620"/>
    <cellStyle name="Normal 5 2 4 3 2 2_II_7_2 Liabilities Fcial interm" xfId="2621"/>
    <cellStyle name="Normal 5 2 4 3 2 3" xfId="2622"/>
    <cellStyle name="Normal 5 2 4 3 2 4" xfId="2623"/>
    <cellStyle name="Normal 5 2 4 3 2 5" xfId="2624"/>
    <cellStyle name="Normal 5 2 4 3 2_II_7_2 Liabilities Fcial interm" xfId="2625"/>
    <cellStyle name="Normal 5 2 4 3 3" xfId="2626"/>
    <cellStyle name="Normal 5 2 4 3 3 2" xfId="2627"/>
    <cellStyle name="Normal 5 2 4 3 3 3" xfId="2628"/>
    <cellStyle name="Normal 5 2 4 3 3 4" xfId="2629"/>
    <cellStyle name="Normal 5 2 4 3 3_II_7_2 Liabilities Fcial interm" xfId="2630"/>
    <cellStyle name="Normal 5 2 4 3 4" xfId="2631"/>
    <cellStyle name="Normal 5 2 4 3 4 2" xfId="2632"/>
    <cellStyle name="Normal 5 2 4 3 4 3" xfId="2633"/>
    <cellStyle name="Normal 5 2 4 3 4 4" xfId="2634"/>
    <cellStyle name="Normal 5 2 4 3 4_II_7_2 Liabilities Fcial interm" xfId="2635"/>
    <cellStyle name="Normal 5 2 4 3 5" xfId="2636"/>
    <cellStyle name="Normal 5 2 4 3 5 2" xfId="2637"/>
    <cellStyle name="Normal 5 2 4 3 5 3" xfId="2638"/>
    <cellStyle name="Normal 5 2 4 3 5 4" xfId="2639"/>
    <cellStyle name="Normal 5 2 4 3 5_II_7_2 Liabilities Fcial interm" xfId="2640"/>
    <cellStyle name="Normal 5 2 4 3 6" xfId="2641"/>
    <cellStyle name="Normal 5 2 4 3 6 2" xfId="2642"/>
    <cellStyle name="Normal 5 2 4 3 6 3" xfId="2643"/>
    <cellStyle name="Normal 5 2 4 3 6 4" xfId="2644"/>
    <cellStyle name="Normal 5 2 4 3 6_II_7_2 Liabilities Fcial interm" xfId="2645"/>
    <cellStyle name="Normal 5 2 4 3 7" xfId="2646"/>
    <cellStyle name="Normal 5 2 4 3 7 2" xfId="2647"/>
    <cellStyle name="Normal 5 2 4 3 7 3" xfId="2648"/>
    <cellStyle name="Normal 5 2 4 3 7_II_7_2 Liabilities Fcial interm" xfId="2649"/>
    <cellStyle name="Normal 5 2 4 3 8" xfId="2650"/>
    <cellStyle name="Normal 5 2 4 3 8 2" xfId="2651"/>
    <cellStyle name="Normal 5 2 4 3 9" xfId="2652"/>
    <cellStyle name="Normal 5 2 4 3_II_7_2 Liabilities Fcial interm" xfId="2653"/>
    <cellStyle name="Normal 5 2 4 4" xfId="2654"/>
    <cellStyle name="Normal 5 2 4 4 2" xfId="2655"/>
    <cellStyle name="Normal 5 2 4 4 2 2" xfId="2656"/>
    <cellStyle name="Normal 5 2 4 4 2 2 2" xfId="2657"/>
    <cellStyle name="Normal 5 2 4 4 2 2_II_7_2 Liabilities Fcial interm" xfId="2658"/>
    <cellStyle name="Normal 5 2 4 4 2 3" xfId="2659"/>
    <cellStyle name="Normal 5 2 4 4 2 4" xfId="2660"/>
    <cellStyle name="Normal 5 2 4 4 2 5" xfId="2661"/>
    <cellStyle name="Normal 5 2 4 4 2_II_7_2 Liabilities Fcial interm" xfId="2662"/>
    <cellStyle name="Normal 5 2 4 4 3" xfId="2663"/>
    <cellStyle name="Normal 5 2 4 4 3 2" xfId="2664"/>
    <cellStyle name="Normal 5 2 4 4 3 3" xfId="2665"/>
    <cellStyle name="Normal 5 2 4 4 3 4" xfId="2666"/>
    <cellStyle name="Normal 5 2 4 4 3_II_7_2 Liabilities Fcial interm" xfId="2667"/>
    <cellStyle name="Normal 5 2 4 4 4" xfId="2668"/>
    <cellStyle name="Normal 5 2 4 4 4 2" xfId="2669"/>
    <cellStyle name="Normal 5 2 4 4 4 3" xfId="2670"/>
    <cellStyle name="Normal 5 2 4 4 4 4" xfId="2671"/>
    <cellStyle name="Normal 5 2 4 4 4_II_7_2 Liabilities Fcial interm" xfId="2672"/>
    <cellStyle name="Normal 5 2 4 4 5" xfId="2673"/>
    <cellStyle name="Normal 5 2 4 4 5 2" xfId="2674"/>
    <cellStyle name="Normal 5 2 4 4 5 3" xfId="2675"/>
    <cellStyle name="Normal 5 2 4 4 5_II_7_2 Liabilities Fcial interm" xfId="2676"/>
    <cellStyle name="Normal 5 2 4 4 6" xfId="2677"/>
    <cellStyle name="Normal 5 2 4 4 6 2" xfId="2678"/>
    <cellStyle name="Normal 5 2 4 4 7" xfId="2679"/>
    <cellStyle name="Normal 5 2 4 4_II_7_2 Liabilities Fcial interm" xfId="2680"/>
    <cellStyle name="Normal 5 2 4 5" xfId="2681"/>
    <cellStyle name="Normal 5 2 4 5 2" xfId="2682"/>
    <cellStyle name="Normal 5 2 4 5 2 2" xfId="2683"/>
    <cellStyle name="Normal 5 2 4 5 2 3" xfId="2684"/>
    <cellStyle name="Normal 5 2 4 5 2_II_7_2 Liabilities Fcial interm" xfId="2685"/>
    <cellStyle name="Normal 5 2 4 5 3" xfId="2686"/>
    <cellStyle name="Normal 5 2 4 5 3 2" xfId="2687"/>
    <cellStyle name="Normal 5 2 4 5 3_II_7_2 Liabilities Fcial interm" xfId="2688"/>
    <cellStyle name="Normal 5 2 4 5 4" xfId="2689"/>
    <cellStyle name="Normal 5 2 4 5 5" xfId="2690"/>
    <cellStyle name="Normal 5 2 4 5_II_7_2 Liabilities Fcial interm" xfId="2691"/>
    <cellStyle name="Normal 5 2 4 6" xfId="2692"/>
    <cellStyle name="Normal 5 2 4 6 2" xfId="2693"/>
    <cellStyle name="Normal 5 2 4 6 2 2" xfId="2694"/>
    <cellStyle name="Normal 5 2 4 6 2_II_7_2 Liabilities Fcial interm" xfId="2695"/>
    <cellStyle name="Normal 5 2 4 6 3" xfId="2696"/>
    <cellStyle name="Normal 5 2 4 6 4" xfId="2697"/>
    <cellStyle name="Normal 5 2 4 6_II_7_2 Liabilities Fcial interm" xfId="2698"/>
    <cellStyle name="Normal 5 2 4 7" xfId="2699"/>
    <cellStyle name="Normal 5 2 4 7 2" xfId="2700"/>
    <cellStyle name="Normal 5 2 4 7 3" xfId="2701"/>
    <cellStyle name="Normal 5 2 4 7 4" xfId="2702"/>
    <cellStyle name="Normal 5 2 4 7_II_7_2 Liabilities Fcial interm" xfId="2703"/>
    <cellStyle name="Normal 5 2 4 8" xfId="2704"/>
    <cellStyle name="Normal 5 2 4 8 2" xfId="2705"/>
    <cellStyle name="Normal 5 2 4 8 3" xfId="2706"/>
    <cellStyle name="Normal 5 2 4 8 4" xfId="2707"/>
    <cellStyle name="Normal 5 2 4 8_II_7_2 Liabilities Fcial interm" xfId="2708"/>
    <cellStyle name="Normal 5 2 4 9" xfId="2709"/>
    <cellStyle name="Normal 5 2 4 9 2" xfId="2710"/>
    <cellStyle name="Normal 5 2 4 9 3" xfId="2711"/>
    <cellStyle name="Normal 5 2 4 9_II_7_2 Liabilities Fcial interm" xfId="2712"/>
    <cellStyle name="Normal 5 2 4_II_7_2 Liabilities Fcial interm" xfId="2713"/>
    <cellStyle name="Normal 5 3" xfId="2714"/>
    <cellStyle name="Normal 5 3 2" xfId="2715"/>
    <cellStyle name="Normal 5 3 2 10" xfId="2716"/>
    <cellStyle name="Normal 5 3 2 10 2" xfId="2717"/>
    <cellStyle name="Normal 5 3 2 10 3" xfId="2718"/>
    <cellStyle name="Normal 5 3 2 10_II_7_2 Liabilities Fcial interm" xfId="2719"/>
    <cellStyle name="Normal 5 3 2 11" xfId="2720"/>
    <cellStyle name="Normal 5 3 2 11 2" xfId="2721"/>
    <cellStyle name="Normal 5 3 2 12" xfId="2722"/>
    <cellStyle name="Normal 5 3 2 13" xfId="2723"/>
    <cellStyle name="Normal 5 3 2 2" xfId="2724"/>
    <cellStyle name="Normal 5 3 2 2 10" xfId="2725"/>
    <cellStyle name="Normal 5 3 2 2 10 2" xfId="2726"/>
    <cellStyle name="Normal 5 3 2 2 11" xfId="2727"/>
    <cellStyle name="Normal 5 3 2 2 12" xfId="2728"/>
    <cellStyle name="Normal 5 3 2 2 2" xfId="2729"/>
    <cellStyle name="Normal 5 3 2 2 2 10" xfId="2730"/>
    <cellStyle name="Normal 5 3 2 2 2 2" xfId="2731"/>
    <cellStyle name="Normal 5 3 2 2 2 2 2" xfId="2732"/>
    <cellStyle name="Normal 5 3 2 2 2 2 2 2" xfId="2733"/>
    <cellStyle name="Normal 5 3 2 2 2 2 2 2 2" xfId="2734"/>
    <cellStyle name="Normal 5 3 2 2 2 2 2 2_II_7_2 Liabilities Fcial interm" xfId="2735"/>
    <cellStyle name="Normal 5 3 2 2 2 2 2 3" xfId="2736"/>
    <cellStyle name="Normal 5 3 2 2 2 2 2 4" xfId="2737"/>
    <cellStyle name="Normal 5 3 2 2 2 2 2 5" xfId="2738"/>
    <cellStyle name="Normal 5 3 2 2 2 2 2_II_7_2 Liabilities Fcial interm" xfId="2739"/>
    <cellStyle name="Normal 5 3 2 2 2 2 3" xfId="2740"/>
    <cellStyle name="Normal 5 3 2 2 2 2 3 2" xfId="2741"/>
    <cellStyle name="Normal 5 3 2 2 2 2 3 3" xfId="2742"/>
    <cellStyle name="Normal 5 3 2 2 2 2 3 4" xfId="2743"/>
    <cellStyle name="Normal 5 3 2 2 2 2 3_II_7_2 Liabilities Fcial interm" xfId="2744"/>
    <cellStyle name="Normal 5 3 2 2 2 2 4" xfId="2745"/>
    <cellStyle name="Normal 5 3 2 2 2 2 4 2" xfId="2746"/>
    <cellStyle name="Normal 5 3 2 2 2 2 4 3" xfId="2747"/>
    <cellStyle name="Normal 5 3 2 2 2 2 4 4" xfId="2748"/>
    <cellStyle name="Normal 5 3 2 2 2 2 4_II_7_2 Liabilities Fcial interm" xfId="2749"/>
    <cellStyle name="Normal 5 3 2 2 2 2 5" xfId="2750"/>
    <cellStyle name="Normal 5 3 2 2 2 2 5 2" xfId="2751"/>
    <cellStyle name="Normal 5 3 2 2 2 2 5 3" xfId="2752"/>
    <cellStyle name="Normal 5 3 2 2 2 2 5 4" xfId="2753"/>
    <cellStyle name="Normal 5 3 2 2 2 2 5_II_7_2 Liabilities Fcial interm" xfId="2754"/>
    <cellStyle name="Normal 5 3 2 2 2 2 6" xfId="2755"/>
    <cellStyle name="Normal 5 3 2 2 2 2 6 2" xfId="2756"/>
    <cellStyle name="Normal 5 3 2 2 2 2 6 3" xfId="2757"/>
    <cellStyle name="Normal 5 3 2 2 2 2 6_II_7_2 Liabilities Fcial interm" xfId="2758"/>
    <cellStyle name="Normal 5 3 2 2 2 2 7" xfId="2759"/>
    <cellStyle name="Normal 5 3 2 2 2 2 7 2" xfId="2760"/>
    <cellStyle name="Normal 5 3 2 2 2 2 8" xfId="2761"/>
    <cellStyle name="Normal 5 3 2 2 2 2_II_7_2 Liabilities Fcial interm" xfId="2762"/>
    <cellStyle name="Normal 5 3 2 2 2 3" xfId="2763"/>
    <cellStyle name="Normal 5 3 2 2 2 3 2" xfId="2764"/>
    <cellStyle name="Normal 5 3 2 2 2 3 2 2" xfId="2765"/>
    <cellStyle name="Normal 5 3 2 2 2 3 2 3" xfId="2766"/>
    <cellStyle name="Normal 5 3 2 2 2 3 2 4" xfId="2767"/>
    <cellStyle name="Normal 5 3 2 2 2 3 2_II_7_2 Liabilities Fcial interm" xfId="2768"/>
    <cellStyle name="Normal 5 3 2 2 2 3 3" xfId="2769"/>
    <cellStyle name="Normal 5 3 2 2 2 3 3 2" xfId="2770"/>
    <cellStyle name="Normal 5 3 2 2 2 3 3 3" xfId="2771"/>
    <cellStyle name="Normal 5 3 2 2 2 3 3 4" xfId="2772"/>
    <cellStyle name="Normal 5 3 2 2 2 3 3_II_7_2 Liabilities Fcial interm" xfId="2773"/>
    <cellStyle name="Normal 5 3 2 2 2 3 4" xfId="2774"/>
    <cellStyle name="Normal 5 3 2 2 2 3 4 2" xfId="2775"/>
    <cellStyle name="Normal 5 3 2 2 2 3 4 3" xfId="2776"/>
    <cellStyle name="Normal 5 3 2 2 2 3 4 4" xfId="2777"/>
    <cellStyle name="Normal 5 3 2 2 2 3 4_II_7_2 Liabilities Fcial interm" xfId="2778"/>
    <cellStyle name="Normal 5 3 2 2 2 3 5" xfId="2779"/>
    <cellStyle name="Normal 5 3 2 2 2 3 5 2" xfId="2780"/>
    <cellStyle name="Normal 5 3 2 2 2 3 5 3" xfId="2781"/>
    <cellStyle name="Normal 5 3 2 2 2 3 5_II_7_2 Liabilities Fcial interm" xfId="2782"/>
    <cellStyle name="Normal 5 3 2 2 2 3 6" xfId="2783"/>
    <cellStyle name="Normal 5 3 2 2 2 3 6 2" xfId="2784"/>
    <cellStyle name="Normal 5 3 2 2 2 3 7" xfId="2785"/>
    <cellStyle name="Normal 5 3 2 2 2 3_II_7_2 Liabilities Fcial interm" xfId="2786"/>
    <cellStyle name="Normal 5 3 2 2 2 4" xfId="2787"/>
    <cellStyle name="Normal 5 3 2 2 2 4 2" xfId="2788"/>
    <cellStyle name="Normal 5 3 2 2 2 4 2 2" xfId="2789"/>
    <cellStyle name="Normal 5 3 2 2 2 4 2 3" xfId="2790"/>
    <cellStyle name="Normal 5 3 2 2 2 4 2_II_7_2 Liabilities Fcial interm" xfId="2791"/>
    <cellStyle name="Normal 5 3 2 2 2 4 3" xfId="2792"/>
    <cellStyle name="Normal 5 3 2 2 2 4 3 2" xfId="2793"/>
    <cellStyle name="Normal 5 3 2 2 2 4 4" xfId="2794"/>
    <cellStyle name="Normal 5 3 2 2 2 4_II_7_2 Liabilities Fcial interm" xfId="2795"/>
    <cellStyle name="Normal 5 3 2 2 2 5" xfId="2796"/>
    <cellStyle name="Normal 5 3 2 2 2 5 2" xfId="2797"/>
    <cellStyle name="Normal 5 3 2 2 2 5 2 2" xfId="2798"/>
    <cellStyle name="Normal 5 3 2 2 2 5 2_II_7_2 Liabilities Fcial interm" xfId="2799"/>
    <cellStyle name="Normal 5 3 2 2 2 5 3" xfId="2800"/>
    <cellStyle name="Normal 5 3 2 2 2 5 4" xfId="2801"/>
    <cellStyle name="Normal 5 3 2 2 2 5_II_7_2 Liabilities Fcial interm" xfId="2802"/>
    <cellStyle name="Normal 5 3 2 2 2 6" xfId="2803"/>
    <cellStyle name="Normal 5 3 2 2 2 6 2" xfId="2804"/>
    <cellStyle name="Normal 5 3 2 2 2 6 3" xfId="2805"/>
    <cellStyle name="Normal 5 3 2 2 2 6 4" xfId="2806"/>
    <cellStyle name="Normal 5 3 2 2 2 6_II_7_2 Liabilities Fcial interm" xfId="2807"/>
    <cellStyle name="Normal 5 3 2 2 2 7" xfId="2808"/>
    <cellStyle name="Normal 5 3 2 2 2 7 2" xfId="2809"/>
    <cellStyle name="Normal 5 3 2 2 2 7 3" xfId="2810"/>
    <cellStyle name="Normal 5 3 2 2 2 7_II_7_2 Liabilities Fcial interm" xfId="2811"/>
    <cellStyle name="Normal 5 3 2 2 2 8" xfId="2812"/>
    <cellStyle name="Normal 5 3 2 2 2 8 2" xfId="2813"/>
    <cellStyle name="Normal 5 3 2 2 2 9" xfId="2814"/>
    <cellStyle name="Normal 5 3 2 2 2_II_7_2 Liabilities Fcial interm" xfId="2815"/>
    <cellStyle name="Normal 5 3 2 2 3" xfId="2816"/>
    <cellStyle name="Normal 5 3 2 2 3 2" xfId="2817"/>
    <cellStyle name="Normal 5 3 2 2 3 2 2" xfId="2818"/>
    <cellStyle name="Normal 5 3 2 2 3 2 2 2" xfId="2819"/>
    <cellStyle name="Normal 5 3 2 2 3 2 2_II_7_2 Liabilities Fcial interm" xfId="2820"/>
    <cellStyle name="Normal 5 3 2 2 3 2 3" xfId="2821"/>
    <cellStyle name="Normal 5 3 2 2 3 2 4" xfId="2822"/>
    <cellStyle name="Normal 5 3 2 2 3 2 5" xfId="2823"/>
    <cellStyle name="Normal 5 3 2 2 3 2_II_7_2 Liabilities Fcial interm" xfId="2824"/>
    <cellStyle name="Normal 5 3 2 2 3 3" xfId="2825"/>
    <cellStyle name="Normal 5 3 2 2 3 3 2" xfId="2826"/>
    <cellStyle name="Normal 5 3 2 2 3 3 3" xfId="2827"/>
    <cellStyle name="Normal 5 3 2 2 3 3 4" xfId="2828"/>
    <cellStyle name="Normal 5 3 2 2 3 3_II_7_2 Liabilities Fcial interm" xfId="2829"/>
    <cellStyle name="Normal 5 3 2 2 3 4" xfId="2830"/>
    <cellStyle name="Normal 5 3 2 2 3 4 2" xfId="2831"/>
    <cellStyle name="Normal 5 3 2 2 3 4 3" xfId="2832"/>
    <cellStyle name="Normal 5 3 2 2 3 4 4" xfId="2833"/>
    <cellStyle name="Normal 5 3 2 2 3 4_II_7_2 Liabilities Fcial interm" xfId="2834"/>
    <cellStyle name="Normal 5 3 2 2 3 5" xfId="2835"/>
    <cellStyle name="Normal 5 3 2 2 3 5 2" xfId="2836"/>
    <cellStyle name="Normal 5 3 2 2 3 5 3" xfId="2837"/>
    <cellStyle name="Normal 5 3 2 2 3 5 4" xfId="2838"/>
    <cellStyle name="Normal 5 3 2 2 3 5_II_7_2 Liabilities Fcial interm" xfId="2839"/>
    <cellStyle name="Normal 5 3 2 2 3 6" xfId="2840"/>
    <cellStyle name="Normal 5 3 2 2 3 6 2" xfId="2841"/>
    <cellStyle name="Normal 5 3 2 2 3 6 3" xfId="2842"/>
    <cellStyle name="Normal 5 3 2 2 3 6 4" xfId="2843"/>
    <cellStyle name="Normal 5 3 2 2 3 6_II_7_2 Liabilities Fcial interm" xfId="2844"/>
    <cellStyle name="Normal 5 3 2 2 3 7" xfId="2845"/>
    <cellStyle name="Normal 5 3 2 2 3 7 2" xfId="2846"/>
    <cellStyle name="Normal 5 3 2 2 3 7 3" xfId="2847"/>
    <cellStyle name="Normal 5 3 2 2 3 7_II_7_2 Liabilities Fcial interm" xfId="2848"/>
    <cellStyle name="Normal 5 3 2 2 3 8" xfId="2849"/>
    <cellStyle name="Normal 5 3 2 2 3 8 2" xfId="2850"/>
    <cellStyle name="Normal 5 3 2 2 3 9" xfId="2851"/>
    <cellStyle name="Normal 5 3 2 2 3_II_7_2 Liabilities Fcial interm" xfId="2852"/>
    <cellStyle name="Normal 5 3 2 2 4" xfId="2853"/>
    <cellStyle name="Normal 5 3 2 2 4 2" xfId="2854"/>
    <cellStyle name="Normal 5 3 2 2 4 2 2" xfId="2855"/>
    <cellStyle name="Normal 5 3 2 2 4 2 2 2" xfId="2856"/>
    <cellStyle name="Normal 5 3 2 2 4 2 2_II_7_2 Liabilities Fcial interm" xfId="2857"/>
    <cellStyle name="Normal 5 3 2 2 4 2 3" xfId="2858"/>
    <cellStyle name="Normal 5 3 2 2 4 2 4" xfId="2859"/>
    <cellStyle name="Normal 5 3 2 2 4 2 5" xfId="2860"/>
    <cellStyle name="Normal 5 3 2 2 4 2_II_7_2 Liabilities Fcial interm" xfId="2861"/>
    <cellStyle name="Normal 5 3 2 2 4 3" xfId="2862"/>
    <cellStyle name="Normal 5 3 2 2 4 3 2" xfId="2863"/>
    <cellStyle name="Normal 5 3 2 2 4 3 3" xfId="2864"/>
    <cellStyle name="Normal 5 3 2 2 4 3 4" xfId="2865"/>
    <cellStyle name="Normal 5 3 2 2 4 3_II_7_2 Liabilities Fcial interm" xfId="2866"/>
    <cellStyle name="Normal 5 3 2 2 4 4" xfId="2867"/>
    <cellStyle name="Normal 5 3 2 2 4 4 2" xfId="2868"/>
    <cellStyle name="Normal 5 3 2 2 4 4 3" xfId="2869"/>
    <cellStyle name="Normal 5 3 2 2 4 4 4" xfId="2870"/>
    <cellStyle name="Normal 5 3 2 2 4 4_II_7_2 Liabilities Fcial interm" xfId="2871"/>
    <cellStyle name="Normal 5 3 2 2 4 5" xfId="2872"/>
    <cellStyle name="Normal 5 3 2 2 4 5 2" xfId="2873"/>
    <cellStyle name="Normal 5 3 2 2 4 5 3" xfId="2874"/>
    <cellStyle name="Normal 5 3 2 2 4 5_II_7_2 Liabilities Fcial interm" xfId="2875"/>
    <cellStyle name="Normal 5 3 2 2 4 6" xfId="2876"/>
    <cellStyle name="Normal 5 3 2 2 4 6 2" xfId="2877"/>
    <cellStyle name="Normal 5 3 2 2 4 7" xfId="2878"/>
    <cellStyle name="Normal 5 3 2 2 4_II_7_2 Liabilities Fcial interm" xfId="2879"/>
    <cellStyle name="Normal 5 3 2 2 5" xfId="2880"/>
    <cellStyle name="Normal 5 3 2 2 5 2" xfId="2881"/>
    <cellStyle name="Normal 5 3 2 2 5 2 2" xfId="2882"/>
    <cellStyle name="Normal 5 3 2 2 5 2 3" xfId="2883"/>
    <cellStyle name="Normal 5 3 2 2 5 2_II_7_2 Liabilities Fcial interm" xfId="2884"/>
    <cellStyle name="Normal 5 3 2 2 5 3" xfId="2885"/>
    <cellStyle name="Normal 5 3 2 2 5 3 2" xfId="2886"/>
    <cellStyle name="Normal 5 3 2 2 5 3_II_7_2 Liabilities Fcial interm" xfId="2887"/>
    <cellStyle name="Normal 5 3 2 2 5 4" xfId="2888"/>
    <cellStyle name="Normal 5 3 2 2 5 5" xfId="2889"/>
    <cellStyle name="Normal 5 3 2 2 5_II_7_2 Liabilities Fcial interm" xfId="2890"/>
    <cellStyle name="Normal 5 3 2 2 6" xfId="2891"/>
    <cellStyle name="Normal 5 3 2 2 6 2" xfId="2892"/>
    <cellStyle name="Normal 5 3 2 2 6 2 2" xfId="2893"/>
    <cellStyle name="Normal 5 3 2 2 6 2_II_7_2 Liabilities Fcial interm" xfId="2894"/>
    <cellStyle name="Normal 5 3 2 2 6 3" xfId="2895"/>
    <cellStyle name="Normal 5 3 2 2 6 4" xfId="2896"/>
    <cellStyle name="Normal 5 3 2 2 6_II_7_2 Liabilities Fcial interm" xfId="2897"/>
    <cellStyle name="Normal 5 3 2 2 7" xfId="2898"/>
    <cellStyle name="Normal 5 3 2 2 7 2" xfId="2899"/>
    <cellStyle name="Normal 5 3 2 2 7 3" xfId="2900"/>
    <cellStyle name="Normal 5 3 2 2 7 4" xfId="2901"/>
    <cellStyle name="Normal 5 3 2 2 7_II_7_2 Liabilities Fcial interm" xfId="2902"/>
    <cellStyle name="Normal 5 3 2 2 8" xfId="2903"/>
    <cellStyle name="Normal 5 3 2 2 8 2" xfId="2904"/>
    <cellStyle name="Normal 5 3 2 2 8 3" xfId="2905"/>
    <cellStyle name="Normal 5 3 2 2 8 4" xfId="2906"/>
    <cellStyle name="Normal 5 3 2 2 8_II_7_2 Liabilities Fcial interm" xfId="2907"/>
    <cellStyle name="Normal 5 3 2 2 9" xfId="2908"/>
    <cellStyle name="Normal 5 3 2 2 9 2" xfId="2909"/>
    <cellStyle name="Normal 5 3 2 2 9 3" xfId="2910"/>
    <cellStyle name="Normal 5 3 2 2 9_II_7_2 Liabilities Fcial interm" xfId="2911"/>
    <cellStyle name="Normal 5 3 2 2_II_7_2 Liabilities Fcial interm" xfId="2912"/>
    <cellStyle name="Normal 5 3 2 3" xfId="2913"/>
    <cellStyle name="Normal 5 3 2 3 10" xfId="2914"/>
    <cellStyle name="Normal 5 3 2 3 2" xfId="2915"/>
    <cellStyle name="Normal 5 3 2 3 2 2" xfId="2916"/>
    <cellStyle name="Normal 5 3 2 3 2 2 2" xfId="2917"/>
    <cellStyle name="Normal 5 3 2 3 2 2 2 2" xfId="2918"/>
    <cellStyle name="Normal 5 3 2 3 2 2 2_II_7_2 Liabilities Fcial interm" xfId="2919"/>
    <cellStyle name="Normal 5 3 2 3 2 2 3" xfId="2920"/>
    <cellStyle name="Normal 5 3 2 3 2 2 4" xfId="2921"/>
    <cellStyle name="Normal 5 3 2 3 2 2 5" xfId="2922"/>
    <cellStyle name="Normal 5 3 2 3 2 2_II_7_2 Liabilities Fcial interm" xfId="2923"/>
    <cellStyle name="Normal 5 3 2 3 2 3" xfId="2924"/>
    <cellStyle name="Normal 5 3 2 3 2 3 2" xfId="2925"/>
    <cellStyle name="Normal 5 3 2 3 2 3 3" xfId="2926"/>
    <cellStyle name="Normal 5 3 2 3 2 3 4" xfId="2927"/>
    <cellStyle name="Normal 5 3 2 3 2 3_II_7_2 Liabilities Fcial interm" xfId="2928"/>
    <cellStyle name="Normal 5 3 2 3 2 4" xfId="2929"/>
    <cellStyle name="Normal 5 3 2 3 2 4 2" xfId="2930"/>
    <cellStyle name="Normal 5 3 2 3 2 4 3" xfId="2931"/>
    <cellStyle name="Normal 5 3 2 3 2 4 4" xfId="2932"/>
    <cellStyle name="Normal 5 3 2 3 2 4_II_7_2 Liabilities Fcial interm" xfId="2933"/>
    <cellStyle name="Normal 5 3 2 3 2 5" xfId="2934"/>
    <cellStyle name="Normal 5 3 2 3 2 5 2" xfId="2935"/>
    <cellStyle name="Normal 5 3 2 3 2 5 3" xfId="2936"/>
    <cellStyle name="Normal 5 3 2 3 2 5 4" xfId="2937"/>
    <cellStyle name="Normal 5 3 2 3 2 5_II_7_2 Liabilities Fcial interm" xfId="2938"/>
    <cellStyle name="Normal 5 3 2 3 2 6" xfId="2939"/>
    <cellStyle name="Normal 5 3 2 3 2 6 2" xfId="2940"/>
    <cellStyle name="Normal 5 3 2 3 2 6 3" xfId="2941"/>
    <cellStyle name="Normal 5 3 2 3 2 6_II_7_2 Liabilities Fcial interm" xfId="2942"/>
    <cellStyle name="Normal 5 3 2 3 2 7" xfId="2943"/>
    <cellStyle name="Normal 5 3 2 3 2 7 2" xfId="2944"/>
    <cellStyle name="Normal 5 3 2 3 2 8" xfId="2945"/>
    <cellStyle name="Normal 5 3 2 3 2_II_7_2 Liabilities Fcial interm" xfId="2946"/>
    <cellStyle name="Normal 5 3 2 3 3" xfId="2947"/>
    <cellStyle name="Normal 5 3 2 3 3 2" xfId="2948"/>
    <cellStyle name="Normal 5 3 2 3 3 2 2" xfId="2949"/>
    <cellStyle name="Normal 5 3 2 3 3 2 3" xfId="2950"/>
    <cellStyle name="Normal 5 3 2 3 3 2 4" xfId="2951"/>
    <cellStyle name="Normal 5 3 2 3 3 2_II_7_2 Liabilities Fcial interm" xfId="2952"/>
    <cellStyle name="Normal 5 3 2 3 3 3" xfId="2953"/>
    <cellStyle name="Normal 5 3 2 3 3 3 2" xfId="2954"/>
    <cellStyle name="Normal 5 3 2 3 3 3 3" xfId="2955"/>
    <cellStyle name="Normal 5 3 2 3 3 3 4" xfId="2956"/>
    <cellStyle name="Normal 5 3 2 3 3 3_II_7_2 Liabilities Fcial interm" xfId="2957"/>
    <cellStyle name="Normal 5 3 2 3 3 4" xfId="2958"/>
    <cellStyle name="Normal 5 3 2 3 3 4 2" xfId="2959"/>
    <cellStyle name="Normal 5 3 2 3 3 4 3" xfId="2960"/>
    <cellStyle name="Normal 5 3 2 3 3 4 4" xfId="2961"/>
    <cellStyle name="Normal 5 3 2 3 3 4_II_7_2 Liabilities Fcial interm" xfId="2962"/>
    <cellStyle name="Normal 5 3 2 3 3 5" xfId="2963"/>
    <cellStyle name="Normal 5 3 2 3 3 5 2" xfId="2964"/>
    <cellStyle name="Normal 5 3 2 3 3 5 3" xfId="2965"/>
    <cellStyle name="Normal 5 3 2 3 3 5_II_7_2 Liabilities Fcial interm" xfId="2966"/>
    <cellStyle name="Normal 5 3 2 3 3 6" xfId="2967"/>
    <cellStyle name="Normal 5 3 2 3 3 6 2" xfId="2968"/>
    <cellStyle name="Normal 5 3 2 3 3 7" xfId="2969"/>
    <cellStyle name="Normal 5 3 2 3 3_II_7_2 Liabilities Fcial interm" xfId="2970"/>
    <cellStyle name="Normal 5 3 2 3 4" xfId="2971"/>
    <cellStyle name="Normal 5 3 2 3 4 2" xfId="2972"/>
    <cellStyle name="Normal 5 3 2 3 4 2 2" xfId="2973"/>
    <cellStyle name="Normal 5 3 2 3 4 2 3" xfId="2974"/>
    <cellStyle name="Normal 5 3 2 3 4 2_II_7_2 Liabilities Fcial interm" xfId="2975"/>
    <cellStyle name="Normal 5 3 2 3 4 3" xfId="2976"/>
    <cellStyle name="Normal 5 3 2 3 4 3 2" xfId="2977"/>
    <cellStyle name="Normal 5 3 2 3 4 4" xfId="2978"/>
    <cellStyle name="Normal 5 3 2 3 4_II_7_2 Liabilities Fcial interm" xfId="2979"/>
    <cellStyle name="Normal 5 3 2 3 5" xfId="2980"/>
    <cellStyle name="Normal 5 3 2 3 5 2" xfId="2981"/>
    <cellStyle name="Normal 5 3 2 3 5 2 2" xfId="2982"/>
    <cellStyle name="Normal 5 3 2 3 5 2_II_7_2 Liabilities Fcial interm" xfId="2983"/>
    <cellStyle name="Normal 5 3 2 3 5 3" xfId="2984"/>
    <cellStyle name="Normal 5 3 2 3 5 4" xfId="2985"/>
    <cellStyle name="Normal 5 3 2 3 5_II_7_2 Liabilities Fcial interm" xfId="2986"/>
    <cellStyle name="Normal 5 3 2 3 6" xfId="2987"/>
    <cellStyle name="Normal 5 3 2 3 6 2" xfId="2988"/>
    <cellStyle name="Normal 5 3 2 3 6 3" xfId="2989"/>
    <cellStyle name="Normal 5 3 2 3 6 4" xfId="2990"/>
    <cellStyle name="Normal 5 3 2 3 6_II_7_2 Liabilities Fcial interm" xfId="2991"/>
    <cellStyle name="Normal 5 3 2 3 7" xfId="2992"/>
    <cellStyle name="Normal 5 3 2 3 7 2" xfId="2993"/>
    <cellStyle name="Normal 5 3 2 3 7 3" xfId="2994"/>
    <cellStyle name="Normal 5 3 2 3 7_II_7_2 Liabilities Fcial interm" xfId="2995"/>
    <cellStyle name="Normal 5 3 2 3 8" xfId="2996"/>
    <cellStyle name="Normal 5 3 2 3 8 2" xfId="2997"/>
    <cellStyle name="Normal 5 3 2 3 9" xfId="2998"/>
    <cellStyle name="Normal 5 3 2 3_II_7_2 Liabilities Fcial interm" xfId="2999"/>
    <cellStyle name="Normal 5 3 2 4" xfId="3000"/>
    <cellStyle name="Normal 5 3 2 4 2" xfId="3001"/>
    <cellStyle name="Normal 5 3 2 4 2 2" xfId="3002"/>
    <cellStyle name="Normal 5 3 2 4 2 2 2" xfId="3003"/>
    <cellStyle name="Normal 5 3 2 4 2 2_II_7_2 Liabilities Fcial interm" xfId="3004"/>
    <cellStyle name="Normal 5 3 2 4 2 3" xfId="3005"/>
    <cellStyle name="Normal 5 3 2 4 2 4" xfId="3006"/>
    <cellStyle name="Normal 5 3 2 4 2 5" xfId="3007"/>
    <cellStyle name="Normal 5 3 2 4 2_II_7_2 Liabilities Fcial interm" xfId="3008"/>
    <cellStyle name="Normal 5 3 2 4 3" xfId="3009"/>
    <cellStyle name="Normal 5 3 2 4 3 2" xfId="3010"/>
    <cellStyle name="Normal 5 3 2 4 3 3" xfId="3011"/>
    <cellStyle name="Normal 5 3 2 4 3 4" xfId="3012"/>
    <cellStyle name="Normal 5 3 2 4 3_II_7_2 Liabilities Fcial interm" xfId="3013"/>
    <cellStyle name="Normal 5 3 2 4 4" xfId="3014"/>
    <cellStyle name="Normal 5 3 2 4 4 2" xfId="3015"/>
    <cellStyle name="Normal 5 3 2 4 4 3" xfId="3016"/>
    <cellStyle name="Normal 5 3 2 4 4 4" xfId="3017"/>
    <cellStyle name="Normal 5 3 2 4 4_II_7_2 Liabilities Fcial interm" xfId="3018"/>
    <cellStyle name="Normal 5 3 2 4 5" xfId="3019"/>
    <cellStyle name="Normal 5 3 2 4 5 2" xfId="3020"/>
    <cellStyle name="Normal 5 3 2 4 5 3" xfId="3021"/>
    <cellStyle name="Normal 5 3 2 4 5 4" xfId="3022"/>
    <cellStyle name="Normal 5 3 2 4 5_II_7_2 Liabilities Fcial interm" xfId="3023"/>
    <cellStyle name="Normal 5 3 2 4 6" xfId="3024"/>
    <cellStyle name="Normal 5 3 2 4 6 2" xfId="3025"/>
    <cellStyle name="Normal 5 3 2 4 6 3" xfId="3026"/>
    <cellStyle name="Normal 5 3 2 4 6 4" xfId="3027"/>
    <cellStyle name="Normal 5 3 2 4 6_II_7_2 Liabilities Fcial interm" xfId="3028"/>
    <cellStyle name="Normal 5 3 2 4 7" xfId="3029"/>
    <cellStyle name="Normal 5 3 2 4 7 2" xfId="3030"/>
    <cellStyle name="Normal 5 3 2 4 7 3" xfId="3031"/>
    <cellStyle name="Normal 5 3 2 4 7_II_7_2 Liabilities Fcial interm" xfId="3032"/>
    <cellStyle name="Normal 5 3 2 4 8" xfId="3033"/>
    <cellStyle name="Normal 5 3 2 4 8 2" xfId="3034"/>
    <cellStyle name="Normal 5 3 2 4 9" xfId="3035"/>
    <cellStyle name="Normal 5 3 2 4_II_7_2 Liabilities Fcial interm" xfId="3036"/>
    <cellStyle name="Normal 5 3 2 5" xfId="3037"/>
    <cellStyle name="Normal 5 3 2 5 2" xfId="3038"/>
    <cellStyle name="Normal 5 3 2 5 2 2" xfId="3039"/>
    <cellStyle name="Normal 5 3 2 5 2 2 2" xfId="3040"/>
    <cellStyle name="Normal 5 3 2 5 2 2_II_7_2 Liabilities Fcial interm" xfId="3041"/>
    <cellStyle name="Normal 5 3 2 5 2 3" xfId="3042"/>
    <cellStyle name="Normal 5 3 2 5 2 4" xfId="3043"/>
    <cellStyle name="Normal 5 3 2 5 2 5" xfId="3044"/>
    <cellStyle name="Normal 5 3 2 5 2_II_7_2 Liabilities Fcial interm" xfId="3045"/>
    <cellStyle name="Normal 5 3 2 5 3" xfId="3046"/>
    <cellStyle name="Normal 5 3 2 5 3 2" xfId="3047"/>
    <cellStyle name="Normal 5 3 2 5 3 3" xfId="3048"/>
    <cellStyle name="Normal 5 3 2 5 3 4" xfId="3049"/>
    <cellStyle name="Normal 5 3 2 5 3_II_7_2 Liabilities Fcial interm" xfId="3050"/>
    <cellStyle name="Normal 5 3 2 5 4" xfId="3051"/>
    <cellStyle name="Normal 5 3 2 5 4 2" xfId="3052"/>
    <cellStyle name="Normal 5 3 2 5 4 3" xfId="3053"/>
    <cellStyle name="Normal 5 3 2 5 4 4" xfId="3054"/>
    <cellStyle name="Normal 5 3 2 5 4_II_7_2 Liabilities Fcial interm" xfId="3055"/>
    <cellStyle name="Normal 5 3 2 5 5" xfId="3056"/>
    <cellStyle name="Normal 5 3 2 5 5 2" xfId="3057"/>
    <cellStyle name="Normal 5 3 2 5 5 3" xfId="3058"/>
    <cellStyle name="Normal 5 3 2 5 5_II_7_2 Liabilities Fcial interm" xfId="3059"/>
    <cellStyle name="Normal 5 3 2 5 6" xfId="3060"/>
    <cellStyle name="Normal 5 3 2 5 6 2" xfId="3061"/>
    <cellStyle name="Normal 5 3 2 5 7" xfId="3062"/>
    <cellStyle name="Normal 5 3 2 5_II_7_2 Liabilities Fcial interm" xfId="3063"/>
    <cellStyle name="Normal 5 3 2 6" xfId="3064"/>
    <cellStyle name="Normal 5 3 2 6 2" xfId="3065"/>
    <cellStyle name="Normal 5 3 2 6 2 2" xfId="3066"/>
    <cellStyle name="Normal 5 3 2 6 2 3" xfId="3067"/>
    <cellStyle name="Normal 5 3 2 6 2_II_7_2 Liabilities Fcial interm" xfId="3068"/>
    <cellStyle name="Normal 5 3 2 6 3" xfId="3069"/>
    <cellStyle name="Normal 5 3 2 6 3 2" xfId="3070"/>
    <cellStyle name="Normal 5 3 2 6 3_II_7_2 Liabilities Fcial interm" xfId="3071"/>
    <cellStyle name="Normal 5 3 2 6 4" xfId="3072"/>
    <cellStyle name="Normal 5 3 2 6 5" xfId="3073"/>
    <cellStyle name="Normal 5 3 2 6_II_7_2 Liabilities Fcial interm" xfId="3074"/>
    <cellStyle name="Normal 5 3 2 7" xfId="3075"/>
    <cellStyle name="Normal 5 3 2 7 2" xfId="3076"/>
    <cellStyle name="Normal 5 3 2 7 2 2" xfId="3077"/>
    <cellStyle name="Normal 5 3 2 7 2_II_7_2 Liabilities Fcial interm" xfId="3078"/>
    <cellStyle name="Normal 5 3 2 7 3" xfId="3079"/>
    <cellStyle name="Normal 5 3 2 7 4" xfId="3080"/>
    <cellStyle name="Normal 5 3 2 7_II_7_2 Liabilities Fcial interm" xfId="3081"/>
    <cellStyle name="Normal 5 3 2 8" xfId="3082"/>
    <cellStyle name="Normal 5 3 2 8 2" xfId="3083"/>
    <cellStyle name="Normal 5 3 2 8 3" xfId="3084"/>
    <cellStyle name="Normal 5 3 2 8 4" xfId="3085"/>
    <cellStyle name="Normal 5 3 2 8_II_7_2 Liabilities Fcial interm" xfId="3086"/>
    <cellStyle name="Normal 5 3 2 9" xfId="3087"/>
    <cellStyle name="Normal 5 3 2 9 2" xfId="3088"/>
    <cellStyle name="Normal 5 3 2 9 3" xfId="3089"/>
    <cellStyle name="Normal 5 3 2 9 4" xfId="3090"/>
    <cellStyle name="Normal 5 3 2 9_II_7_2 Liabilities Fcial interm" xfId="3091"/>
    <cellStyle name="Normal 5 3 2_II_7_2 Liabilities Fcial interm" xfId="3092"/>
    <cellStyle name="Normal 5 3 3" xfId="3093"/>
    <cellStyle name="Normal 5 3 3 10" xfId="3094"/>
    <cellStyle name="Normal 5 3 3 10 2" xfId="3095"/>
    <cellStyle name="Normal 5 3 3 11" xfId="3096"/>
    <cellStyle name="Normal 5 3 3 12" xfId="3097"/>
    <cellStyle name="Normal 5 3 3 2" xfId="3098"/>
    <cellStyle name="Normal 5 3 3 2 10" xfId="3099"/>
    <cellStyle name="Normal 5 3 3 2 2" xfId="3100"/>
    <cellStyle name="Normal 5 3 3 2 2 2" xfId="3101"/>
    <cellStyle name="Normal 5 3 3 2 2 2 2" xfId="3102"/>
    <cellStyle name="Normal 5 3 3 2 2 2 2 2" xfId="3103"/>
    <cellStyle name="Normal 5 3 3 2 2 2 2_II_7_2 Liabilities Fcial interm" xfId="3104"/>
    <cellStyle name="Normal 5 3 3 2 2 2 3" xfId="3105"/>
    <cellStyle name="Normal 5 3 3 2 2 2 4" xfId="3106"/>
    <cellStyle name="Normal 5 3 3 2 2 2 5" xfId="3107"/>
    <cellStyle name="Normal 5 3 3 2 2 2_II_7_2 Liabilities Fcial interm" xfId="3108"/>
    <cellStyle name="Normal 5 3 3 2 2 3" xfId="3109"/>
    <cellStyle name="Normal 5 3 3 2 2 3 2" xfId="3110"/>
    <cellStyle name="Normal 5 3 3 2 2 3 3" xfId="3111"/>
    <cellStyle name="Normal 5 3 3 2 2 3 4" xfId="3112"/>
    <cellStyle name="Normal 5 3 3 2 2 3_II_7_2 Liabilities Fcial interm" xfId="3113"/>
    <cellStyle name="Normal 5 3 3 2 2 4" xfId="3114"/>
    <cellStyle name="Normal 5 3 3 2 2 4 2" xfId="3115"/>
    <cellStyle name="Normal 5 3 3 2 2 4 3" xfId="3116"/>
    <cellStyle name="Normal 5 3 3 2 2 4 4" xfId="3117"/>
    <cellStyle name="Normal 5 3 3 2 2 4_II_7_2 Liabilities Fcial interm" xfId="3118"/>
    <cellStyle name="Normal 5 3 3 2 2 5" xfId="3119"/>
    <cellStyle name="Normal 5 3 3 2 2 5 2" xfId="3120"/>
    <cellStyle name="Normal 5 3 3 2 2 5 3" xfId="3121"/>
    <cellStyle name="Normal 5 3 3 2 2 5 4" xfId="3122"/>
    <cellStyle name="Normal 5 3 3 2 2 5_II_7_2 Liabilities Fcial interm" xfId="3123"/>
    <cellStyle name="Normal 5 3 3 2 2 6" xfId="3124"/>
    <cellStyle name="Normal 5 3 3 2 2 6 2" xfId="3125"/>
    <cellStyle name="Normal 5 3 3 2 2 6 3" xfId="3126"/>
    <cellStyle name="Normal 5 3 3 2 2 6_II_7_2 Liabilities Fcial interm" xfId="3127"/>
    <cellStyle name="Normal 5 3 3 2 2 7" xfId="3128"/>
    <cellStyle name="Normal 5 3 3 2 2 7 2" xfId="3129"/>
    <cellStyle name="Normal 5 3 3 2 2 8" xfId="3130"/>
    <cellStyle name="Normal 5 3 3 2 2_II_7_2 Liabilities Fcial interm" xfId="3131"/>
    <cellStyle name="Normal 5 3 3 2 3" xfId="3132"/>
    <cellStyle name="Normal 5 3 3 2 3 2" xfId="3133"/>
    <cellStyle name="Normal 5 3 3 2 3 2 2" xfId="3134"/>
    <cellStyle name="Normal 5 3 3 2 3 2 3" xfId="3135"/>
    <cellStyle name="Normal 5 3 3 2 3 2 4" xfId="3136"/>
    <cellStyle name="Normal 5 3 3 2 3 2_II_7_2 Liabilities Fcial interm" xfId="3137"/>
    <cellStyle name="Normal 5 3 3 2 3 3" xfId="3138"/>
    <cellStyle name="Normal 5 3 3 2 3 3 2" xfId="3139"/>
    <cellStyle name="Normal 5 3 3 2 3 3 3" xfId="3140"/>
    <cellStyle name="Normal 5 3 3 2 3 3 4" xfId="3141"/>
    <cellStyle name="Normal 5 3 3 2 3 3_II_7_2 Liabilities Fcial interm" xfId="3142"/>
    <cellStyle name="Normal 5 3 3 2 3 4" xfId="3143"/>
    <cellStyle name="Normal 5 3 3 2 3 4 2" xfId="3144"/>
    <cellStyle name="Normal 5 3 3 2 3 4 3" xfId="3145"/>
    <cellStyle name="Normal 5 3 3 2 3 4 4" xfId="3146"/>
    <cellStyle name="Normal 5 3 3 2 3 4_II_7_2 Liabilities Fcial interm" xfId="3147"/>
    <cellStyle name="Normal 5 3 3 2 3 5" xfId="3148"/>
    <cellStyle name="Normal 5 3 3 2 3 5 2" xfId="3149"/>
    <cellStyle name="Normal 5 3 3 2 3 5 3" xfId="3150"/>
    <cellStyle name="Normal 5 3 3 2 3 5_II_7_2 Liabilities Fcial interm" xfId="3151"/>
    <cellStyle name="Normal 5 3 3 2 3 6" xfId="3152"/>
    <cellStyle name="Normal 5 3 3 2 3 6 2" xfId="3153"/>
    <cellStyle name="Normal 5 3 3 2 3 7" xfId="3154"/>
    <cellStyle name="Normal 5 3 3 2 3_II_7_2 Liabilities Fcial interm" xfId="3155"/>
    <cellStyle name="Normal 5 3 3 2 4" xfId="3156"/>
    <cellStyle name="Normal 5 3 3 2 4 2" xfId="3157"/>
    <cellStyle name="Normal 5 3 3 2 4 2 2" xfId="3158"/>
    <cellStyle name="Normal 5 3 3 2 4 2 3" xfId="3159"/>
    <cellStyle name="Normal 5 3 3 2 4 2_II_7_2 Liabilities Fcial interm" xfId="3160"/>
    <cellStyle name="Normal 5 3 3 2 4 3" xfId="3161"/>
    <cellStyle name="Normal 5 3 3 2 4 3 2" xfId="3162"/>
    <cellStyle name="Normal 5 3 3 2 4 4" xfId="3163"/>
    <cellStyle name="Normal 5 3 3 2 4_II_7_2 Liabilities Fcial interm" xfId="3164"/>
    <cellStyle name="Normal 5 3 3 2 5" xfId="3165"/>
    <cellStyle name="Normal 5 3 3 2 5 2" xfId="3166"/>
    <cellStyle name="Normal 5 3 3 2 5 2 2" xfId="3167"/>
    <cellStyle name="Normal 5 3 3 2 5 2_II_7_2 Liabilities Fcial interm" xfId="3168"/>
    <cellStyle name="Normal 5 3 3 2 5 3" xfId="3169"/>
    <cellStyle name="Normal 5 3 3 2 5 4" xfId="3170"/>
    <cellStyle name="Normal 5 3 3 2 5_II_7_2 Liabilities Fcial interm" xfId="3171"/>
    <cellStyle name="Normal 5 3 3 2 6" xfId="3172"/>
    <cellStyle name="Normal 5 3 3 2 6 2" xfId="3173"/>
    <cellStyle name="Normal 5 3 3 2 6 3" xfId="3174"/>
    <cellStyle name="Normal 5 3 3 2 6 4" xfId="3175"/>
    <cellStyle name="Normal 5 3 3 2 6_II_7_2 Liabilities Fcial interm" xfId="3176"/>
    <cellStyle name="Normal 5 3 3 2 7" xfId="3177"/>
    <cellStyle name="Normal 5 3 3 2 7 2" xfId="3178"/>
    <cellStyle name="Normal 5 3 3 2 7 3" xfId="3179"/>
    <cellStyle name="Normal 5 3 3 2 7_II_7_2 Liabilities Fcial interm" xfId="3180"/>
    <cellStyle name="Normal 5 3 3 2 8" xfId="3181"/>
    <cellStyle name="Normal 5 3 3 2 8 2" xfId="3182"/>
    <cellStyle name="Normal 5 3 3 2 9" xfId="3183"/>
    <cellStyle name="Normal 5 3 3 2_II_7_2 Liabilities Fcial interm" xfId="3184"/>
    <cellStyle name="Normal 5 3 3 3" xfId="3185"/>
    <cellStyle name="Normal 5 3 3 3 2" xfId="3186"/>
    <cellStyle name="Normal 5 3 3 3 2 2" xfId="3187"/>
    <cellStyle name="Normal 5 3 3 3 2 2 2" xfId="3188"/>
    <cellStyle name="Normal 5 3 3 3 2 2_II_7_2 Liabilities Fcial interm" xfId="3189"/>
    <cellStyle name="Normal 5 3 3 3 2 3" xfId="3190"/>
    <cellStyle name="Normal 5 3 3 3 2 4" xfId="3191"/>
    <cellStyle name="Normal 5 3 3 3 2 5" xfId="3192"/>
    <cellStyle name="Normal 5 3 3 3 2_II_7_2 Liabilities Fcial interm" xfId="3193"/>
    <cellStyle name="Normal 5 3 3 3 3" xfId="3194"/>
    <cellStyle name="Normal 5 3 3 3 3 2" xfId="3195"/>
    <cellStyle name="Normal 5 3 3 3 3 3" xfId="3196"/>
    <cellStyle name="Normal 5 3 3 3 3 4" xfId="3197"/>
    <cellStyle name="Normal 5 3 3 3 3_II_7_2 Liabilities Fcial interm" xfId="3198"/>
    <cellStyle name="Normal 5 3 3 3 4" xfId="3199"/>
    <cellStyle name="Normal 5 3 3 3 4 2" xfId="3200"/>
    <cellStyle name="Normal 5 3 3 3 4 3" xfId="3201"/>
    <cellStyle name="Normal 5 3 3 3 4 4" xfId="3202"/>
    <cellStyle name="Normal 5 3 3 3 4_II_7_2 Liabilities Fcial interm" xfId="3203"/>
    <cellStyle name="Normal 5 3 3 3 5" xfId="3204"/>
    <cellStyle name="Normal 5 3 3 3 5 2" xfId="3205"/>
    <cellStyle name="Normal 5 3 3 3 5 3" xfId="3206"/>
    <cellStyle name="Normal 5 3 3 3 5 4" xfId="3207"/>
    <cellStyle name="Normal 5 3 3 3 5_II_7_2 Liabilities Fcial interm" xfId="3208"/>
    <cellStyle name="Normal 5 3 3 3 6" xfId="3209"/>
    <cellStyle name="Normal 5 3 3 3 6 2" xfId="3210"/>
    <cellStyle name="Normal 5 3 3 3 6 3" xfId="3211"/>
    <cellStyle name="Normal 5 3 3 3 6 4" xfId="3212"/>
    <cellStyle name="Normal 5 3 3 3 6_II_7_2 Liabilities Fcial interm" xfId="3213"/>
    <cellStyle name="Normal 5 3 3 3 7" xfId="3214"/>
    <cellStyle name="Normal 5 3 3 3 7 2" xfId="3215"/>
    <cellStyle name="Normal 5 3 3 3 7 3" xfId="3216"/>
    <cellStyle name="Normal 5 3 3 3 7_II_7_2 Liabilities Fcial interm" xfId="3217"/>
    <cellStyle name="Normal 5 3 3 3 8" xfId="3218"/>
    <cellStyle name="Normal 5 3 3 3 8 2" xfId="3219"/>
    <cellStyle name="Normal 5 3 3 3 9" xfId="3220"/>
    <cellStyle name="Normal 5 3 3 3_II_7_2 Liabilities Fcial interm" xfId="3221"/>
    <cellStyle name="Normal 5 3 3 4" xfId="3222"/>
    <cellStyle name="Normal 5 3 3 4 2" xfId="3223"/>
    <cellStyle name="Normal 5 3 3 4 2 2" xfId="3224"/>
    <cellStyle name="Normal 5 3 3 4 2 2 2" xfId="3225"/>
    <cellStyle name="Normal 5 3 3 4 2 2_II_7_2 Liabilities Fcial interm" xfId="3226"/>
    <cellStyle name="Normal 5 3 3 4 2 3" xfId="3227"/>
    <cellStyle name="Normal 5 3 3 4 2 4" xfId="3228"/>
    <cellStyle name="Normal 5 3 3 4 2 5" xfId="3229"/>
    <cellStyle name="Normal 5 3 3 4 2_II_7_2 Liabilities Fcial interm" xfId="3230"/>
    <cellStyle name="Normal 5 3 3 4 3" xfId="3231"/>
    <cellStyle name="Normal 5 3 3 4 3 2" xfId="3232"/>
    <cellStyle name="Normal 5 3 3 4 3 3" xfId="3233"/>
    <cellStyle name="Normal 5 3 3 4 3 4" xfId="3234"/>
    <cellStyle name="Normal 5 3 3 4 3_II_7_2 Liabilities Fcial interm" xfId="3235"/>
    <cellStyle name="Normal 5 3 3 4 4" xfId="3236"/>
    <cellStyle name="Normal 5 3 3 4 4 2" xfId="3237"/>
    <cellStyle name="Normal 5 3 3 4 4 3" xfId="3238"/>
    <cellStyle name="Normal 5 3 3 4 4 4" xfId="3239"/>
    <cellStyle name="Normal 5 3 3 4 4_II_7_2 Liabilities Fcial interm" xfId="3240"/>
    <cellStyle name="Normal 5 3 3 4 5" xfId="3241"/>
    <cellStyle name="Normal 5 3 3 4 5 2" xfId="3242"/>
    <cellStyle name="Normal 5 3 3 4 5 3" xfId="3243"/>
    <cellStyle name="Normal 5 3 3 4 5_II_7_2 Liabilities Fcial interm" xfId="3244"/>
    <cellStyle name="Normal 5 3 3 4 6" xfId="3245"/>
    <cellStyle name="Normal 5 3 3 4 6 2" xfId="3246"/>
    <cellStyle name="Normal 5 3 3 4 7" xfId="3247"/>
    <cellStyle name="Normal 5 3 3 4_II_7_2 Liabilities Fcial interm" xfId="3248"/>
    <cellStyle name="Normal 5 3 3 5" xfId="3249"/>
    <cellStyle name="Normal 5 3 3 5 2" xfId="3250"/>
    <cellStyle name="Normal 5 3 3 5 2 2" xfId="3251"/>
    <cellStyle name="Normal 5 3 3 5 2 3" xfId="3252"/>
    <cellStyle name="Normal 5 3 3 5 2_II_7_2 Liabilities Fcial interm" xfId="3253"/>
    <cellStyle name="Normal 5 3 3 5 3" xfId="3254"/>
    <cellStyle name="Normal 5 3 3 5 3 2" xfId="3255"/>
    <cellStyle name="Normal 5 3 3 5 3_II_7_2 Liabilities Fcial interm" xfId="3256"/>
    <cellStyle name="Normal 5 3 3 5 4" xfId="3257"/>
    <cellStyle name="Normal 5 3 3 5 5" xfId="3258"/>
    <cellStyle name="Normal 5 3 3 5_II_7_2 Liabilities Fcial interm" xfId="3259"/>
    <cellStyle name="Normal 5 3 3 6" xfId="3260"/>
    <cellStyle name="Normal 5 3 3 6 2" xfId="3261"/>
    <cellStyle name="Normal 5 3 3 6 2 2" xfId="3262"/>
    <cellStyle name="Normal 5 3 3 6 2_II_7_2 Liabilities Fcial interm" xfId="3263"/>
    <cellStyle name="Normal 5 3 3 6 3" xfId="3264"/>
    <cellStyle name="Normal 5 3 3 6 4" xfId="3265"/>
    <cellStyle name="Normal 5 3 3 6_II_7_2 Liabilities Fcial interm" xfId="3266"/>
    <cellStyle name="Normal 5 3 3 7" xfId="3267"/>
    <cellStyle name="Normal 5 3 3 7 2" xfId="3268"/>
    <cellStyle name="Normal 5 3 3 7 3" xfId="3269"/>
    <cellStyle name="Normal 5 3 3 7 4" xfId="3270"/>
    <cellStyle name="Normal 5 3 3 7_II_7_2 Liabilities Fcial interm" xfId="3271"/>
    <cellStyle name="Normal 5 3 3 8" xfId="3272"/>
    <cellStyle name="Normal 5 3 3 8 2" xfId="3273"/>
    <cellStyle name="Normal 5 3 3 8 3" xfId="3274"/>
    <cellStyle name="Normal 5 3 3 8 4" xfId="3275"/>
    <cellStyle name="Normal 5 3 3 8_II_7_2 Liabilities Fcial interm" xfId="3276"/>
    <cellStyle name="Normal 5 3 3 9" xfId="3277"/>
    <cellStyle name="Normal 5 3 3 9 2" xfId="3278"/>
    <cellStyle name="Normal 5 3 3 9 3" xfId="3279"/>
    <cellStyle name="Normal 5 3 3 9_II_7_2 Liabilities Fcial interm" xfId="3280"/>
    <cellStyle name="Normal 5 3 3_II_7_2 Liabilities Fcial interm" xfId="3281"/>
    <cellStyle name="Normal 5 3 4" xfId="3282"/>
    <cellStyle name="Normal 5 3 4 10" xfId="3283"/>
    <cellStyle name="Normal 5 3 4 10 2" xfId="3284"/>
    <cellStyle name="Normal 5 3 4 11" xfId="3285"/>
    <cellStyle name="Normal 5 3 4 12" xfId="3286"/>
    <cellStyle name="Normal 5 3 4 2" xfId="3287"/>
    <cellStyle name="Normal 5 3 4 2 10" xfId="3288"/>
    <cellStyle name="Normal 5 3 4 2 2" xfId="3289"/>
    <cellStyle name="Normal 5 3 4 2 2 2" xfId="3290"/>
    <cellStyle name="Normal 5 3 4 2 2 2 2" xfId="3291"/>
    <cellStyle name="Normal 5 3 4 2 2 2 2 2" xfId="3292"/>
    <cellStyle name="Normal 5 3 4 2 2 2 2_II_7_2 Liabilities Fcial interm" xfId="3293"/>
    <cellStyle name="Normal 5 3 4 2 2 2 3" xfId="3294"/>
    <cellStyle name="Normal 5 3 4 2 2 2 4" xfId="3295"/>
    <cellStyle name="Normal 5 3 4 2 2 2 5" xfId="3296"/>
    <cellStyle name="Normal 5 3 4 2 2 2_II_7_2 Liabilities Fcial interm" xfId="3297"/>
    <cellStyle name="Normal 5 3 4 2 2 3" xfId="3298"/>
    <cellStyle name="Normal 5 3 4 2 2 3 2" xfId="3299"/>
    <cellStyle name="Normal 5 3 4 2 2 3 3" xfId="3300"/>
    <cellStyle name="Normal 5 3 4 2 2 3 4" xfId="3301"/>
    <cellStyle name="Normal 5 3 4 2 2 3_II_7_2 Liabilities Fcial interm" xfId="3302"/>
    <cellStyle name="Normal 5 3 4 2 2 4" xfId="3303"/>
    <cellStyle name="Normal 5 3 4 2 2 4 2" xfId="3304"/>
    <cellStyle name="Normal 5 3 4 2 2 4 3" xfId="3305"/>
    <cellStyle name="Normal 5 3 4 2 2 4 4" xfId="3306"/>
    <cellStyle name="Normal 5 3 4 2 2 4_II_7_2 Liabilities Fcial interm" xfId="3307"/>
    <cellStyle name="Normal 5 3 4 2 2 5" xfId="3308"/>
    <cellStyle name="Normal 5 3 4 2 2 5 2" xfId="3309"/>
    <cellStyle name="Normal 5 3 4 2 2 5 3" xfId="3310"/>
    <cellStyle name="Normal 5 3 4 2 2 5 4" xfId="3311"/>
    <cellStyle name="Normal 5 3 4 2 2 5_II_7_2 Liabilities Fcial interm" xfId="3312"/>
    <cellStyle name="Normal 5 3 4 2 2 6" xfId="3313"/>
    <cellStyle name="Normal 5 3 4 2 2 6 2" xfId="3314"/>
    <cellStyle name="Normal 5 3 4 2 2 6 3" xfId="3315"/>
    <cellStyle name="Normal 5 3 4 2 2 6_II_7_2 Liabilities Fcial interm" xfId="3316"/>
    <cellStyle name="Normal 5 3 4 2 2 7" xfId="3317"/>
    <cellStyle name="Normal 5 3 4 2 2 7 2" xfId="3318"/>
    <cellStyle name="Normal 5 3 4 2 2 8" xfId="3319"/>
    <cellStyle name="Normal 5 3 4 2 2_II_7_2 Liabilities Fcial interm" xfId="3320"/>
    <cellStyle name="Normal 5 3 4 2 3" xfId="3321"/>
    <cellStyle name="Normal 5 3 4 2 3 2" xfId="3322"/>
    <cellStyle name="Normal 5 3 4 2 3 2 2" xfId="3323"/>
    <cellStyle name="Normal 5 3 4 2 3 2 3" xfId="3324"/>
    <cellStyle name="Normal 5 3 4 2 3 2 4" xfId="3325"/>
    <cellStyle name="Normal 5 3 4 2 3 2_II_7_2 Liabilities Fcial interm" xfId="3326"/>
    <cellStyle name="Normal 5 3 4 2 3 3" xfId="3327"/>
    <cellStyle name="Normal 5 3 4 2 3 3 2" xfId="3328"/>
    <cellStyle name="Normal 5 3 4 2 3 3 3" xfId="3329"/>
    <cellStyle name="Normal 5 3 4 2 3 3 4" xfId="3330"/>
    <cellStyle name="Normal 5 3 4 2 3 3_II_7_2 Liabilities Fcial interm" xfId="3331"/>
    <cellStyle name="Normal 5 3 4 2 3 4" xfId="3332"/>
    <cellStyle name="Normal 5 3 4 2 3 4 2" xfId="3333"/>
    <cellStyle name="Normal 5 3 4 2 3 4 3" xfId="3334"/>
    <cellStyle name="Normal 5 3 4 2 3 4 4" xfId="3335"/>
    <cellStyle name="Normal 5 3 4 2 3 4_II_7_2 Liabilities Fcial interm" xfId="3336"/>
    <cellStyle name="Normal 5 3 4 2 3 5" xfId="3337"/>
    <cellStyle name="Normal 5 3 4 2 3 5 2" xfId="3338"/>
    <cellStyle name="Normal 5 3 4 2 3 5 3" xfId="3339"/>
    <cellStyle name="Normal 5 3 4 2 3 5_II_7_2 Liabilities Fcial interm" xfId="3340"/>
    <cellStyle name="Normal 5 3 4 2 3 6" xfId="3341"/>
    <cellStyle name="Normal 5 3 4 2 3 6 2" xfId="3342"/>
    <cellStyle name="Normal 5 3 4 2 3 7" xfId="3343"/>
    <cellStyle name="Normal 5 3 4 2 3_II_7_2 Liabilities Fcial interm" xfId="3344"/>
    <cellStyle name="Normal 5 3 4 2 4" xfId="3345"/>
    <cellStyle name="Normal 5 3 4 2 4 2" xfId="3346"/>
    <cellStyle name="Normal 5 3 4 2 4 2 2" xfId="3347"/>
    <cellStyle name="Normal 5 3 4 2 4 2 3" xfId="3348"/>
    <cellStyle name="Normal 5 3 4 2 4 2_II_7_2 Liabilities Fcial interm" xfId="3349"/>
    <cellStyle name="Normal 5 3 4 2 4 3" xfId="3350"/>
    <cellStyle name="Normal 5 3 4 2 4 3 2" xfId="3351"/>
    <cellStyle name="Normal 5 3 4 2 4 4" xfId="3352"/>
    <cellStyle name="Normal 5 3 4 2 4_II_7_2 Liabilities Fcial interm" xfId="3353"/>
    <cellStyle name="Normal 5 3 4 2 5" xfId="3354"/>
    <cellStyle name="Normal 5 3 4 2 5 2" xfId="3355"/>
    <cellStyle name="Normal 5 3 4 2 5 2 2" xfId="3356"/>
    <cellStyle name="Normal 5 3 4 2 5 2_II_7_2 Liabilities Fcial interm" xfId="3357"/>
    <cellStyle name="Normal 5 3 4 2 5 3" xfId="3358"/>
    <cellStyle name="Normal 5 3 4 2 5 4" xfId="3359"/>
    <cellStyle name="Normal 5 3 4 2 5_II_7_2 Liabilities Fcial interm" xfId="3360"/>
    <cellStyle name="Normal 5 3 4 2 6" xfId="3361"/>
    <cellStyle name="Normal 5 3 4 2 6 2" xfId="3362"/>
    <cellStyle name="Normal 5 3 4 2 6 3" xfId="3363"/>
    <cellStyle name="Normal 5 3 4 2 6 4" xfId="3364"/>
    <cellStyle name="Normal 5 3 4 2 6_II_7_2 Liabilities Fcial interm" xfId="3365"/>
    <cellStyle name="Normal 5 3 4 2 7" xfId="3366"/>
    <cellStyle name="Normal 5 3 4 2 7 2" xfId="3367"/>
    <cellStyle name="Normal 5 3 4 2 7 3" xfId="3368"/>
    <cellStyle name="Normal 5 3 4 2 7_II_7_2 Liabilities Fcial interm" xfId="3369"/>
    <cellStyle name="Normal 5 3 4 2 8" xfId="3370"/>
    <cellStyle name="Normal 5 3 4 2 8 2" xfId="3371"/>
    <cellStyle name="Normal 5 3 4 2 9" xfId="3372"/>
    <cellStyle name="Normal 5 3 4 2_II_7_2 Liabilities Fcial interm" xfId="3373"/>
    <cellStyle name="Normal 5 3 4 3" xfId="3374"/>
    <cellStyle name="Normal 5 3 4 3 2" xfId="3375"/>
    <cellStyle name="Normal 5 3 4 3 2 2" xfId="3376"/>
    <cellStyle name="Normal 5 3 4 3 2 2 2" xfId="3377"/>
    <cellStyle name="Normal 5 3 4 3 2 2_II_7_2 Liabilities Fcial interm" xfId="3378"/>
    <cellStyle name="Normal 5 3 4 3 2 3" xfId="3379"/>
    <cellStyle name="Normal 5 3 4 3 2 4" xfId="3380"/>
    <cellStyle name="Normal 5 3 4 3 2 5" xfId="3381"/>
    <cellStyle name="Normal 5 3 4 3 2_II_7_2 Liabilities Fcial interm" xfId="3382"/>
    <cellStyle name="Normal 5 3 4 3 3" xfId="3383"/>
    <cellStyle name="Normal 5 3 4 3 3 2" xfId="3384"/>
    <cellStyle name="Normal 5 3 4 3 3 3" xfId="3385"/>
    <cellStyle name="Normal 5 3 4 3 3 4" xfId="3386"/>
    <cellStyle name="Normal 5 3 4 3 3_II_7_2 Liabilities Fcial interm" xfId="3387"/>
    <cellStyle name="Normal 5 3 4 3 4" xfId="3388"/>
    <cellStyle name="Normal 5 3 4 3 4 2" xfId="3389"/>
    <cellStyle name="Normal 5 3 4 3 4 3" xfId="3390"/>
    <cellStyle name="Normal 5 3 4 3 4 4" xfId="3391"/>
    <cellStyle name="Normal 5 3 4 3 4_II_7_2 Liabilities Fcial interm" xfId="3392"/>
    <cellStyle name="Normal 5 3 4 3 5" xfId="3393"/>
    <cellStyle name="Normal 5 3 4 3 5 2" xfId="3394"/>
    <cellStyle name="Normal 5 3 4 3 5 3" xfId="3395"/>
    <cellStyle name="Normal 5 3 4 3 5 4" xfId="3396"/>
    <cellStyle name="Normal 5 3 4 3 5_II_7_2 Liabilities Fcial interm" xfId="3397"/>
    <cellStyle name="Normal 5 3 4 3 6" xfId="3398"/>
    <cellStyle name="Normal 5 3 4 3 6 2" xfId="3399"/>
    <cellStyle name="Normal 5 3 4 3 6 3" xfId="3400"/>
    <cellStyle name="Normal 5 3 4 3 6 4" xfId="3401"/>
    <cellStyle name="Normal 5 3 4 3 6_II_7_2 Liabilities Fcial interm" xfId="3402"/>
    <cellStyle name="Normal 5 3 4 3 7" xfId="3403"/>
    <cellStyle name="Normal 5 3 4 3 7 2" xfId="3404"/>
    <cellStyle name="Normal 5 3 4 3 7 3" xfId="3405"/>
    <cellStyle name="Normal 5 3 4 3 7_II_7_2 Liabilities Fcial interm" xfId="3406"/>
    <cellStyle name="Normal 5 3 4 3 8" xfId="3407"/>
    <cellStyle name="Normal 5 3 4 3 8 2" xfId="3408"/>
    <cellStyle name="Normal 5 3 4 3 9" xfId="3409"/>
    <cellStyle name="Normal 5 3 4 3_II_7_2 Liabilities Fcial interm" xfId="3410"/>
    <cellStyle name="Normal 5 3 4 4" xfId="3411"/>
    <cellStyle name="Normal 5 3 4 4 2" xfId="3412"/>
    <cellStyle name="Normal 5 3 4 4 2 2" xfId="3413"/>
    <cellStyle name="Normal 5 3 4 4 2 2 2" xfId="3414"/>
    <cellStyle name="Normal 5 3 4 4 2 2_II_7_2 Liabilities Fcial interm" xfId="3415"/>
    <cellStyle name="Normal 5 3 4 4 2 3" xfId="3416"/>
    <cellStyle name="Normal 5 3 4 4 2 4" xfId="3417"/>
    <cellStyle name="Normal 5 3 4 4 2 5" xfId="3418"/>
    <cellStyle name="Normal 5 3 4 4 2_II_7_2 Liabilities Fcial interm" xfId="3419"/>
    <cellStyle name="Normal 5 3 4 4 3" xfId="3420"/>
    <cellStyle name="Normal 5 3 4 4 3 2" xfId="3421"/>
    <cellStyle name="Normal 5 3 4 4 3 3" xfId="3422"/>
    <cellStyle name="Normal 5 3 4 4 3 4" xfId="3423"/>
    <cellStyle name="Normal 5 3 4 4 3_II_7_2 Liabilities Fcial interm" xfId="3424"/>
    <cellStyle name="Normal 5 3 4 4 4" xfId="3425"/>
    <cellStyle name="Normal 5 3 4 4 4 2" xfId="3426"/>
    <cellStyle name="Normal 5 3 4 4 4 3" xfId="3427"/>
    <cellStyle name="Normal 5 3 4 4 4 4" xfId="3428"/>
    <cellStyle name="Normal 5 3 4 4 4_II_7_2 Liabilities Fcial interm" xfId="3429"/>
    <cellStyle name="Normal 5 3 4 4 5" xfId="3430"/>
    <cellStyle name="Normal 5 3 4 4 5 2" xfId="3431"/>
    <cellStyle name="Normal 5 3 4 4 5 3" xfId="3432"/>
    <cellStyle name="Normal 5 3 4 4 5_II_7_2 Liabilities Fcial interm" xfId="3433"/>
    <cellStyle name="Normal 5 3 4 4 6" xfId="3434"/>
    <cellStyle name="Normal 5 3 4 4 6 2" xfId="3435"/>
    <cellStyle name="Normal 5 3 4 4 7" xfId="3436"/>
    <cellStyle name="Normal 5 3 4 4_II_7_2 Liabilities Fcial interm" xfId="3437"/>
    <cellStyle name="Normal 5 3 4 5" xfId="3438"/>
    <cellStyle name="Normal 5 3 4 5 2" xfId="3439"/>
    <cellStyle name="Normal 5 3 4 5 2 2" xfId="3440"/>
    <cellStyle name="Normal 5 3 4 5 2 3" xfId="3441"/>
    <cellStyle name="Normal 5 3 4 5 2_II_7_2 Liabilities Fcial interm" xfId="3442"/>
    <cellStyle name="Normal 5 3 4 5 3" xfId="3443"/>
    <cellStyle name="Normal 5 3 4 5 3 2" xfId="3444"/>
    <cellStyle name="Normal 5 3 4 5 3_II_7_2 Liabilities Fcial interm" xfId="3445"/>
    <cellStyle name="Normal 5 3 4 5 4" xfId="3446"/>
    <cellStyle name="Normal 5 3 4 5 5" xfId="3447"/>
    <cellStyle name="Normal 5 3 4 5_II_7_2 Liabilities Fcial interm" xfId="3448"/>
    <cellStyle name="Normal 5 3 4 6" xfId="3449"/>
    <cellStyle name="Normal 5 3 4 6 2" xfId="3450"/>
    <cellStyle name="Normal 5 3 4 6 2 2" xfId="3451"/>
    <cellStyle name="Normal 5 3 4 6 2_II_7_2 Liabilities Fcial interm" xfId="3452"/>
    <cellStyle name="Normal 5 3 4 6 3" xfId="3453"/>
    <cellStyle name="Normal 5 3 4 6 4" xfId="3454"/>
    <cellStyle name="Normal 5 3 4 6_II_7_2 Liabilities Fcial interm" xfId="3455"/>
    <cellStyle name="Normal 5 3 4 7" xfId="3456"/>
    <cellStyle name="Normal 5 3 4 7 2" xfId="3457"/>
    <cellStyle name="Normal 5 3 4 7 3" xfId="3458"/>
    <cellStyle name="Normal 5 3 4 7 4" xfId="3459"/>
    <cellStyle name="Normal 5 3 4 7_II_7_2 Liabilities Fcial interm" xfId="3460"/>
    <cellStyle name="Normal 5 3 4 8" xfId="3461"/>
    <cellStyle name="Normal 5 3 4 8 2" xfId="3462"/>
    <cellStyle name="Normal 5 3 4 8 3" xfId="3463"/>
    <cellStyle name="Normal 5 3 4 8 4" xfId="3464"/>
    <cellStyle name="Normal 5 3 4 8_II_7_2 Liabilities Fcial interm" xfId="3465"/>
    <cellStyle name="Normal 5 3 4 9" xfId="3466"/>
    <cellStyle name="Normal 5 3 4 9 2" xfId="3467"/>
    <cellStyle name="Normal 5 3 4 9 3" xfId="3468"/>
    <cellStyle name="Normal 5 3 4 9_II_7_2 Liabilities Fcial interm" xfId="3469"/>
    <cellStyle name="Normal 5 3 4_II_7_2 Liabilities Fcial interm" xfId="3470"/>
    <cellStyle name="Normal 5 4" xfId="3471"/>
    <cellStyle name="Normal 5 4 2" xfId="3472"/>
    <cellStyle name="Normal 5 4 2 10" xfId="3473"/>
    <cellStyle name="Normal 5 4 2 10 2" xfId="3474"/>
    <cellStyle name="Normal 5 4 2 11" xfId="3475"/>
    <cellStyle name="Normal 5 4 2 12" xfId="3476"/>
    <cellStyle name="Normal 5 4 2 2" xfId="3477"/>
    <cellStyle name="Normal 5 4 2 2 10" xfId="3478"/>
    <cellStyle name="Normal 5 4 2 2 2" xfId="3479"/>
    <cellStyle name="Normal 5 4 2 2 2 2" xfId="3480"/>
    <cellStyle name="Normal 5 4 2 2 2 2 2" xfId="3481"/>
    <cellStyle name="Normal 5 4 2 2 2 2 2 2" xfId="3482"/>
    <cellStyle name="Normal 5 4 2 2 2 2 2_II_7_2 Liabilities Fcial interm" xfId="3483"/>
    <cellStyle name="Normal 5 4 2 2 2 2 3" xfId="3484"/>
    <cellStyle name="Normal 5 4 2 2 2 2 4" xfId="3485"/>
    <cellStyle name="Normal 5 4 2 2 2 2 5" xfId="3486"/>
    <cellStyle name="Normal 5 4 2 2 2 2_II_7_2 Liabilities Fcial interm" xfId="3487"/>
    <cellStyle name="Normal 5 4 2 2 2 3" xfId="3488"/>
    <cellStyle name="Normal 5 4 2 2 2 3 2" xfId="3489"/>
    <cellStyle name="Normal 5 4 2 2 2 3 3" xfId="3490"/>
    <cellStyle name="Normal 5 4 2 2 2 3 4" xfId="3491"/>
    <cellStyle name="Normal 5 4 2 2 2 3_II_7_2 Liabilities Fcial interm" xfId="3492"/>
    <cellStyle name="Normal 5 4 2 2 2 4" xfId="3493"/>
    <cellStyle name="Normal 5 4 2 2 2 4 2" xfId="3494"/>
    <cellStyle name="Normal 5 4 2 2 2 4 3" xfId="3495"/>
    <cellStyle name="Normal 5 4 2 2 2 4 4" xfId="3496"/>
    <cellStyle name="Normal 5 4 2 2 2 4_II_7_2 Liabilities Fcial interm" xfId="3497"/>
    <cellStyle name="Normal 5 4 2 2 2 5" xfId="3498"/>
    <cellStyle name="Normal 5 4 2 2 2 5 2" xfId="3499"/>
    <cellStyle name="Normal 5 4 2 2 2 5 3" xfId="3500"/>
    <cellStyle name="Normal 5 4 2 2 2 5 4" xfId="3501"/>
    <cellStyle name="Normal 5 4 2 2 2 5_II_7_2 Liabilities Fcial interm" xfId="3502"/>
    <cellStyle name="Normal 5 4 2 2 2 6" xfId="3503"/>
    <cellStyle name="Normal 5 4 2 2 2 6 2" xfId="3504"/>
    <cellStyle name="Normal 5 4 2 2 2 6 3" xfId="3505"/>
    <cellStyle name="Normal 5 4 2 2 2 6_II_7_2 Liabilities Fcial interm" xfId="3506"/>
    <cellStyle name="Normal 5 4 2 2 2 7" xfId="3507"/>
    <cellStyle name="Normal 5 4 2 2 2 7 2" xfId="3508"/>
    <cellStyle name="Normal 5 4 2 2 2 8" xfId="3509"/>
    <cellStyle name="Normal 5 4 2 2 2_II_7_2 Liabilities Fcial interm" xfId="3510"/>
    <cellStyle name="Normal 5 4 2 2 3" xfId="3511"/>
    <cellStyle name="Normal 5 4 2 2 3 2" xfId="3512"/>
    <cellStyle name="Normal 5 4 2 2 3 2 2" xfId="3513"/>
    <cellStyle name="Normal 5 4 2 2 3 2 3" xfId="3514"/>
    <cellStyle name="Normal 5 4 2 2 3 2 4" xfId="3515"/>
    <cellStyle name="Normal 5 4 2 2 3 2_II_7_2 Liabilities Fcial interm" xfId="3516"/>
    <cellStyle name="Normal 5 4 2 2 3 3" xfId="3517"/>
    <cellStyle name="Normal 5 4 2 2 3 3 2" xfId="3518"/>
    <cellStyle name="Normal 5 4 2 2 3 3 3" xfId="3519"/>
    <cellStyle name="Normal 5 4 2 2 3 3 4" xfId="3520"/>
    <cellStyle name="Normal 5 4 2 2 3 3_II_7_2 Liabilities Fcial interm" xfId="3521"/>
    <cellStyle name="Normal 5 4 2 2 3 4" xfId="3522"/>
    <cellStyle name="Normal 5 4 2 2 3 4 2" xfId="3523"/>
    <cellStyle name="Normal 5 4 2 2 3 4 3" xfId="3524"/>
    <cellStyle name="Normal 5 4 2 2 3 4 4" xfId="3525"/>
    <cellStyle name="Normal 5 4 2 2 3 4_II_7_2 Liabilities Fcial interm" xfId="3526"/>
    <cellStyle name="Normal 5 4 2 2 3 5" xfId="3527"/>
    <cellStyle name="Normal 5 4 2 2 3 5 2" xfId="3528"/>
    <cellStyle name="Normal 5 4 2 2 3 5 3" xfId="3529"/>
    <cellStyle name="Normal 5 4 2 2 3 5_II_7_2 Liabilities Fcial interm" xfId="3530"/>
    <cellStyle name="Normal 5 4 2 2 3 6" xfId="3531"/>
    <cellStyle name="Normal 5 4 2 2 3 6 2" xfId="3532"/>
    <cellStyle name="Normal 5 4 2 2 3 7" xfId="3533"/>
    <cellStyle name="Normal 5 4 2 2 3_II_7_2 Liabilities Fcial interm" xfId="3534"/>
    <cellStyle name="Normal 5 4 2 2 4" xfId="3535"/>
    <cellStyle name="Normal 5 4 2 2 4 2" xfId="3536"/>
    <cellStyle name="Normal 5 4 2 2 4 2 2" xfId="3537"/>
    <cellStyle name="Normal 5 4 2 2 4 2 3" xfId="3538"/>
    <cellStyle name="Normal 5 4 2 2 4 2_II_7_2 Liabilities Fcial interm" xfId="3539"/>
    <cellStyle name="Normal 5 4 2 2 4 3" xfId="3540"/>
    <cellStyle name="Normal 5 4 2 2 4 3 2" xfId="3541"/>
    <cellStyle name="Normal 5 4 2 2 4 4" xfId="3542"/>
    <cellStyle name="Normal 5 4 2 2 4_II_7_2 Liabilities Fcial interm" xfId="3543"/>
    <cellStyle name="Normal 5 4 2 2 5" xfId="3544"/>
    <cellStyle name="Normal 5 4 2 2 5 2" xfId="3545"/>
    <cellStyle name="Normal 5 4 2 2 5 2 2" xfId="3546"/>
    <cellStyle name="Normal 5 4 2 2 5 2_II_7_2 Liabilities Fcial interm" xfId="3547"/>
    <cellStyle name="Normal 5 4 2 2 5 3" xfId="3548"/>
    <cellStyle name="Normal 5 4 2 2 5 4" xfId="3549"/>
    <cellStyle name="Normal 5 4 2 2 5_II_7_2 Liabilities Fcial interm" xfId="3550"/>
    <cellStyle name="Normal 5 4 2 2 6" xfId="3551"/>
    <cellStyle name="Normal 5 4 2 2 6 2" xfId="3552"/>
    <cellStyle name="Normal 5 4 2 2 6 3" xfId="3553"/>
    <cellStyle name="Normal 5 4 2 2 6 4" xfId="3554"/>
    <cellStyle name="Normal 5 4 2 2 6_II_7_2 Liabilities Fcial interm" xfId="3555"/>
    <cellStyle name="Normal 5 4 2 2 7" xfId="3556"/>
    <cellStyle name="Normal 5 4 2 2 7 2" xfId="3557"/>
    <cellStyle name="Normal 5 4 2 2 7 3" xfId="3558"/>
    <cellStyle name="Normal 5 4 2 2 7_II_7_2 Liabilities Fcial interm" xfId="3559"/>
    <cellStyle name="Normal 5 4 2 2 8" xfId="3560"/>
    <cellStyle name="Normal 5 4 2 2 8 2" xfId="3561"/>
    <cellStyle name="Normal 5 4 2 2 9" xfId="3562"/>
    <cellStyle name="Normal 5 4 2 2_II_7_2 Liabilities Fcial interm" xfId="3563"/>
    <cellStyle name="Normal 5 4 2 3" xfId="3564"/>
    <cellStyle name="Normal 5 4 2 3 2" xfId="3565"/>
    <cellStyle name="Normal 5 4 2 3 2 2" xfId="3566"/>
    <cellStyle name="Normal 5 4 2 3 2 2 2" xfId="3567"/>
    <cellStyle name="Normal 5 4 2 3 2 2_II_7_2 Liabilities Fcial interm" xfId="3568"/>
    <cellStyle name="Normal 5 4 2 3 2 3" xfId="3569"/>
    <cellStyle name="Normal 5 4 2 3 2 4" xfId="3570"/>
    <cellStyle name="Normal 5 4 2 3 2 5" xfId="3571"/>
    <cellStyle name="Normal 5 4 2 3 2_II_7_2 Liabilities Fcial interm" xfId="3572"/>
    <cellStyle name="Normal 5 4 2 3 3" xfId="3573"/>
    <cellStyle name="Normal 5 4 2 3 3 2" xfId="3574"/>
    <cellStyle name="Normal 5 4 2 3 3 3" xfId="3575"/>
    <cellStyle name="Normal 5 4 2 3 3 4" xfId="3576"/>
    <cellStyle name="Normal 5 4 2 3 3_II_7_2 Liabilities Fcial interm" xfId="3577"/>
    <cellStyle name="Normal 5 4 2 3 4" xfId="3578"/>
    <cellStyle name="Normal 5 4 2 3 4 2" xfId="3579"/>
    <cellStyle name="Normal 5 4 2 3 4 3" xfId="3580"/>
    <cellStyle name="Normal 5 4 2 3 4 4" xfId="3581"/>
    <cellStyle name="Normal 5 4 2 3 4_II_7_2 Liabilities Fcial interm" xfId="3582"/>
    <cellStyle name="Normal 5 4 2 3 5" xfId="3583"/>
    <cellStyle name="Normal 5 4 2 3 5 2" xfId="3584"/>
    <cellStyle name="Normal 5 4 2 3 5 3" xfId="3585"/>
    <cellStyle name="Normal 5 4 2 3 5 4" xfId="3586"/>
    <cellStyle name="Normal 5 4 2 3 5_II_7_2 Liabilities Fcial interm" xfId="3587"/>
    <cellStyle name="Normal 5 4 2 3 6" xfId="3588"/>
    <cellStyle name="Normal 5 4 2 3 6 2" xfId="3589"/>
    <cellStyle name="Normal 5 4 2 3 6 3" xfId="3590"/>
    <cellStyle name="Normal 5 4 2 3 6 4" xfId="3591"/>
    <cellStyle name="Normal 5 4 2 3 6_II_7_2 Liabilities Fcial interm" xfId="3592"/>
    <cellStyle name="Normal 5 4 2 3 7" xfId="3593"/>
    <cellStyle name="Normal 5 4 2 3 7 2" xfId="3594"/>
    <cellStyle name="Normal 5 4 2 3 7 3" xfId="3595"/>
    <cellStyle name="Normal 5 4 2 3 7_II_7_2 Liabilities Fcial interm" xfId="3596"/>
    <cellStyle name="Normal 5 4 2 3 8" xfId="3597"/>
    <cellStyle name="Normal 5 4 2 3 8 2" xfId="3598"/>
    <cellStyle name="Normal 5 4 2 3 9" xfId="3599"/>
    <cellStyle name="Normal 5 4 2 3_II_7_2 Liabilities Fcial interm" xfId="3600"/>
    <cellStyle name="Normal 5 4 2 4" xfId="3601"/>
    <cellStyle name="Normal 5 4 2 4 2" xfId="3602"/>
    <cellStyle name="Normal 5 4 2 4 2 2" xfId="3603"/>
    <cellStyle name="Normal 5 4 2 4 2 2 2" xfId="3604"/>
    <cellStyle name="Normal 5 4 2 4 2 2_II_7_2 Liabilities Fcial interm" xfId="3605"/>
    <cellStyle name="Normal 5 4 2 4 2 3" xfId="3606"/>
    <cellStyle name="Normal 5 4 2 4 2 4" xfId="3607"/>
    <cellStyle name="Normal 5 4 2 4 2 5" xfId="3608"/>
    <cellStyle name="Normal 5 4 2 4 2_II_7_2 Liabilities Fcial interm" xfId="3609"/>
    <cellStyle name="Normal 5 4 2 4 3" xfId="3610"/>
    <cellStyle name="Normal 5 4 2 4 3 2" xfId="3611"/>
    <cellStyle name="Normal 5 4 2 4 3 3" xfId="3612"/>
    <cellStyle name="Normal 5 4 2 4 3 4" xfId="3613"/>
    <cellStyle name="Normal 5 4 2 4 3_II_7_2 Liabilities Fcial interm" xfId="3614"/>
    <cellStyle name="Normal 5 4 2 4 4" xfId="3615"/>
    <cellStyle name="Normal 5 4 2 4 4 2" xfId="3616"/>
    <cellStyle name="Normal 5 4 2 4 4 3" xfId="3617"/>
    <cellStyle name="Normal 5 4 2 4 4 4" xfId="3618"/>
    <cellStyle name="Normal 5 4 2 4 4_II_7_2 Liabilities Fcial interm" xfId="3619"/>
    <cellStyle name="Normal 5 4 2 4 5" xfId="3620"/>
    <cellStyle name="Normal 5 4 2 4 5 2" xfId="3621"/>
    <cellStyle name="Normal 5 4 2 4 5 3" xfId="3622"/>
    <cellStyle name="Normal 5 4 2 4 5_II_7_2 Liabilities Fcial interm" xfId="3623"/>
    <cellStyle name="Normal 5 4 2 4 6" xfId="3624"/>
    <cellStyle name="Normal 5 4 2 4 6 2" xfId="3625"/>
    <cellStyle name="Normal 5 4 2 4 7" xfId="3626"/>
    <cellStyle name="Normal 5 4 2 4_II_7_2 Liabilities Fcial interm" xfId="3627"/>
    <cellStyle name="Normal 5 4 2 5" xfId="3628"/>
    <cellStyle name="Normal 5 4 2 5 2" xfId="3629"/>
    <cellStyle name="Normal 5 4 2 5 2 2" xfId="3630"/>
    <cellStyle name="Normal 5 4 2 5 2 3" xfId="3631"/>
    <cellStyle name="Normal 5 4 2 5 2_II_7_2 Liabilities Fcial interm" xfId="3632"/>
    <cellStyle name="Normal 5 4 2 5 3" xfId="3633"/>
    <cellStyle name="Normal 5 4 2 5 3 2" xfId="3634"/>
    <cellStyle name="Normal 5 4 2 5 3_II_7_2 Liabilities Fcial interm" xfId="3635"/>
    <cellStyle name="Normal 5 4 2 5 4" xfId="3636"/>
    <cellStyle name="Normal 5 4 2 5 5" xfId="3637"/>
    <cellStyle name="Normal 5 4 2 5_II_7_2 Liabilities Fcial interm" xfId="3638"/>
    <cellStyle name="Normal 5 4 2 6" xfId="3639"/>
    <cellStyle name="Normal 5 4 2 6 2" xfId="3640"/>
    <cellStyle name="Normal 5 4 2 6 2 2" xfId="3641"/>
    <cellStyle name="Normal 5 4 2 6 2_II_7_2 Liabilities Fcial interm" xfId="3642"/>
    <cellStyle name="Normal 5 4 2 6 3" xfId="3643"/>
    <cellStyle name="Normal 5 4 2 6 4" xfId="3644"/>
    <cellStyle name="Normal 5 4 2 6_II_7_2 Liabilities Fcial interm" xfId="3645"/>
    <cellStyle name="Normal 5 4 2 7" xfId="3646"/>
    <cellStyle name="Normal 5 4 2 7 2" xfId="3647"/>
    <cellStyle name="Normal 5 4 2 7 3" xfId="3648"/>
    <cellStyle name="Normal 5 4 2 7 4" xfId="3649"/>
    <cellStyle name="Normal 5 4 2 7_II_7_2 Liabilities Fcial interm" xfId="3650"/>
    <cellStyle name="Normal 5 4 2 8" xfId="3651"/>
    <cellStyle name="Normal 5 4 2 8 2" xfId="3652"/>
    <cellStyle name="Normal 5 4 2 8 3" xfId="3653"/>
    <cellStyle name="Normal 5 4 2 8 4" xfId="3654"/>
    <cellStyle name="Normal 5 4 2 8_II_7_2 Liabilities Fcial interm" xfId="3655"/>
    <cellStyle name="Normal 5 4 2 9" xfId="3656"/>
    <cellStyle name="Normal 5 4 2 9 2" xfId="3657"/>
    <cellStyle name="Normal 5 4 2 9 3" xfId="3658"/>
    <cellStyle name="Normal 5 4 2 9_II_7_2 Liabilities Fcial interm" xfId="3659"/>
    <cellStyle name="Normal 5 4 2_II_7_2 Liabilities Fcial interm" xfId="3660"/>
    <cellStyle name="Normal 5 4 3" xfId="3661"/>
    <cellStyle name="Normal 5 4 3 10" xfId="3662"/>
    <cellStyle name="Normal 5 4 3 10 2" xfId="3663"/>
    <cellStyle name="Normal 5 4 3 11" xfId="3664"/>
    <cellStyle name="Normal 5 4 3 12" xfId="3665"/>
    <cellStyle name="Normal 5 4 3 2" xfId="3666"/>
    <cellStyle name="Normal 5 4 3 2 10" xfId="3667"/>
    <cellStyle name="Normal 5 4 3 2 2" xfId="3668"/>
    <cellStyle name="Normal 5 4 3 2 2 2" xfId="3669"/>
    <cellStyle name="Normal 5 4 3 2 2 2 2" xfId="3670"/>
    <cellStyle name="Normal 5 4 3 2 2 2 2 2" xfId="3671"/>
    <cellStyle name="Normal 5 4 3 2 2 2 2_II_7_2 Liabilities Fcial interm" xfId="3672"/>
    <cellStyle name="Normal 5 4 3 2 2 2 3" xfId="3673"/>
    <cellStyle name="Normal 5 4 3 2 2 2 4" xfId="3674"/>
    <cellStyle name="Normal 5 4 3 2 2 2 5" xfId="3675"/>
    <cellStyle name="Normal 5 4 3 2 2 2_II_7_2 Liabilities Fcial interm" xfId="3676"/>
    <cellStyle name="Normal 5 4 3 2 2 3" xfId="3677"/>
    <cellStyle name="Normal 5 4 3 2 2 3 2" xfId="3678"/>
    <cellStyle name="Normal 5 4 3 2 2 3 3" xfId="3679"/>
    <cellStyle name="Normal 5 4 3 2 2 3 4" xfId="3680"/>
    <cellStyle name="Normal 5 4 3 2 2 3_II_7_2 Liabilities Fcial interm" xfId="3681"/>
    <cellStyle name="Normal 5 4 3 2 2 4" xfId="3682"/>
    <cellStyle name="Normal 5 4 3 2 2 4 2" xfId="3683"/>
    <cellStyle name="Normal 5 4 3 2 2 4 3" xfId="3684"/>
    <cellStyle name="Normal 5 4 3 2 2 4 4" xfId="3685"/>
    <cellStyle name="Normal 5 4 3 2 2 4_II_7_2 Liabilities Fcial interm" xfId="3686"/>
    <cellStyle name="Normal 5 4 3 2 2 5" xfId="3687"/>
    <cellStyle name="Normal 5 4 3 2 2 5 2" xfId="3688"/>
    <cellStyle name="Normal 5 4 3 2 2 5 3" xfId="3689"/>
    <cellStyle name="Normal 5 4 3 2 2 5 4" xfId="3690"/>
    <cellStyle name="Normal 5 4 3 2 2 5_II_7_2 Liabilities Fcial interm" xfId="3691"/>
    <cellStyle name="Normal 5 4 3 2 2 6" xfId="3692"/>
    <cellStyle name="Normal 5 4 3 2 2 6 2" xfId="3693"/>
    <cellStyle name="Normal 5 4 3 2 2 6 3" xfId="3694"/>
    <cellStyle name="Normal 5 4 3 2 2 6_II_7_2 Liabilities Fcial interm" xfId="3695"/>
    <cellStyle name="Normal 5 4 3 2 2 7" xfId="3696"/>
    <cellStyle name="Normal 5 4 3 2 2 7 2" xfId="3697"/>
    <cellStyle name="Normal 5 4 3 2 2 8" xfId="3698"/>
    <cellStyle name="Normal 5 4 3 2 2_II_7_2 Liabilities Fcial interm" xfId="3699"/>
    <cellStyle name="Normal 5 4 3 2 3" xfId="3700"/>
    <cellStyle name="Normal 5 4 3 2 3 2" xfId="3701"/>
    <cellStyle name="Normal 5 4 3 2 3 2 2" xfId="3702"/>
    <cellStyle name="Normal 5 4 3 2 3 2 3" xfId="3703"/>
    <cellStyle name="Normal 5 4 3 2 3 2 4" xfId="3704"/>
    <cellStyle name="Normal 5 4 3 2 3 2_II_7_2 Liabilities Fcial interm" xfId="3705"/>
    <cellStyle name="Normal 5 4 3 2 3 3" xfId="3706"/>
    <cellStyle name="Normal 5 4 3 2 3 3 2" xfId="3707"/>
    <cellStyle name="Normal 5 4 3 2 3 3 3" xfId="3708"/>
    <cellStyle name="Normal 5 4 3 2 3 3 4" xfId="3709"/>
    <cellStyle name="Normal 5 4 3 2 3 3_II_7_2 Liabilities Fcial interm" xfId="3710"/>
    <cellStyle name="Normal 5 4 3 2 3 4" xfId="3711"/>
    <cellStyle name="Normal 5 4 3 2 3 4 2" xfId="3712"/>
    <cellStyle name="Normal 5 4 3 2 3 4 3" xfId="3713"/>
    <cellStyle name="Normal 5 4 3 2 3 4 4" xfId="3714"/>
    <cellStyle name="Normal 5 4 3 2 3 4_II_7_2 Liabilities Fcial interm" xfId="3715"/>
    <cellStyle name="Normal 5 4 3 2 3 5" xfId="3716"/>
    <cellStyle name="Normal 5 4 3 2 3 5 2" xfId="3717"/>
    <cellStyle name="Normal 5 4 3 2 3 5 3" xfId="3718"/>
    <cellStyle name="Normal 5 4 3 2 3 5_II_7_2 Liabilities Fcial interm" xfId="3719"/>
    <cellStyle name="Normal 5 4 3 2 3 6" xfId="3720"/>
    <cellStyle name="Normal 5 4 3 2 3 6 2" xfId="3721"/>
    <cellStyle name="Normal 5 4 3 2 3 7" xfId="3722"/>
    <cellStyle name="Normal 5 4 3 2 3_II_7_2 Liabilities Fcial interm" xfId="3723"/>
    <cellStyle name="Normal 5 4 3 2 4" xfId="3724"/>
    <cellStyle name="Normal 5 4 3 2 4 2" xfId="3725"/>
    <cellStyle name="Normal 5 4 3 2 4 2 2" xfId="3726"/>
    <cellStyle name="Normal 5 4 3 2 4 2 3" xfId="3727"/>
    <cellStyle name="Normal 5 4 3 2 4 2_II_7_2 Liabilities Fcial interm" xfId="3728"/>
    <cellStyle name="Normal 5 4 3 2 4 3" xfId="3729"/>
    <cellStyle name="Normal 5 4 3 2 4 3 2" xfId="3730"/>
    <cellStyle name="Normal 5 4 3 2 4 4" xfId="3731"/>
    <cellStyle name="Normal 5 4 3 2 4_II_7_2 Liabilities Fcial interm" xfId="3732"/>
    <cellStyle name="Normal 5 4 3 2 5" xfId="3733"/>
    <cellStyle name="Normal 5 4 3 2 5 2" xfId="3734"/>
    <cellStyle name="Normal 5 4 3 2 5 2 2" xfId="3735"/>
    <cellStyle name="Normal 5 4 3 2 5 2_II_7_2 Liabilities Fcial interm" xfId="3736"/>
    <cellStyle name="Normal 5 4 3 2 5 3" xfId="3737"/>
    <cellStyle name="Normal 5 4 3 2 5 4" xfId="3738"/>
    <cellStyle name="Normal 5 4 3 2 5_II_7_2 Liabilities Fcial interm" xfId="3739"/>
    <cellStyle name="Normal 5 4 3 2 6" xfId="3740"/>
    <cellStyle name="Normal 5 4 3 2 6 2" xfId="3741"/>
    <cellStyle name="Normal 5 4 3 2 6 3" xfId="3742"/>
    <cellStyle name="Normal 5 4 3 2 6 4" xfId="3743"/>
    <cellStyle name="Normal 5 4 3 2 6_II_7_2 Liabilities Fcial interm" xfId="3744"/>
    <cellStyle name="Normal 5 4 3 2 7" xfId="3745"/>
    <cellStyle name="Normal 5 4 3 2 7 2" xfId="3746"/>
    <cellStyle name="Normal 5 4 3 2 7 3" xfId="3747"/>
    <cellStyle name="Normal 5 4 3 2 7_II_7_2 Liabilities Fcial interm" xfId="3748"/>
    <cellStyle name="Normal 5 4 3 2 8" xfId="3749"/>
    <cellStyle name="Normal 5 4 3 2 8 2" xfId="3750"/>
    <cellStyle name="Normal 5 4 3 2 9" xfId="3751"/>
    <cellStyle name="Normal 5 4 3 2_II_7_2 Liabilities Fcial interm" xfId="3752"/>
    <cellStyle name="Normal 5 4 3 3" xfId="3753"/>
    <cellStyle name="Normal 5 4 3 3 2" xfId="3754"/>
    <cellStyle name="Normal 5 4 3 3 2 2" xfId="3755"/>
    <cellStyle name="Normal 5 4 3 3 2 2 2" xfId="3756"/>
    <cellStyle name="Normal 5 4 3 3 2 2_II_7_2 Liabilities Fcial interm" xfId="3757"/>
    <cellStyle name="Normal 5 4 3 3 2 3" xfId="3758"/>
    <cellStyle name="Normal 5 4 3 3 2 4" xfId="3759"/>
    <cellStyle name="Normal 5 4 3 3 2 5" xfId="3760"/>
    <cellStyle name="Normal 5 4 3 3 2_II_7_2 Liabilities Fcial interm" xfId="3761"/>
    <cellStyle name="Normal 5 4 3 3 3" xfId="3762"/>
    <cellStyle name="Normal 5 4 3 3 3 2" xfId="3763"/>
    <cellStyle name="Normal 5 4 3 3 3 3" xfId="3764"/>
    <cellStyle name="Normal 5 4 3 3 3 4" xfId="3765"/>
    <cellStyle name="Normal 5 4 3 3 3_II_7_2 Liabilities Fcial interm" xfId="3766"/>
    <cellStyle name="Normal 5 4 3 3 4" xfId="3767"/>
    <cellStyle name="Normal 5 4 3 3 4 2" xfId="3768"/>
    <cellStyle name="Normal 5 4 3 3 4 3" xfId="3769"/>
    <cellStyle name="Normal 5 4 3 3 4 4" xfId="3770"/>
    <cellStyle name="Normal 5 4 3 3 4_II_7_2 Liabilities Fcial interm" xfId="3771"/>
    <cellStyle name="Normal 5 4 3 3 5" xfId="3772"/>
    <cellStyle name="Normal 5 4 3 3 5 2" xfId="3773"/>
    <cellStyle name="Normal 5 4 3 3 5 3" xfId="3774"/>
    <cellStyle name="Normal 5 4 3 3 5 4" xfId="3775"/>
    <cellStyle name="Normal 5 4 3 3 5_II_7_2 Liabilities Fcial interm" xfId="3776"/>
    <cellStyle name="Normal 5 4 3 3 6" xfId="3777"/>
    <cellStyle name="Normal 5 4 3 3 6 2" xfId="3778"/>
    <cellStyle name="Normal 5 4 3 3 6 3" xfId="3779"/>
    <cellStyle name="Normal 5 4 3 3 6 4" xfId="3780"/>
    <cellStyle name="Normal 5 4 3 3 6_II_7_2 Liabilities Fcial interm" xfId="3781"/>
    <cellStyle name="Normal 5 4 3 3 7" xfId="3782"/>
    <cellStyle name="Normal 5 4 3 3 7 2" xfId="3783"/>
    <cellStyle name="Normal 5 4 3 3 7 3" xfId="3784"/>
    <cellStyle name="Normal 5 4 3 3 7_II_7_2 Liabilities Fcial interm" xfId="3785"/>
    <cellStyle name="Normal 5 4 3 3 8" xfId="3786"/>
    <cellStyle name="Normal 5 4 3 3 8 2" xfId="3787"/>
    <cellStyle name="Normal 5 4 3 3 9" xfId="3788"/>
    <cellStyle name="Normal 5 4 3 3_II_7_2 Liabilities Fcial interm" xfId="3789"/>
    <cellStyle name="Normal 5 4 3 4" xfId="3790"/>
    <cellStyle name="Normal 5 4 3 4 2" xfId="3791"/>
    <cellStyle name="Normal 5 4 3 4 2 2" xfId="3792"/>
    <cellStyle name="Normal 5 4 3 4 2 2 2" xfId="3793"/>
    <cellStyle name="Normal 5 4 3 4 2 2_II_7_2 Liabilities Fcial interm" xfId="3794"/>
    <cellStyle name="Normal 5 4 3 4 2 3" xfId="3795"/>
    <cellStyle name="Normal 5 4 3 4 2 4" xfId="3796"/>
    <cellStyle name="Normal 5 4 3 4 2 5" xfId="3797"/>
    <cellStyle name="Normal 5 4 3 4 2_II_7_2 Liabilities Fcial interm" xfId="3798"/>
    <cellStyle name="Normal 5 4 3 4 3" xfId="3799"/>
    <cellStyle name="Normal 5 4 3 4 3 2" xfId="3800"/>
    <cellStyle name="Normal 5 4 3 4 3 3" xfId="3801"/>
    <cellStyle name="Normal 5 4 3 4 3 4" xfId="3802"/>
    <cellStyle name="Normal 5 4 3 4 3_II_7_2 Liabilities Fcial interm" xfId="3803"/>
    <cellStyle name="Normal 5 4 3 4 4" xfId="3804"/>
    <cellStyle name="Normal 5 4 3 4 4 2" xfId="3805"/>
    <cellStyle name="Normal 5 4 3 4 4 3" xfId="3806"/>
    <cellStyle name="Normal 5 4 3 4 4 4" xfId="3807"/>
    <cellStyle name="Normal 5 4 3 4 4_II_7_2 Liabilities Fcial interm" xfId="3808"/>
    <cellStyle name="Normal 5 4 3 4 5" xfId="3809"/>
    <cellStyle name="Normal 5 4 3 4 5 2" xfId="3810"/>
    <cellStyle name="Normal 5 4 3 4 5 3" xfId="3811"/>
    <cellStyle name="Normal 5 4 3 4 5_II_7_2 Liabilities Fcial interm" xfId="3812"/>
    <cellStyle name="Normal 5 4 3 4 6" xfId="3813"/>
    <cellStyle name="Normal 5 4 3 4 6 2" xfId="3814"/>
    <cellStyle name="Normal 5 4 3 4 7" xfId="3815"/>
    <cellStyle name="Normal 5 4 3 4_II_7_2 Liabilities Fcial interm" xfId="3816"/>
    <cellStyle name="Normal 5 4 3 5" xfId="3817"/>
    <cellStyle name="Normal 5 4 3 5 2" xfId="3818"/>
    <cellStyle name="Normal 5 4 3 5 2 2" xfId="3819"/>
    <cellStyle name="Normal 5 4 3 5 2 3" xfId="3820"/>
    <cellStyle name="Normal 5 4 3 5 2_II_7_2 Liabilities Fcial interm" xfId="3821"/>
    <cellStyle name="Normal 5 4 3 5 3" xfId="3822"/>
    <cellStyle name="Normal 5 4 3 5 3 2" xfId="3823"/>
    <cellStyle name="Normal 5 4 3 5 3_II_7_2 Liabilities Fcial interm" xfId="3824"/>
    <cellStyle name="Normal 5 4 3 5 4" xfId="3825"/>
    <cellStyle name="Normal 5 4 3 5 5" xfId="3826"/>
    <cellStyle name="Normal 5 4 3 5_II_7_2 Liabilities Fcial interm" xfId="3827"/>
    <cellStyle name="Normal 5 4 3 6" xfId="3828"/>
    <cellStyle name="Normal 5 4 3 6 2" xfId="3829"/>
    <cellStyle name="Normal 5 4 3 6 2 2" xfId="3830"/>
    <cellStyle name="Normal 5 4 3 6 2_II_7_2 Liabilities Fcial interm" xfId="3831"/>
    <cellStyle name="Normal 5 4 3 6 3" xfId="3832"/>
    <cellStyle name="Normal 5 4 3 6 4" xfId="3833"/>
    <cellStyle name="Normal 5 4 3 6_II_7_2 Liabilities Fcial interm" xfId="3834"/>
    <cellStyle name="Normal 5 4 3 7" xfId="3835"/>
    <cellStyle name="Normal 5 4 3 7 2" xfId="3836"/>
    <cellStyle name="Normal 5 4 3 7 3" xfId="3837"/>
    <cellStyle name="Normal 5 4 3 7 4" xfId="3838"/>
    <cellStyle name="Normal 5 4 3 7_II_7_2 Liabilities Fcial interm" xfId="3839"/>
    <cellStyle name="Normal 5 4 3 8" xfId="3840"/>
    <cellStyle name="Normal 5 4 3 8 2" xfId="3841"/>
    <cellStyle name="Normal 5 4 3 8 3" xfId="3842"/>
    <cellStyle name="Normal 5 4 3 8 4" xfId="3843"/>
    <cellStyle name="Normal 5 4 3 8_II_7_2 Liabilities Fcial interm" xfId="3844"/>
    <cellStyle name="Normal 5 4 3 9" xfId="3845"/>
    <cellStyle name="Normal 5 4 3 9 2" xfId="3846"/>
    <cellStyle name="Normal 5 4 3 9 3" xfId="3847"/>
    <cellStyle name="Normal 5 4 3 9_II_7_2 Liabilities Fcial interm" xfId="3848"/>
    <cellStyle name="Normal 5 4 3_II_7_2 Liabilities Fcial interm" xfId="3849"/>
    <cellStyle name="Normal 5 5" xfId="3850"/>
    <cellStyle name="Normal 5 5 2" xfId="3851"/>
    <cellStyle name="Normal 5 5 2 10" xfId="3852"/>
    <cellStyle name="Normal 5 5 2 10 2" xfId="3853"/>
    <cellStyle name="Normal 5 5 2 11" xfId="3854"/>
    <cellStyle name="Normal 5 5 2 12" xfId="3855"/>
    <cellStyle name="Normal 5 5 2 2" xfId="3856"/>
    <cellStyle name="Normal 5 5 2 2 10" xfId="3857"/>
    <cellStyle name="Normal 5 5 2 2 2" xfId="3858"/>
    <cellStyle name="Normal 5 5 2 2 2 2" xfId="3859"/>
    <cellStyle name="Normal 5 5 2 2 2 2 2" xfId="3860"/>
    <cellStyle name="Normal 5 5 2 2 2 2 2 2" xfId="3861"/>
    <cellStyle name="Normal 5 5 2 2 2 2 2_II_7_2 Liabilities Fcial interm" xfId="3862"/>
    <cellStyle name="Normal 5 5 2 2 2 2 3" xfId="3863"/>
    <cellStyle name="Normal 5 5 2 2 2 2 4" xfId="3864"/>
    <cellStyle name="Normal 5 5 2 2 2 2 5" xfId="3865"/>
    <cellStyle name="Normal 5 5 2 2 2 2_II_7_2 Liabilities Fcial interm" xfId="3866"/>
    <cellStyle name="Normal 5 5 2 2 2 3" xfId="3867"/>
    <cellStyle name="Normal 5 5 2 2 2 3 2" xfId="3868"/>
    <cellStyle name="Normal 5 5 2 2 2 3 3" xfId="3869"/>
    <cellStyle name="Normal 5 5 2 2 2 3 4" xfId="3870"/>
    <cellStyle name="Normal 5 5 2 2 2 3_II_7_2 Liabilities Fcial interm" xfId="3871"/>
    <cellStyle name="Normal 5 5 2 2 2 4" xfId="3872"/>
    <cellStyle name="Normal 5 5 2 2 2 4 2" xfId="3873"/>
    <cellStyle name="Normal 5 5 2 2 2 4 3" xfId="3874"/>
    <cellStyle name="Normal 5 5 2 2 2 4 4" xfId="3875"/>
    <cellStyle name="Normal 5 5 2 2 2 4_II_7_2 Liabilities Fcial interm" xfId="3876"/>
    <cellStyle name="Normal 5 5 2 2 2 5" xfId="3877"/>
    <cellStyle name="Normal 5 5 2 2 2 5 2" xfId="3878"/>
    <cellStyle name="Normal 5 5 2 2 2 5 3" xfId="3879"/>
    <cellStyle name="Normal 5 5 2 2 2 5 4" xfId="3880"/>
    <cellStyle name="Normal 5 5 2 2 2 5_II_7_2 Liabilities Fcial interm" xfId="3881"/>
    <cellStyle name="Normal 5 5 2 2 2 6" xfId="3882"/>
    <cellStyle name="Normal 5 5 2 2 2 6 2" xfId="3883"/>
    <cellStyle name="Normal 5 5 2 2 2 6 3" xfId="3884"/>
    <cellStyle name="Normal 5 5 2 2 2 6_II_7_2 Liabilities Fcial interm" xfId="3885"/>
    <cellStyle name="Normal 5 5 2 2 2 7" xfId="3886"/>
    <cellStyle name="Normal 5 5 2 2 2 7 2" xfId="3887"/>
    <cellStyle name="Normal 5 5 2 2 2 8" xfId="3888"/>
    <cellStyle name="Normal 5 5 2 2 2_II_7_2 Liabilities Fcial interm" xfId="3889"/>
    <cellStyle name="Normal 5 5 2 2 3" xfId="3890"/>
    <cellStyle name="Normal 5 5 2 2 3 2" xfId="3891"/>
    <cellStyle name="Normal 5 5 2 2 3 2 2" xfId="3892"/>
    <cellStyle name="Normal 5 5 2 2 3 2 3" xfId="3893"/>
    <cellStyle name="Normal 5 5 2 2 3 2 4" xfId="3894"/>
    <cellStyle name="Normal 5 5 2 2 3 2_II_7_2 Liabilities Fcial interm" xfId="3895"/>
    <cellStyle name="Normal 5 5 2 2 3 3" xfId="3896"/>
    <cellStyle name="Normal 5 5 2 2 3 3 2" xfId="3897"/>
    <cellStyle name="Normal 5 5 2 2 3 3 3" xfId="3898"/>
    <cellStyle name="Normal 5 5 2 2 3 3 4" xfId="3899"/>
    <cellStyle name="Normal 5 5 2 2 3 3_II_7_2 Liabilities Fcial interm" xfId="3900"/>
    <cellStyle name="Normal 5 5 2 2 3 4" xfId="3901"/>
    <cellStyle name="Normal 5 5 2 2 3 4 2" xfId="3902"/>
    <cellStyle name="Normal 5 5 2 2 3 4 3" xfId="3903"/>
    <cellStyle name="Normal 5 5 2 2 3 4 4" xfId="3904"/>
    <cellStyle name="Normal 5 5 2 2 3 4_II_7_2 Liabilities Fcial interm" xfId="3905"/>
    <cellStyle name="Normal 5 5 2 2 3 5" xfId="3906"/>
    <cellStyle name="Normal 5 5 2 2 3 5 2" xfId="3907"/>
    <cellStyle name="Normal 5 5 2 2 3 5 3" xfId="3908"/>
    <cellStyle name="Normal 5 5 2 2 3 5_II_7_2 Liabilities Fcial interm" xfId="3909"/>
    <cellStyle name="Normal 5 5 2 2 3 6" xfId="3910"/>
    <cellStyle name="Normal 5 5 2 2 3 6 2" xfId="3911"/>
    <cellStyle name="Normal 5 5 2 2 3 7" xfId="3912"/>
    <cellStyle name="Normal 5 5 2 2 3_II_7_2 Liabilities Fcial interm" xfId="3913"/>
    <cellStyle name="Normal 5 5 2 2 4" xfId="3914"/>
    <cellStyle name="Normal 5 5 2 2 4 2" xfId="3915"/>
    <cellStyle name="Normal 5 5 2 2 4 2 2" xfId="3916"/>
    <cellStyle name="Normal 5 5 2 2 4 2 3" xfId="3917"/>
    <cellStyle name="Normal 5 5 2 2 4 2_II_7_2 Liabilities Fcial interm" xfId="3918"/>
    <cellStyle name="Normal 5 5 2 2 4 3" xfId="3919"/>
    <cellStyle name="Normal 5 5 2 2 4 3 2" xfId="3920"/>
    <cellStyle name="Normal 5 5 2 2 4 4" xfId="3921"/>
    <cellStyle name="Normal 5 5 2 2 4_II_7_2 Liabilities Fcial interm" xfId="3922"/>
    <cellStyle name="Normal 5 5 2 2 5" xfId="3923"/>
    <cellStyle name="Normal 5 5 2 2 5 2" xfId="3924"/>
    <cellStyle name="Normal 5 5 2 2 5 2 2" xfId="3925"/>
    <cellStyle name="Normal 5 5 2 2 5 2_II_7_2 Liabilities Fcial interm" xfId="3926"/>
    <cellStyle name="Normal 5 5 2 2 5 3" xfId="3927"/>
    <cellStyle name="Normal 5 5 2 2 5 4" xfId="3928"/>
    <cellStyle name="Normal 5 5 2 2 5_II_7_2 Liabilities Fcial interm" xfId="3929"/>
    <cellStyle name="Normal 5 5 2 2 6" xfId="3930"/>
    <cellStyle name="Normal 5 5 2 2 6 2" xfId="3931"/>
    <cellStyle name="Normal 5 5 2 2 6 3" xfId="3932"/>
    <cellStyle name="Normal 5 5 2 2 6 4" xfId="3933"/>
    <cellStyle name="Normal 5 5 2 2 6_II_7_2 Liabilities Fcial interm" xfId="3934"/>
    <cellStyle name="Normal 5 5 2 2 7" xfId="3935"/>
    <cellStyle name="Normal 5 5 2 2 7 2" xfId="3936"/>
    <cellStyle name="Normal 5 5 2 2 7 3" xfId="3937"/>
    <cellStyle name="Normal 5 5 2 2 7_II_7_2 Liabilities Fcial interm" xfId="3938"/>
    <cellStyle name="Normal 5 5 2 2 8" xfId="3939"/>
    <cellStyle name="Normal 5 5 2 2 8 2" xfId="3940"/>
    <cellStyle name="Normal 5 5 2 2 9" xfId="3941"/>
    <cellStyle name="Normal 5 5 2 2_II_7_2 Liabilities Fcial interm" xfId="3942"/>
    <cellStyle name="Normal 5 5 2 3" xfId="3943"/>
    <cellStyle name="Normal 5 5 2 3 2" xfId="3944"/>
    <cellStyle name="Normal 5 5 2 3 2 2" xfId="3945"/>
    <cellStyle name="Normal 5 5 2 3 2 2 2" xfId="3946"/>
    <cellStyle name="Normal 5 5 2 3 2 2_II_7_2 Liabilities Fcial interm" xfId="3947"/>
    <cellStyle name="Normal 5 5 2 3 2 3" xfId="3948"/>
    <cellStyle name="Normal 5 5 2 3 2 4" xfId="3949"/>
    <cellStyle name="Normal 5 5 2 3 2 5" xfId="3950"/>
    <cellStyle name="Normal 5 5 2 3 2_II_7_2 Liabilities Fcial interm" xfId="3951"/>
    <cellStyle name="Normal 5 5 2 3 3" xfId="3952"/>
    <cellStyle name="Normal 5 5 2 3 3 2" xfId="3953"/>
    <cellStyle name="Normal 5 5 2 3 3 3" xfId="3954"/>
    <cellStyle name="Normal 5 5 2 3 3 4" xfId="3955"/>
    <cellStyle name="Normal 5 5 2 3 3_II_7_2 Liabilities Fcial interm" xfId="3956"/>
    <cellStyle name="Normal 5 5 2 3 4" xfId="3957"/>
    <cellStyle name="Normal 5 5 2 3 4 2" xfId="3958"/>
    <cellStyle name="Normal 5 5 2 3 4 3" xfId="3959"/>
    <cellStyle name="Normal 5 5 2 3 4 4" xfId="3960"/>
    <cellStyle name="Normal 5 5 2 3 4_II_7_2 Liabilities Fcial interm" xfId="3961"/>
    <cellStyle name="Normal 5 5 2 3 5" xfId="3962"/>
    <cellStyle name="Normal 5 5 2 3 5 2" xfId="3963"/>
    <cellStyle name="Normal 5 5 2 3 5 3" xfId="3964"/>
    <cellStyle name="Normal 5 5 2 3 5 4" xfId="3965"/>
    <cellStyle name="Normal 5 5 2 3 5_II_7_2 Liabilities Fcial interm" xfId="3966"/>
    <cellStyle name="Normal 5 5 2 3 6" xfId="3967"/>
    <cellStyle name="Normal 5 5 2 3 6 2" xfId="3968"/>
    <cellStyle name="Normal 5 5 2 3 6 3" xfId="3969"/>
    <cellStyle name="Normal 5 5 2 3 6 4" xfId="3970"/>
    <cellStyle name="Normal 5 5 2 3 6_II_7_2 Liabilities Fcial interm" xfId="3971"/>
    <cellStyle name="Normal 5 5 2 3 7" xfId="3972"/>
    <cellStyle name="Normal 5 5 2 3 7 2" xfId="3973"/>
    <cellStyle name="Normal 5 5 2 3 7 3" xfId="3974"/>
    <cellStyle name="Normal 5 5 2 3 7_II_7_2 Liabilities Fcial interm" xfId="3975"/>
    <cellStyle name="Normal 5 5 2 3 8" xfId="3976"/>
    <cellStyle name="Normal 5 5 2 3 8 2" xfId="3977"/>
    <cellStyle name="Normal 5 5 2 3 9" xfId="3978"/>
    <cellStyle name="Normal 5 5 2 3_II_7_2 Liabilities Fcial interm" xfId="3979"/>
    <cellStyle name="Normal 5 5 2 4" xfId="3980"/>
    <cellStyle name="Normal 5 5 2 4 2" xfId="3981"/>
    <cellStyle name="Normal 5 5 2 4 2 2" xfId="3982"/>
    <cellStyle name="Normal 5 5 2 4 2 2 2" xfId="3983"/>
    <cellStyle name="Normal 5 5 2 4 2 2_II_7_2 Liabilities Fcial interm" xfId="3984"/>
    <cellStyle name="Normal 5 5 2 4 2 3" xfId="3985"/>
    <cellStyle name="Normal 5 5 2 4 2 4" xfId="3986"/>
    <cellStyle name="Normal 5 5 2 4 2 5" xfId="3987"/>
    <cellStyle name="Normal 5 5 2 4 2_II_7_2 Liabilities Fcial interm" xfId="3988"/>
    <cellStyle name="Normal 5 5 2 4 3" xfId="3989"/>
    <cellStyle name="Normal 5 5 2 4 3 2" xfId="3990"/>
    <cellStyle name="Normal 5 5 2 4 3 3" xfId="3991"/>
    <cellStyle name="Normal 5 5 2 4 3 4" xfId="3992"/>
    <cellStyle name="Normal 5 5 2 4 3_II_7_2 Liabilities Fcial interm" xfId="3993"/>
    <cellStyle name="Normal 5 5 2 4 4" xfId="3994"/>
    <cellStyle name="Normal 5 5 2 4 4 2" xfId="3995"/>
    <cellStyle name="Normal 5 5 2 4 4 3" xfId="3996"/>
    <cellStyle name="Normal 5 5 2 4 4 4" xfId="3997"/>
    <cellStyle name="Normal 5 5 2 4 4_II_7_2 Liabilities Fcial interm" xfId="3998"/>
    <cellStyle name="Normal 5 5 2 4 5" xfId="3999"/>
    <cellStyle name="Normal 5 5 2 4 5 2" xfId="4000"/>
    <cellStyle name="Normal 5 5 2 4 5 3" xfId="4001"/>
    <cellStyle name="Normal 5 5 2 4 5_II_7_2 Liabilities Fcial interm" xfId="4002"/>
    <cellStyle name="Normal 5 5 2 4 6" xfId="4003"/>
    <cellStyle name="Normal 5 5 2 4 6 2" xfId="4004"/>
    <cellStyle name="Normal 5 5 2 4 7" xfId="4005"/>
    <cellStyle name="Normal 5 5 2 4_II_7_2 Liabilities Fcial interm" xfId="4006"/>
    <cellStyle name="Normal 5 5 2 5" xfId="4007"/>
    <cellStyle name="Normal 5 5 2 5 2" xfId="4008"/>
    <cellStyle name="Normal 5 5 2 5 2 2" xfId="4009"/>
    <cellStyle name="Normal 5 5 2 5 2 3" xfId="4010"/>
    <cellStyle name="Normal 5 5 2 5 2_II_7_2 Liabilities Fcial interm" xfId="4011"/>
    <cellStyle name="Normal 5 5 2 5 3" xfId="4012"/>
    <cellStyle name="Normal 5 5 2 5 3 2" xfId="4013"/>
    <cellStyle name="Normal 5 5 2 5 3_II_7_2 Liabilities Fcial interm" xfId="4014"/>
    <cellStyle name="Normal 5 5 2 5 4" xfId="4015"/>
    <cellStyle name="Normal 5 5 2 5 5" xfId="4016"/>
    <cellStyle name="Normal 5 5 2 5_II_7_2 Liabilities Fcial interm" xfId="4017"/>
    <cellStyle name="Normal 5 5 2 6" xfId="4018"/>
    <cellStyle name="Normal 5 5 2 6 2" xfId="4019"/>
    <cellStyle name="Normal 5 5 2 6 2 2" xfId="4020"/>
    <cellStyle name="Normal 5 5 2 6 2_II_7_2 Liabilities Fcial interm" xfId="4021"/>
    <cellStyle name="Normal 5 5 2 6 3" xfId="4022"/>
    <cellStyle name="Normal 5 5 2 6 4" xfId="4023"/>
    <cellStyle name="Normal 5 5 2 6_II_7_2 Liabilities Fcial interm" xfId="4024"/>
    <cellStyle name="Normal 5 5 2 7" xfId="4025"/>
    <cellStyle name="Normal 5 5 2 7 2" xfId="4026"/>
    <cellStyle name="Normal 5 5 2 7 3" xfId="4027"/>
    <cellStyle name="Normal 5 5 2 7 4" xfId="4028"/>
    <cellStyle name="Normal 5 5 2 7_II_7_2 Liabilities Fcial interm" xfId="4029"/>
    <cellStyle name="Normal 5 5 2 8" xfId="4030"/>
    <cellStyle name="Normal 5 5 2 8 2" xfId="4031"/>
    <cellStyle name="Normal 5 5 2 8 3" xfId="4032"/>
    <cellStyle name="Normal 5 5 2 8 4" xfId="4033"/>
    <cellStyle name="Normal 5 5 2 8_II_7_2 Liabilities Fcial interm" xfId="4034"/>
    <cellStyle name="Normal 5 5 2 9" xfId="4035"/>
    <cellStyle name="Normal 5 5 2 9 2" xfId="4036"/>
    <cellStyle name="Normal 5 5 2 9 3" xfId="4037"/>
    <cellStyle name="Normal 5 5 2 9_II_7_2 Liabilities Fcial interm" xfId="4038"/>
    <cellStyle name="Normal 5 5 2_II_7_2 Liabilities Fcial interm" xfId="4039"/>
    <cellStyle name="Normal 5 6" xfId="4040"/>
    <cellStyle name="Normal 5 7" xfId="4041"/>
    <cellStyle name="Normal 5 8" xfId="4042"/>
    <cellStyle name="Normal 5 9" xfId="4043"/>
    <cellStyle name="Normal 50" xfId="4044"/>
    <cellStyle name="Normal 50 2" xfId="4045"/>
    <cellStyle name="Normal 50 2 2" xfId="4046"/>
    <cellStyle name="Normal 50 2 3" xfId="4047"/>
    <cellStyle name="Normal 50 3" xfId="4048"/>
    <cellStyle name="Normal 51" xfId="4049"/>
    <cellStyle name="Normal 51 2" xfId="4050"/>
    <cellStyle name="Normal 51 2 2" xfId="4051"/>
    <cellStyle name="Normal 51 2 3" xfId="4052"/>
    <cellStyle name="Normal 51 3" xfId="4053"/>
    <cellStyle name="Normal 52" xfId="4054"/>
    <cellStyle name="Normal 52 2" xfId="4055"/>
    <cellStyle name="Normal 52 2 2" xfId="4056"/>
    <cellStyle name="Normal 52 2 3" xfId="4057"/>
    <cellStyle name="Normal 52 3" xfId="4058"/>
    <cellStyle name="Normal 53" xfId="4059"/>
    <cellStyle name="Normal 54" xfId="4060"/>
    <cellStyle name="Normal 55" xfId="4061"/>
    <cellStyle name="Normal 55 2" xfId="4062"/>
    <cellStyle name="Normal 55 3" xfId="4063"/>
    <cellStyle name="Normal 56" xfId="4064"/>
    <cellStyle name="Normal 57" xfId="4065"/>
    <cellStyle name="Normal 58" xfId="4066"/>
    <cellStyle name="Normal 59" xfId="4067"/>
    <cellStyle name="Normal 6" xfId="4068"/>
    <cellStyle name="Normal 6 2" xfId="4069"/>
    <cellStyle name="Normal 6 2 2" xfId="4070"/>
    <cellStyle name="Normal 6 3" xfId="4071"/>
    <cellStyle name="Normal 6 4" xfId="4072"/>
    <cellStyle name="Normal 6 4 2" xfId="4073"/>
    <cellStyle name="Normal 6 4_ACT FPHU NR" xfId="4074"/>
    <cellStyle name="Normal 6 5" xfId="4075"/>
    <cellStyle name="Normal 6 5 2" xfId="4076"/>
    <cellStyle name="Normal 6 5_ACT FPHU NR" xfId="4077"/>
    <cellStyle name="Normal 6_ACT BNDE NR" xfId="4078"/>
    <cellStyle name="Normal 60" xfId="4079"/>
    <cellStyle name="Normal 61" xfId="4080"/>
    <cellStyle name="Normal 62" xfId="4081"/>
    <cellStyle name="Normal 63" xfId="4082"/>
    <cellStyle name="Normal 64" xfId="4083"/>
    <cellStyle name="Normal 65" xfId="4084"/>
    <cellStyle name="Normal 66" xfId="4085"/>
    <cellStyle name="Normal 67" xfId="4086"/>
    <cellStyle name="Normal 68" xfId="4087"/>
    <cellStyle name="Normal 69" xfId="4088"/>
    <cellStyle name="Normal 7" xfId="4089"/>
    <cellStyle name="Normal 7 2" xfId="4090"/>
    <cellStyle name="Normal 7 2 2" xfId="4091"/>
    <cellStyle name="Normal 7 2_ACT BNDE NR" xfId="4092"/>
    <cellStyle name="Normal 7 3" xfId="4093"/>
    <cellStyle name="Normal 7 4" xfId="4094"/>
    <cellStyle name="Normal 7 5" xfId="4095"/>
    <cellStyle name="Normal 70" xfId="4096"/>
    <cellStyle name="Normal 71" xfId="4097"/>
    <cellStyle name="Normal 71 2" xfId="4098"/>
    <cellStyle name="Normal 72" xfId="4099"/>
    <cellStyle name="Normal 73" xfId="4100"/>
    <cellStyle name="Normal 73 2" xfId="4101"/>
    <cellStyle name="Normal 74" xfId="4102"/>
    <cellStyle name="Normal 74 2" xfId="4103"/>
    <cellStyle name="Normal 75" xfId="4104"/>
    <cellStyle name="Normal 75 2" xfId="4105"/>
    <cellStyle name="Normal 76" xfId="4106"/>
    <cellStyle name="Normal 77" xfId="4107"/>
    <cellStyle name="Normal 78" xfId="4108"/>
    <cellStyle name="Normal 79" xfId="4109"/>
    <cellStyle name="Normal 79 2" xfId="4110"/>
    <cellStyle name="Normal 8" xfId="4111"/>
    <cellStyle name="Normal 8 2" xfId="4112"/>
    <cellStyle name="Normal 8 3" xfId="4113"/>
    <cellStyle name="Normal 8 4" xfId="4114"/>
    <cellStyle name="Normal 8 4 2" xfId="4115"/>
    <cellStyle name="Normal 8 4_ACT FPHU NR" xfId="4116"/>
    <cellStyle name="Normal 8 5" xfId="4117"/>
    <cellStyle name="Normal 8_ACT BNDE NR" xfId="4118"/>
    <cellStyle name="Normal 80" xfId="4119"/>
    <cellStyle name="Normal 81" xfId="4120"/>
    <cellStyle name="Normal 82" xfId="4121"/>
    <cellStyle name="Normal 83" xfId="4122"/>
    <cellStyle name="Normal 83 2" xfId="4123"/>
    <cellStyle name="Normal 84" xfId="4124"/>
    <cellStyle name="Normal 84 2" xfId="4125"/>
    <cellStyle name="Normal 85" xfId="4126"/>
    <cellStyle name="Normal 86" xfId="4127"/>
    <cellStyle name="Normal 87" xfId="4128"/>
    <cellStyle name="Normal 88" xfId="4129"/>
    <cellStyle name="Normal 89" xfId="4130"/>
    <cellStyle name="Normal 9" xfId="4131"/>
    <cellStyle name="Normal 9 10" xfId="4132"/>
    <cellStyle name="Normal 9 11" xfId="4133"/>
    <cellStyle name="Normal 9 12" xfId="4134"/>
    <cellStyle name="Normal 9 13" xfId="4135"/>
    <cellStyle name="Normal 9 14" xfId="4136"/>
    <cellStyle name="Normal 9 15" xfId="4137"/>
    <cellStyle name="Normal 9 16" xfId="4138"/>
    <cellStyle name="Normal 9 2" xfId="4139"/>
    <cellStyle name="Normal 9 3" xfId="4140"/>
    <cellStyle name="Normal 9 4" xfId="4141"/>
    <cellStyle name="Normal 9 5" xfId="4142"/>
    <cellStyle name="Normal 9 6" xfId="4143"/>
    <cellStyle name="Normal 9 7" xfId="4144"/>
    <cellStyle name="Normal 9 8" xfId="4145"/>
    <cellStyle name="Normal 9 9" xfId="4146"/>
    <cellStyle name="Normal 9_ACT BNDE NR" xfId="4147"/>
    <cellStyle name="Normal 90" xfId="4148"/>
    <cellStyle name="Normal 90 2" xfId="4149"/>
    <cellStyle name="Normal 91" xfId="4150"/>
    <cellStyle name="Normal 92" xfId="4151"/>
    <cellStyle name="Normal 93" xfId="4152"/>
    <cellStyle name="Normal 94" xfId="4153"/>
    <cellStyle name="Normal 95" xfId="4154"/>
    <cellStyle name="Normal 96" xfId="4155"/>
    <cellStyle name="Normal 96 2" xfId="4156"/>
    <cellStyle name="Normal 97" xfId="4157"/>
    <cellStyle name="Normal 98" xfId="4158"/>
    <cellStyle name="Normal 99" xfId="4159"/>
    <cellStyle name="Normal Table" xfId="4160"/>
    <cellStyle name="Normal, Of which" xfId="4161"/>
    <cellStyle name="Of which" xfId="4162"/>
    <cellStyle name="Percent [2]" xfId="4163"/>
    <cellStyle name="Percent [2] 10" xfId="4164"/>
    <cellStyle name="Percent [2] 2" xfId="4165"/>
    <cellStyle name="Percent [2] 3" xfId="4166"/>
    <cellStyle name="Percent [2] 4" xfId="4167"/>
    <cellStyle name="Percent [2] 5" xfId="4168"/>
    <cellStyle name="Percent [2] 6" xfId="4169"/>
    <cellStyle name="Percent [2] 7" xfId="4170"/>
    <cellStyle name="Percent [2] 8" xfId="4171"/>
    <cellStyle name="Percent [2] 9" xfId="4172"/>
    <cellStyle name="Percent 2" xfId="4173"/>
    <cellStyle name="Percent 3" xfId="4174"/>
    <cellStyle name="Percent 4" xfId="4182"/>
    <cellStyle name="Percent 5" xfId="4361"/>
    <cellStyle name="percentage difference" xfId="4175"/>
    <cellStyle name="percentage difference one decimal" xfId="4176"/>
    <cellStyle name="percentage difference zero decimal" xfId="4177"/>
    <cellStyle name="Percentual" xfId="4178"/>
    <cellStyle name="Ponto" xfId="4179"/>
    <cellStyle name="Porcentagem_SEP1196" xfId="4180"/>
    <cellStyle name="Porcentaje" xfId="4181"/>
    <cellStyle name="Pourcentage 2" xfId="4183"/>
    <cellStyle name="Pourcentage 2 10" xfId="4184"/>
    <cellStyle name="Pourcentage 2 11" xfId="4185"/>
    <cellStyle name="Pourcentage 2 12" xfId="4186"/>
    <cellStyle name="Pourcentage 2 13" xfId="4187"/>
    <cellStyle name="Pourcentage 2 14" xfId="4188"/>
    <cellStyle name="Pourcentage 2 15" xfId="4189"/>
    <cellStyle name="Pourcentage 2 16" xfId="4190"/>
    <cellStyle name="Pourcentage 2 17" xfId="4191"/>
    <cellStyle name="Pourcentage 2 18" xfId="4192"/>
    <cellStyle name="Pourcentage 2 19" xfId="4193"/>
    <cellStyle name="Pourcentage 2 2" xfId="4194"/>
    <cellStyle name="Pourcentage 2 2 2" xfId="4195"/>
    <cellStyle name="Pourcentage 2 2 3" xfId="4196"/>
    <cellStyle name="Pourcentage 2 2 4" xfId="4197"/>
    <cellStyle name="Pourcentage 2 2 5" xfId="4198"/>
    <cellStyle name="Pourcentage 2 20" xfId="4199"/>
    <cellStyle name="Pourcentage 2 21" xfId="4200"/>
    <cellStyle name="Pourcentage 2 22" xfId="4201"/>
    <cellStyle name="Pourcentage 2 23" xfId="4202"/>
    <cellStyle name="Pourcentage 2 24" xfId="4203"/>
    <cellStyle name="Pourcentage 2 3" xfId="4204"/>
    <cellStyle name="Pourcentage 2 3 2" xfId="4205"/>
    <cellStyle name="Pourcentage 2 3 3" xfId="4206"/>
    <cellStyle name="Pourcentage 2 3 4" xfId="4207"/>
    <cellStyle name="Pourcentage 2 3 5" xfId="4208"/>
    <cellStyle name="Pourcentage 2 4" xfId="4209"/>
    <cellStyle name="Pourcentage 2 5" xfId="4210"/>
    <cellStyle name="Pourcentage 2 6" xfId="4211"/>
    <cellStyle name="Pourcentage 2 7" xfId="4212"/>
    <cellStyle name="Pourcentage 2 8" xfId="4213"/>
    <cellStyle name="Pourcentage 2 9" xfId="4214"/>
    <cellStyle name="Pourcentage 3" xfId="4215"/>
    <cellStyle name="Pourcentage 3 2" xfId="4216"/>
    <cellStyle name="Pourcentage 3 2 2" xfId="4217"/>
    <cellStyle name="Pourcentage 3 2 3" xfId="4218"/>
    <cellStyle name="Pourcentage 3 2 4" xfId="4219"/>
    <cellStyle name="Pourcentage 3 2 5" xfId="4220"/>
    <cellStyle name="Pourcentage 3 2 6" xfId="4221"/>
    <cellStyle name="Pourcentage 3 3" xfId="4222"/>
    <cellStyle name="Pourcentage 3 3 2" xfId="4223"/>
    <cellStyle name="Pourcentage 3 3 3" xfId="4224"/>
    <cellStyle name="Pourcentage 3 3 4" xfId="4225"/>
    <cellStyle name="Pourcentage 3 3 5" xfId="4226"/>
    <cellStyle name="Pourcentage 3 4" xfId="4227"/>
    <cellStyle name="Pourcentage 3 5" xfId="4228"/>
    <cellStyle name="Pourcentage 3 6" xfId="4229"/>
    <cellStyle name="Pourcentage 3 7" xfId="4230"/>
    <cellStyle name="Pourcentage 3 8" xfId="4344"/>
    <cellStyle name="Pourcentage 4" xfId="4231"/>
    <cellStyle name="Pourcentage 4 2" xfId="4232"/>
    <cellStyle name="Pourcentage 4 3" xfId="4233"/>
    <cellStyle name="Pourcentage 4 4" xfId="4234"/>
    <cellStyle name="Pourcentage 4 5" xfId="4235"/>
    <cellStyle name="Pourcentage 5" xfId="4236"/>
    <cellStyle name="Pourcentage 6" xfId="4343"/>
    <cellStyle name="Presentation" xfId="4237"/>
    <cellStyle name="Publication" xfId="4238"/>
    <cellStyle name="Punto" xfId="4239"/>
    <cellStyle name="Punto0" xfId="4240"/>
    <cellStyle name="Red Text" xfId="4241"/>
    <cellStyle name="SAPBEXaggData" xfId="4242"/>
    <cellStyle name="SAPBEXaggDataEmph" xfId="4243"/>
    <cellStyle name="SAPBEXaggItem" xfId="4244"/>
    <cellStyle name="SAPBEXchaText" xfId="4245"/>
    <cellStyle name="SAPBEXexcBad" xfId="4246"/>
    <cellStyle name="SAPBEXexcCritical" xfId="4247"/>
    <cellStyle name="SAPBEXexcGood" xfId="4248"/>
    <cellStyle name="SAPBEXexcVeryBad" xfId="4249"/>
    <cellStyle name="SAPBEXfilterDrill" xfId="4250"/>
    <cellStyle name="SAPBEXfilterItem" xfId="4251"/>
    <cellStyle name="SAPBEXfilterText" xfId="4252"/>
    <cellStyle name="SAPBEXformats" xfId="4253"/>
    <cellStyle name="SAPBEXheaderData" xfId="4254"/>
    <cellStyle name="SAPBEXheaderItem" xfId="4255"/>
    <cellStyle name="SAPBEXheaderText" xfId="4256"/>
    <cellStyle name="SAPBEXresData" xfId="4257"/>
    <cellStyle name="SAPBEXresDataEmph" xfId="4258"/>
    <cellStyle name="SAPBEXresItem" xfId="4259"/>
    <cellStyle name="SAPBEXstdData" xfId="4260"/>
    <cellStyle name="SAPBEXstdDataEmph" xfId="4261"/>
    <cellStyle name="SAPBEXstdItem" xfId="4262"/>
    <cellStyle name="SAPBEXstdItem 2" xfId="4263"/>
    <cellStyle name="SAPBEXsubData" xfId="4264"/>
    <cellStyle name="SAPBEXsubDataEmph" xfId="4265"/>
    <cellStyle name="SAPBEXsubItem" xfId="4266"/>
    <cellStyle name="SAPBEXtitle" xfId="4267"/>
    <cellStyle name="SAPBEXundefined" xfId="4268"/>
    <cellStyle name="Sep. milhar [2]" xfId="4269"/>
    <cellStyle name="Separador de m" xfId="4270"/>
    <cellStyle name="Separador de m 10" xfId="4271"/>
    <cellStyle name="Separador de m 2" xfId="4272"/>
    <cellStyle name="Separador de m 3" xfId="4273"/>
    <cellStyle name="Separador de m 4" xfId="4274"/>
    <cellStyle name="Separador de m 5" xfId="4275"/>
    <cellStyle name="Separador de m 6" xfId="4276"/>
    <cellStyle name="Separador de m 7" xfId="4277"/>
    <cellStyle name="Separador de m 8" xfId="4278"/>
    <cellStyle name="Separador de m 9" xfId="4279"/>
    <cellStyle name="Separador de milhares [0]_A" xfId="4280"/>
    <cellStyle name="Separador de milhares_A" xfId="4281"/>
    <cellStyle name="Sheet Title" xfId="4282"/>
    <cellStyle name="Style1" xfId="4283"/>
    <cellStyle name="Text" xfId="4284"/>
    <cellStyle name="Text 10" xfId="4285"/>
    <cellStyle name="Text 2" xfId="4286"/>
    <cellStyle name="Text 3" xfId="4287"/>
    <cellStyle name="Text 4" xfId="4288"/>
    <cellStyle name="Text 5" xfId="4289"/>
    <cellStyle name="Text 6" xfId="4290"/>
    <cellStyle name="Text 7" xfId="4291"/>
    <cellStyle name="Text 8" xfId="4292"/>
    <cellStyle name="Text 9" xfId="4293"/>
    <cellStyle name="þ_x001d_ð‡_x000c_éþ÷_x000c_âþU_x0001__x001f__x000f_&quot;_x0007__x0001__x0001_" xfId="4294"/>
    <cellStyle name="þ_x001d_ð‡_x000c_éþ÷_x000c_âþU_x0001__x001f__x000f_&quot;_x000f__x0001__x0001_" xfId="4295"/>
    <cellStyle name="Titulo1" xfId="4296"/>
    <cellStyle name="Titulo2" xfId="4297"/>
    <cellStyle name="TopGrey" xfId="4298"/>
    <cellStyle name="V¡rgula" xfId="4299"/>
    <cellStyle name="V¡rgula0" xfId="4300"/>
    <cellStyle name="vaca" xfId="4301"/>
    <cellStyle name="Vírgula" xfId="4302"/>
    <cellStyle name="Vírgula 10" xfId="4303"/>
    <cellStyle name="Vírgula 2" xfId="4304"/>
    <cellStyle name="Vírgula 3" xfId="4305"/>
    <cellStyle name="Vírgula 4" xfId="4306"/>
    <cellStyle name="Vírgula 5" xfId="4307"/>
    <cellStyle name="Vírgula 6" xfId="4308"/>
    <cellStyle name="Vírgula 7" xfId="4309"/>
    <cellStyle name="Vírgula 8" xfId="4310"/>
    <cellStyle name="Vírgula 9" xfId="4311"/>
    <cellStyle name="WebAnchor1" xfId="4312"/>
    <cellStyle name="WebAnchor2" xfId="4313"/>
    <cellStyle name="WebAnchor3" xfId="4314"/>
    <cellStyle name="WebAnchor4" xfId="4315"/>
    <cellStyle name="WebAnchor5" xfId="4316"/>
    <cellStyle name="WebAnchor6" xfId="4317"/>
    <cellStyle name="WebAnchor7" xfId="4318"/>
    <cellStyle name="Webexclude" xfId="4319"/>
    <cellStyle name="WebFN" xfId="4320"/>
    <cellStyle name="WebFN1" xfId="4321"/>
    <cellStyle name="WebFN2" xfId="4322"/>
    <cellStyle name="WebFN3" xfId="4323"/>
    <cellStyle name="WebFN4" xfId="4324"/>
    <cellStyle name="WebHR" xfId="4325"/>
    <cellStyle name="WebIndent1" xfId="4326"/>
    <cellStyle name="WebIndent1wFN3" xfId="4327"/>
    <cellStyle name="WebIndent2" xfId="4328"/>
    <cellStyle name="WebNoBR" xfId="4329"/>
    <cellStyle name="ДАТА" xfId="4330"/>
    <cellStyle name="ДЕНЕЖНЫЙ_BOPENGC" xfId="4331"/>
    <cellStyle name="ЗАГОЛОВОК1" xfId="4332"/>
    <cellStyle name="ЗАГОЛОВОК2" xfId="4333"/>
    <cellStyle name="ИТОГОВЫЙ" xfId="4334"/>
    <cellStyle name="Обычный_BOPENGC" xfId="4335"/>
    <cellStyle name="ПРОЦЕНТНЫЙ_BOPENGC" xfId="4336"/>
    <cellStyle name="ТЕКСТ" xfId="4337"/>
    <cellStyle name="ФИКСИРОВАННЫЙ" xfId="4338"/>
    <cellStyle name="ФИНАНСОВЫЙ_BOPENGC" xfId="433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3"/>
  <sheetViews>
    <sheetView showGridLines="0" topLeftCell="C1" workbookViewId="0">
      <selection activeCell="J29" sqref="J29"/>
    </sheetView>
  </sheetViews>
  <sheetFormatPr baseColWidth="10" defaultColWidth="8.88671875" defaultRowHeight="15.75"/>
  <cols>
    <col min="1" max="1" width="4.21875" style="4" customWidth="1"/>
    <col min="2" max="2" width="68.6640625" style="4" bestFit="1" customWidth="1"/>
    <col min="3" max="3" width="39.88671875" style="4" bestFit="1" customWidth="1"/>
    <col min="4" max="4" width="17.109375" style="4" bestFit="1" customWidth="1"/>
    <col min="5" max="5" width="15.88671875" style="4" customWidth="1"/>
    <col min="6" max="256" width="8.88671875" style="4"/>
    <col min="257" max="257" width="4.21875" style="4" customWidth="1"/>
    <col min="258" max="258" width="25.44140625" style="4" bestFit="1" customWidth="1"/>
    <col min="259" max="259" width="39.88671875" style="4" bestFit="1" customWidth="1"/>
    <col min="260" max="260" width="17.109375" style="4" bestFit="1" customWidth="1"/>
    <col min="261" max="261" width="15.88671875" style="4" customWidth="1"/>
    <col min="262" max="512" width="8.88671875" style="4"/>
    <col min="513" max="513" width="4.21875" style="4" customWidth="1"/>
    <col min="514" max="514" width="25.44140625" style="4" bestFit="1" customWidth="1"/>
    <col min="515" max="515" width="39.88671875" style="4" bestFit="1" customWidth="1"/>
    <col min="516" max="516" width="17.109375" style="4" bestFit="1" customWidth="1"/>
    <col min="517" max="517" width="15.88671875" style="4" customWidth="1"/>
    <col min="518" max="768" width="8.88671875" style="4"/>
    <col min="769" max="769" width="4.21875" style="4" customWidth="1"/>
    <col min="770" max="770" width="25.44140625" style="4" bestFit="1" customWidth="1"/>
    <col min="771" max="771" width="39.88671875" style="4" bestFit="1" customWidth="1"/>
    <col min="772" max="772" width="17.109375" style="4" bestFit="1" customWidth="1"/>
    <col min="773" max="773" width="15.88671875" style="4" customWidth="1"/>
    <col min="774" max="1024" width="8.88671875" style="4"/>
    <col min="1025" max="1025" width="4.21875" style="4" customWidth="1"/>
    <col min="1026" max="1026" width="25.44140625" style="4" bestFit="1" customWidth="1"/>
    <col min="1027" max="1027" width="39.88671875" style="4" bestFit="1" customWidth="1"/>
    <col min="1028" max="1028" width="17.109375" style="4" bestFit="1" customWidth="1"/>
    <col min="1029" max="1029" width="15.88671875" style="4" customWidth="1"/>
    <col min="1030" max="1280" width="8.88671875" style="4"/>
    <col min="1281" max="1281" width="4.21875" style="4" customWidth="1"/>
    <col min="1282" max="1282" width="25.44140625" style="4" bestFit="1" customWidth="1"/>
    <col min="1283" max="1283" width="39.88671875" style="4" bestFit="1" customWidth="1"/>
    <col min="1284" max="1284" width="17.109375" style="4" bestFit="1" customWidth="1"/>
    <col min="1285" max="1285" width="15.88671875" style="4" customWidth="1"/>
    <col min="1286" max="1536" width="8.88671875" style="4"/>
    <col min="1537" max="1537" width="4.21875" style="4" customWidth="1"/>
    <col min="1538" max="1538" width="25.44140625" style="4" bestFit="1" customWidth="1"/>
    <col min="1539" max="1539" width="39.88671875" style="4" bestFit="1" customWidth="1"/>
    <col min="1540" max="1540" width="17.109375" style="4" bestFit="1" customWidth="1"/>
    <col min="1541" max="1541" width="15.88671875" style="4" customWidth="1"/>
    <col min="1542" max="1792" width="8.88671875" style="4"/>
    <col min="1793" max="1793" width="4.21875" style="4" customWidth="1"/>
    <col min="1794" max="1794" width="25.44140625" style="4" bestFit="1" customWidth="1"/>
    <col min="1795" max="1795" width="39.88671875" style="4" bestFit="1" customWidth="1"/>
    <col min="1796" max="1796" width="17.109375" style="4" bestFit="1" customWidth="1"/>
    <col min="1797" max="1797" width="15.88671875" style="4" customWidth="1"/>
    <col min="1798" max="2048" width="8.88671875" style="4"/>
    <col min="2049" max="2049" width="4.21875" style="4" customWidth="1"/>
    <col min="2050" max="2050" width="25.44140625" style="4" bestFit="1" customWidth="1"/>
    <col min="2051" max="2051" width="39.88671875" style="4" bestFit="1" customWidth="1"/>
    <col min="2052" max="2052" width="17.109375" style="4" bestFit="1" customWidth="1"/>
    <col min="2053" max="2053" width="15.88671875" style="4" customWidth="1"/>
    <col min="2054" max="2304" width="8.88671875" style="4"/>
    <col min="2305" max="2305" width="4.21875" style="4" customWidth="1"/>
    <col min="2306" max="2306" width="25.44140625" style="4" bestFit="1" customWidth="1"/>
    <col min="2307" max="2307" width="39.88671875" style="4" bestFit="1" customWidth="1"/>
    <col min="2308" max="2308" width="17.109375" style="4" bestFit="1" customWidth="1"/>
    <col min="2309" max="2309" width="15.88671875" style="4" customWidth="1"/>
    <col min="2310" max="2560" width="8.88671875" style="4"/>
    <col min="2561" max="2561" width="4.21875" style="4" customWidth="1"/>
    <col min="2562" max="2562" width="25.44140625" style="4" bestFit="1" customWidth="1"/>
    <col min="2563" max="2563" width="39.88671875" style="4" bestFit="1" customWidth="1"/>
    <col min="2564" max="2564" width="17.109375" style="4" bestFit="1" customWidth="1"/>
    <col min="2565" max="2565" width="15.88671875" style="4" customWidth="1"/>
    <col min="2566" max="2816" width="8.88671875" style="4"/>
    <col min="2817" max="2817" width="4.21875" style="4" customWidth="1"/>
    <col min="2818" max="2818" width="25.44140625" style="4" bestFit="1" customWidth="1"/>
    <col min="2819" max="2819" width="39.88671875" style="4" bestFit="1" customWidth="1"/>
    <col min="2820" max="2820" width="17.109375" style="4" bestFit="1" customWidth="1"/>
    <col min="2821" max="2821" width="15.88671875" style="4" customWidth="1"/>
    <col min="2822" max="3072" width="8.88671875" style="4"/>
    <col min="3073" max="3073" width="4.21875" style="4" customWidth="1"/>
    <col min="3074" max="3074" width="25.44140625" style="4" bestFit="1" customWidth="1"/>
    <col min="3075" max="3075" width="39.88671875" style="4" bestFit="1" customWidth="1"/>
    <col min="3076" max="3076" width="17.109375" style="4" bestFit="1" customWidth="1"/>
    <col min="3077" max="3077" width="15.88671875" style="4" customWidth="1"/>
    <col min="3078" max="3328" width="8.88671875" style="4"/>
    <col min="3329" max="3329" width="4.21875" style="4" customWidth="1"/>
    <col min="3330" max="3330" width="25.44140625" style="4" bestFit="1" customWidth="1"/>
    <col min="3331" max="3331" width="39.88671875" style="4" bestFit="1" customWidth="1"/>
    <col min="3332" max="3332" width="17.109375" style="4" bestFit="1" customWidth="1"/>
    <col min="3333" max="3333" width="15.88671875" style="4" customWidth="1"/>
    <col min="3334" max="3584" width="8.88671875" style="4"/>
    <col min="3585" max="3585" width="4.21875" style="4" customWidth="1"/>
    <col min="3586" max="3586" width="25.44140625" style="4" bestFit="1" customWidth="1"/>
    <col min="3587" max="3587" width="39.88671875" style="4" bestFit="1" customWidth="1"/>
    <col min="3588" max="3588" width="17.109375" style="4" bestFit="1" customWidth="1"/>
    <col min="3589" max="3589" width="15.88671875" style="4" customWidth="1"/>
    <col min="3590" max="3840" width="8.88671875" style="4"/>
    <col min="3841" max="3841" width="4.21875" style="4" customWidth="1"/>
    <col min="3842" max="3842" width="25.44140625" style="4" bestFit="1" customWidth="1"/>
    <col min="3843" max="3843" width="39.88671875" style="4" bestFit="1" customWidth="1"/>
    <col min="3844" max="3844" width="17.109375" style="4" bestFit="1" customWidth="1"/>
    <col min="3845" max="3845" width="15.88671875" style="4" customWidth="1"/>
    <col min="3846" max="4096" width="8.88671875" style="4"/>
    <col min="4097" max="4097" width="4.21875" style="4" customWidth="1"/>
    <col min="4098" max="4098" width="25.44140625" style="4" bestFit="1" customWidth="1"/>
    <col min="4099" max="4099" width="39.88671875" style="4" bestFit="1" customWidth="1"/>
    <col min="4100" max="4100" width="17.109375" style="4" bestFit="1" customWidth="1"/>
    <col min="4101" max="4101" width="15.88671875" style="4" customWidth="1"/>
    <col min="4102" max="4352" width="8.88671875" style="4"/>
    <col min="4353" max="4353" width="4.21875" style="4" customWidth="1"/>
    <col min="4354" max="4354" width="25.44140625" style="4" bestFit="1" customWidth="1"/>
    <col min="4355" max="4355" width="39.88671875" style="4" bestFit="1" customWidth="1"/>
    <col min="4356" max="4356" width="17.109375" style="4" bestFit="1" customWidth="1"/>
    <col min="4357" max="4357" width="15.88671875" style="4" customWidth="1"/>
    <col min="4358" max="4608" width="8.88671875" style="4"/>
    <col min="4609" max="4609" width="4.21875" style="4" customWidth="1"/>
    <col min="4610" max="4610" width="25.44140625" style="4" bestFit="1" customWidth="1"/>
    <col min="4611" max="4611" width="39.88671875" style="4" bestFit="1" customWidth="1"/>
    <col min="4612" max="4612" width="17.109375" style="4" bestFit="1" customWidth="1"/>
    <col min="4613" max="4613" width="15.88671875" style="4" customWidth="1"/>
    <col min="4614" max="4864" width="8.88671875" style="4"/>
    <col min="4865" max="4865" width="4.21875" style="4" customWidth="1"/>
    <col min="4866" max="4866" width="25.44140625" style="4" bestFit="1" customWidth="1"/>
    <col min="4867" max="4867" width="39.88671875" style="4" bestFit="1" customWidth="1"/>
    <col min="4868" max="4868" width="17.109375" style="4" bestFit="1" customWidth="1"/>
    <col min="4869" max="4869" width="15.88671875" style="4" customWidth="1"/>
    <col min="4870" max="5120" width="8.88671875" style="4"/>
    <col min="5121" max="5121" width="4.21875" style="4" customWidth="1"/>
    <col min="5122" max="5122" width="25.44140625" style="4" bestFit="1" customWidth="1"/>
    <col min="5123" max="5123" width="39.88671875" style="4" bestFit="1" customWidth="1"/>
    <col min="5124" max="5124" width="17.109375" style="4" bestFit="1" customWidth="1"/>
    <col min="5125" max="5125" width="15.88671875" style="4" customWidth="1"/>
    <col min="5126" max="5376" width="8.88671875" style="4"/>
    <col min="5377" max="5377" width="4.21875" style="4" customWidth="1"/>
    <col min="5378" max="5378" width="25.44140625" style="4" bestFit="1" customWidth="1"/>
    <col min="5379" max="5379" width="39.88671875" style="4" bestFit="1" customWidth="1"/>
    <col min="5380" max="5380" width="17.109375" style="4" bestFit="1" customWidth="1"/>
    <col min="5381" max="5381" width="15.88671875" style="4" customWidth="1"/>
    <col min="5382" max="5632" width="8.88671875" style="4"/>
    <col min="5633" max="5633" width="4.21875" style="4" customWidth="1"/>
    <col min="5634" max="5634" width="25.44140625" style="4" bestFit="1" customWidth="1"/>
    <col min="5635" max="5635" width="39.88671875" style="4" bestFit="1" customWidth="1"/>
    <col min="5636" max="5636" width="17.109375" style="4" bestFit="1" customWidth="1"/>
    <col min="5637" max="5637" width="15.88671875" style="4" customWidth="1"/>
    <col min="5638" max="5888" width="8.88671875" style="4"/>
    <col min="5889" max="5889" width="4.21875" style="4" customWidth="1"/>
    <col min="5890" max="5890" width="25.44140625" style="4" bestFit="1" customWidth="1"/>
    <col min="5891" max="5891" width="39.88671875" style="4" bestFit="1" customWidth="1"/>
    <col min="5892" max="5892" width="17.109375" style="4" bestFit="1" customWidth="1"/>
    <col min="5893" max="5893" width="15.88671875" style="4" customWidth="1"/>
    <col min="5894" max="6144" width="8.88671875" style="4"/>
    <col min="6145" max="6145" width="4.21875" style="4" customWidth="1"/>
    <col min="6146" max="6146" width="25.44140625" style="4" bestFit="1" customWidth="1"/>
    <col min="6147" max="6147" width="39.88671875" style="4" bestFit="1" customWidth="1"/>
    <col min="6148" max="6148" width="17.109375" style="4" bestFit="1" customWidth="1"/>
    <col min="6149" max="6149" width="15.88671875" style="4" customWidth="1"/>
    <col min="6150" max="6400" width="8.88671875" style="4"/>
    <col min="6401" max="6401" width="4.21875" style="4" customWidth="1"/>
    <col min="6402" max="6402" width="25.44140625" style="4" bestFit="1" customWidth="1"/>
    <col min="6403" max="6403" width="39.88671875" style="4" bestFit="1" customWidth="1"/>
    <col min="6404" max="6404" width="17.109375" style="4" bestFit="1" customWidth="1"/>
    <col min="6405" max="6405" width="15.88671875" style="4" customWidth="1"/>
    <col min="6406" max="6656" width="8.88671875" style="4"/>
    <col min="6657" max="6657" width="4.21875" style="4" customWidth="1"/>
    <col min="6658" max="6658" width="25.44140625" style="4" bestFit="1" customWidth="1"/>
    <col min="6659" max="6659" width="39.88671875" style="4" bestFit="1" customWidth="1"/>
    <col min="6660" max="6660" width="17.109375" style="4" bestFit="1" customWidth="1"/>
    <col min="6661" max="6661" width="15.88671875" style="4" customWidth="1"/>
    <col min="6662" max="6912" width="8.88671875" style="4"/>
    <col min="6913" max="6913" width="4.21875" style="4" customWidth="1"/>
    <col min="6914" max="6914" width="25.44140625" style="4" bestFit="1" customWidth="1"/>
    <col min="6915" max="6915" width="39.88671875" style="4" bestFit="1" customWidth="1"/>
    <col min="6916" max="6916" width="17.109375" style="4" bestFit="1" customWidth="1"/>
    <col min="6917" max="6917" width="15.88671875" style="4" customWidth="1"/>
    <col min="6918" max="7168" width="8.88671875" style="4"/>
    <col min="7169" max="7169" width="4.21875" style="4" customWidth="1"/>
    <col min="7170" max="7170" width="25.44140625" style="4" bestFit="1" customWidth="1"/>
    <col min="7171" max="7171" width="39.88671875" style="4" bestFit="1" customWidth="1"/>
    <col min="7172" max="7172" width="17.109375" style="4" bestFit="1" customWidth="1"/>
    <col min="7173" max="7173" width="15.88671875" style="4" customWidth="1"/>
    <col min="7174" max="7424" width="8.88671875" style="4"/>
    <col min="7425" max="7425" width="4.21875" style="4" customWidth="1"/>
    <col min="7426" max="7426" width="25.44140625" style="4" bestFit="1" customWidth="1"/>
    <col min="7427" max="7427" width="39.88671875" style="4" bestFit="1" customWidth="1"/>
    <col min="7428" max="7428" width="17.109375" style="4" bestFit="1" customWidth="1"/>
    <col min="7429" max="7429" width="15.88671875" style="4" customWidth="1"/>
    <col min="7430" max="7680" width="8.88671875" style="4"/>
    <col min="7681" max="7681" width="4.21875" style="4" customWidth="1"/>
    <col min="7682" max="7682" width="25.44140625" style="4" bestFit="1" customWidth="1"/>
    <col min="7683" max="7683" width="39.88671875" style="4" bestFit="1" customWidth="1"/>
    <col min="7684" max="7684" width="17.109375" style="4" bestFit="1" customWidth="1"/>
    <col min="7685" max="7685" width="15.88671875" style="4" customWidth="1"/>
    <col min="7686" max="7936" width="8.88671875" style="4"/>
    <col min="7937" max="7937" width="4.21875" style="4" customWidth="1"/>
    <col min="7938" max="7938" width="25.44140625" style="4" bestFit="1" customWidth="1"/>
    <col min="7939" max="7939" width="39.88671875" style="4" bestFit="1" customWidth="1"/>
    <col min="7940" max="7940" width="17.109375" style="4" bestFit="1" customWidth="1"/>
    <col min="7941" max="7941" width="15.88671875" style="4" customWidth="1"/>
    <col min="7942" max="8192" width="8.88671875" style="4"/>
    <col min="8193" max="8193" width="4.21875" style="4" customWidth="1"/>
    <col min="8194" max="8194" width="25.44140625" style="4" bestFit="1" customWidth="1"/>
    <col min="8195" max="8195" width="39.88671875" style="4" bestFit="1" customWidth="1"/>
    <col min="8196" max="8196" width="17.109375" style="4" bestFit="1" customWidth="1"/>
    <col min="8197" max="8197" width="15.88671875" style="4" customWidth="1"/>
    <col min="8198" max="8448" width="8.88671875" style="4"/>
    <col min="8449" max="8449" width="4.21875" style="4" customWidth="1"/>
    <col min="8450" max="8450" width="25.44140625" style="4" bestFit="1" customWidth="1"/>
    <col min="8451" max="8451" width="39.88671875" style="4" bestFit="1" customWidth="1"/>
    <col min="8452" max="8452" width="17.109375" style="4" bestFit="1" customWidth="1"/>
    <col min="8453" max="8453" width="15.88671875" style="4" customWidth="1"/>
    <col min="8454" max="8704" width="8.88671875" style="4"/>
    <col min="8705" max="8705" width="4.21875" style="4" customWidth="1"/>
    <col min="8706" max="8706" width="25.44140625" style="4" bestFit="1" customWidth="1"/>
    <col min="8707" max="8707" width="39.88671875" style="4" bestFit="1" customWidth="1"/>
    <col min="8708" max="8708" width="17.109375" style="4" bestFit="1" customWidth="1"/>
    <col min="8709" max="8709" width="15.88671875" style="4" customWidth="1"/>
    <col min="8710" max="8960" width="8.88671875" style="4"/>
    <col min="8961" max="8961" width="4.21875" style="4" customWidth="1"/>
    <col min="8962" max="8962" width="25.44140625" style="4" bestFit="1" customWidth="1"/>
    <col min="8963" max="8963" width="39.88671875" style="4" bestFit="1" customWidth="1"/>
    <col min="8964" max="8964" width="17.109375" style="4" bestFit="1" customWidth="1"/>
    <col min="8965" max="8965" width="15.88671875" style="4" customWidth="1"/>
    <col min="8966" max="9216" width="8.88671875" style="4"/>
    <col min="9217" max="9217" width="4.21875" style="4" customWidth="1"/>
    <col min="9218" max="9218" width="25.44140625" style="4" bestFit="1" customWidth="1"/>
    <col min="9219" max="9219" width="39.88671875" style="4" bestFit="1" customWidth="1"/>
    <col min="9220" max="9220" width="17.109375" style="4" bestFit="1" customWidth="1"/>
    <col min="9221" max="9221" width="15.88671875" style="4" customWidth="1"/>
    <col min="9222" max="9472" width="8.88671875" style="4"/>
    <col min="9473" max="9473" width="4.21875" style="4" customWidth="1"/>
    <col min="9474" max="9474" width="25.44140625" style="4" bestFit="1" customWidth="1"/>
    <col min="9475" max="9475" width="39.88671875" style="4" bestFit="1" customWidth="1"/>
    <col min="9476" max="9476" width="17.109375" style="4" bestFit="1" customWidth="1"/>
    <col min="9477" max="9477" width="15.88671875" style="4" customWidth="1"/>
    <col min="9478" max="9728" width="8.88671875" style="4"/>
    <col min="9729" max="9729" width="4.21875" style="4" customWidth="1"/>
    <col min="9730" max="9730" width="25.44140625" style="4" bestFit="1" customWidth="1"/>
    <col min="9731" max="9731" width="39.88671875" style="4" bestFit="1" customWidth="1"/>
    <col min="9732" max="9732" width="17.109375" style="4" bestFit="1" customWidth="1"/>
    <col min="9733" max="9733" width="15.88671875" style="4" customWidth="1"/>
    <col min="9734" max="9984" width="8.88671875" style="4"/>
    <col min="9985" max="9985" width="4.21875" style="4" customWidth="1"/>
    <col min="9986" max="9986" width="25.44140625" style="4" bestFit="1" customWidth="1"/>
    <col min="9987" max="9987" width="39.88671875" style="4" bestFit="1" customWidth="1"/>
    <col min="9988" max="9988" width="17.109375" style="4" bestFit="1" customWidth="1"/>
    <col min="9989" max="9989" width="15.88671875" style="4" customWidth="1"/>
    <col min="9990" max="10240" width="8.88671875" style="4"/>
    <col min="10241" max="10241" width="4.21875" style="4" customWidth="1"/>
    <col min="10242" max="10242" width="25.44140625" style="4" bestFit="1" customWidth="1"/>
    <col min="10243" max="10243" width="39.88671875" style="4" bestFit="1" customWidth="1"/>
    <col min="10244" max="10244" width="17.109375" style="4" bestFit="1" customWidth="1"/>
    <col min="10245" max="10245" width="15.88671875" style="4" customWidth="1"/>
    <col min="10246" max="10496" width="8.88671875" style="4"/>
    <col min="10497" max="10497" width="4.21875" style="4" customWidth="1"/>
    <col min="10498" max="10498" width="25.44140625" style="4" bestFit="1" customWidth="1"/>
    <col min="10499" max="10499" width="39.88671875" style="4" bestFit="1" customWidth="1"/>
    <col min="10500" max="10500" width="17.109375" style="4" bestFit="1" customWidth="1"/>
    <col min="10501" max="10501" width="15.88671875" style="4" customWidth="1"/>
    <col min="10502" max="10752" width="8.88671875" style="4"/>
    <col min="10753" max="10753" width="4.21875" style="4" customWidth="1"/>
    <col min="10754" max="10754" width="25.44140625" style="4" bestFit="1" customWidth="1"/>
    <col min="10755" max="10755" width="39.88671875" style="4" bestFit="1" customWidth="1"/>
    <col min="10756" max="10756" width="17.109375" style="4" bestFit="1" customWidth="1"/>
    <col min="10757" max="10757" width="15.88671875" style="4" customWidth="1"/>
    <col min="10758" max="11008" width="8.88671875" style="4"/>
    <col min="11009" max="11009" width="4.21875" style="4" customWidth="1"/>
    <col min="11010" max="11010" width="25.44140625" style="4" bestFit="1" customWidth="1"/>
    <col min="11011" max="11011" width="39.88671875" style="4" bestFit="1" customWidth="1"/>
    <col min="11012" max="11012" width="17.109375" style="4" bestFit="1" customWidth="1"/>
    <col min="11013" max="11013" width="15.88671875" style="4" customWidth="1"/>
    <col min="11014" max="11264" width="8.88671875" style="4"/>
    <col min="11265" max="11265" width="4.21875" style="4" customWidth="1"/>
    <col min="11266" max="11266" width="25.44140625" style="4" bestFit="1" customWidth="1"/>
    <col min="11267" max="11267" width="39.88671875" style="4" bestFit="1" customWidth="1"/>
    <col min="11268" max="11268" width="17.109375" style="4" bestFit="1" customWidth="1"/>
    <col min="11269" max="11269" width="15.88671875" style="4" customWidth="1"/>
    <col min="11270" max="11520" width="8.88671875" style="4"/>
    <col min="11521" max="11521" width="4.21875" style="4" customWidth="1"/>
    <col min="11522" max="11522" width="25.44140625" style="4" bestFit="1" customWidth="1"/>
    <col min="11523" max="11523" width="39.88671875" style="4" bestFit="1" customWidth="1"/>
    <col min="11524" max="11524" width="17.109375" style="4" bestFit="1" customWidth="1"/>
    <col min="11525" max="11525" width="15.88671875" style="4" customWidth="1"/>
    <col min="11526" max="11776" width="8.88671875" style="4"/>
    <col min="11777" max="11777" width="4.21875" style="4" customWidth="1"/>
    <col min="11778" max="11778" width="25.44140625" style="4" bestFit="1" customWidth="1"/>
    <col min="11779" max="11779" width="39.88671875" style="4" bestFit="1" customWidth="1"/>
    <col min="11780" max="11780" width="17.109375" style="4" bestFit="1" customWidth="1"/>
    <col min="11781" max="11781" width="15.88671875" style="4" customWidth="1"/>
    <col min="11782" max="12032" width="8.88671875" style="4"/>
    <col min="12033" max="12033" width="4.21875" style="4" customWidth="1"/>
    <col min="12034" max="12034" width="25.44140625" style="4" bestFit="1" customWidth="1"/>
    <col min="12035" max="12035" width="39.88671875" style="4" bestFit="1" customWidth="1"/>
    <col min="12036" max="12036" width="17.109375" style="4" bestFit="1" customWidth="1"/>
    <col min="12037" max="12037" width="15.88671875" style="4" customWidth="1"/>
    <col min="12038" max="12288" width="8.88671875" style="4"/>
    <col min="12289" max="12289" width="4.21875" style="4" customWidth="1"/>
    <col min="12290" max="12290" width="25.44140625" style="4" bestFit="1" customWidth="1"/>
    <col min="12291" max="12291" width="39.88671875" style="4" bestFit="1" customWidth="1"/>
    <col min="12292" max="12292" width="17.109375" style="4" bestFit="1" customWidth="1"/>
    <col min="12293" max="12293" width="15.88671875" style="4" customWidth="1"/>
    <col min="12294" max="12544" width="8.88671875" style="4"/>
    <col min="12545" max="12545" width="4.21875" style="4" customWidth="1"/>
    <col min="12546" max="12546" width="25.44140625" style="4" bestFit="1" customWidth="1"/>
    <col min="12547" max="12547" width="39.88671875" style="4" bestFit="1" customWidth="1"/>
    <col min="12548" max="12548" width="17.109375" style="4" bestFit="1" customWidth="1"/>
    <col min="12549" max="12549" width="15.88671875" style="4" customWidth="1"/>
    <col min="12550" max="12800" width="8.88671875" style="4"/>
    <col min="12801" max="12801" width="4.21875" style="4" customWidth="1"/>
    <col min="12802" max="12802" width="25.44140625" style="4" bestFit="1" customWidth="1"/>
    <col min="12803" max="12803" width="39.88671875" style="4" bestFit="1" customWidth="1"/>
    <col min="12804" max="12804" width="17.109375" style="4" bestFit="1" customWidth="1"/>
    <col min="12805" max="12805" width="15.88671875" style="4" customWidth="1"/>
    <col min="12806" max="13056" width="8.88671875" style="4"/>
    <col min="13057" max="13057" width="4.21875" style="4" customWidth="1"/>
    <col min="13058" max="13058" width="25.44140625" style="4" bestFit="1" customWidth="1"/>
    <col min="13059" max="13059" width="39.88671875" style="4" bestFit="1" customWidth="1"/>
    <col min="13060" max="13060" width="17.109375" style="4" bestFit="1" customWidth="1"/>
    <col min="13061" max="13061" width="15.88671875" style="4" customWidth="1"/>
    <col min="13062" max="13312" width="8.88671875" style="4"/>
    <col min="13313" max="13313" width="4.21875" style="4" customWidth="1"/>
    <col min="13314" max="13314" width="25.44140625" style="4" bestFit="1" customWidth="1"/>
    <col min="13315" max="13315" width="39.88671875" style="4" bestFit="1" customWidth="1"/>
    <col min="13316" max="13316" width="17.109375" style="4" bestFit="1" customWidth="1"/>
    <col min="13317" max="13317" width="15.88671875" style="4" customWidth="1"/>
    <col min="13318" max="13568" width="8.88671875" style="4"/>
    <col min="13569" max="13569" width="4.21875" style="4" customWidth="1"/>
    <col min="13570" max="13570" width="25.44140625" style="4" bestFit="1" customWidth="1"/>
    <col min="13571" max="13571" width="39.88671875" style="4" bestFit="1" customWidth="1"/>
    <col min="13572" max="13572" width="17.109375" style="4" bestFit="1" customWidth="1"/>
    <col min="13573" max="13573" width="15.88671875" style="4" customWidth="1"/>
    <col min="13574" max="13824" width="8.88671875" style="4"/>
    <col min="13825" max="13825" width="4.21875" style="4" customWidth="1"/>
    <col min="13826" max="13826" width="25.44140625" style="4" bestFit="1" customWidth="1"/>
    <col min="13827" max="13827" width="39.88671875" style="4" bestFit="1" customWidth="1"/>
    <col min="13828" max="13828" width="17.109375" style="4" bestFit="1" customWidth="1"/>
    <col min="13829" max="13829" width="15.88671875" style="4" customWidth="1"/>
    <col min="13830" max="14080" width="8.88671875" style="4"/>
    <col min="14081" max="14081" width="4.21875" style="4" customWidth="1"/>
    <col min="14082" max="14082" width="25.44140625" style="4" bestFit="1" customWidth="1"/>
    <col min="14083" max="14083" width="39.88671875" style="4" bestFit="1" customWidth="1"/>
    <col min="14084" max="14084" width="17.109375" style="4" bestFit="1" customWidth="1"/>
    <col min="14085" max="14085" width="15.88671875" style="4" customWidth="1"/>
    <col min="14086" max="14336" width="8.88671875" style="4"/>
    <col min="14337" max="14337" width="4.21875" style="4" customWidth="1"/>
    <col min="14338" max="14338" width="25.44140625" style="4" bestFit="1" customWidth="1"/>
    <col min="14339" max="14339" width="39.88671875" style="4" bestFit="1" customWidth="1"/>
    <col min="14340" max="14340" width="17.109375" style="4" bestFit="1" customWidth="1"/>
    <col min="14341" max="14341" width="15.88671875" style="4" customWidth="1"/>
    <col min="14342" max="14592" width="8.88671875" style="4"/>
    <col min="14593" max="14593" width="4.21875" style="4" customWidth="1"/>
    <col min="14594" max="14594" width="25.44140625" style="4" bestFit="1" customWidth="1"/>
    <col min="14595" max="14595" width="39.88671875" style="4" bestFit="1" customWidth="1"/>
    <col min="14596" max="14596" width="17.109375" style="4" bestFit="1" customWidth="1"/>
    <col min="14597" max="14597" width="15.88671875" style="4" customWidth="1"/>
    <col min="14598" max="14848" width="8.88671875" style="4"/>
    <col min="14849" max="14849" width="4.21875" style="4" customWidth="1"/>
    <col min="14850" max="14850" width="25.44140625" style="4" bestFit="1" customWidth="1"/>
    <col min="14851" max="14851" width="39.88671875" style="4" bestFit="1" customWidth="1"/>
    <col min="14852" max="14852" width="17.109375" style="4" bestFit="1" customWidth="1"/>
    <col min="14853" max="14853" width="15.88671875" style="4" customWidth="1"/>
    <col min="14854" max="15104" width="8.88671875" style="4"/>
    <col min="15105" max="15105" width="4.21875" style="4" customWidth="1"/>
    <col min="15106" max="15106" width="25.44140625" style="4" bestFit="1" customWidth="1"/>
    <col min="15107" max="15107" width="39.88671875" style="4" bestFit="1" customWidth="1"/>
    <col min="15108" max="15108" width="17.109375" style="4" bestFit="1" customWidth="1"/>
    <col min="15109" max="15109" width="15.88671875" style="4" customWidth="1"/>
    <col min="15110" max="15360" width="8.88671875" style="4"/>
    <col min="15361" max="15361" width="4.21875" style="4" customWidth="1"/>
    <col min="15362" max="15362" width="25.44140625" style="4" bestFit="1" customWidth="1"/>
    <col min="15363" max="15363" width="39.88671875" style="4" bestFit="1" customWidth="1"/>
    <col min="15364" max="15364" width="17.109375" style="4" bestFit="1" customWidth="1"/>
    <col min="15365" max="15365" width="15.88671875" style="4" customWidth="1"/>
    <col min="15366" max="15616" width="8.88671875" style="4"/>
    <col min="15617" max="15617" width="4.21875" style="4" customWidth="1"/>
    <col min="15618" max="15618" width="25.44140625" style="4" bestFit="1" customWidth="1"/>
    <col min="15619" max="15619" width="39.88671875" style="4" bestFit="1" customWidth="1"/>
    <col min="15620" max="15620" width="17.109375" style="4" bestFit="1" customWidth="1"/>
    <col min="15621" max="15621" width="15.88671875" style="4" customWidth="1"/>
    <col min="15622" max="15872" width="8.88671875" style="4"/>
    <col min="15873" max="15873" width="4.21875" style="4" customWidth="1"/>
    <col min="15874" max="15874" width="25.44140625" style="4" bestFit="1" customWidth="1"/>
    <col min="15875" max="15875" width="39.88671875" style="4" bestFit="1" customWidth="1"/>
    <col min="15876" max="15876" width="17.109375" style="4" bestFit="1" customWidth="1"/>
    <col min="15877" max="15877" width="15.88671875" style="4" customWidth="1"/>
    <col min="15878" max="16128" width="8.88671875" style="4"/>
    <col min="16129" max="16129" width="4.21875" style="4" customWidth="1"/>
    <col min="16130" max="16130" width="25.44140625" style="4" bestFit="1" customWidth="1"/>
    <col min="16131" max="16131" width="39.88671875" style="4" bestFit="1" customWidth="1"/>
    <col min="16132" max="16132" width="17.109375" style="4" bestFit="1" customWidth="1"/>
    <col min="16133" max="16133" width="15.88671875" style="4" customWidth="1"/>
    <col min="16134" max="16384" width="8.88671875" style="4"/>
  </cols>
  <sheetData>
    <row r="2" spans="2:5">
      <c r="B2" s="20" t="s">
        <v>41</v>
      </c>
    </row>
    <row r="3" spans="2:5">
      <c r="B3" s="20" t="s">
        <v>42</v>
      </c>
      <c r="C3"/>
    </row>
    <row r="4" spans="2:5">
      <c r="B4" s="20" t="s">
        <v>43</v>
      </c>
    </row>
    <row r="5" spans="2:5">
      <c r="B5" s="20" t="s">
        <v>44</v>
      </c>
    </row>
    <row r="7" spans="2:5" ht="18.75">
      <c r="B7" s="3" t="s">
        <v>24</v>
      </c>
    </row>
    <row r="8" spans="2:5" ht="18.75">
      <c r="B8" s="5" t="s">
        <v>25</v>
      </c>
    </row>
    <row r="10" spans="2:5">
      <c r="B10" s="4" t="s">
        <v>26</v>
      </c>
    </row>
    <row r="11" spans="2:5" ht="16.5" thickBot="1">
      <c r="B11" s="6" t="s">
        <v>27</v>
      </c>
      <c r="C11" s="6" t="s">
        <v>28</v>
      </c>
      <c r="D11" s="6" t="s">
        <v>29</v>
      </c>
      <c r="E11" s="6" t="s">
        <v>40</v>
      </c>
    </row>
    <row r="12" spans="2:5">
      <c r="B12" s="7" t="s">
        <v>30</v>
      </c>
      <c r="C12" s="8" t="s">
        <v>59</v>
      </c>
      <c r="D12" s="8" t="s">
        <v>30</v>
      </c>
      <c r="E12" s="41">
        <v>46023</v>
      </c>
    </row>
    <row r="13" spans="2:5">
      <c r="B13" s="7" t="s">
        <v>31</v>
      </c>
      <c r="C13" s="8" t="s">
        <v>60</v>
      </c>
      <c r="D13" s="8" t="s">
        <v>31</v>
      </c>
      <c r="E13" s="10" t="s">
        <v>67</v>
      </c>
    </row>
    <row r="14" spans="2:5">
      <c r="B14" s="7" t="s">
        <v>32</v>
      </c>
      <c r="C14" s="8" t="s">
        <v>38</v>
      </c>
      <c r="D14" s="8" t="s">
        <v>32</v>
      </c>
      <c r="E14" s="9" t="s">
        <v>68</v>
      </c>
    </row>
    <row r="15" spans="2:5" ht="16.5" thickBot="1">
      <c r="B15" s="11"/>
      <c r="C15" s="12"/>
      <c r="D15" s="12"/>
      <c r="E15" s="12"/>
    </row>
    <row r="17" spans="2:3">
      <c r="B17" s="4" t="s">
        <v>33</v>
      </c>
      <c r="C17" s="13"/>
    </row>
    <row r="18" spans="2:3">
      <c r="B18" s="4" t="s">
        <v>34</v>
      </c>
      <c r="C18" s="13"/>
    </row>
    <row r="20" spans="2:3">
      <c r="B20" s="4" t="s">
        <v>35</v>
      </c>
      <c r="C20" s="4" t="s">
        <v>39</v>
      </c>
    </row>
    <row r="21" spans="2:3">
      <c r="B21" s="4" t="s">
        <v>36</v>
      </c>
      <c r="C21" s="14" t="s">
        <v>37</v>
      </c>
    </row>
    <row r="24" spans="2:3" ht="31.5">
      <c r="B24" s="38" t="s">
        <v>61</v>
      </c>
    </row>
    <row r="25" spans="2:3" ht="15.75" customHeight="1">
      <c r="B25" s="17" t="s">
        <v>18</v>
      </c>
    </row>
    <row r="26" spans="2:3" ht="15.75" customHeight="1">
      <c r="B26" s="18" t="s">
        <v>17</v>
      </c>
    </row>
    <row r="27" spans="2:3" ht="15.75" customHeight="1">
      <c r="B27" s="19" t="s">
        <v>5</v>
      </c>
    </row>
    <row r="28" spans="2:3">
      <c r="B28" s="19" t="s">
        <v>1</v>
      </c>
    </row>
    <row r="29" spans="2:3">
      <c r="B29" s="19" t="s">
        <v>10</v>
      </c>
    </row>
    <row r="30" spans="2:3">
      <c r="B30" s="19" t="s">
        <v>11</v>
      </c>
    </row>
    <row r="31" spans="2:3">
      <c r="B31" s="19" t="s">
        <v>12</v>
      </c>
    </row>
    <row r="32" spans="2:3">
      <c r="B32" s="19" t="s">
        <v>13</v>
      </c>
    </row>
    <row r="33" spans="2:2">
      <c r="B33" s="19" t="s">
        <v>14</v>
      </c>
    </row>
    <row r="34" spans="2:2">
      <c r="B34" s="19" t="s">
        <v>15</v>
      </c>
    </row>
    <row r="35" spans="2:2">
      <c r="B35" s="19" t="s">
        <v>19</v>
      </c>
    </row>
    <row r="36" spans="2:2">
      <c r="B36" s="19" t="s">
        <v>20</v>
      </c>
    </row>
    <row r="37" spans="2:2">
      <c r="B37" s="19" t="s">
        <v>6</v>
      </c>
    </row>
    <row r="38" spans="2:2">
      <c r="B38" s="19" t="s">
        <v>58</v>
      </c>
    </row>
    <row r="39" spans="2:2">
      <c r="B39" s="19" t="s">
        <v>56</v>
      </c>
    </row>
    <row r="40" spans="2:2">
      <c r="B40" s="19" t="s">
        <v>54</v>
      </c>
    </row>
    <row r="41" spans="2:2">
      <c r="B41" s="19" t="s">
        <v>7</v>
      </c>
    </row>
    <row r="42" spans="2:2">
      <c r="B42" s="19" t="s">
        <v>8</v>
      </c>
    </row>
    <row r="43" spans="2:2">
      <c r="B43" s="19" t="s">
        <v>9</v>
      </c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1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V225"/>
  <sheetViews>
    <sheetView tabSelected="1" zoomScale="80" zoomScaleNormal="80" workbookViewId="0">
      <pane xSplit="1" ySplit="6" topLeftCell="M208" activePane="bottomRight" state="frozen"/>
      <selection pane="topRight" activeCell="B1" sqref="B1"/>
      <selection pane="bottomLeft" activeCell="A7" sqref="A7"/>
      <selection pane="bottomRight" activeCell="Y213" sqref="Y213"/>
    </sheetView>
  </sheetViews>
  <sheetFormatPr baseColWidth="10" defaultColWidth="11.5546875" defaultRowHeight="18.75"/>
  <cols>
    <col min="1" max="1" width="32.6640625" style="2" customWidth="1"/>
    <col min="2" max="2" width="11.6640625" style="2" bestFit="1" customWidth="1"/>
    <col min="3" max="3" width="15.5546875" style="2" customWidth="1"/>
    <col min="4" max="4" width="16.88671875" style="2" customWidth="1"/>
    <col min="5" max="5" width="10.6640625" style="2" customWidth="1"/>
    <col min="6" max="6" width="10.77734375" style="2" customWidth="1"/>
    <col min="7" max="7" width="21.5546875" style="2" bestFit="1" customWidth="1"/>
    <col min="8" max="8" width="12.109375" style="2" customWidth="1"/>
    <col min="9" max="10" width="11.6640625" style="2" bestFit="1" customWidth="1"/>
    <col min="11" max="11" width="16.6640625" style="2" customWidth="1"/>
    <col min="12" max="12" width="13.77734375" style="2" bestFit="1" customWidth="1"/>
    <col min="13" max="13" width="24.21875" style="2" customWidth="1"/>
    <col min="14" max="14" width="22.109375" style="2" customWidth="1"/>
    <col min="15" max="15" width="13.33203125" style="2" customWidth="1"/>
    <col min="16" max="16" width="22.21875" style="2" customWidth="1"/>
    <col min="17" max="17" width="11.6640625" style="2" bestFit="1" customWidth="1"/>
    <col min="18" max="18" width="20.6640625" style="2" customWidth="1"/>
    <col min="19" max="20" width="11.6640625" style="2" bestFit="1" customWidth="1"/>
    <col min="21" max="21" width="14.33203125" style="21" customWidth="1"/>
    <col min="22" max="16384" width="11.5546875" style="2"/>
  </cols>
  <sheetData>
    <row r="1" spans="1:21">
      <c r="A1" s="15" t="s">
        <v>23</v>
      </c>
      <c r="U1" s="21" t="s">
        <v>62</v>
      </c>
    </row>
    <row r="2" spans="1:21">
      <c r="F2" s="42" t="s">
        <v>55</v>
      </c>
      <c r="G2" s="42"/>
      <c r="H2" s="42"/>
    </row>
    <row r="3" spans="1:21" ht="21" customHeight="1"/>
    <row r="4" spans="1:21" s="23" customFormat="1" ht="15.75" customHeight="1">
      <c r="A4" s="63" t="s">
        <v>46</v>
      </c>
      <c r="B4" s="57" t="s">
        <v>3</v>
      </c>
      <c r="C4" s="58"/>
      <c r="D4" s="58"/>
      <c r="E4" s="59"/>
      <c r="F4" s="43" t="s">
        <v>4</v>
      </c>
      <c r="G4" s="44"/>
      <c r="H4" s="44"/>
      <c r="I4" s="44"/>
      <c r="J4" s="44"/>
      <c r="K4" s="44"/>
      <c r="L4" s="44"/>
      <c r="M4" s="44"/>
      <c r="N4" s="44"/>
      <c r="O4" s="45"/>
      <c r="P4" s="43"/>
      <c r="Q4" s="44"/>
      <c r="R4" s="44"/>
      <c r="S4" s="44"/>
      <c r="T4" s="44"/>
      <c r="U4" s="54" t="s">
        <v>21</v>
      </c>
    </row>
    <row r="5" spans="1:21" s="23" customFormat="1" ht="18">
      <c r="A5" s="64"/>
      <c r="B5" s="60"/>
      <c r="C5" s="61"/>
      <c r="D5" s="61"/>
      <c r="E5" s="62"/>
      <c r="F5" s="43" t="s">
        <v>22</v>
      </c>
      <c r="G5" s="44"/>
      <c r="H5" s="44"/>
      <c r="I5" s="44"/>
      <c r="J5" s="44"/>
      <c r="K5" s="44"/>
      <c r="L5" s="44"/>
      <c r="M5" s="44"/>
      <c r="N5" s="44"/>
      <c r="O5" s="45"/>
      <c r="P5" s="43" t="s">
        <v>7</v>
      </c>
      <c r="Q5" s="44"/>
      <c r="R5" s="44"/>
      <c r="S5" s="44"/>
      <c r="T5" s="52" t="s">
        <v>0</v>
      </c>
      <c r="U5" s="55"/>
    </row>
    <row r="6" spans="1:21" s="23" customFormat="1" ht="90">
      <c r="A6" s="65"/>
      <c r="B6" s="26" t="s">
        <v>57</v>
      </c>
      <c r="C6" s="27" t="s">
        <v>47</v>
      </c>
      <c r="D6" s="27" t="s">
        <v>63</v>
      </c>
      <c r="E6" s="27" t="s">
        <v>0</v>
      </c>
      <c r="F6" s="26" t="s">
        <v>1</v>
      </c>
      <c r="G6" s="27" t="s">
        <v>48</v>
      </c>
      <c r="H6" s="27" t="s">
        <v>11</v>
      </c>
      <c r="I6" s="27" t="s">
        <v>49</v>
      </c>
      <c r="J6" s="27" t="s">
        <v>50</v>
      </c>
      <c r="K6" s="27" t="s">
        <v>14</v>
      </c>
      <c r="L6" s="27" t="s">
        <v>15</v>
      </c>
      <c r="M6" s="27" t="s">
        <v>51</v>
      </c>
      <c r="N6" s="27" t="s">
        <v>52</v>
      </c>
      <c r="O6" s="27" t="s">
        <v>0</v>
      </c>
      <c r="P6" s="27" t="s">
        <v>53</v>
      </c>
      <c r="Q6" s="27" t="s">
        <v>16</v>
      </c>
      <c r="R6" s="27" t="s">
        <v>54</v>
      </c>
      <c r="S6" s="28" t="s">
        <v>0</v>
      </c>
      <c r="T6" s="53"/>
      <c r="U6" s="56"/>
    </row>
    <row r="7" spans="1:21" s="35" customFormat="1" ht="15.75">
      <c r="A7" s="40">
        <v>39478</v>
      </c>
      <c r="B7" s="29">
        <v>71000.099999999977</v>
      </c>
      <c r="C7" s="29">
        <v>72524.799999999988</v>
      </c>
      <c r="D7" s="29"/>
      <c r="E7" s="29">
        <f>SUM(B7:D7)</f>
        <v>143524.89999999997</v>
      </c>
      <c r="F7" s="29">
        <v>158139.70000000001</v>
      </c>
      <c r="G7" s="29">
        <v>40422.300000000003</v>
      </c>
      <c r="H7" s="29"/>
      <c r="I7" s="29">
        <v>5365.5</v>
      </c>
      <c r="J7" s="30"/>
      <c r="K7" s="30"/>
      <c r="L7" s="31">
        <f t="shared" ref="L7:L70" si="0">SUM(F7:K7)</f>
        <v>203927.5</v>
      </c>
      <c r="M7" s="32">
        <v>80610.600000000006</v>
      </c>
      <c r="N7" s="29">
        <v>9941.8999999999978</v>
      </c>
      <c r="O7" s="31">
        <f t="shared" ref="O7:O70" si="1">L7-M7-N7</f>
        <v>113375</v>
      </c>
      <c r="P7" s="29">
        <v>9503.2000000000007</v>
      </c>
      <c r="Q7" s="29">
        <v>218676.50000000003</v>
      </c>
      <c r="R7" s="31">
        <v>77.900000000000006</v>
      </c>
      <c r="S7" s="29">
        <f>SUM(P7:R7)</f>
        <v>228257.60000000003</v>
      </c>
      <c r="T7" s="33">
        <f t="shared" ref="T7:T38" si="2">S7+O7</f>
        <v>341632.60000000003</v>
      </c>
      <c r="U7" s="29">
        <f t="shared" ref="U7:U38" si="3">T7+E7</f>
        <v>485157.5</v>
      </c>
    </row>
    <row r="8" spans="1:21" s="35" customFormat="1" ht="15.75">
      <c r="A8" s="40">
        <v>39507</v>
      </c>
      <c r="B8" s="29">
        <v>62812.299999999988</v>
      </c>
      <c r="C8" s="29">
        <v>81461.900000000009</v>
      </c>
      <c r="D8" s="29"/>
      <c r="E8" s="29">
        <f t="shared" ref="E8:E71" si="4">SUM(B8:D8)</f>
        <v>144274.20000000001</v>
      </c>
      <c r="F8" s="29">
        <v>163802</v>
      </c>
      <c r="G8" s="29">
        <v>45396.9</v>
      </c>
      <c r="H8" s="29" t="s">
        <v>2</v>
      </c>
      <c r="I8" s="29">
        <v>6283.7000000000007</v>
      </c>
      <c r="J8" s="30" t="s">
        <v>2</v>
      </c>
      <c r="K8" s="30" t="s">
        <v>2</v>
      </c>
      <c r="L8" s="31">
        <f t="shared" si="0"/>
        <v>215482.6</v>
      </c>
      <c r="M8" s="32">
        <v>76125.5</v>
      </c>
      <c r="N8" s="29">
        <v>9334.5</v>
      </c>
      <c r="O8" s="31">
        <f t="shared" si="1"/>
        <v>130022.6</v>
      </c>
      <c r="P8" s="29">
        <v>9111.2000000000007</v>
      </c>
      <c r="Q8" s="29">
        <v>217278.00000000003</v>
      </c>
      <c r="R8" s="31">
        <v>106.1</v>
      </c>
      <c r="S8" s="29">
        <f t="shared" ref="S8:S71" si="5">SUM(P8:R8)</f>
        <v>226495.30000000005</v>
      </c>
      <c r="T8" s="33">
        <f t="shared" si="2"/>
        <v>356517.9</v>
      </c>
      <c r="U8" s="29">
        <f t="shared" si="3"/>
        <v>500792.10000000003</v>
      </c>
    </row>
    <row r="9" spans="1:21" s="35" customFormat="1" ht="15.75">
      <c r="A9" s="40">
        <v>39538</v>
      </c>
      <c r="B9" s="29">
        <v>60403.499999999942</v>
      </c>
      <c r="C9" s="29">
        <v>88180.9</v>
      </c>
      <c r="D9" s="29"/>
      <c r="E9" s="29">
        <f t="shared" si="4"/>
        <v>148584.39999999994</v>
      </c>
      <c r="F9" s="29">
        <v>173616.9</v>
      </c>
      <c r="G9" s="29">
        <v>45326.400000000001</v>
      </c>
      <c r="H9" s="29" t="s">
        <v>2</v>
      </c>
      <c r="I9" s="29">
        <v>6220.2999999999993</v>
      </c>
      <c r="J9" s="30" t="s">
        <v>2</v>
      </c>
      <c r="K9" s="30" t="s">
        <v>2</v>
      </c>
      <c r="L9" s="31">
        <f t="shared" si="0"/>
        <v>225163.59999999998</v>
      </c>
      <c r="M9" s="32">
        <v>80768</v>
      </c>
      <c r="N9" s="29">
        <v>11101.600000000002</v>
      </c>
      <c r="O9" s="31">
        <f t="shared" si="1"/>
        <v>133293.99999999997</v>
      </c>
      <c r="P9" s="29">
        <v>9802.6999999999989</v>
      </c>
      <c r="Q9" s="29">
        <v>220978.30000000005</v>
      </c>
      <c r="R9" s="31">
        <v>105.1</v>
      </c>
      <c r="S9" s="29">
        <f t="shared" si="5"/>
        <v>230886.10000000006</v>
      </c>
      <c r="T9" s="33">
        <f t="shared" si="2"/>
        <v>364180.10000000003</v>
      </c>
      <c r="U9" s="29">
        <f t="shared" si="3"/>
        <v>512764.5</v>
      </c>
    </row>
    <row r="10" spans="1:21" s="35" customFormat="1" ht="15.75">
      <c r="A10" s="40">
        <v>39568</v>
      </c>
      <c r="B10" s="29">
        <v>65629.399999999994</v>
      </c>
      <c r="C10" s="29">
        <v>84707.599999999977</v>
      </c>
      <c r="D10" s="29"/>
      <c r="E10" s="29">
        <f t="shared" si="4"/>
        <v>150336.99999999997</v>
      </c>
      <c r="F10" s="29">
        <v>179672.1</v>
      </c>
      <c r="G10" s="29">
        <v>44626.400000000001</v>
      </c>
      <c r="H10" s="29" t="s">
        <v>2</v>
      </c>
      <c r="I10" s="29">
        <v>8569.1</v>
      </c>
      <c r="J10" s="30" t="s">
        <v>2</v>
      </c>
      <c r="K10" s="30" t="s">
        <v>2</v>
      </c>
      <c r="L10" s="31">
        <f t="shared" si="0"/>
        <v>232867.6</v>
      </c>
      <c r="M10" s="32">
        <v>91380.599999999991</v>
      </c>
      <c r="N10" s="29">
        <v>11534.699999999999</v>
      </c>
      <c r="O10" s="31">
        <f t="shared" si="1"/>
        <v>129952.3</v>
      </c>
      <c r="P10" s="29">
        <v>9230.9999999999982</v>
      </c>
      <c r="Q10" s="29">
        <v>223510</v>
      </c>
      <c r="R10" s="31">
        <v>104.3</v>
      </c>
      <c r="S10" s="29">
        <f t="shared" si="5"/>
        <v>232845.3</v>
      </c>
      <c r="T10" s="33">
        <f t="shared" si="2"/>
        <v>362797.6</v>
      </c>
      <c r="U10" s="29">
        <f t="shared" si="3"/>
        <v>513134.6</v>
      </c>
    </row>
    <row r="11" spans="1:21" s="35" customFormat="1" ht="15.75">
      <c r="A11" s="40">
        <v>39599</v>
      </c>
      <c r="B11" s="29">
        <v>61488</v>
      </c>
      <c r="C11" s="29">
        <v>79298.499999999985</v>
      </c>
      <c r="D11" s="29"/>
      <c r="E11" s="29">
        <f t="shared" si="4"/>
        <v>140786.5</v>
      </c>
      <c r="F11" s="29">
        <v>182582.3</v>
      </c>
      <c r="G11" s="29">
        <v>40822.200000000004</v>
      </c>
      <c r="H11" s="29" t="s">
        <v>2</v>
      </c>
      <c r="I11" s="29">
        <v>5414</v>
      </c>
      <c r="J11" s="30" t="s">
        <v>2</v>
      </c>
      <c r="K11" s="30" t="s">
        <v>2</v>
      </c>
      <c r="L11" s="31">
        <f t="shared" si="0"/>
        <v>228818.5</v>
      </c>
      <c r="M11" s="32">
        <v>89184.723000000013</v>
      </c>
      <c r="N11" s="29">
        <v>10026.699999999999</v>
      </c>
      <c r="O11" s="31">
        <f t="shared" si="1"/>
        <v>129607.077</v>
      </c>
      <c r="P11" s="29">
        <v>9642.4</v>
      </c>
      <c r="Q11" s="29">
        <v>225959.4</v>
      </c>
      <c r="R11" s="31">
        <v>104.4</v>
      </c>
      <c r="S11" s="29">
        <f t="shared" si="5"/>
        <v>235706.19999999998</v>
      </c>
      <c r="T11" s="33">
        <f t="shared" si="2"/>
        <v>365313.277</v>
      </c>
      <c r="U11" s="29">
        <f t="shared" si="3"/>
        <v>506099.777</v>
      </c>
    </row>
    <row r="12" spans="1:21" s="35" customFormat="1" ht="15.75">
      <c r="A12" s="40">
        <v>39629</v>
      </c>
      <c r="B12" s="29">
        <v>56309.5</v>
      </c>
      <c r="C12" s="29">
        <v>82636.399999999994</v>
      </c>
      <c r="D12" s="29"/>
      <c r="E12" s="29">
        <f t="shared" si="4"/>
        <v>138945.9</v>
      </c>
      <c r="F12" s="29">
        <v>185113.8</v>
      </c>
      <c r="G12" s="29">
        <v>41022.200000000004</v>
      </c>
      <c r="H12" s="29" t="s">
        <v>2</v>
      </c>
      <c r="I12" s="29">
        <v>8052.4</v>
      </c>
      <c r="J12" s="30" t="s">
        <v>2</v>
      </c>
      <c r="K12" s="30" t="s">
        <v>2</v>
      </c>
      <c r="L12" s="31">
        <f t="shared" si="0"/>
        <v>234188.4</v>
      </c>
      <c r="M12" s="32">
        <v>82103</v>
      </c>
      <c r="N12" s="29">
        <v>10096.199999999999</v>
      </c>
      <c r="O12" s="31">
        <f t="shared" si="1"/>
        <v>141989.19999999998</v>
      </c>
      <c r="P12" s="29">
        <v>12850.8</v>
      </c>
      <c r="Q12" s="29">
        <v>237857.6</v>
      </c>
      <c r="R12" s="31">
        <v>101.8</v>
      </c>
      <c r="S12" s="29">
        <f t="shared" si="5"/>
        <v>250810.19999999998</v>
      </c>
      <c r="T12" s="33">
        <f t="shared" si="2"/>
        <v>392799.39999999997</v>
      </c>
      <c r="U12" s="29">
        <f t="shared" si="3"/>
        <v>531745.29999999993</v>
      </c>
    </row>
    <row r="13" spans="1:21" s="35" customFormat="1" ht="15.75">
      <c r="A13" s="40">
        <v>39660</v>
      </c>
      <c r="B13" s="29">
        <v>70144.199999999953</v>
      </c>
      <c r="C13" s="29">
        <v>74558.799999999988</v>
      </c>
      <c r="D13" s="29"/>
      <c r="E13" s="29">
        <f t="shared" si="4"/>
        <v>144702.99999999994</v>
      </c>
      <c r="F13" s="29">
        <v>177924.3</v>
      </c>
      <c r="G13" s="29">
        <v>36154.800000000003</v>
      </c>
      <c r="H13" s="29" t="s">
        <v>2</v>
      </c>
      <c r="I13" s="29">
        <v>7102.2999999999993</v>
      </c>
      <c r="J13" s="30" t="s">
        <v>2</v>
      </c>
      <c r="K13" s="30" t="s">
        <v>2</v>
      </c>
      <c r="L13" s="31">
        <f t="shared" si="0"/>
        <v>221181.39999999997</v>
      </c>
      <c r="M13" s="32">
        <v>79078.900000000009</v>
      </c>
      <c r="N13" s="29">
        <v>9264.6999999999989</v>
      </c>
      <c r="O13" s="31">
        <f t="shared" si="1"/>
        <v>132837.79999999993</v>
      </c>
      <c r="P13" s="29">
        <v>23911.999999999996</v>
      </c>
      <c r="Q13" s="29">
        <v>245655.30000000002</v>
      </c>
      <c r="R13" s="31">
        <v>102.39999999999999</v>
      </c>
      <c r="S13" s="29">
        <f t="shared" si="5"/>
        <v>269669.7</v>
      </c>
      <c r="T13" s="33">
        <f t="shared" si="2"/>
        <v>402507.49999999994</v>
      </c>
      <c r="U13" s="29">
        <f t="shared" si="3"/>
        <v>547210.49999999988</v>
      </c>
    </row>
    <row r="14" spans="1:21" s="35" customFormat="1" ht="15.75">
      <c r="A14" s="40">
        <v>39691</v>
      </c>
      <c r="B14" s="29">
        <v>79117.500000000029</v>
      </c>
      <c r="C14" s="29">
        <v>86599.4</v>
      </c>
      <c r="D14" s="29"/>
      <c r="E14" s="29">
        <f t="shared" si="4"/>
        <v>165716.90000000002</v>
      </c>
      <c r="F14" s="29">
        <v>181494.5</v>
      </c>
      <c r="G14" s="29">
        <v>35951.5</v>
      </c>
      <c r="H14" s="29" t="s">
        <v>2</v>
      </c>
      <c r="I14" s="29">
        <v>6763.1</v>
      </c>
      <c r="J14" s="30" t="s">
        <v>2</v>
      </c>
      <c r="K14" s="30" t="s">
        <v>2</v>
      </c>
      <c r="L14" s="31">
        <f t="shared" si="0"/>
        <v>224209.1</v>
      </c>
      <c r="M14" s="32">
        <v>100261.9</v>
      </c>
      <c r="N14" s="29">
        <v>9613.6999999999989</v>
      </c>
      <c r="O14" s="31">
        <f t="shared" si="1"/>
        <v>114333.50000000001</v>
      </c>
      <c r="P14" s="29">
        <v>30283.5</v>
      </c>
      <c r="Q14" s="29">
        <v>249193.1</v>
      </c>
      <c r="R14" s="31">
        <v>90.899999999999991</v>
      </c>
      <c r="S14" s="29">
        <f t="shared" si="5"/>
        <v>279567.5</v>
      </c>
      <c r="T14" s="33">
        <f t="shared" si="2"/>
        <v>393901</v>
      </c>
      <c r="U14" s="29">
        <f t="shared" si="3"/>
        <v>559617.9</v>
      </c>
    </row>
    <row r="15" spans="1:21" s="35" customFormat="1" ht="15.75">
      <c r="A15" s="40">
        <v>39721</v>
      </c>
      <c r="B15" s="29">
        <v>75833.299999999959</v>
      </c>
      <c r="C15" s="29">
        <v>106593.50000000003</v>
      </c>
      <c r="D15" s="29"/>
      <c r="E15" s="29">
        <f t="shared" si="4"/>
        <v>182426.8</v>
      </c>
      <c r="F15" s="29">
        <v>167686.39999999999</v>
      </c>
      <c r="G15" s="29">
        <v>44061</v>
      </c>
      <c r="H15" s="29" t="s">
        <v>2</v>
      </c>
      <c r="I15" s="29">
        <v>7787.3</v>
      </c>
      <c r="J15" s="30" t="s">
        <v>2</v>
      </c>
      <c r="K15" s="30" t="s">
        <v>2</v>
      </c>
      <c r="L15" s="31">
        <f t="shared" si="0"/>
        <v>219534.69999999998</v>
      </c>
      <c r="M15" s="32">
        <v>100053.9</v>
      </c>
      <c r="N15" s="29">
        <v>9456.2000000000007</v>
      </c>
      <c r="O15" s="31">
        <f t="shared" si="1"/>
        <v>110024.59999999999</v>
      </c>
      <c r="P15" s="29">
        <v>31552.799999999999</v>
      </c>
      <c r="Q15" s="29">
        <v>254099.09999999998</v>
      </c>
      <c r="R15" s="31">
        <v>93</v>
      </c>
      <c r="S15" s="29">
        <f t="shared" si="5"/>
        <v>285744.89999999997</v>
      </c>
      <c r="T15" s="33">
        <f t="shared" si="2"/>
        <v>395769.49999999994</v>
      </c>
      <c r="U15" s="29">
        <f t="shared" si="3"/>
        <v>578196.29999999993</v>
      </c>
    </row>
    <row r="16" spans="1:21" s="35" customFormat="1" ht="15.75">
      <c r="A16" s="40">
        <v>39752</v>
      </c>
      <c r="B16" s="29">
        <v>95303.6</v>
      </c>
      <c r="C16" s="29">
        <v>96499.799999999988</v>
      </c>
      <c r="D16" s="29"/>
      <c r="E16" s="29">
        <f t="shared" si="4"/>
        <v>191803.4</v>
      </c>
      <c r="F16" s="29">
        <v>161646.39999999999</v>
      </c>
      <c r="G16" s="29">
        <v>43061</v>
      </c>
      <c r="H16" s="29" t="s">
        <v>2</v>
      </c>
      <c r="I16" s="29">
        <v>7537.4000000000005</v>
      </c>
      <c r="J16" s="30" t="s">
        <v>2</v>
      </c>
      <c r="K16" s="30" t="s">
        <v>2</v>
      </c>
      <c r="L16" s="31">
        <f t="shared" si="0"/>
        <v>212244.8</v>
      </c>
      <c r="M16" s="32">
        <v>101928.7</v>
      </c>
      <c r="N16" s="29">
        <v>11011.5</v>
      </c>
      <c r="O16" s="31">
        <f t="shared" si="1"/>
        <v>99304.599999999991</v>
      </c>
      <c r="P16" s="29">
        <v>27717.1</v>
      </c>
      <c r="Q16" s="29">
        <v>268878.59999999998</v>
      </c>
      <c r="R16" s="31">
        <v>129.9</v>
      </c>
      <c r="S16" s="29">
        <f t="shared" si="5"/>
        <v>296725.59999999998</v>
      </c>
      <c r="T16" s="33">
        <f t="shared" si="2"/>
        <v>396030.19999999995</v>
      </c>
      <c r="U16" s="29">
        <f t="shared" si="3"/>
        <v>587833.59999999998</v>
      </c>
    </row>
    <row r="17" spans="1:21" s="35" customFormat="1" ht="15.75">
      <c r="A17" s="40">
        <v>39782</v>
      </c>
      <c r="B17" s="29">
        <v>107336.39999999994</v>
      </c>
      <c r="C17" s="29">
        <v>99747.400000000023</v>
      </c>
      <c r="D17" s="29"/>
      <c r="E17" s="29">
        <f t="shared" si="4"/>
        <v>207083.79999999996</v>
      </c>
      <c r="F17" s="29">
        <v>146839.90000000002</v>
      </c>
      <c r="G17" s="29">
        <v>49561</v>
      </c>
      <c r="H17" s="29" t="s">
        <v>2</v>
      </c>
      <c r="I17" s="29">
        <v>7407</v>
      </c>
      <c r="J17" s="30" t="s">
        <v>2</v>
      </c>
      <c r="K17" s="30" t="s">
        <v>2</v>
      </c>
      <c r="L17" s="31">
        <f t="shared" si="0"/>
        <v>203807.90000000002</v>
      </c>
      <c r="M17" s="32">
        <v>100314.5</v>
      </c>
      <c r="N17" s="29">
        <v>9960.7000000000007</v>
      </c>
      <c r="O17" s="31">
        <f t="shared" si="1"/>
        <v>93532.700000000026</v>
      </c>
      <c r="P17" s="29">
        <v>24662.6</v>
      </c>
      <c r="Q17" s="29">
        <v>267453.30000000005</v>
      </c>
      <c r="R17" s="31">
        <v>126.60000000000001</v>
      </c>
      <c r="S17" s="29">
        <f t="shared" si="5"/>
        <v>292242.5</v>
      </c>
      <c r="T17" s="33">
        <f t="shared" si="2"/>
        <v>385775.2</v>
      </c>
      <c r="U17" s="29">
        <f t="shared" si="3"/>
        <v>592859</v>
      </c>
    </row>
    <row r="18" spans="1:21" s="35" customFormat="1" ht="15.75">
      <c r="A18" s="40">
        <v>39813</v>
      </c>
      <c r="B18" s="29">
        <v>159092.20000000007</v>
      </c>
      <c r="C18" s="29">
        <v>95759.5</v>
      </c>
      <c r="D18" s="29"/>
      <c r="E18" s="29">
        <f t="shared" si="4"/>
        <v>254851.70000000007</v>
      </c>
      <c r="F18" s="29">
        <v>170798.9</v>
      </c>
      <c r="G18" s="29">
        <v>58561</v>
      </c>
      <c r="H18" s="29" t="s">
        <v>2</v>
      </c>
      <c r="I18" s="29">
        <v>9544.5</v>
      </c>
      <c r="J18" s="30" t="s">
        <v>2</v>
      </c>
      <c r="K18" s="30" t="s">
        <v>2</v>
      </c>
      <c r="L18" s="31">
        <f t="shared" si="0"/>
        <v>238904.4</v>
      </c>
      <c r="M18" s="32">
        <v>125831.59999999999</v>
      </c>
      <c r="N18" s="29">
        <v>11736.2</v>
      </c>
      <c r="O18" s="31">
        <f t="shared" si="1"/>
        <v>101336.6</v>
      </c>
      <c r="P18" s="29">
        <v>21927.199999999997</v>
      </c>
      <c r="Q18" s="29">
        <v>261749.50000000003</v>
      </c>
      <c r="R18" s="31">
        <v>120.8</v>
      </c>
      <c r="S18" s="29">
        <f t="shared" si="5"/>
        <v>283797.5</v>
      </c>
      <c r="T18" s="33">
        <f t="shared" si="2"/>
        <v>385134.1</v>
      </c>
      <c r="U18" s="29">
        <f t="shared" si="3"/>
        <v>639985.80000000005</v>
      </c>
    </row>
    <row r="19" spans="1:21" s="35" customFormat="1" ht="15.75">
      <c r="A19" s="40">
        <v>39844</v>
      </c>
      <c r="B19" s="29">
        <v>141369.9</v>
      </c>
      <c r="C19" s="29">
        <v>88477.799999999988</v>
      </c>
      <c r="D19" s="29"/>
      <c r="E19" s="29">
        <f t="shared" si="4"/>
        <v>229847.69999999998</v>
      </c>
      <c r="F19" s="29">
        <v>148190.5</v>
      </c>
      <c r="G19" s="29">
        <v>55061</v>
      </c>
      <c r="H19" s="29" t="s">
        <v>2</v>
      </c>
      <c r="I19" s="29">
        <v>7472.2</v>
      </c>
      <c r="J19" s="30" t="s">
        <v>2</v>
      </c>
      <c r="K19" s="30" t="s">
        <v>2</v>
      </c>
      <c r="L19" s="31">
        <f t="shared" si="0"/>
        <v>210723.7</v>
      </c>
      <c r="M19" s="32">
        <v>107241.29999999999</v>
      </c>
      <c r="N19" s="29">
        <v>11146.4</v>
      </c>
      <c r="O19" s="31">
        <f t="shared" si="1"/>
        <v>92336.000000000029</v>
      </c>
      <c r="P19" s="29">
        <v>19781.399999999998</v>
      </c>
      <c r="Q19" s="29">
        <v>262133.40000000002</v>
      </c>
      <c r="R19" s="31">
        <v>116.7</v>
      </c>
      <c r="S19" s="29">
        <f t="shared" si="5"/>
        <v>282031.50000000006</v>
      </c>
      <c r="T19" s="33">
        <f t="shared" si="2"/>
        <v>374367.50000000012</v>
      </c>
      <c r="U19" s="29">
        <f t="shared" si="3"/>
        <v>604215.20000000007</v>
      </c>
    </row>
    <row r="20" spans="1:21" s="35" customFormat="1" ht="15.75">
      <c r="A20" s="40">
        <v>39872</v>
      </c>
      <c r="B20" s="29">
        <v>125265.90000000002</v>
      </c>
      <c r="C20" s="29">
        <v>89948.099999999977</v>
      </c>
      <c r="D20" s="29"/>
      <c r="E20" s="29">
        <f t="shared" si="4"/>
        <v>215214</v>
      </c>
      <c r="F20" s="29">
        <v>154147.90000000002</v>
      </c>
      <c r="G20" s="29">
        <v>62061</v>
      </c>
      <c r="H20" s="29" t="s">
        <v>2</v>
      </c>
      <c r="I20" s="29">
        <v>7189.7</v>
      </c>
      <c r="J20" s="30" t="s">
        <v>2</v>
      </c>
      <c r="K20" s="30" t="s">
        <v>2</v>
      </c>
      <c r="L20" s="31">
        <f t="shared" si="0"/>
        <v>223398.60000000003</v>
      </c>
      <c r="M20" s="32">
        <v>104477.63200000001</v>
      </c>
      <c r="N20" s="29">
        <v>13227.599999999999</v>
      </c>
      <c r="O20" s="31">
        <f t="shared" si="1"/>
        <v>105693.36800000002</v>
      </c>
      <c r="P20" s="29">
        <v>15991.599999999999</v>
      </c>
      <c r="Q20" s="29">
        <v>265166.90000000002</v>
      </c>
      <c r="R20" s="31">
        <v>130.70000000000002</v>
      </c>
      <c r="S20" s="29">
        <f t="shared" si="5"/>
        <v>281289.2</v>
      </c>
      <c r="T20" s="33">
        <f t="shared" si="2"/>
        <v>386982.56800000003</v>
      </c>
      <c r="U20" s="29">
        <f t="shared" si="3"/>
        <v>602196.56799999997</v>
      </c>
    </row>
    <row r="21" spans="1:21" s="35" customFormat="1" ht="15.75">
      <c r="A21" s="40">
        <v>39903</v>
      </c>
      <c r="B21" s="29">
        <v>105784.50000000003</v>
      </c>
      <c r="C21" s="29">
        <v>92328.9</v>
      </c>
      <c r="D21" s="29"/>
      <c r="E21" s="29">
        <f t="shared" si="4"/>
        <v>198113.40000000002</v>
      </c>
      <c r="F21" s="29">
        <v>157525.1</v>
      </c>
      <c r="G21" s="29">
        <v>66253.7</v>
      </c>
      <c r="H21" s="29" t="s">
        <v>2</v>
      </c>
      <c r="I21" s="29">
        <v>6953.7</v>
      </c>
      <c r="J21" s="30" t="s">
        <v>2</v>
      </c>
      <c r="K21" s="30" t="s">
        <v>2</v>
      </c>
      <c r="L21" s="31">
        <f t="shared" si="0"/>
        <v>230732.5</v>
      </c>
      <c r="M21" s="32">
        <v>101779.5</v>
      </c>
      <c r="N21" s="29">
        <v>10745.9</v>
      </c>
      <c r="O21" s="31">
        <f t="shared" si="1"/>
        <v>118207.1</v>
      </c>
      <c r="P21" s="29">
        <v>12695.3</v>
      </c>
      <c r="Q21" s="29">
        <v>273015.60000000003</v>
      </c>
      <c r="R21" s="31">
        <v>126.7</v>
      </c>
      <c r="S21" s="29">
        <f t="shared" si="5"/>
        <v>285837.60000000003</v>
      </c>
      <c r="T21" s="33">
        <f t="shared" si="2"/>
        <v>404044.70000000007</v>
      </c>
      <c r="U21" s="29">
        <f t="shared" si="3"/>
        <v>602158.10000000009</v>
      </c>
    </row>
    <row r="22" spans="1:21" s="35" customFormat="1" ht="15.75">
      <c r="A22" s="40">
        <v>39933</v>
      </c>
      <c r="B22" s="29">
        <v>90877.500000000029</v>
      </c>
      <c r="C22" s="29">
        <v>89777.400000000023</v>
      </c>
      <c r="D22" s="29"/>
      <c r="E22" s="29">
        <f t="shared" si="4"/>
        <v>180654.90000000005</v>
      </c>
      <c r="F22" s="29">
        <v>163693.70000000001</v>
      </c>
      <c r="G22" s="29">
        <v>66353.7</v>
      </c>
      <c r="H22" s="29" t="s">
        <v>2</v>
      </c>
      <c r="I22" s="29">
        <v>9039.1</v>
      </c>
      <c r="J22" s="30" t="s">
        <v>2</v>
      </c>
      <c r="K22" s="30" t="s">
        <v>2</v>
      </c>
      <c r="L22" s="31">
        <f t="shared" si="0"/>
        <v>239086.50000000003</v>
      </c>
      <c r="M22" s="32">
        <v>93895.6</v>
      </c>
      <c r="N22" s="29">
        <v>11639.400000000003</v>
      </c>
      <c r="O22" s="31">
        <f t="shared" si="1"/>
        <v>133551.50000000003</v>
      </c>
      <c r="P22" s="29">
        <v>11258.4</v>
      </c>
      <c r="Q22" s="29">
        <v>275860</v>
      </c>
      <c r="R22" s="31">
        <v>152.1</v>
      </c>
      <c r="S22" s="29">
        <f t="shared" si="5"/>
        <v>287270.5</v>
      </c>
      <c r="T22" s="33">
        <f t="shared" si="2"/>
        <v>420822</v>
      </c>
      <c r="U22" s="29">
        <f t="shared" si="3"/>
        <v>601476.9</v>
      </c>
    </row>
    <row r="23" spans="1:21" s="35" customFormat="1" ht="15.75">
      <c r="A23" s="40">
        <v>39964</v>
      </c>
      <c r="B23" s="29">
        <v>154336.40000000008</v>
      </c>
      <c r="C23" s="29">
        <v>89065.299999999988</v>
      </c>
      <c r="D23" s="29"/>
      <c r="E23" s="29">
        <f t="shared" si="4"/>
        <v>243401.70000000007</v>
      </c>
      <c r="F23" s="29">
        <v>131037.20000000001</v>
      </c>
      <c r="G23" s="29">
        <v>103194.9</v>
      </c>
      <c r="H23" s="29" t="s">
        <v>2</v>
      </c>
      <c r="I23" s="29">
        <v>6620.5999999999995</v>
      </c>
      <c r="J23" s="30" t="s">
        <v>2</v>
      </c>
      <c r="K23" s="30" t="s">
        <v>2</v>
      </c>
      <c r="L23" s="31">
        <f t="shared" si="0"/>
        <v>240852.7</v>
      </c>
      <c r="M23" s="32">
        <v>127178.00000000001</v>
      </c>
      <c r="N23" s="29">
        <v>10597.9</v>
      </c>
      <c r="O23" s="31">
        <f t="shared" si="1"/>
        <v>103076.8</v>
      </c>
      <c r="P23" s="29">
        <v>10002.6</v>
      </c>
      <c r="Q23" s="29">
        <v>280752.8</v>
      </c>
      <c r="R23" s="31">
        <v>146.30000000000001</v>
      </c>
      <c r="S23" s="29">
        <f t="shared" si="5"/>
        <v>290901.69999999995</v>
      </c>
      <c r="T23" s="33">
        <f t="shared" si="2"/>
        <v>393978.49999999994</v>
      </c>
      <c r="U23" s="29">
        <f t="shared" si="3"/>
        <v>637380.19999999995</v>
      </c>
    </row>
    <row r="24" spans="1:21" s="35" customFormat="1" ht="15.75">
      <c r="A24" s="40">
        <v>39994</v>
      </c>
      <c r="B24" s="29">
        <v>148241.89999999997</v>
      </c>
      <c r="C24" s="29">
        <v>88724.5</v>
      </c>
      <c r="D24" s="29"/>
      <c r="E24" s="29">
        <f t="shared" si="4"/>
        <v>236966.39999999997</v>
      </c>
      <c r="F24" s="29">
        <v>153145.30000000002</v>
      </c>
      <c r="G24" s="29">
        <v>100670</v>
      </c>
      <c r="H24" s="29" t="s">
        <v>2</v>
      </c>
      <c r="I24" s="29">
        <v>9624.6</v>
      </c>
      <c r="J24" s="30" t="s">
        <v>2</v>
      </c>
      <c r="K24" s="30" t="s">
        <v>2</v>
      </c>
      <c r="L24" s="31">
        <f t="shared" si="0"/>
        <v>263439.90000000002</v>
      </c>
      <c r="M24" s="32">
        <v>125026.4</v>
      </c>
      <c r="N24" s="29">
        <v>13685.099999999999</v>
      </c>
      <c r="O24" s="31">
        <f t="shared" si="1"/>
        <v>124728.40000000002</v>
      </c>
      <c r="P24" s="29">
        <v>10443.4</v>
      </c>
      <c r="Q24" s="29">
        <v>285914.39999999997</v>
      </c>
      <c r="R24" s="31">
        <v>142.10000000000002</v>
      </c>
      <c r="S24" s="29">
        <f t="shared" si="5"/>
        <v>296499.89999999997</v>
      </c>
      <c r="T24" s="33">
        <f t="shared" si="2"/>
        <v>421228.3</v>
      </c>
      <c r="U24" s="29">
        <f t="shared" si="3"/>
        <v>658194.69999999995</v>
      </c>
    </row>
    <row r="25" spans="1:21" s="35" customFormat="1" ht="15.75">
      <c r="A25" s="40">
        <v>40025</v>
      </c>
      <c r="B25" s="29">
        <v>132152.60000000003</v>
      </c>
      <c r="C25" s="29">
        <v>87512.499999999985</v>
      </c>
      <c r="D25" s="29"/>
      <c r="E25" s="29">
        <f t="shared" si="4"/>
        <v>219665.10000000003</v>
      </c>
      <c r="F25" s="29">
        <v>147058</v>
      </c>
      <c r="G25" s="29">
        <v>106002.2</v>
      </c>
      <c r="H25" s="29" t="s">
        <v>2</v>
      </c>
      <c r="I25" s="29">
        <v>6644.5</v>
      </c>
      <c r="J25" s="30" t="s">
        <v>2</v>
      </c>
      <c r="K25" s="30" t="s">
        <v>2</v>
      </c>
      <c r="L25" s="31">
        <f t="shared" si="0"/>
        <v>259704.7</v>
      </c>
      <c r="M25" s="32">
        <v>115641</v>
      </c>
      <c r="N25" s="29">
        <v>12756.2</v>
      </c>
      <c r="O25" s="31">
        <f t="shared" si="1"/>
        <v>131307.5</v>
      </c>
      <c r="P25" s="29">
        <v>14183.899999999998</v>
      </c>
      <c r="Q25" s="29">
        <v>290106.40000000002</v>
      </c>
      <c r="R25" s="31">
        <v>429.20000000000005</v>
      </c>
      <c r="S25" s="29">
        <f t="shared" si="5"/>
        <v>304719.50000000006</v>
      </c>
      <c r="T25" s="33">
        <f t="shared" si="2"/>
        <v>436027.00000000006</v>
      </c>
      <c r="U25" s="29">
        <f t="shared" si="3"/>
        <v>655692.10000000009</v>
      </c>
    </row>
    <row r="26" spans="1:21" s="35" customFormat="1" ht="15.75">
      <c r="A26" s="40">
        <v>40056</v>
      </c>
      <c r="B26" s="29">
        <v>115750.00000000003</v>
      </c>
      <c r="C26" s="29">
        <v>92033.199999999983</v>
      </c>
      <c r="D26" s="29"/>
      <c r="E26" s="29">
        <f t="shared" si="4"/>
        <v>207783.2</v>
      </c>
      <c r="F26" s="29">
        <v>156341.6</v>
      </c>
      <c r="G26" s="29">
        <v>105584.9</v>
      </c>
      <c r="H26" s="29" t="s">
        <v>2</v>
      </c>
      <c r="I26" s="29">
        <v>6352.8</v>
      </c>
      <c r="J26" s="30" t="s">
        <v>2</v>
      </c>
      <c r="K26" s="30" t="s">
        <v>2</v>
      </c>
      <c r="L26" s="31">
        <f t="shared" si="0"/>
        <v>268279.3</v>
      </c>
      <c r="M26" s="32">
        <v>110373.8</v>
      </c>
      <c r="N26" s="29">
        <v>11905</v>
      </c>
      <c r="O26" s="31">
        <f t="shared" si="1"/>
        <v>146000.5</v>
      </c>
      <c r="P26" s="29">
        <v>16355.099999999999</v>
      </c>
      <c r="Q26" s="29">
        <v>291438.90000000002</v>
      </c>
      <c r="R26" s="31">
        <v>405.20000000000005</v>
      </c>
      <c r="S26" s="29">
        <f t="shared" si="5"/>
        <v>308199.2</v>
      </c>
      <c r="T26" s="33">
        <f t="shared" si="2"/>
        <v>454199.7</v>
      </c>
      <c r="U26" s="29">
        <f t="shared" si="3"/>
        <v>661982.9</v>
      </c>
    </row>
    <row r="27" spans="1:21" s="35" customFormat="1" ht="15.75">
      <c r="A27" s="40">
        <v>40086</v>
      </c>
      <c r="B27" s="29">
        <v>133943.70000000004</v>
      </c>
      <c r="C27" s="29">
        <v>88222.400000000009</v>
      </c>
      <c r="D27" s="29"/>
      <c r="E27" s="29">
        <f t="shared" si="4"/>
        <v>222166.10000000003</v>
      </c>
      <c r="F27" s="29">
        <v>138074.1</v>
      </c>
      <c r="G27" s="29">
        <v>111702.90000000001</v>
      </c>
      <c r="H27" s="29" t="s">
        <v>2</v>
      </c>
      <c r="I27" s="29">
        <v>6331.8</v>
      </c>
      <c r="J27" s="30" t="s">
        <v>2</v>
      </c>
      <c r="K27" s="30" t="s">
        <v>2</v>
      </c>
      <c r="L27" s="31">
        <f t="shared" si="0"/>
        <v>256108.79999999999</v>
      </c>
      <c r="M27" s="32">
        <v>103935.40000000001</v>
      </c>
      <c r="N27" s="29">
        <v>13697.7</v>
      </c>
      <c r="O27" s="31">
        <f t="shared" si="1"/>
        <v>138475.69999999995</v>
      </c>
      <c r="P27" s="29">
        <v>13712.800000000001</v>
      </c>
      <c r="Q27" s="29">
        <v>303197.90000000002</v>
      </c>
      <c r="R27" s="31">
        <v>396.70000000000005</v>
      </c>
      <c r="S27" s="29">
        <f t="shared" si="5"/>
        <v>317307.40000000002</v>
      </c>
      <c r="T27" s="33">
        <f t="shared" si="2"/>
        <v>455783.1</v>
      </c>
      <c r="U27" s="29">
        <f t="shared" si="3"/>
        <v>677949.2</v>
      </c>
    </row>
    <row r="28" spans="1:21" s="35" customFormat="1" ht="15.75">
      <c r="A28" s="40">
        <v>40117</v>
      </c>
      <c r="B28" s="29">
        <v>129014.59999999998</v>
      </c>
      <c r="C28" s="29">
        <v>87002.4</v>
      </c>
      <c r="D28" s="29"/>
      <c r="E28" s="29">
        <f t="shared" si="4"/>
        <v>216016.99999999997</v>
      </c>
      <c r="F28" s="29">
        <v>148531</v>
      </c>
      <c r="G28" s="29">
        <v>113360.5</v>
      </c>
      <c r="H28" s="29" t="s">
        <v>2</v>
      </c>
      <c r="I28" s="29">
        <v>6576.2</v>
      </c>
      <c r="J28" s="30" t="s">
        <v>2</v>
      </c>
      <c r="K28" s="30" t="s">
        <v>2</v>
      </c>
      <c r="L28" s="31">
        <f t="shared" si="0"/>
        <v>268467.7</v>
      </c>
      <c r="M28" s="32">
        <v>104063.5</v>
      </c>
      <c r="N28" s="29">
        <v>15167.399999999998</v>
      </c>
      <c r="O28" s="31">
        <f t="shared" si="1"/>
        <v>149236.80000000002</v>
      </c>
      <c r="P28" s="29">
        <v>12242.300000000001</v>
      </c>
      <c r="Q28" s="29">
        <v>310656.40000000008</v>
      </c>
      <c r="R28" s="31">
        <v>295.3</v>
      </c>
      <c r="S28" s="29">
        <f t="shared" si="5"/>
        <v>323194.00000000006</v>
      </c>
      <c r="T28" s="33">
        <f t="shared" si="2"/>
        <v>472430.80000000005</v>
      </c>
      <c r="U28" s="29">
        <f t="shared" si="3"/>
        <v>688447.8</v>
      </c>
    </row>
    <row r="29" spans="1:21" s="35" customFormat="1" ht="15.75">
      <c r="A29" s="40">
        <v>40147</v>
      </c>
      <c r="B29" s="29">
        <v>120358.70000000001</v>
      </c>
      <c r="C29" s="29">
        <v>92642.1</v>
      </c>
      <c r="D29" s="29"/>
      <c r="E29" s="29">
        <f t="shared" si="4"/>
        <v>213000.80000000002</v>
      </c>
      <c r="F29" s="29">
        <v>174575.8</v>
      </c>
      <c r="G29" s="29">
        <v>101650.3</v>
      </c>
      <c r="H29" s="29" t="s">
        <v>2</v>
      </c>
      <c r="I29" s="29">
        <v>6466</v>
      </c>
      <c r="J29" s="30" t="s">
        <v>2</v>
      </c>
      <c r="K29" s="30" t="s">
        <v>2</v>
      </c>
      <c r="L29" s="31">
        <f t="shared" si="0"/>
        <v>282692.09999999998</v>
      </c>
      <c r="M29" s="32">
        <v>123845.3</v>
      </c>
      <c r="N29" s="29">
        <v>15123.200000000003</v>
      </c>
      <c r="O29" s="31">
        <f t="shared" si="1"/>
        <v>143723.59999999998</v>
      </c>
      <c r="P29" s="29">
        <v>9760.8999999999978</v>
      </c>
      <c r="Q29" s="29">
        <v>323284.70000000007</v>
      </c>
      <c r="R29" s="31">
        <v>277</v>
      </c>
      <c r="S29" s="29">
        <f t="shared" si="5"/>
        <v>333322.60000000009</v>
      </c>
      <c r="T29" s="33">
        <f t="shared" si="2"/>
        <v>477046.20000000007</v>
      </c>
      <c r="U29" s="29">
        <f t="shared" si="3"/>
        <v>690047.00000000012</v>
      </c>
    </row>
    <row r="30" spans="1:21" s="35" customFormat="1" ht="15.75">
      <c r="A30" s="40">
        <v>40178</v>
      </c>
      <c r="B30" s="29">
        <v>144966.20000000007</v>
      </c>
      <c r="C30" s="29">
        <v>119531.40000000002</v>
      </c>
      <c r="D30" s="29"/>
      <c r="E30" s="29">
        <f t="shared" si="4"/>
        <v>264497.60000000009</v>
      </c>
      <c r="F30" s="29">
        <v>215622.30000000002</v>
      </c>
      <c r="G30" s="29">
        <v>100072.8</v>
      </c>
      <c r="H30" s="29" t="s">
        <v>2</v>
      </c>
      <c r="I30" s="29">
        <v>11255.3</v>
      </c>
      <c r="J30" s="30" t="s">
        <v>2</v>
      </c>
      <c r="K30" s="30" t="s">
        <v>2</v>
      </c>
      <c r="L30" s="31">
        <f t="shared" si="0"/>
        <v>326950.40000000002</v>
      </c>
      <c r="M30" s="32">
        <v>133925.09999999998</v>
      </c>
      <c r="N30" s="29">
        <v>14842.5</v>
      </c>
      <c r="O30" s="31">
        <f t="shared" si="1"/>
        <v>178182.80000000005</v>
      </c>
      <c r="P30" s="29">
        <v>8440.7000000000007</v>
      </c>
      <c r="Q30" s="29">
        <v>321233.5</v>
      </c>
      <c r="R30" s="31">
        <v>497.1</v>
      </c>
      <c r="S30" s="29">
        <f t="shared" si="5"/>
        <v>330171.3</v>
      </c>
      <c r="T30" s="33">
        <f t="shared" si="2"/>
        <v>508354.10000000003</v>
      </c>
      <c r="U30" s="29">
        <f t="shared" si="3"/>
        <v>772851.70000000019</v>
      </c>
    </row>
    <row r="31" spans="1:21" s="35" customFormat="1" ht="15.75">
      <c r="A31" s="40">
        <v>40209</v>
      </c>
      <c r="B31" s="29">
        <v>153042.50000000006</v>
      </c>
      <c r="C31" s="29">
        <v>117804.09999999999</v>
      </c>
      <c r="D31" s="29"/>
      <c r="E31" s="29">
        <f t="shared" si="4"/>
        <v>270846.60000000003</v>
      </c>
      <c r="F31" s="29">
        <v>161824.1</v>
      </c>
      <c r="G31" s="29">
        <v>99123.8</v>
      </c>
      <c r="H31" s="29" t="s">
        <v>2</v>
      </c>
      <c r="I31" s="29">
        <v>9359.6999999999989</v>
      </c>
      <c r="J31" s="29">
        <v>6525</v>
      </c>
      <c r="K31" s="29" t="s">
        <v>2</v>
      </c>
      <c r="L31" s="31">
        <f t="shared" si="0"/>
        <v>276832.60000000003</v>
      </c>
      <c r="M31" s="32">
        <v>135087.70000000001</v>
      </c>
      <c r="N31" s="29">
        <v>12646.6</v>
      </c>
      <c r="O31" s="31">
        <f t="shared" si="1"/>
        <v>129098.30000000002</v>
      </c>
      <c r="P31" s="29">
        <v>6768.0999999999995</v>
      </c>
      <c r="Q31" s="29">
        <v>323617.89999999997</v>
      </c>
      <c r="R31" s="31">
        <v>363.6</v>
      </c>
      <c r="S31" s="29">
        <f t="shared" si="5"/>
        <v>330749.59999999992</v>
      </c>
      <c r="T31" s="33">
        <f t="shared" si="2"/>
        <v>459847.89999999991</v>
      </c>
      <c r="U31" s="29">
        <f t="shared" si="3"/>
        <v>730694.5</v>
      </c>
    </row>
    <row r="32" spans="1:21" s="35" customFormat="1" ht="15.75">
      <c r="A32" s="40">
        <v>40237</v>
      </c>
      <c r="B32" s="29">
        <v>150227.50000000003</v>
      </c>
      <c r="C32" s="29">
        <v>122034.5</v>
      </c>
      <c r="D32" s="29"/>
      <c r="E32" s="29">
        <f t="shared" si="4"/>
        <v>272262</v>
      </c>
      <c r="F32" s="29">
        <v>171434.6</v>
      </c>
      <c r="G32" s="29">
        <v>99350.599999999991</v>
      </c>
      <c r="H32" s="29" t="s">
        <v>2</v>
      </c>
      <c r="I32" s="29">
        <v>9111</v>
      </c>
      <c r="J32" s="29">
        <v>6525</v>
      </c>
      <c r="K32" s="29" t="s">
        <v>2</v>
      </c>
      <c r="L32" s="31">
        <f t="shared" si="0"/>
        <v>286421.2</v>
      </c>
      <c r="M32" s="32">
        <v>145525.6</v>
      </c>
      <c r="N32" s="29">
        <v>14153.599999999999</v>
      </c>
      <c r="O32" s="31">
        <f t="shared" si="1"/>
        <v>126742</v>
      </c>
      <c r="P32" s="29">
        <v>6538.1</v>
      </c>
      <c r="Q32" s="29">
        <v>334217.7</v>
      </c>
      <c r="R32" s="31">
        <v>457.29999999999995</v>
      </c>
      <c r="S32" s="29">
        <f t="shared" si="5"/>
        <v>341213.1</v>
      </c>
      <c r="T32" s="33">
        <f t="shared" si="2"/>
        <v>467955.1</v>
      </c>
      <c r="U32" s="29">
        <f t="shared" si="3"/>
        <v>740217.1</v>
      </c>
    </row>
    <row r="33" spans="1:21" s="35" customFormat="1" ht="15.75">
      <c r="A33" s="40">
        <v>40268</v>
      </c>
      <c r="B33" s="29">
        <v>136213.69999999992</v>
      </c>
      <c r="C33" s="29">
        <v>122176.10000000003</v>
      </c>
      <c r="D33" s="29"/>
      <c r="E33" s="29">
        <f t="shared" si="4"/>
        <v>258389.79999999996</v>
      </c>
      <c r="F33" s="29">
        <v>154941.59999999998</v>
      </c>
      <c r="G33" s="29">
        <v>114821.4</v>
      </c>
      <c r="H33" s="29" t="s">
        <v>2</v>
      </c>
      <c r="I33" s="29">
        <v>8598.3000000000011</v>
      </c>
      <c r="J33" s="29">
        <v>18525</v>
      </c>
      <c r="K33" s="29" t="s">
        <v>2</v>
      </c>
      <c r="L33" s="31">
        <f t="shared" si="0"/>
        <v>296886.3</v>
      </c>
      <c r="M33" s="32">
        <v>137174.40000000002</v>
      </c>
      <c r="N33" s="29">
        <v>15411</v>
      </c>
      <c r="O33" s="31">
        <f t="shared" si="1"/>
        <v>144300.89999999997</v>
      </c>
      <c r="P33" s="29">
        <v>6418.5000000000009</v>
      </c>
      <c r="Q33" s="29">
        <v>342239.60000000003</v>
      </c>
      <c r="R33" s="31">
        <v>462.8</v>
      </c>
      <c r="S33" s="29">
        <f t="shared" si="5"/>
        <v>349120.9</v>
      </c>
      <c r="T33" s="33">
        <f t="shared" si="2"/>
        <v>493421.8</v>
      </c>
      <c r="U33" s="29">
        <f t="shared" si="3"/>
        <v>751811.6</v>
      </c>
    </row>
    <row r="34" spans="1:21" s="35" customFormat="1" ht="15.75">
      <c r="A34" s="40">
        <v>40298</v>
      </c>
      <c r="B34" s="29">
        <v>124940.20000000007</v>
      </c>
      <c r="C34" s="29">
        <v>108840.40000000002</v>
      </c>
      <c r="D34" s="29"/>
      <c r="E34" s="29">
        <f t="shared" si="4"/>
        <v>233780.60000000009</v>
      </c>
      <c r="F34" s="29">
        <v>45521.4</v>
      </c>
      <c r="G34" s="29">
        <v>73152.899999999994</v>
      </c>
      <c r="H34" s="29" t="s">
        <v>2</v>
      </c>
      <c r="I34" s="29">
        <v>8719.1</v>
      </c>
      <c r="J34" s="29">
        <v>18525</v>
      </c>
      <c r="K34" s="29">
        <v>147596</v>
      </c>
      <c r="L34" s="31">
        <f t="shared" si="0"/>
        <v>293514.40000000002</v>
      </c>
      <c r="M34" s="32">
        <v>121214.40000000002</v>
      </c>
      <c r="N34" s="29">
        <v>15187.500000000004</v>
      </c>
      <c r="O34" s="31">
        <f t="shared" si="1"/>
        <v>157112.5</v>
      </c>
      <c r="P34" s="29">
        <v>6268.5</v>
      </c>
      <c r="Q34" s="29">
        <v>349366.80000000005</v>
      </c>
      <c r="R34" s="31">
        <v>429.1</v>
      </c>
      <c r="S34" s="29">
        <f t="shared" si="5"/>
        <v>356064.4</v>
      </c>
      <c r="T34" s="33">
        <f t="shared" si="2"/>
        <v>513176.9</v>
      </c>
      <c r="U34" s="29">
        <f t="shared" si="3"/>
        <v>746957.50000000012</v>
      </c>
    </row>
    <row r="35" spans="1:21" s="35" customFormat="1" ht="15.75">
      <c r="A35" s="40">
        <v>40329</v>
      </c>
      <c r="B35" s="29">
        <v>110538.00000000006</v>
      </c>
      <c r="C35" s="29">
        <v>100611.79999999999</v>
      </c>
      <c r="D35" s="29"/>
      <c r="E35" s="29">
        <f t="shared" si="4"/>
        <v>211149.80000000005</v>
      </c>
      <c r="F35" s="29">
        <v>24665.8</v>
      </c>
      <c r="G35" s="29">
        <v>86658.5</v>
      </c>
      <c r="H35" s="29" t="s">
        <v>2</v>
      </c>
      <c r="I35" s="29">
        <v>7955.0999999999995</v>
      </c>
      <c r="J35" s="29">
        <v>18525</v>
      </c>
      <c r="K35" s="29">
        <v>147287.9</v>
      </c>
      <c r="L35" s="31">
        <f t="shared" si="0"/>
        <v>285092.30000000005</v>
      </c>
      <c r="M35" s="32">
        <v>109438.09999999999</v>
      </c>
      <c r="N35" s="29">
        <v>14048.7</v>
      </c>
      <c r="O35" s="31">
        <f t="shared" si="1"/>
        <v>161605.50000000006</v>
      </c>
      <c r="P35" s="29">
        <v>8259.9</v>
      </c>
      <c r="Q35" s="29">
        <v>354485.49999999994</v>
      </c>
      <c r="R35" s="31">
        <v>595.79999999999995</v>
      </c>
      <c r="S35" s="29">
        <f t="shared" si="5"/>
        <v>363341.19999999995</v>
      </c>
      <c r="T35" s="33">
        <f t="shared" si="2"/>
        <v>524946.69999999995</v>
      </c>
      <c r="U35" s="29">
        <f t="shared" si="3"/>
        <v>736096.5</v>
      </c>
    </row>
    <row r="36" spans="1:21" s="35" customFormat="1" ht="15.75">
      <c r="A36" s="40">
        <v>40359</v>
      </c>
      <c r="B36" s="29">
        <v>94137.999999999971</v>
      </c>
      <c r="C36" s="29">
        <v>102210.99999999997</v>
      </c>
      <c r="D36" s="29"/>
      <c r="E36" s="29">
        <f t="shared" si="4"/>
        <v>196348.99999999994</v>
      </c>
      <c r="F36" s="29">
        <v>33331.199999999997</v>
      </c>
      <c r="G36" s="29">
        <v>79001.5</v>
      </c>
      <c r="H36" s="29" t="s">
        <v>2</v>
      </c>
      <c r="I36" s="29">
        <v>9787.6999999999989</v>
      </c>
      <c r="J36" s="29">
        <v>40525</v>
      </c>
      <c r="K36" s="29">
        <v>146979.70000000001</v>
      </c>
      <c r="L36" s="31">
        <f t="shared" si="0"/>
        <v>309625.09999999998</v>
      </c>
      <c r="M36" s="32">
        <v>114248.4</v>
      </c>
      <c r="N36" s="29">
        <v>15094.000000000002</v>
      </c>
      <c r="O36" s="31">
        <f t="shared" si="1"/>
        <v>180282.69999999998</v>
      </c>
      <c r="P36" s="29">
        <v>9789</v>
      </c>
      <c r="Q36" s="29">
        <v>378377.39999999997</v>
      </c>
      <c r="R36" s="31">
        <v>512.09999999999991</v>
      </c>
      <c r="S36" s="29">
        <f t="shared" si="5"/>
        <v>388678.49999999994</v>
      </c>
      <c r="T36" s="33">
        <f t="shared" si="2"/>
        <v>568961.19999999995</v>
      </c>
      <c r="U36" s="29">
        <f t="shared" si="3"/>
        <v>765310.2</v>
      </c>
    </row>
    <row r="37" spans="1:21" s="35" customFormat="1" ht="15.75">
      <c r="A37" s="40">
        <v>40390</v>
      </c>
      <c r="B37" s="29">
        <v>91739.900000000023</v>
      </c>
      <c r="C37" s="29">
        <v>109495.9</v>
      </c>
      <c r="D37" s="29"/>
      <c r="E37" s="29">
        <f t="shared" si="4"/>
        <v>201235.80000000002</v>
      </c>
      <c r="F37" s="29">
        <v>30261.7</v>
      </c>
      <c r="G37" s="29">
        <v>76878.5</v>
      </c>
      <c r="H37" s="29" t="s">
        <v>2</v>
      </c>
      <c r="I37" s="29">
        <v>11007.6</v>
      </c>
      <c r="J37" s="29">
        <v>50525</v>
      </c>
      <c r="K37" s="29">
        <v>146671.6</v>
      </c>
      <c r="L37" s="31">
        <f t="shared" si="0"/>
        <v>315344.40000000002</v>
      </c>
      <c r="M37" s="32">
        <v>104308.1</v>
      </c>
      <c r="N37" s="29">
        <v>17832.2</v>
      </c>
      <c r="O37" s="31">
        <f t="shared" si="1"/>
        <v>193204.1</v>
      </c>
      <c r="P37" s="29">
        <v>24237.7</v>
      </c>
      <c r="Q37" s="29">
        <v>380861.39999999997</v>
      </c>
      <c r="R37" s="31">
        <v>677.2</v>
      </c>
      <c r="S37" s="29">
        <f t="shared" si="5"/>
        <v>405776.3</v>
      </c>
      <c r="T37" s="33">
        <f t="shared" si="2"/>
        <v>598980.4</v>
      </c>
      <c r="U37" s="29">
        <f t="shared" si="3"/>
        <v>800216.20000000007</v>
      </c>
    </row>
    <row r="38" spans="1:21" s="35" customFormat="1" ht="15.75">
      <c r="A38" s="40">
        <v>40421</v>
      </c>
      <c r="B38" s="29">
        <v>83653</v>
      </c>
      <c r="C38" s="29">
        <v>101473.7</v>
      </c>
      <c r="D38" s="29"/>
      <c r="E38" s="29">
        <f t="shared" si="4"/>
        <v>185126.7</v>
      </c>
      <c r="F38" s="29">
        <v>37841.9</v>
      </c>
      <c r="G38" s="29">
        <v>87243</v>
      </c>
      <c r="H38" s="29" t="s">
        <v>2</v>
      </c>
      <c r="I38" s="29">
        <v>10351.299999999999</v>
      </c>
      <c r="J38" s="29">
        <v>50525</v>
      </c>
      <c r="K38" s="29">
        <v>146363.5</v>
      </c>
      <c r="L38" s="31">
        <f t="shared" si="0"/>
        <v>332324.69999999995</v>
      </c>
      <c r="M38" s="32">
        <v>116344.12</v>
      </c>
      <c r="N38" s="29">
        <v>14284.900000000001</v>
      </c>
      <c r="O38" s="31">
        <f t="shared" si="1"/>
        <v>201695.67999999996</v>
      </c>
      <c r="P38" s="29">
        <v>24172.199999999997</v>
      </c>
      <c r="Q38" s="29">
        <v>392829.59999999992</v>
      </c>
      <c r="R38" s="31">
        <v>678.59999999999991</v>
      </c>
      <c r="S38" s="29">
        <f t="shared" si="5"/>
        <v>417680.39999999991</v>
      </c>
      <c r="T38" s="33">
        <f t="shared" si="2"/>
        <v>619376.07999999984</v>
      </c>
      <c r="U38" s="29">
        <f t="shared" si="3"/>
        <v>804502.7799999998</v>
      </c>
    </row>
    <row r="39" spans="1:21" s="35" customFormat="1" ht="15.75">
      <c r="A39" s="40">
        <v>40451</v>
      </c>
      <c r="B39" s="29">
        <v>69547.100000000035</v>
      </c>
      <c r="C39" s="29">
        <v>98149.299999999988</v>
      </c>
      <c r="D39" s="29"/>
      <c r="E39" s="29">
        <f t="shared" si="4"/>
        <v>167696.40000000002</v>
      </c>
      <c r="F39" s="29">
        <v>37014.199999999997</v>
      </c>
      <c r="G39" s="29">
        <v>97609.1</v>
      </c>
      <c r="H39" s="29" t="s">
        <v>2</v>
      </c>
      <c r="I39" s="29">
        <v>9655.2999999999993</v>
      </c>
      <c r="J39" s="29">
        <v>50525</v>
      </c>
      <c r="K39" s="29">
        <v>146055.29999999999</v>
      </c>
      <c r="L39" s="31">
        <f t="shared" si="0"/>
        <v>340858.89999999997</v>
      </c>
      <c r="M39" s="32">
        <v>108989</v>
      </c>
      <c r="N39" s="29">
        <v>13247.7</v>
      </c>
      <c r="O39" s="31">
        <f t="shared" si="1"/>
        <v>218622.19999999995</v>
      </c>
      <c r="P39" s="29">
        <v>21154.600000000002</v>
      </c>
      <c r="Q39" s="29">
        <v>401374.89999999997</v>
      </c>
      <c r="R39" s="31">
        <v>647.79999999999995</v>
      </c>
      <c r="S39" s="29">
        <f t="shared" si="5"/>
        <v>423177.29999999993</v>
      </c>
      <c r="T39" s="33">
        <f t="shared" ref="T39:T93" si="6">S39+O39</f>
        <v>641799.49999999988</v>
      </c>
      <c r="U39" s="29">
        <f t="shared" ref="U39:U70" si="7">T39+E39</f>
        <v>809495.89999999991</v>
      </c>
    </row>
    <row r="40" spans="1:21" s="35" customFormat="1" ht="15.75">
      <c r="A40" s="40">
        <v>40482</v>
      </c>
      <c r="B40" s="29">
        <v>66483.800000000047</v>
      </c>
      <c r="C40" s="29">
        <v>108069.90000000001</v>
      </c>
      <c r="D40" s="29"/>
      <c r="E40" s="29">
        <f t="shared" si="4"/>
        <v>174553.70000000007</v>
      </c>
      <c r="F40" s="29">
        <v>25932</v>
      </c>
      <c r="G40" s="29">
        <v>108265.2</v>
      </c>
      <c r="H40" s="29" t="s">
        <v>2</v>
      </c>
      <c r="I40" s="29">
        <v>9619.8000000000011</v>
      </c>
      <c r="J40" s="29">
        <v>50525</v>
      </c>
      <c r="K40" s="29">
        <v>145747.20000000001</v>
      </c>
      <c r="L40" s="31">
        <f t="shared" si="0"/>
        <v>340089.2</v>
      </c>
      <c r="M40" s="32">
        <v>122944.1</v>
      </c>
      <c r="N40" s="29">
        <v>12589.2</v>
      </c>
      <c r="O40" s="31">
        <f t="shared" si="1"/>
        <v>204555.9</v>
      </c>
      <c r="P40" s="29">
        <v>17146</v>
      </c>
      <c r="Q40" s="29">
        <v>410459.6</v>
      </c>
      <c r="R40" s="31">
        <v>656.2</v>
      </c>
      <c r="S40" s="29">
        <f t="shared" si="5"/>
        <v>428261.8</v>
      </c>
      <c r="T40" s="33">
        <f t="shared" si="6"/>
        <v>632817.69999999995</v>
      </c>
      <c r="U40" s="29">
        <f t="shared" si="7"/>
        <v>807371.4</v>
      </c>
    </row>
    <row r="41" spans="1:21" s="35" customFormat="1" ht="15.75">
      <c r="A41" s="40">
        <v>40512</v>
      </c>
      <c r="B41" s="29">
        <v>74650.300000000047</v>
      </c>
      <c r="C41" s="29">
        <v>103346.49999999997</v>
      </c>
      <c r="D41" s="29"/>
      <c r="E41" s="29">
        <f t="shared" si="4"/>
        <v>177996.80000000002</v>
      </c>
      <c r="F41" s="29">
        <v>35424.1</v>
      </c>
      <c r="G41" s="29">
        <v>107157.2</v>
      </c>
      <c r="H41" s="29" t="s">
        <v>2</v>
      </c>
      <c r="I41" s="29">
        <v>10363.699999999999</v>
      </c>
      <c r="J41" s="29">
        <v>50525</v>
      </c>
      <c r="K41" s="29">
        <v>145439.1</v>
      </c>
      <c r="L41" s="31">
        <f t="shared" si="0"/>
        <v>348909.1</v>
      </c>
      <c r="M41" s="32">
        <v>112932.1</v>
      </c>
      <c r="N41" s="29">
        <v>12494.599999999999</v>
      </c>
      <c r="O41" s="31">
        <f t="shared" si="1"/>
        <v>223482.39999999997</v>
      </c>
      <c r="P41" s="29">
        <v>12787.9</v>
      </c>
      <c r="Q41" s="29">
        <v>412702.2</v>
      </c>
      <c r="R41" s="31">
        <v>620.79999999999995</v>
      </c>
      <c r="S41" s="29">
        <f t="shared" si="5"/>
        <v>426110.9</v>
      </c>
      <c r="T41" s="33">
        <f t="shared" si="6"/>
        <v>649593.30000000005</v>
      </c>
      <c r="U41" s="29">
        <f t="shared" si="7"/>
        <v>827590.10000000009</v>
      </c>
    </row>
    <row r="42" spans="1:21" s="35" customFormat="1" ht="15.75">
      <c r="A42" s="40">
        <v>40543</v>
      </c>
      <c r="B42" s="29">
        <v>141613.59999999998</v>
      </c>
      <c r="C42" s="29">
        <v>112437.40000000001</v>
      </c>
      <c r="D42" s="29"/>
      <c r="E42" s="29">
        <f t="shared" si="4"/>
        <v>254051</v>
      </c>
      <c r="F42" s="29">
        <v>19134.2</v>
      </c>
      <c r="G42" s="29">
        <v>109104.5</v>
      </c>
      <c r="H42" s="29" t="s">
        <v>2</v>
      </c>
      <c r="I42" s="29">
        <v>14177.3</v>
      </c>
      <c r="J42" s="29">
        <v>88925</v>
      </c>
      <c r="K42" s="29">
        <v>145130.9</v>
      </c>
      <c r="L42" s="31">
        <f t="shared" si="0"/>
        <v>376471.9</v>
      </c>
      <c r="M42" s="32">
        <v>154442.40000000002</v>
      </c>
      <c r="N42" s="29">
        <v>11748.2</v>
      </c>
      <c r="O42" s="31">
        <f t="shared" si="1"/>
        <v>210281.3</v>
      </c>
      <c r="P42" s="29">
        <v>8682.2000000000007</v>
      </c>
      <c r="Q42" s="29">
        <v>460562.3</v>
      </c>
      <c r="R42" s="31">
        <v>599.4</v>
      </c>
      <c r="S42" s="29">
        <f t="shared" si="5"/>
        <v>469843.9</v>
      </c>
      <c r="T42" s="33">
        <f t="shared" si="6"/>
        <v>680125.2</v>
      </c>
      <c r="U42" s="29">
        <f t="shared" si="7"/>
        <v>934176.2</v>
      </c>
    </row>
    <row r="43" spans="1:21" s="35" customFormat="1" ht="15.75">
      <c r="A43" s="40">
        <v>40574</v>
      </c>
      <c r="B43" s="29">
        <v>131446.90000000002</v>
      </c>
      <c r="C43" s="29">
        <v>108031.50000000003</v>
      </c>
      <c r="D43" s="29"/>
      <c r="E43" s="29">
        <f t="shared" si="4"/>
        <v>239478.40000000005</v>
      </c>
      <c r="F43" s="29" t="s">
        <v>2</v>
      </c>
      <c r="G43" s="29">
        <v>120122</v>
      </c>
      <c r="H43" s="29" t="s">
        <v>2</v>
      </c>
      <c r="I43" s="29">
        <v>11301.6</v>
      </c>
      <c r="J43" s="29">
        <v>88925</v>
      </c>
      <c r="K43" s="29">
        <v>144822.79999999999</v>
      </c>
      <c r="L43" s="31">
        <f t="shared" si="0"/>
        <v>365171.4</v>
      </c>
      <c r="M43" s="32">
        <v>178191.98333333334</v>
      </c>
      <c r="N43" s="29">
        <v>9081.1</v>
      </c>
      <c r="O43" s="31">
        <f t="shared" si="1"/>
        <v>177898.31666666668</v>
      </c>
      <c r="P43" s="29">
        <v>7606.4000000000005</v>
      </c>
      <c r="Q43" s="29">
        <v>467155.83333333326</v>
      </c>
      <c r="R43" s="31">
        <v>588.79999999999995</v>
      </c>
      <c r="S43" s="29">
        <f t="shared" si="5"/>
        <v>475351.03333333327</v>
      </c>
      <c r="T43" s="33">
        <f t="shared" si="6"/>
        <v>653249.35</v>
      </c>
      <c r="U43" s="29">
        <f t="shared" si="7"/>
        <v>892727.75</v>
      </c>
    </row>
    <row r="44" spans="1:21" s="35" customFormat="1" ht="15.75">
      <c r="A44" s="40">
        <v>40602</v>
      </c>
      <c r="B44" s="29">
        <v>156264.40000000002</v>
      </c>
      <c r="C44" s="29">
        <v>100573.6</v>
      </c>
      <c r="D44" s="29"/>
      <c r="E44" s="29">
        <f t="shared" si="4"/>
        <v>256838.00000000003</v>
      </c>
      <c r="F44" s="29" t="s">
        <v>2</v>
      </c>
      <c r="G44" s="29">
        <v>130026.7</v>
      </c>
      <c r="H44" s="29" t="s">
        <v>2</v>
      </c>
      <c r="I44" s="29">
        <v>10764.699999999999</v>
      </c>
      <c r="J44" s="29">
        <v>88925</v>
      </c>
      <c r="K44" s="29">
        <v>144514.70000000001</v>
      </c>
      <c r="L44" s="31">
        <f t="shared" si="0"/>
        <v>374231.1</v>
      </c>
      <c r="M44" s="32">
        <v>211563.76666666666</v>
      </c>
      <c r="N44" s="29">
        <v>11244.5</v>
      </c>
      <c r="O44" s="31">
        <f t="shared" si="1"/>
        <v>151422.83333333331</v>
      </c>
      <c r="P44" s="29">
        <v>7244.9000000000005</v>
      </c>
      <c r="Q44" s="29">
        <v>483273.76666666666</v>
      </c>
      <c r="R44" s="31">
        <v>508.4</v>
      </c>
      <c r="S44" s="29">
        <f t="shared" si="5"/>
        <v>491027.06666666671</v>
      </c>
      <c r="T44" s="33">
        <f t="shared" si="6"/>
        <v>642449.9</v>
      </c>
      <c r="U44" s="29">
        <f t="shared" si="7"/>
        <v>899287.9</v>
      </c>
    </row>
    <row r="45" spans="1:21" s="35" customFormat="1" ht="15.75">
      <c r="A45" s="40">
        <v>40633</v>
      </c>
      <c r="B45" s="29">
        <v>143339.09999999998</v>
      </c>
      <c r="C45" s="29">
        <v>104483.19999999995</v>
      </c>
      <c r="D45" s="29"/>
      <c r="E45" s="29">
        <f t="shared" si="4"/>
        <v>247822.29999999993</v>
      </c>
      <c r="F45" s="29">
        <v>2480.5</v>
      </c>
      <c r="G45" s="29">
        <v>119566.29999999999</v>
      </c>
      <c r="H45" s="29" t="s">
        <v>2</v>
      </c>
      <c r="I45" s="29">
        <v>12695.1</v>
      </c>
      <c r="J45" s="29">
        <v>74325</v>
      </c>
      <c r="K45" s="29">
        <v>144206.6</v>
      </c>
      <c r="L45" s="31">
        <f t="shared" si="0"/>
        <v>353273.5</v>
      </c>
      <c r="M45" s="32">
        <v>168004.45</v>
      </c>
      <c r="N45" s="29">
        <v>9395.7999999999993</v>
      </c>
      <c r="O45" s="31">
        <f t="shared" si="1"/>
        <v>175873.25</v>
      </c>
      <c r="P45" s="29">
        <v>6471.0000000000009</v>
      </c>
      <c r="Q45" s="29">
        <v>493087.8</v>
      </c>
      <c r="R45" s="31">
        <v>599</v>
      </c>
      <c r="S45" s="29">
        <f t="shared" si="5"/>
        <v>500157.8</v>
      </c>
      <c r="T45" s="33">
        <f t="shared" si="6"/>
        <v>676031.05</v>
      </c>
      <c r="U45" s="29">
        <f t="shared" si="7"/>
        <v>923853.35</v>
      </c>
    </row>
    <row r="46" spans="1:21" s="35" customFormat="1" ht="15.75">
      <c r="A46" s="40">
        <v>40663</v>
      </c>
      <c r="B46" s="29">
        <v>151581.59999999998</v>
      </c>
      <c r="C46" s="29">
        <v>98502.399999999994</v>
      </c>
      <c r="D46" s="29"/>
      <c r="E46" s="29">
        <f t="shared" si="4"/>
        <v>250083.99999999997</v>
      </c>
      <c r="F46" s="29" t="s">
        <v>2</v>
      </c>
      <c r="G46" s="29">
        <v>121966.1</v>
      </c>
      <c r="H46" s="29" t="s">
        <v>2</v>
      </c>
      <c r="I46" s="29">
        <v>15459.300000000001</v>
      </c>
      <c r="J46" s="29">
        <v>74325</v>
      </c>
      <c r="K46" s="29">
        <v>143898.4</v>
      </c>
      <c r="L46" s="31">
        <f t="shared" si="0"/>
        <v>355648.8</v>
      </c>
      <c r="M46" s="32">
        <v>173148.33333333331</v>
      </c>
      <c r="N46" s="29">
        <v>11236.499999999998</v>
      </c>
      <c r="O46" s="31">
        <f t="shared" si="1"/>
        <v>171263.96666666667</v>
      </c>
      <c r="P46" s="29">
        <v>5060.1000000000013</v>
      </c>
      <c r="Q46" s="29">
        <v>501672.03333333333</v>
      </c>
      <c r="R46" s="31">
        <v>583.6</v>
      </c>
      <c r="S46" s="29">
        <f t="shared" si="5"/>
        <v>507315.73333333328</v>
      </c>
      <c r="T46" s="33">
        <f t="shared" si="6"/>
        <v>678579.7</v>
      </c>
      <c r="U46" s="29">
        <f t="shared" si="7"/>
        <v>928663.7</v>
      </c>
    </row>
    <row r="47" spans="1:21" s="35" customFormat="1" ht="15.75">
      <c r="A47" s="40">
        <v>40694</v>
      </c>
      <c r="B47" s="29">
        <v>145435.50000000006</v>
      </c>
      <c r="C47" s="29">
        <v>94834.900000000038</v>
      </c>
      <c r="D47" s="29"/>
      <c r="E47" s="29">
        <f t="shared" si="4"/>
        <v>240270.40000000008</v>
      </c>
      <c r="F47" s="29">
        <v>12986.3</v>
      </c>
      <c r="G47" s="29">
        <v>124240.19999999998</v>
      </c>
      <c r="H47" s="29" t="s">
        <v>2</v>
      </c>
      <c r="I47" s="29">
        <v>19313.400000000001</v>
      </c>
      <c r="J47" s="29">
        <v>74325</v>
      </c>
      <c r="K47" s="29">
        <v>143590.29999999999</v>
      </c>
      <c r="L47" s="31">
        <f t="shared" si="0"/>
        <v>374455.19999999995</v>
      </c>
      <c r="M47" s="32">
        <v>190756.71666666667</v>
      </c>
      <c r="N47" s="29">
        <v>10405.5</v>
      </c>
      <c r="O47" s="31">
        <f t="shared" si="1"/>
        <v>173292.98333333328</v>
      </c>
      <c r="P47" s="29">
        <v>4973.6000000000013</v>
      </c>
      <c r="Q47" s="29">
        <v>521741.36666666664</v>
      </c>
      <c r="R47" s="31">
        <v>631.5</v>
      </c>
      <c r="S47" s="29">
        <f t="shared" si="5"/>
        <v>527346.46666666667</v>
      </c>
      <c r="T47" s="33">
        <f t="shared" si="6"/>
        <v>700639.45</v>
      </c>
      <c r="U47" s="29">
        <f t="shared" si="7"/>
        <v>940909.85000000009</v>
      </c>
    </row>
    <row r="48" spans="1:21" s="35" customFormat="1" ht="15.75">
      <c r="A48" s="40">
        <v>40724</v>
      </c>
      <c r="B48" s="29">
        <v>133383.10000000003</v>
      </c>
      <c r="C48" s="29">
        <v>90655.799999999988</v>
      </c>
      <c r="D48" s="29"/>
      <c r="E48" s="29">
        <f t="shared" si="4"/>
        <v>224038.90000000002</v>
      </c>
      <c r="F48" s="29">
        <v>24462.799999999999</v>
      </c>
      <c r="G48" s="29">
        <v>117440.9</v>
      </c>
      <c r="H48" s="29" t="s">
        <v>2</v>
      </c>
      <c r="I48" s="29">
        <v>17897.8</v>
      </c>
      <c r="J48" s="29">
        <v>74325</v>
      </c>
      <c r="K48" s="29">
        <v>143282.1</v>
      </c>
      <c r="L48" s="31">
        <f t="shared" si="0"/>
        <v>377408.6</v>
      </c>
      <c r="M48" s="32">
        <v>178132.2</v>
      </c>
      <c r="N48" s="29">
        <v>12941</v>
      </c>
      <c r="O48" s="31">
        <f t="shared" si="1"/>
        <v>186335.39999999997</v>
      </c>
      <c r="P48" s="29">
        <v>5148.5000000000009</v>
      </c>
      <c r="Q48" s="29">
        <v>552170.20000000007</v>
      </c>
      <c r="R48" s="31">
        <v>597.5</v>
      </c>
      <c r="S48" s="29">
        <f t="shared" si="5"/>
        <v>557916.20000000007</v>
      </c>
      <c r="T48" s="33">
        <f t="shared" si="6"/>
        <v>744251.60000000009</v>
      </c>
      <c r="U48" s="29">
        <f t="shared" si="7"/>
        <v>968290.50000000012</v>
      </c>
    </row>
    <row r="49" spans="1:21" s="35" customFormat="1" ht="15.75">
      <c r="A49" s="40">
        <v>40755</v>
      </c>
      <c r="B49" s="29">
        <v>119995.09999999998</v>
      </c>
      <c r="C49" s="29">
        <v>94244.900000000023</v>
      </c>
      <c r="D49" s="29"/>
      <c r="E49" s="29">
        <f t="shared" si="4"/>
        <v>214240</v>
      </c>
      <c r="F49" s="29">
        <v>31447.8</v>
      </c>
      <c r="G49" s="29">
        <v>119540.9</v>
      </c>
      <c r="H49" s="29" t="s">
        <v>2</v>
      </c>
      <c r="I49" s="29">
        <v>16240.1</v>
      </c>
      <c r="J49" s="29">
        <v>74325</v>
      </c>
      <c r="K49" s="29">
        <v>142974</v>
      </c>
      <c r="L49" s="31">
        <f t="shared" si="0"/>
        <v>384527.8</v>
      </c>
      <c r="M49" s="32">
        <v>159211.65</v>
      </c>
      <c r="N49" s="29">
        <v>12144.3</v>
      </c>
      <c r="O49" s="31">
        <f t="shared" si="1"/>
        <v>213171.85</v>
      </c>
      <c r="P49" s="29">
        <v>8163.5</v>
      </c>
      <c r="Q49" s="29">
        <v>567671.01666666672</v>
      </c>
      <c r="R49" s="31">
        <v>600</v>
      </c>
      <c r="S49" s="29">
        <f t="shared" si="5"/>
        <v>576434.51666666672</v>
      </c>
      <c r="T49" s="33">
        <f t="shared" si="6"/>
        <v>789606.3666666667</v>
      </c>
      <c r="U49" s="29">
        <f t="shared" si="7"/>
        <v>1003846.3666666667</v>
      </c>
    </row>
    <row r="50" spans="1:21" s="35" customFormat="1" ht="15.75">
      <c r="A50" s="40">
        <v>40786</v>
      </c>
      <c r="B50" s="29">
        <v>101092.90000000002</v>
      </c>
      <c r="C50" s="29">
        <v>95644.100000000035</v>
      </c>
      <c r="D50" s="29"/>
      <c r="E50" s="29">
        <f t="shared" si="4"/>
        <v>196737.00000000006</v>
      </c>
      <c r="F50" s="29">
        <v>35035.800000000003</v>
      </c>
      <c r="G50" s="29">
        <v>104184.4</v>
      </c>
      <c r="H50" s="29" t="s">
        <v>2</v>
      </c>
      <c r="I50" s="29">
        <v>13778.1</v>
      </c>
      <c r="J50" s="29">
        <v>74325</v>
      </c>
      <c r="K50" s="29">
        <v>142665.9</v>
      </c>
      <c r="L50" s="31">
        <f t="shared" si="0"/>
        <v>369989.2</v>
      </c>
      <c r="M50" s="32">
        <v>157183.1</v>
      </c>
      <c r="N50" s="29">
        <v>13843.4</v>
      </c>
      <c r="O50" s="31">
        <f t="shared" si="1"/>
        <v>198962.7</v>
      </c>
      <c r="P50" s="29">
        <v>10457.799999999999</v>
      </c>
      <c r="Q50" s="29">
        <v>584936.33333333337</v>
      </c>
      <c r="R50" s="31">
        <v>573.40000000000009</v>
      </c>
      <c r="S50" s="29">
        <f t="shared" si="5"/>
        <v>595967.53333333344</v>
      </c>
      <c r="T50" s="33">
        <f t="shared" si="6"/>
        <v>794930.2333333334</v>
      </c>
      <c r="U50" s="29">
        <f t="shared" si="7"/>
        <v>991667.2333333334</v>
      </c>
    </row>
    <row r="51" spans="1:21" s="35" customFormat="1" ht="15.75">
      <c r="A51" s="40">
        <v>40816</v>
      </c>
      <c r="B51" s="29">
        <v>81241.400000000023</v>
      </c>
      <c r="C51" s="29">
        <v>88234.400000000023</v>
      </c>
      <c r="D51" s="29"/>
      <c r="E51" s="29">
        <f t="shared" si="4"/>
        <v>169475.80000000005</v>
      </c>
      <c r="F51" s="29">
        <v>29256.3</v>
      </c>
      <c r="G51" s="29">
        <v>106984.4</v>
      </c>
      <c r="H51" s="29" t="s">
        <v>2</v>
      </c>
      <c r="I51" s="29">
        <v>12911.2</v>
      </c>
      <c r="J51" s="29">
        <v>74325</v>
      </c>
      <c r="K51" s="29">
        <v>142357.70000000001</v>
      </c>
      <c r="L51" s="31">
        <f t="shared" si="0"/>
        <v>365834.6</v>
      </c>
      <c r="M51" s="32">
        <v>152796.54999999999</v>
      </c>
      <c r="N51" s="29">
        <v>13503.9</v>
      </c>
      <c r="O51" s="31">
        <f t="shared" si="1"/>
        <v>199534.15</v>
      </c>
      <c r="P51" s="29">
        <v>8482.0999999999985</v>
      </c>
      <c r="Q51" s="29">
        <v>592674.85</v>
      </c>
      <c r="R51" s="31">
        <v>1019.5999999999999</v>
      </c>
      <c r="S51" s="29">
        <f t="shared" si="5"/>
        <v>602176.54999999993</v>
      </c>
      <c r="T51" s="33">
        <f t="shared" si="6"/>
        <v>801710.7</v>
      </c>
      <c r="U51" s="29">
        <f t="shared" si="7"/>
        <v>971186.5</v>
      </c>
    </row>
    <row r="52" spans="1:21" s="35" customFormat="1" ht="15.75">
      <c r="A52" s="40">
        <v>40847</v>
      </c>
      <c r="B52" s="29">
        <v>61605.000000000058</v>
      </c>
      <c r="C52" s="29">
        <v>91985.2</v>
      </c>
      <c r="D52" s="29"/>
      <c r="E52" s="29">
        <f t="shared" si="4"/>
        <v>153590.20000000007</v>
      </c>
      <c r="F52" s="29">
        <v>29858.9</v>
      </c>
      <c r="G52" s="29">
        <v>105384.4</v>
      </c>
      <c r="H52" s="29" t="s">
        <v>2</v>
      </c>
      <c r="I52" s="29">
        <v>13872.2</v>
      </c>
      <c r="J52" s="29">
        <v>94325</v>
      </c>
      <c r="K52" s="29">
        <v>142049.60000000001</v>
      </c>
      <c r="L52" s="31">
        <f t="shared" si="0"/>
        <v>385490.1</v>
      </c>
      <c r="M52" s="32">
        <v>161133.20000000001</v>
      </c>
      <c r="N52" s="29">
        <v>14274.7</v>
      </c>
      <c r="O52" s="31">
        <f t="shared" si="1"/>
        <v>210082.19999999995</v>
      </c>
      <c r="P52" s="29">
        <v>4975.6000000000013</v>
      </c>
      <c r="Q52" s="29">
        <v>612731.76666666649</v>
      </c>
      <c r="R52" s="31">
        <v>994.09999999999991</v>
      </c>
      <c r="S52" s="29">
        <f t="shared" si="5"/>
        <v>618701.46666666644</v>
      </c>
      <c r="T52" s="33">
        <f t="shared" si="6"/>
        <v>828783.6666666664</v>
      </c>
      <c r="U52" s="29">
        <f t="shared" si="7"/>
        <v>982373.86666666646</v>
      </c>
    </row>
    <row r="53" spans="1:21" s="35" customFormat="1" ht="15.75">
      <c r="A53" s="40">
        <v>40877</v>
      </c>
      <c r="B53" s="29">
        <v>59710.299999999988</v>
      </c>
      <c r="C53" s="29">
        <v>101477.99999999999</v>
      </c>
      <c r="D53" s="29"/>
      <c r="E53" s="29">
        <f t="shared" si="4"/>
        <v>161188.29999999999</v>
      </c>
      <c r="F53" s="29">
        <v>13631.5</v>
      </c>
      <c r="G53" s="29">
        <v>94884.4</v>
      </c>
      <c r="H53" s="29" t="s">
        <v>2</v>
      </c>
      <c r="I53" s="29">
        <v>14068.5</v>
      </c>
      <c r="J53" s="29">
        <v>94325</v>
      </c>
      <c r="K53" s="29">
        <v>142049.60000000001</v>
      </c>
      <c r="L53" s="31">
        <f t="shared" si="0"/>
        <v>358959</v>
      </c>
      <c r="M53" s="32">
        <v>164059.25</v>
      </c>
      <c r="N53" s="29">
        <v>14823.400000000001</v>
      </c>
      <c r="O53" s="31">
        <f t="shared" si="1"/>
        <v>180076.35</v>
      </c>
      <c r="P53" s="29">
        <v>6924.0000000000009</v>
      </c>
      <c r="Q53" s="29">
        <v>620487.28333333333</v>
      </c>
      <c r="R53" s="31">
        <v>1003.0999999999999</v>
      </c>
      <c r="S53" s="29">
        <f t="shared" si="5"/>
        <v>628414.3833333333</v>
      </c>
      <c r="T53" s="33">
        <f t="shared" si="6"/>
        <v>808490.73333333328</v>
      </c>
      <c r="U53" s="29">
        <f t="shared" si="7"/>
        <v>969679.03333333321</v>
      </c>
    </row>
    <row r="54" spans="1:21" s="35" customFormat="1" ht="15.75">
      <c r="A54" s="40">
        <v>40908</v>
      </c>
      <c r="B54" s="29">
        <v>82293.999999999942</v>
      </c>
      <c r="C54" s="29">
        <v>123231.6</v>
      </c>
      <c r="D54" s="29"/>
      <c r="E54" s="29">
        <f t="shared" si="4"/>
        <v>205525.59999999995</v>
      </c>
      <c r="F54" s="29">
        <v>86260.6</v>
      </c>
      <c r="G54" s="29">
        <v>84484.4</v>
      </c>
      <c r="H54" s="29" t="s">
        <v>2</v>
      </c>
      <c r="I54" s="29">
        <v>14746.9</v>
      </c>
      <c r="J54" s="29">
        <v>94325</v>
      </c>
      <c r="K54" s="29">
        <v>141433.29999999999</v>
      </c>
      <c r="L54" s="31">
        <f t="shared" si="0"/>
        <v>421250.2</v>
      </c>
      <c r="M54" s="32">
        <v>175708.5</v>
      </c>
      <c r="N54" s="29">
        <v>14154.1</v>
      </c>
      <c r="O54" s="31">
        <f t="shared" si="1"/>
        <v>231387.6</v>
      </c>
      <c r="P54" s="29">
        <v>4009.9000000000005</v>
      </c>
      <c r="Q54" s="29">
        <v>612267</v>
      </c>
      <c r="R54" s="31">
        <v>1021.9000000000001</v>
      </c>
      <c r="S54" s="29">
        <f t="shared" si="5"/>
        <v>617298.80000000005</v>
      </c>
      <c r="T54" s="33">
        <f t="shared" si="6"/>
        <v>848686.4</v>
      </c>
      <c r="U54" s="29">
        <f t="shared" si="7"/>
        <v>1054212</v>
      </c>
    </row>
    <row r="55" spans="1:21" s="35" customFormat="1" ht="15.75">
      <c r="A55" s="40">
        <v>40939</v>
      </c>
      <c r="B55" s="29">
        <v>112890.80000000016</v>
      </c>
      <c r="C55" s="29">
        <v>125509.49999999997</v>
      </c>
      <c r="D55" s="29"/>
      <c r="E55" s="29">
        <f t="shared" si="4"/>
        <v>238400.30000000013</v>
      </c>
      <c r="F55" s="29">
        <v>23225.200000000001</v>
      </c>
      <c r="G55" s="29">
        <v>85407.4</v>
      </c>
      <c r="H55" s="29" t="s">
        <v>2</v>
      </c>
      <c r="I55" s="29">
        <v>15311.9</v>
      </c>
      <c r="J55" s="29">
        <v>94325</v>
      </c>
      <c r="K55" s="29">
        <v>141125.20000000001</v>
      </c>
      <c r="L55" s="31">
        <f t="shared" si="0"/>
        <v>359394.7</v>
      </c>
      <c r="M55" s="32">
        <v>187619.55000000002</v>
      </c>
      <c r="N55" s="29">
        <v>16320.800000000001</v>
      </c>
      <c r="O55" s="31">
        <f t="shared" si="1"/>
        <v>155454.35</v>
      </c>
      <c r="P55" s="29">
        <v>5315.2</v>
      </c>
      <c r="Q55" s="29">
        <v>615659.6</v>
      </c>
      <c r="R55" s="31">
        <v>1011.8</v>
      </c>
      <c r="S55" s="29">
        <f t="shared" si="5"/>
        <v>621986.6</v>
      </c>
      <c r="T55" s="33">
        <f t="shared" si="6"/>
        <v>777440.95</v>
      </c>
      <c r="U55" s="29">
        <f t="shared" si="7"/>
        <v>1015841.2500000001</v>
      </c>
    </row>
    <row r="56" spans="1:21" s="35" customFormat="1" ht="15.75">
      <c r="A56" s="40">
        <v>40968</v>
      </c>
      <c r="B56" s="29">
        <v>98423.899999999965</v>
      </c>
      <c r="C56" s="29">
        <v>123068.90000000004</v>
      </c>
      <c r="D56" s="29"/>
      <c r="E56" s="29">
        <f t="shared" si="4"/>
        <v>221492.8</v>
      </c>
      <c r="F56" s="29">
        <v>19733.599999999999</v>
      </c>
      <c r="G56" s="29">
        <v>81551.099999999991</v>
      </c>
      <c r="H56" s="29" t="s">
        <v>2</v>
      </c>
      <c r="I56" s="29">
        <v>15168.9</v>
      </c>
      <c r="J56" s="29">
        <v>94325</v>
      </c>
      <c r="K56" s="29">
        <v>140817.1</v>
      </c>
      <c r="L56" s="31">
        <f t="shared" si="0"/>
        <v>351595.69999999995</v>
      </c>
      <c r="M56" s="32">
        <v>173429.90000000002</v>
      </c>
      <c r="N56" s="29">
        <v>17114.3</v>
      </c>
      <c r="O56" s="31">
        <f t="shared" si="1"/>
        <v>161051.49999999994</v>
      </c>
      <c r="P56" s="29">
        <v>10997.099999999999</v>
      </c>
      <c r="Q56" s="29">
        <v>616794.9</v>
      </c>
      <c r="R56" s="31">
        <v>953.59999999999991</v>
      </c>
      <c r="S56" s="29">
        <f t="shared" si="5"/>
        <v>628745.6</v>
      </c>
      <c r="T56" s="33">
        <f t="shared" si="6"/>
        <v>789797.09999999986</v>
      </c>
      <c r="U56" s="29">
        <f t="shared" si="7"/>
        <v>1011289.8999999999</v>
      </c>
    </row>
    <row r="57" spans="1:21" s="35" customFormat="1" ht="15.75">
      <c r="A57" s="40">
        <v>40999</v>
      </c>
      <c r="B57" s="29">
        <v>67729.100000000093</v>
      </c>
      <c r="C57" s="29">
        <v>118491.8</v>
      </c>
      <c r="D57" s="29"/>
      <c r="E57" s="29">
        <f t="shared" si="4"/>
        <v>186220.90000000008</v>
      </c>
      <c r="F57" s="29">
        <v>41361.199999999997</v>
      </c>
      <c r="G57" s="29">
        <v>72751.099999999991</v>
      </c>
      <c r="H57" s="29" t="s">
        <v>2</v>
      </c>
      <c r="I57" s="29">
        <v>16271.5</v>
      </c>
      <c r="J57" s="29">
        <v>94325</v>
      </c>
      <c r="K57" s="29">
        <v>140508.9</v>
      </c>
      <c r="L57" s="31">
        <f t="shared" si="0"/>
        <v>365217.69999999995</v>
      </c>
      <c r="M57" s="32">
        <v>189874.75</v>
      </c>
      <c r="N57" s="29">
        <v>16840.8</v>
      </c>
      <c r="O57" s="31">
        <f t="shared" si="1"/>
        <v>158502.14999999997</v>
      </c>
      <c r="P57" s="29">
        <v>11397</v>
      </c>
      <c r="Q57" s="29">
        <v>625626.10000000009</v>
      </c>
      <c r="R57" s="31">
        <v>943.4</v>
      </c>
      <c r="S57" s="29">
        <f t="shared" si="5"/>
        <v>637966.50000000012</v>
      </c>
      <c r="T57" s="33">
        <f t="shared" si="6"/>
        <v>796468.65000000014</v>
      </c>
      <c r="U57" s="29">
        <f t="shared" si="7"/>
        <v>982689.55000000028</v>
      </c>
    </row>
    <row r="58" spans="1:21" s="35" customFormat="1" ht="15.75">
      <c r="A58" s="40">
        <v>41029</v>
      </c>
      <c r="B58" s="29">
        <v>57855.800000000047</v>
      </c>
      <c r="C58" s="29">
        <v>106035.70000000001</v>
      </c>
      <c r="D58" s="29"/>
      <c r="E58" s="29">
        <f t="shared" si="4"/>
        <v>163891.50000000006</v>
      </c>
      <c r="F58" s="29">
        <v>51796.5</v>
      </c>
      <c r="G58" s="29">
        <v>68244.899999999994</v>
      </c>
      <c r="H58" s="29" t="s">
        <v>2</v>
      </c>
      <c r="I58" s="29">
        <v>17528.8</v>
      </c>
      <c r="J58" s="29">
        <v>94325</v>
      </c>
      <c r="K58" s="29">
        <v>140200.79999999999</v>
      </c>
      <c r="L58" s="31">
        <f t="shared" si="0"/>
        <v>372096</v>
      </c>
      <c r="M58" s="32">
        <v>167768.29999999999</v>
      </c>
      <c r="N58" s="29">
        <v>19564.399999999994</v>
      </c>
      <c r="O58" s="31">
        <f t="shared" si="1"/>
        <v>184763.30000000002</v>
      </c>
      <c r="P58" s="29">
        <v>13397.199999999999</v>
      </c>
      <c r="Q58" s="29">
        <v>630867.39999999991</v>
      </c>
      <c r="R58" s="31">
        <v>916.8</v>
      </c>
      <c r="S58" s="29">
        <f t="shared" si="5"/>
        <v>645181.39999999991</v>
      </c>
      <c r="T58" s="33">
        <f t="shared" si="6"/>
        <v>829944.7</v>
      </c>
      <c r="U58" s="29">
        <f t="shared" si="7"/>
        <v>993836.2</v>
      </c>
    </row>
    <row r="59" spans="1:21" s="35" customFormat="1" ht="15.75">
      <c r="A59" s="40">
        <v>41060</v>
      </c>
      <c r="B59" s="29">
        <v>60535.400000000081</v>
      </c>
      <c r="C59" s="29">
        <v>83366.000000000015</v>
      </c>
      <c r="D59" s="29"/>
      <c r="E59" s="29">
        <f t="shared" si="4"/>
        <v>143901.40000000008</v>
      </c>
      <c r="F59" s="29">
        <v>32561.9</v>
      </c>
      <c r="G59" s="29">
        <v>66801.100000000006</v>
      </c>
      <c r="H59" s="29" t="s">
        <v>2</v>
      </c>
      <c r="I59" s="29">
        <v>15899.2</v>
      </c>
      <c r="J59" s="29">
        <v>94325</v>
      </c>
      <c r="K59" s="29">
        <v>140200.79999999999</v>
      </c>
      <c r="L59" s="31">
        <f t="shared" si="0"/>
        <v>349788</v>
      </c>
      <c r="M59" s="32">
        <v>152755.05000000002</v>
      </c>
      <c r="N59" s="29">
        <v>13236.300000000001</v>
      </c>
      <c r="O59" s="31">
        <f t="shared" si="1"/>
        <v>183796.65</v>
      </c>
      <c r="P59" s="29">
        <v>14556.999999999998</v>
      </c>
      <c r="Q59" s="29">
        <v>659531.89999999991</v>
      </c>
      <c r="R59" s="31">
        <v>992.09999999999991</v>
      </c>
      <c r="S59" s="29">
        <f t="shared" si="5"/>
        <v>675080.99999999988</v>
      </c>
      <c r="T59" s="33">
        <f t="shared" si="6"/>
        <v>858877.64999999991</v>
      </c>
      <c r="U59" s="29">
        <f t="shared" si="7"/>
        <v>1002779.05</v>
      </c>
    </row>
    <row r="60" spans="1:21" s="35" customFormat="1" ht="15.75">
      <c r="A60" s="40">
        <v>41090</v>
      </c>
      <c r="B60" s="29">
        <v>49308</v>
      </c>
      <c r="C60" s="29">
        <v>78556.900000000023</v>
      </c>
      <c r="D60" s="29"/>
      <c r="E60" s="29">
        <f t="shared" si="4"/>
        <v>127864.90000000002</v>
      </c>
      <c r="F60" s="29">
        <v>49375</v>
      </c>
      <c r="G60" s="29">
        <v>63101.1</v>
      </c>
      <c r="H60" s="29" t="s">
        <v>2</v>
      </c>
      <c r="I60" s="29">
        <v>18502.399999999998</v>
      </c>
      <c r="J60" s="29">
        <v>94325</v>
      </c>
      <c r="K60" s="29">
        <v>139584.5</v>
      </c>
      <c r="L60" s="31">
        <f t="shared" si="0"/>
        <v>364888</v>
      </c>
      <c r="M60" s="32">
        <v>146789.10000000003</v>
      </c>
      <c r="N60" s="29">
        <v>13565.2</v>
      </c>
      <c r="O60" s="31">
        <f t="shared" si="1"/>
        <v>204533.69999999995</v>
      </c>
      <c r="P60" s="29">
        <v>16232.4</v>
      </c>
      <c r="Q60" s="29">
        <v>681196.70000000007</v>
      </c>
      <c r="R60" s="31">
        <v>1005.8</v>
      </c>
      <c r="S60" s="29">
        <f t="shared" si="5"/>
        <v>698434.90000000014</v>
      </c>
      <c r="T60" s="33">
        <f t="shared" si="6"/>
        <v>902968.60000000009</v>
      </c>
      <c r="U60" s="29">
        <f t="shared" si="7"/>
        <v>1030833.5000000001</v>
      </c>
    </row>
    <row r="61" spans="1:21" s="35" customFormat="1" ht="15.75">
      <c r="A61" s="40">
        <v>41121</v>
      </c>
      <c r="B61" s="29">
        <v>46872.800000000047</v>
      </c>
      <c r="C61" s="29">
        <v>98136.900000000023</v>
      </c>
      <c r="D61" s="29"/>
      <c r="E61" s="29">
        <f t="shared" si="4"/>
        <v>145009.70000000007</v>
      </c>
      <c r="F61" s="29">
        <v>53695.7</v>
      </c>
      <c r="G61" s="29">
        <v>52484.4</v>
      </c>
      <c r="H61" s="29" t="s">
        <v>2</v>
      </c>
      <c r="I61" s="29">
        <v>16648.2</v>
      </c>
      <c r="J61" s="29">
        <v>108925</v>
      </c>
      <c r="K61" s="29">
        <v>139276.4</v>
      </c>
      <c r="L61" s="31">
        <f t="shared" si="0"/>
        <v>371029.69999999995</v>
      </c>
      <c r="M61" s="32">
        <v>143746.51666666666</v>
      </c>
      <c r="N61" s="29">
        <v>16513.699999999997</v>
      </c>
      <c r="O61" s="31">
        <f t="shared" si="1"/>
        <v>210769.48333333328</v>
      </c>
      <c r="P61" s="29">
        <v>17742.2</v>
      </c>
      <c r="Q61" s="29">
        <v>682743.1166666667</v>
      </c>
      <c r="R61" s="31">
        <v>993.4</v>
      </c>
      <c r="S61" s="29">
        <f t="shared" si="5"/>
        <v>701478.71666666667</v>
      </c>
      <c r="T61" s="33">
        <f t="shared" si="6"/>
        <v>912248.2</v>
      </c>
      <c r="U61" s="29">
        <f t="shared" si="7"/>
        <v>1057257.8999999999</v>
      </c>
    </row>
    <row r="62" spans="1:21" s="35" customFormat="1" ht="15.75">
      <c r="A62" s="40">
        <v>41152</v>
      </c>
      <c r="B62" s="29">
        <v>39580.200000000012</v>
      </c>
      <c r="C62" s="29">
        <v>102097.4</v>
      </c>
      <c r="D62" s="29"/>
      <c r="E62" s="29">
        <f t="shared" si="4"/>
        <v>141677.6</v>
      </c>
      <c r="F62" s="29">
        <v>65092</v>
      </c>
      <c r="G62" s="29">
        <v>44735.199999999997</v>
      </c>
      <c r="H62" s="29" t="s">
        <v>2</v>
      </c>
      <c r="I62" s="29">
        <v>14110.066666666666</v>
      </c>
      <c r="J62" s="29">
        <v>108925</v>
      </c>
      <c r="K62" s="29">
        <v>138968.29999999999</v>
      </c>
      <c r="L62" s="31">
        <f t="shared" si="0"/>
        <v>371830.56666666665</v>
      </c>
      <c r="M62" s="32">
        <v>131362.43333333335</v>
      </c>
      <c r="N62" s="29">
        <v>18916.900000000001</v>
      </c>
      <c r="O62" s="31">
        <f t="shared" si="1"/>
        <v>221551.23333333331</v>
      </c>
      <c r="P62" s="29">
        <v>26322.699999999997</v>
      </c>
      <c r="Q62" s="29">
        <v>691338.43333333335</v>
      </c>
      <c r="R62" s="31">
        <v>1013</v>
      </c>
      <c r="S62" s="29">
        <f t="shared" si="5"/>
        <v>718674.1333333333</v>
      </c>
      <c r="T62" s="33">
        <f t="shared" si="6"/>
        <v>940225.36666666658</v>
      </c>
      <c r="U62" s="29">
        <f t="shared" si="7"/>
        <v>1081902.9666666666</v>
      </c>
    </row>
    <row r="63" spans="1:21" s="35" customFormat="1" ht="15.75">
      <c r="A63" s="40">
        <v>41182</v>
      </c>
      <c r="B63" s="29">
        <v>55414.5</v>
      </c>
      <c r="C63" s="29">
        <v>105595.80000000003</v>
      </c>
      <c r="D63" s="29"/>
      <c r="E63" s="29">
        <f t="shared" si="4"/>
        <v>161010.30000000005</v>
      </c>
      <c r="F63" s="29">
        <v>51763.199999999997</v>
      </c>
      <c r="G63" s="29">
        <v>38166.800000000003</v>
      </c>
      <c r="H63" s="29" t="s">
        <v>2</v>
      </c>
      <c r="I63" s="29">
        <v>13870.5</v>
      </c>
      <c r="J63" s="29">
        <v>108925</v>
      </c>
      <c r="K63" s="29">
        <v>138968.29999999999</v>
      </c>
      <c r="L63" s="31">
        <f t="shared" si="0"/>
        <v>351693.8</v>
      </c>
      <c r="M63" s="32">
        <v>133972.04999999999</v>
      </c>
      <c r="N63" s="29">
        <v>15255.2</v>
      </c>
      <c r="O63" s="31">
        <f t="shared" si="1"/>
        <v>202466.55</v>
      </c>
      <c r="P63" s="29">
        <v>24945.899999999998</v>
      </c>
      <c r="Q63" s="29">
        <v>685471.85000000009</v>
      </c>
      <c r="R63" s="31">
        <v>1059.5</v>
      </c>
      <c r="S63" s="29">
        <f t="shared" si="5"/>
        <v>711477.25000000012</v>
      </c>
      <c r="T63" s="33">
        <f t="shared" si="6"/>
        <v>913943.8</v>
      </c>
      <c r="U63" s="29">
        <f t="shared" si="7"/>
        <v>1074954.1000000001</v>
      </c>
    </row>
    <row r="64" spans="1:21" s="35" customFormat="1" ht="15.75">
      <c r="A64" s="40">
        <v>41213</v>
      </c>
      <c r="B64" s="29">
        <v>50733.300000000105</v>
      </c>
      <c r="C64" s="29">
        <v>99522.699999999968</v>
      </c>
      <c r="D64" s="29"/>
      <c r="E64" s="29">
        <f t="shared" si="4"/>
        <v>150256.00000000006</v>
      </c>
      <c r="F64" s="29">
        <v>78836.5</v>
      </c>
      <c r="G64" s="29">
        <v>34235.199999999997</v>
      </c>
      <c r="H64" s="29" t="s">
        <v>2</v>
      </c>
      <c r="I64" s="29">
        <v>14080.2</v>
      </c>
      <c r="J64" s="29">
        <v>108925</v>
      </c>
      <c r="K64" s="29">
        <v>138352</v>
      </c>
      <c r="L64" s="31">
        <f t="shared" si="0"/>
        <v>374428.9</v>
      </c>
      <c r="M64" s="32">
        <v>152751.86666666667</v>
      </c>
      <c r="N64" s="29">
        <v>14718.9</v>
      </c>
      <c r="O64" s="31">
        <f t="shared" si="1"/>
        <v>206958.13333333336</v>
      </c>
      <c r="P64" s="29">
        <v>23160.3</v>
      </c>
      <c r="Q64" s="29">
        <v>697084.96666666656</v>
      </c>
      <c r="R64" s="31">
        <v>1087.2</v>
      </c>
      <c r="S64" s="29">
        <f t="shared" si="5"/>
        <v>721332.46666666656</v>
      </c>
      <c r="T64" s="33">
        <f t="shared" si="6"/>
        <v>928290.59999999986</v>
      </c>
      <c r="U64" s="29">
        <f t="shared" si="7"/>
        <v>1078546.5999999999</v>
      </c>
    </row>
    <row r="65" spans="1:21" s="35" customFormat="1" ht="15.75">
      <c r="A65" s="40">
        <v>41243</v>
      </c>
      <c r="B65" s="29">
        <v>50395</v>
      </c>
      <c r="C65" s="29">
        <v>107039.20000000001</v>
      </c>
      <c r="D65" s="29"/>
      <c r="E65" s="29">
        <f t="shared" si="4"/>
        <v>157434.20000000001</v>
      </c>
      <c r="F65" s="29">
        <v>104206.5</v>
      </c>
      <c r="G65" s="29">
        <v>35864.9</v>
      </c>
      <c r="H65" s="29"/>
      <c r="I65" s="29">
        <v>16169.2</v>
      </c>
      <c r="J65" s="29">
        <v>108925</v>
      </c>
      <c r="K65" s="29">
        <v>138043.9</v>
      </c>
      <c r="L65" s="31">
        <f t="shared" si="0"/>
        <v>403209.5</v>
      </c>
      <c r="M65" s="32">
        <v>154275.78333333335</v>
      </c>
      <c r="N65" s="29">
        <v>17782.100000000002</v>
      </c>
      <c r="O65" s="31">
        <f t="shared" si="1"/>
        <v>231151.61666666664</v>
      </c>
      <c r="P65" s="29">
        <v>23395.500000000004</v>
      </c>
      <c r="Q65" s="29">
        <v>699905.4833333334</v>
      </c>
      <c r="R65" s="31">
        <v>1050.5999999999999</v>
      </c>
      <c r="S65" s="29">
        <f t="shared" si="5"/>
        <v>724351.58333333337</v>
      </c>
      <c r="T65" s="33">
        <f t="shared" si="6"/>
        <v>955503.2</v>
      </c>
      <c r="U65" s="29">
        <f t="shared" si="7"/>
        <v>1112937.3999999999</v>
      </c>
    </row>
    <row r="66" spans="1:21" s="35" customFormat="1" ht="15.75">
      <c r="A66" s="40">
        <v>41274</v>
      </c>
      <c r="B66" s="29">
        <v>66928.900000000023</v>
      </c>
      <c r="C66" s="29">
        <v>129708.8</v>
      </c>
      <c r="D66" s="29"/>
      <c r="E66" s="29">
        <f t="shared" si="4"/>
        <v>196637.7</v>
      </c>
      <c r="F66" s="29">
        <v>155251.9</v>
      </c>
      <c r="G66" s="29">
        <v>49024.3</v>
      </c>
      <c r="H66" s="29"/>
      <c r="I66" s="29">
        <v>17982.599999999999</v>
      </c>
      <c r="J66" s="29">
        <v>117037.4</v>
      </c>
      <c r="K66" s="29">
        <v>137735.70000000001</v>
      </c>
      <c r="L66" s="31">
        <f t="shared" si="0"/>
        <v>477031.9</v>
      </c>
      <c r="M66" s="32">
        <v>182803.7</v>
      </c>
      <c r="N66" s="29">
        <v>18296</v>
      </c>
      <c r="O66" s="31">
        <f t="shared" si="1"/>
        <v>275932.2</v>
      </c>
      <c r="P66" s="29">
        <v>24157.200000000001</v>
      </c>
      <c r="Q66" s="29">
        <v>683891.70000000007</v>
      </c>
      <c r="R66" s="31">
        <v>1057.9000000000001</v>
      </c>
      <c r="S66" s="29">
        <f t="shared" si="5"/>
        <v>709106.8</v>
      </c>
      <c r="T66" s="33">
        <f t="shared" si="6"/>
        <v>985039</v>
      </c>
      <c r="U66" s="29">
        <f t="shared" si="7"/>
        <v>1181676.7</v>
      </c>
    </row>
    <row r="67" spans="1:21" s="35" customFormat="1" ht="15.75">
      <c r="A67" s="40">
        <v>41305</v>
      </c>
      <c r="B67" s="29">
        <v>55782.700000000012</v>
      </c>
      <c r="C67" s="29">
        <v>140475.40000000002</v>
      </c>
      <c r="D67" s="29">
        <v>-8.1</v>
      </c>
      <c r="E67" s="29">
        <f t="shared" si="4"/>
        <v>196250.00000000003</v>
      </c>
      <c r="F67" s="30" t="s">
        <v>2</v>
      </c>
      <c r="G67" s="29">
        <v>53502.600000000006</v>
      </c>
      <c r="H67" s="29"/>
      <c r="I67" s="29">
        <v>14555.217000000001</v>
      </c>
      <c r="J67" s="29">
        <v>115644.1</v>
      </c>
      <c r="K67" s="29">
        <v>292679.5</v>
      </c>
      <c r="L67" s="31">
        <f t="shared" si="0"/>
        <v>476381.41700000002</v>
      </c>
      <c r="M67" s="32">
        <v>220799.68333333335</v>
      </c>
      <c r="N67" s="29">
        <v>21555.599999999999</v>
      </c>
      <c r="O67" s="31">
        <f t="shared" si="1"/>
        <v>234026.13366666666</v>
      </c>
      <c r="P67" s="29">
        <v>24524.300000000003</v>
      </c>
      <c r="Q67" s="29">
        <v>708419.21666666667</v>
      </c>
      <c r="R67" s="31">
        <v>1099.5999999999999</v>
      </c>
      <c r="S67" s="29">
        <f t="shared" si="5"/>
        <v>734043.1166666667</v>
      </c>
      <c r="T67" s="33">
        <f t="shared" si="6"/>
        <v>968069.25033333339</v>
      </c>
      <c r="U67" s="29">
        <f t="shared" si="7"/>
        <v>1164319.2503333334</v>
      </c>
    </row>
    <row r="68" spans="1:21" s="35" customFormat="1" ht="15.75">
      <c r="A68" s="40">
        <v>41333</v>
      </c>
      <c r="B68" s="29">
        <v>97419.499999999884</v>
      </c>
      <c r="C68" s="29">
        <v>158351.6</v>
      </c>
      <c r="D68" s="29">
        <v>-16.2</v>
      </c>
      <c r="E68" s="29">
        <f t="shared" si="4"/>
        <v>255754.89999999988</v>
      </c>
      <c r="F68" s="30" t="s">
        <v>2</v>
      </c>
      <c r="G68" s="29">
        <v>50864</v>
      </c>
      <c r="H68" s="29"/>
      <c r="I68" s="29">
        <v>16132</v>
      </c>
      <c r="J68" s="29">
        <v>114250.8</v>
      </c>
      <c r="K68" s="29">
        <v>292371.40000000002</v>
      </c>
      <c r="L68" s="31">
        <f t="shared" si="0"/>
        <v>473618.2</v>
      </c>
      <c r="M68" s="32">
        <v>241982.86666666667</v>
      </c>
      <c r="N68" s="29">
        <v>22934.400000000001</v>
      </c>
      <c r="O68" s="31">
        <f t="shared" si="1"/>
        <v>208700.93333333335</v>
      </c>
      <c r="P68" s="29">
        <v>25342.800000000003</v>
      </c>
      <c r="Q68" s="29">
        <v>712390.53333333344</v>
      </c>
      <c r="R68" s="31">
        <v>1413.7</v>
      </c>
      <c r="S68" s="29">
        <f t="shared" si="5"/>
        <v>739147.03333333344</v>
      </c>
      <c r="T68" s="33">
        <f t="shared" si="6"/>
        <v>947847.96666666679</v>
      </c>
      <c r="U68" s="29">
        <f t="shared" si="7"/>
        <v>1203602.8666666667</v>
      </c>
    </row>
    <row r="69" spans="1:21" s="35" customFormat="1" ht="15.75">
      <c r="A69" s="40">
        <v>41364</v>
      </c>
      <c r="B69" s="29">
        <v>48746.900000000081</v>
      </c>
      <c r="C69" s="29">
        <v>149107.00000000003</v>
      </c>
      <c r="D69" s="29">
        <v>-24.299999999999997</v>
      </c>
      <c r="E69" s="29">
        <f t="shared" si="4"/>
        <v>197829.60000000012</v>
      </c>
      <c r="F69" s="30" t="s">
        <v>2</v>
      </c>
      <c r="G69" s="29">
        <v>47334.399999999994</v>
      </c>
      <c r="H69" s="29"/>
      <c r="I69" s="29">
        <v>18914.7</v>
      </c>
      <c r="J69" s="29">
        <v>112857.5</v>
      </c>
      <c r="K69" s="29">
        <v>292063.09999999998</v>
      </c>
      <c r="L69" s="31">
        <f t="shared" si="0"/>
        <v>471169.69999999995</v>
      </c>
      <c r="M69" s="32">
        <v>207006.84999999998</v>
      </c>
      <c r="N69" s="29">
        <v>23122.7</v>
      </c>
      <c r="O69" s="31">
        <f t="shared" si="1"/>
        <v>241040.14999999997</v>
      </c>
      <c r="P69" s="29">
        <v>27027.699999999997</v>
      </c>
      <c r="Q69" s="29">
        <v>720855.35</v>
      </c>
      <c r="R69" s="31">
        <v>1398.1999999999998</v>
      </c>
      <c r="S69" s="29">
        <f t="shared" si="5"/>
        <v>749281.24999999988</v>
      </c>
      <c r="T69" s="33">
        <f t="shared" si="6"/>
        <v>990321.39999999991</v>
      </c>
      <c r="U69" s="29">
        <f t="shared" si="7"/>
        <v>1188151</v>
      </c>
    </row>
    <row r="70" spans="1:21" s="35" customFormat="1" ht="15.75">
      <c r="A70" s="40">
        <v>41394</v>
      </c>
      <c r="B70" s="29">
        <v>44693.599999999977</v>
      </c>
      <c r="C70" s="29">
        <v>151956.90000000002</v>
      </c>
      <c r="D70" s="29">
        <v>-32.4</v>
      </c>
      <c r="E70" s="29">
        <f t="shared" si="4"/>
        <v>196618.1</v>
      </c>
      <c r="F70" s="30">
        <v>11186</v>
      </c>
      <c r="G70" s="29">
        <v>42558.399999999994</v>
      </c>
      <c r="H70" s="29"/>
      <c r="I70" s="29">
        <v>20646.400000000001</v>
      </c>
      <c r="J70" s="29">
        <v>111464.2</v>
      </c>
      <c r="K70" s="29">
        <v>291755.09999999998</v>
      </c>
      <c r="L70" s="31">
        <f t="shared" si="0"/>
        <v>477610.1</v>
      </c>
      <c r="M70" s="32">
        <v>182261.53333333333</v>
      </c>
      <c r="N70" s="29">
        <v>21146.5</v>
      </c>
      <c r="O70" s="31">
        <f t="shared" si="1"/>
        <v>274202.06666666665</v>
      </c>
      <c r="P70" s="29">
        <v>27609.899999999998</v>
      </c>
      <c r="Q70" s="29">
        <v>718491.16666666663</v>
      </c>
      <c r="R70" s="31">
        <v>1390.8</v>
      </c>
      <c r="S70" s="29">
        <f t="shared" si="5"/>
        <v>747491.8666666667</v>
      </c>
      <c r="T70" s="33">
        <f t="shared" si="6"/>
        <v>1021693.9333333333</v>
      </c>
      <c r="U70" s="29">
        <f t="shared" si="7"/>
        <v>1218312.0333333334</v>
      </c>
    </row>
    <row r="71" spans="1:21" s="35" customFormat="1" ht="15.75">
      <c r="A71" s="40">
        <v>41425</v>
      </c>
      <c r="B71" s="29">
        <v>64212.600000000035</v>
      </c>
      <c r="C71" s="29">
        <v>122148.50000000001</v>
      </c>
      <c r="D71" s="29">
        <v>-40.5</v>
      </c>
      <c r="E71" s="29">
        <f t="shared" si="4"/>
        <v>186320.60000000003</v>
      </c>
      <c r="F71" s="30" t="s">
        <v>2</v>
      </c>
      <c r="G71" s="29">
        <v>68342</v>
      </c>
      <c r="H71" s="29"/>
      <c r="I71" s="29">
        <v>16971.283299999999</v>
      </c>
      <c r="J71" s="29">
        <v>110070.9</v>
      </c>
      <c r="K71" s="29">
        <v>291446.90000000002</v>
      </c>
      <c r="L71" s="31">
        <f t="shared" ref="L71:L134" si="8">SUM(F71:K71)</f>
        <v>486831.0833</v>
      </c>
      <c r="M71" s="32">
        <v>199125.4167</v>
      </c>
      <c r="N71" s="29">
        <v>19112.000000000004</v>
      </c>
      <c r="O71" s="31">
        <f t="shared" ref="O71:O134" si="9">L71-M71-N71</f>
        <v>268593.6666</v>
      </c>
      <c r="P71" s="29">
        <v>28974.7</v>
      </c>
      <c r="Q71" s="29">
        <v>723068.18333333335</v>
      </c>
      <c r="R71" s="31">
        <v>1390.6999999999998</v>
      </c>
      <c r="S71" s="29">
        <f t="shared" si="5"/>
        <v>753433.58333333326</v>
      </c>
      <c r="T71" s="33">
        <f t="shared" si="6"/>
        <v>1022027.2499333333</v>
      </c>
      <c r="U71" s="29">
        <f t="shared" ref="U71:U102" si="10">T71+E71</f>
        <v>1208347.8499333332</v>
      </c>
    </row>
    <row r="72" spans="1:21" s="35" customFormat="1" ht="15.75">
      <c r="A72" s="40">
        <v>41455</v>
      </c>
      <c r="B72" s="29">
        <v>56965.400000000081</v>
      </c>
      <c r="C72" s="29">
        <v>101928.40000000002</v>
      </c>
      <c r="D72" s="29">
        <v>-48.599999999999994</v>
      </c>
      <c r="E72" s="29">
        <f t="shared" ref="E72:E135" si="11">SUM(B72:D72)</f>
        <v>158845.2000000001</v>
      </c>
      <c r="F72" s="30" t="s">
        <v>2</v>
      </c>
      <c r="G72" s="29">
        <v>70934.600000000006</v>
      </c>
      <c r="H72" s="29"/>
      <c r="I72" s="29">
        <v>18757.3</v>
      </c>
      <c r="J72" s="29">
        <v>108677.6</v>
      </c>
      <c r="K72" s="29">
        <v>291138.8</v>
      </c>
      <c r="L72" s="31">
        <f t="shared" si="8"/>
        <v>489508.3</v>
      </c>
      <c r="M72" s="32">
        <v>190482.9</v>
      </c>
      <c r="N72" s="29">
        <v>15910.9</v>
      </c>
      <c r="O72" s="31">
        <f t="shared" si="9"/>
        <v>283114.5</v>
      </c>
      <c r="P72" s="29">
        <v>30429.199999999997</v>
      </c>
      <c r="Q72" s="29">
        <v>726941.90000000014</v>
      </c>
      <c r="R72" s="31">
        <v>1401.7</v>
      </c>
      <c r="S72" s="29">
        <f t="shared" ref="S72:S80" si="12">SUM(P72:R72)</f>
        <v>758772.8</v>
      </c>
      <c r="T72" s="33">
        <f t="shared" si="6"/>
        <v>1041887.3</v>
      </c>
      <c r="U72" s="29">
        <f t="shared" si="10"/>
        <v>1200732.5000000002</v>
      </c>
    </row>
    <row r="73" spans="1:21" s="35" customFormat="1" ht="15.75">
      <c r="A73" s="40">
        <v>41486</v>
      </c>
      <c r="B73" s="29">
        <v>88260.70000000007</v>
      </c>
      <c r="C73" s="29">
        <v>97529.599999999977</v>
      </c>
      <c r="D73" s="29">
        <v>-56.699999999999996</v>
      </c>
      <c r="E73" s="29">
        <f t="shared" si="11"/>
        <v>185733.60000000003</v>
      </c>
      <c r="F73" s="30" t="s">
        <v>2</v>
      </c>
      <c r="G73" s="29">
        <v>100965.3</v>
      </c>
      <c r="H73" s="29"/>
      <c r="I73" s="29">
        <v>17433.3</v>
      </c>
      <c r="J73" s="29">
        <v>107284.3</v>
      </c>
      <c r="K73" s="29">
        <v>290830.7</v>
      </c>
      <c r="L73" s="31">
        <f t="shared" si="8"/>
        <v>516513.60000000003</v>
      </c>
      <c r="M73" s="32">
        <v>245464.6</v>
      </c>
      <c r="N73" s="29">
        <v>18379.300000000003</v>
      </c>
      <c r="O73" s="31">
        <f t="shared" si="9"/>
        <v>252669.7</v>
      </c>
      <c r="P73" s="29">
        <v>29921.149999999994</v>
      </c>
      <c r="Q73" s="29">
        <v>748005.86666666658</v>
      </c>
      <c r="R73" s="31">
        <v>1754.2</v>
      </c>
      <c r="S73" s="29">
        <f t="shared" si="12"/>
        <v>779681.21666666656</v>
      </c>
      <c r="T73" s="33">
        <f t="shared" si="6"/>
        <v>1032350.9166666665</v>
      </c>
      <c r="U73" s="29">
        <f t="shared" si="10"/>
        <v>1218084.5166666666</v>
      </c>
    </row>
    <row r="74" spans="1:21" s="35" customFormat="1" ht="15.75">
      <c r="A74" s="40">
        <v>41517</v>
      </c>
      <c r="B74" s="29">
        <v>79468.299999999988</v>
      </c>
      <c r="C74" s="29">
        <v>88537.200000000012</v>
      </c>
      <c r="D74" s="29">
        <v>-64.8</v>
      </c>
      <c r="E74" s="29">
        <f t="shared" si="11"/>
        <v>167940.7</v>
      </c>
      <c r="F74" s="30" t="s">
        <v>2</v>
      </c>
      <c r="G74" s="29">
        <v>96477.700000000012</v>
      </c>
      <c r="H74" s="29"/>
      <c r="I74" s="29">
        <v>24620.9</v>
      </c>
      <c r="J74" s="29">
        <v>107284.3</v>
      </c>
      <c r="K74" s="29">
        <v>290830.7</v>
      </c>
      <c r="L74" s="31">
        <f t="shared" si="8"/>
        <v>519213.60000000003</v>
      </c>
      <c r="M74" s="32">
        <v>197386.4</v>
      </c>
      <c r="N74" s="29">
        <v>19610.8</v>
      </c>
      <c r="O74" s="31">
        <f t="shared" si="9"/>
        <v>302216.40000000008</v>
      </c>
      <c r="P74" s="29">
        <v>31534.7</v>
      </c>
      <c r="Q74" s="29">
        <v>750770.33333333337</v>
      </c>
      <c r="R74" s="31">
        <v>1758.2</v>
      </c>
      <c r="S74" s="29">
        <f t="shared" si="12"/>
        <v>784063.23333333328</v>
      </c>
      <c r="T74" s="33">
        <f t="shared" si="6"/>
        <v>1086279.6333333333</v>
      </c>
      <c r="U74" s="29">
        <f t="shared" si="10"/>
        <v>1254220.3333333333</v>
      </c>
    </row>
    <row r="75" spans="1:21" s="35" customFormat="1" ht="15.75">
      <c r="A75" s="40">
        <v>41547</v>
      </c>
      <c r="B75" s="29">
        <v>78410.799999999988</v>
      </c>
      <c r="C75" s="29">
        <v>86375.500000000015</v>
      </c>
      <c r="D75" s="29">
        <v>-72.899999999999991</v>
      </c>
      <c r="E75" s="29">
        <f t="shared" si="11"/>
        <v>164713.4</v>
      </c>
      <c r="F75" s="30" t="s">
        <v>2</v>
      </c>
      <c r="G75" s="29">
        <v>104499.4</v>
      </c>
      <c r="H75" s="29"/>
      <c r="I75" s="29">
        <v>22464.7</v>
      </c>
      <c r="J75" s="29">
        <v>107284.3</v>
      </c>
      <c r="K75" s="29">
        <v>290214.40000000002</v>
      </c>
      <c r="L75" s="31">
        <f t="shared" si="8"/>
        <v>524462.80000000005</v>
      </c>
      <c r="M75" s="32">
        <v>213218.7</v>
      </c>
      <c r="N75" s="29">
        <v>21460.2</v>
      </c>
      <c r="O75" s="31">
        <f t="shared" si="9"/>
        <v>289783.90000000002</v>
      </c>
      <c r="P75" s="29">
        <v>36136.950000000004</v>
      </c>
      <c r="Q75" s="29">
        <v>759532.1</v>
      </c>
      <c r="R75" s="31">
        <v>2197.5</v>
      </c>
      <c r="S75" s="29">
        <f t="shared" si="12"/>
        <v>797866.54999999993</v>
      </c>
      <c r="T75" s="33">
        <f t="shared" si="6"/>
        <v>1087650.45</v>
      </c>
      <c r="U75" s="29">
        <f t="shared" si="10"/>
        <v>1252363.8499999999</v>
      </c>
    </row>
    <row r="76" spans="1:21" s="35" customFormat="1" ht="15.75">
      <c r="A76" s="40">
        <v>41578</v>
      </c>
      <c r="B76" s="29">
        <v>98627.299999999988</v>
      </c>
      <c r="C76" s="29">
        <v>90134.000000000058</v>
      </c>
      <c r="D76" s="29">
        <v>-81</v>
      </c>
      <c r="E76" s="29">
        <f t="shared" si="11"/>
        <v>188680.30000000005</v>
      </c>
      <c r="F76" s="30">
        <v>6525.5</v>
      </c>
      <c r="G76" s="29">
        <v>108413.2</v>
      </c>
      <c r="H76" s="29"/>
      <c r="I76" s="29">
        <v>17531.800000000003</v>
      </c>
      <c r="J76" s="29">
        <v>107284.3</v>
      </c>
      <c r="K76" s="29">
        <v>289906.3</v>
      </c>
      <c r="L76" s="31">
        <f t="shared" si="8"/>
        <v>529661.1</v>
      </c>
      <c r="M76" s="32">
        <v>215330.6</v>
      </c>
      <c r="N76" s="29">
        <v>21130.1</v>
      </c>
      <c r="O76" s="31">
        <f t="shared" si="9"/>
        <v>293200.40000000002</v>
      </c>
      <c r="P76" s="29">
        <v>35876.800000000003</v>
      </c>
      <c r="Q76" s="29">
        <v>753419.66666666674</v>
      </c>
      <c r="R76" s="31">
        <v>2357.1999999999998</v>
      </c>
      <c r="S76" s="29">
        <f t="shared" si="12"/>
        <v>791653.66666666674</v>
      </c>
      <c r="T76" s="33">
        <f t="shared" si="6"/>
        <v>1084854.0666666669</v>
      </c>
      <c r="U76" s="29">
        <f t="shared" si="10"/>
        <v>1273534.3666666669</v>
      </c>
    </row>
    <row r="77" spans="1:21" s="35" customFormat="1" ht="15.75">
      <c r="A77" s="40">
        <v>41608</v>
      </c>
      <c r="B77" s="29">
        <v>81256.100000000093</v>
      </c>
      <c r="C77" s="29">
        <v>95735.2</v>
      </c>
      <c r="D77" s="29">
        <v>-89.1</v>
      </c>
      <c r="E77" s="29">
        <f t="shared" si="11"/>
        <v>176902.2000000001</v>
      </c>
      <c r="F77" s="30">
        <v>20947.400000000001</v>
      </c>
      <c r="G77" s="29">
        <v>107312.8</v>
      </c>
      <c r="H77" s="29"/>
      <c r="I77" s="29">
        <v>22148</v>
      </c>
      <c r="J77" s="29">
        <v>107284.3</v>
      </c>
      <c r="K77" s="29">
        <v>289906.3</v>
      </c>
      <c r="L77" s="31">
        <f t="shared" si="8"/>
        <v>547598.80000000005</v>
      </c>
      <c r="M77" s="32">
        <v>218783.4</v>
      </c>
      <c r="N77" s="29">
        <v>24576.5</v>
      </c>
      <c r="O77" s="31">
        <f t="shared" si="9"/>
        <v>304238.90000000002</v>
      </c>
      <c r="P77" s="29">
        <v>35971.050000000003</v>
      </c>
      <c r="Q77" s="29">
        <v>749695.63333333342</v>
      </c>
      <c r="R77" s="31">
        <v>2366.6</v>
      </c>
      <c r="S77" s="29">
        <f t="shared" si="12"/>
        <v>788033.28333333344</v>
      </c>
      <c r="T77" s="33">
        <f t="shared" si="6"/>
        <v>1092272.1833333336</v>
      </c>
      <c r="U77" s="29">
        <f t="shared" si="10"/>
        <v>1269174.3833333338</v>
      </c>
    </row>
    <row r="78" spans="1:21" s="35" customFormat="1" ht="15.75">
      <c r="A78" s="40">
        <v>41639</v>
      </c>
      <c r="B78" s="29">
        <v>118133.79999999993</v>
      </c>
      <c r="C78" s="29">
        <v>111622.29999999997</v>
      </c>
      <c r="D78" s="29">
        <v>-97.2</v>
      </c>
      <c r="E78" s="29">
        <f t="shared" si="11"/>
        <v>229658.89999999991</v>
      </c>
      <c r="F78" s="30" t="s">
        <v>2</v>
      </c>
      <c r="G78" s="29">
        <v>109019.90000000001</v>
      </c>
      <c r="H78" s="29"/>
      <c r="I78" s="29">
        <v>18506.300000000003</v>
      </c>
      <c r="J78" s="29">
        <v>107284.3</v>
      </c>
      <c r="K78" s="29">
        <v>289290</v>
      </c>
      <c r="L78" s="31">
        <f t="shared" si="8"/>
        <v>524100.5</v>
      </c>
      <c r="M78" s="32">
        <v>227012.90000000002</v>
      </c>
      <c r="N78" s="29">
        <v>23790.1</v>
      </c>
      <c r="O78" s="31">
        <f t="shared" si="9"/>
        <v>273297.5</v>
      </c>
      <c r="P78" s="29">
        <v>36129.5</v>
      </c>
      <c r="Q78" s="29">
        <v>743181.20000000019</v>
      </c>
      <c r="R78" s="31">
        <v>2469.1999999999998</v>
      </c>
      <c r="S78" s="29">
        <f t="shared" si="12"/>
        <v>781779.90000000014</v>
      </c>
      <c r="T78" s="33">
        <f t="shared" si="6"/>
        <v>1055077.4000000001</v>
      </c>
      <c r="U78" s="29">
        <f t="shared" si="10"/>
        <v>1284736.3</v>
      </c>
    </row>
    <row r="79" spans="1:21" s="35" customFormat="1" ht="15.75">
      <c r="A79" s="40">
        <v>41670</v>
      </c>
      <c r="B79" s="36">
        <v>102196.30000000005</v>
      </c>
      <c r="C79" s="36">
        <v>112713.69999999998</v>
      </c>
      <c r="D79" s="36">
        <v>-97.183333333333337</v>
      </c>
      <c r="E79" s="29">
        <f t="shared" si="11"/>
        <v>214812.81666666671</v>
      </c>
      <c r="F79" s="30" t="s">
        <v>2</v>
      </c>
      <c r="G79" s="36">
        <v>108779.50000000001</v>
      </c>
      <c r="H79" s="29"/>
      <c r="I79" s="29">
        <v>15342.7</v>
      </c>
      <c r="J79" s="29">
        <v>107284.3</v>
      </c>
      <c r="K79" s="29">
        <v>289290</v>
      </c>
      <c r="L79" s="31">
        <f t="shared" si="8"/>
        <v>520696.5</v>
      </c>
      <c r="M79" s="32">
        <v>234401.17500000002</v>
      </c>
      <c r="N79" s="29">
        <v>23611.000000000004</v>
      </c>
      <c r="O79" s="31">
        <f t="shared" si="9"/>
        <v>262684.32499999995</v>
      </c>
      <c r="P79" s="36">
        <v>36088.483333333337</v>
      </c>
      <c r="Q79" s="36">
        <v>750575.02499999991</v>
      </c>
      <c r="R79" s="31">
        <v>2774.6000000000004</v>
      </c>
      <c r="S79" s="29">
        <f t="shared" si="12"/>
        <v>789438.10833333328</v>
      </c>
      <c r="T79" s="33">
        <f t="shared" si="6"/>
        <v>1052122.4333333331</v>
      </c>
      <c r="U79" s="29">
        <f t="shared" si="10"/>
        <v>1266935.2499999998</v>
      </c>
    </row>
    <row r="80" spans="1:21" s="35" customFormat="1" ht="15.75">
      <c r="A80" s="40">
        <v>41698</v>
      </c>
      <c r="B80" s="36">
        <v>91139.900000000023</v>
      </c>
      <c r="C80" s="36">
        <v>138740.90000000002</v>
      </c>
      <c r="D80" s="36">
        <v>-97.166666666666671</v>
      </c>
      <c r="E80" s="29">
        <f t="shared" si="11"/>
        <v>229783.63333333339</v>
      </c>
      <c r="F80" s="30" t="s">
        <v>2</v>
      </c>
      <c r="G80" s="36">
        <v>112164</v>
      </c>
      <c r="H80" s="29"/>
      <c r="I80" s="29">
        <v>17035.8</v>
      </c>
      <c r="J80" s="29">
        <v>107284.3</v>
      </c>
      <c r="K80" s="29">
        <v>288673.7</v>
      </c>
      <c r="L80" s="31">
        <f t="shared" si="8"/>
        <v>525157.80000000005</v>
      </c>
      <c r="M80" s="32">
        <v>242509.65</v>
      </c>
      <c r="N80" s="29">
        <v>21791.600000000002</v>
      </c>
      <c r="O80" s="31">
        <f t="shared" si="9"/>
        <v>260856.55000000002</v>
      </c>
      <c r="P80" s="36">
        <v>36003.366666666669</v>
      </c>
      <c r="Q80" s="36">
        <v>755007.05</v>
      </c>
      <c r="R80" s="31">
        <v>3027.3</v>
      </c>
      <c r="S80" s="29">
        <f t="shared" si="12"/>
        <v>794037.71666666679</v>
      </c>
      <c r="T80" s="33">
        <f t="shared" si="6"/>
        <v>1054894.2666666668</v>
      </c>
      <c r="U80" s="29">
        <f t="shared" si="10"/>
        <v>1284677.9000000001</v>
      </c>
    </row>
    <row r="81" spans="1:21" s="35" customFormat="1" ht="15.75">
      <c r="A81" s="40">
        <v>41729</v>
      </c>
      <c r="B81" s="36">
        <v>95018.600000000035</v>
      </c>
      <c r="C81" s="36">
        <v>115929.5</v>
      </c>
      <c r="D81" s="36">
        <v>-97.15</v>
      </c>
      <c r="E81" s="29">
        <f t="shared" si="11"/>
        <v>210850.95000000004</v>
      </c>
      <c r="F81" s="30">
        <v>8513</v>
      </c>
      <c r="G81" s="36">
        <v>108771.9</v>
      </c>
      <c r="H81" s="29"/>
      <c r="I81" s="29">
        <v>13380.9</v>
      </c>
      <c r="J81" s="29">
        <v>107284.3</v>
      </c>
      <c r="K81" s="29">
        <v>288673.7</v>
      </c>
      <c r="L81" s="31">
        <f t="shared" si="8"/>
        <v>526623.80000000005</v>
      </c>
      <c r="M81" s="32">
        <v>226231.92499999999</v>
      </c>
      <c r="N81" s="29">
        <v>17505.000000000004</v>
      </c>
      <c r="O81" s="31">
        <f t="shared" si="9"/>
        <v>282886.87500000006</v>
      </c>
      <c r="P81" s="36">
        <v>35670.550000000003</v>
      </c>
      <c r="Q81" s="36">
        <v>743101.375</v>
      </c>
      <c r="R81" s="31">
        <v>3128.7000000000003</v>
      </c>
      <c r="S81" s="29">
        <f t="shared" ref="S81:S138" si="13">SUM(P81:R81)</f>
        <v>781900.625</v>
      </c>
      <c r="T81" s="33">
        <f t="shared" si="6"/>
        <v>1064787.5</v>
      </c>
      <c r="U81" s="29">
        <f t="shared" si="10"/>
        <v>1275638.45</v>
      </c>
    </row>
    <row r="82" spans="1:21" s="35" customFormat="1" ht="15.75">
      <c r="A82" s="40">
        <v>41759</v>
      </c>
      <c r="B82" s="36">
        <v>95155.499999999942</v>
      </c>
      <c r="C82" s="36">
        <v>119186.49999999999</v>
      </c>
      <c r="D82" s="36">
        <v>-97.133333333333326</v>
      </c>
      <c r="E82" s="29">
        <f t="shared" si="11"/>
        <v>214244.86666666661</v>
      </c>
      <c r="F82" s="30">
        <v>14256.4</v>
      </c>
      <c r="G82" s="36">
        <v>137931.09999999998</v>
      </c>
      <c r="H82" s="29"/>
      <c r="I82" s="29">
        <v>18226.099999999999</v>
      </c>
      <c r="J82" s="29">
        <v>107284.3</v>
      </c>
      <c r="K82" s="29">
        <v>288365.59999999998</v>
      </c>
      <c r="L82" s="31">
        <f t="shared" si="8"/>
        <v>566063.5</v>
      </c>
      <c r="M82" s="32">
        <v>216953.09999999998</v>
      </c>
      <c r="N82" s="29">
        <v>16806.800000000003</v>
      </c>
      <c r="O82" s="31">
        <f t="shared" si="9"/>
        <v>332303.60000000003</v>
      </c>
      <c r="P82" s="36">
        <v>35870.433333333342</v>
      </c>
      <c r="Q82" s="36">
        <v>746533.09999999986</v>
      </c>
      <c r="R82" s="31">
        <v>3057.1000000000004</v>
      </c>
      <c r="S82" s="29">
        <f t="shared" si="13"/>
        <v>785460.63333333319</v>
      </c>
      <c r="T82" s="33">
        <f t="shared" si="6"/>
        <v>1117764.2333333332</v>
      </c>
      <c r="U82" s="29">
        <f t="shared" si="10"/>
        <v>1332009.0999999999</v>
      </c>
    </row>
    <row r="83" spans="1:21" s="35" customFormat="1" ht="15.75">
      <c r="A83" s="40">
        <v>41790</v>
      </c>
      <c r="B83" s="36">
        <v>85924</v>
      </c>
      <c r="C83" s="36">
        <v>97861.60000000002</v>
      </c>
      <c r="D83" s="36">
        <v>-97.11666666666666</v>
      </c>
      <c r="E83" s="29">
        <f t="shared" si="11"/>
        <v>183688.48333333337</v>
      </c>
      <c r="F83" s="30">
        <v>16076.5</v>
      </c>
      <c r="G83" s="36">
        <v>131083.79999999999</v>
      </c>
      <c r="H83" s="29"/>
      <c r="I83" s="29">
        <v>15870.5</v>
      </c>
      <c r="J83" s="29">
        <v>107284.3</v>
      </c>
      <c r="K83" s="29">
        <v>287749.3</v>
      </c>
      <c r="L83" s="31">
        <f t="shared" si="8"/>
        <v>558064.39999999991</v>
      </c>
      <c r="M83" s="32">
        <v>200333.77500000002</v>
      </c>
      <c r="N83" s="29">
        <v>12657.699999999999</v>
      </c>
      <c r="O83" s="31">
        <f t="shared" si="9"/>
        <v>345072.92499999987</v>
      </c>
      <c r="P83" s="36">
        <v>38343.216666666674</v>
      </c>
      <c r="Q83" s="36">
        <v>749613.22499999986</v>
      </c>
      <c r="R83" s="31">
        <v>3066.6000000000004</v>
      </c>
      <c r="S83" s="29">
        <f t="shared" si="13"/>
        <v>791023.04166666651</v>
      </c>
      <c r="T83" s="33">
        <f t="shared" si="6"/>
        <v>1136095.9666666663</v>
      </c>
      <c r="U83" s="29">
        <f t="shared" si="10"/>
        <v>1319784.4499999997</v>
      </c>
    </row>
    <row r="84" spans="1:21" s="35" customFormat="1" ht="15.75">
      <c r="A84" s="40">
        <v>41820</v>
      </c>
      <c r="B84" s="36">
        <v>89071.500000000116</v>
      </c>
      <c r="C84" s="36">
        <v>95701.300000000032</v>
      </c>
      <c r="D84" s="36">
        <v>-97.1</v>
      </c>
      <c r="E84" s="29">
        <f t="shared" si="11"/>
        <v>184675.70000000016</v>
      </c>
      <c r="F84" s="30">
        <v>39309.599999999999</v>
      </c>
      <c r="G84" s="36">
        <v>134209.09999999998</v>
      </c>
      <c r="H84" s="29"/>
      <c r="I84" s="29">
        <v>19161.199999999997</v>
      </c>
      <c r="J84" s="29">
        <v>107284.3</v>
      </c>
      <c r="K84" s="29">
        <v>287441.19999999995</v>
      </c>
      <c r="L84" s="31">
        <f t="shared" si="8"/>
        <v>587405.39999999991</v>
      </c>
      <c r="M84" s="32">
        <v>210539.85</v>
      </c>
      <c r="N84" s="29">
        <v>17287.8</v>
      </c>
      <c r="O84" s="31">
        <f t="shared" si="9"/>
        <v>359577.74999999994</v>
      </c>
      <c r="P84" s="36">
        <v>41979.700000000004</v>
      </c>
      <c r="Q84" s="36">
        <v>766726.45000000007</v>
      </c>
      <c r="R84" s="31">
        <v>3154.2</v>
      </c>
      <c r="S84" s="29">
        <f t="shared" si="13"/>
        <v>811860.35</v>
      </c>
      <c r="T84" s="33">
        <f t="shared" si="6"/>
        <v>1171438.0999999999</v>
      </c>
      <c r="U84" s="29">
        <f t="shared" si="10"/>
        <v>1356113.8</v>
      </c>
    </row>
    <row r="85" spans="1:21" s="35" customFormat="1" ht="15.75">
      <c r="A85" s="40">
        <v>41851</v>
      </c>
      <c r="B85" s="36">
        <v>70600.399999999965</v>
      </c>
      <c r="C85" s="36">
        <v>121995.19999999998</v>
      </c>
      <c r="D85" s="36">
        <v>-89.016666666666666</v>
      </c>
      <c r="E85" s="29">
        <f t="shared" si="11"/>
        <v>192506.58333333328</v>
      </c>
      <c r="F85" s="30">
        <v>52779.8</v>
      </c>
      <c r="G85" s="36">
        <v>136756.6</v>
      </c>
      <c r="H85" s="29"/>
      <c r="I85" s="29">
        <v>22483.550000000003</v>
      </c>
      <c r="J85" s="29">
        <v>107284.3</v>
      </c>
      <c r="K85" s="29">
        <v>287441.19999999995</v>
      </c>
      <c r="L85" s="31">
        <f t="shared" si="8"/>
        <v>606745.44999999995</v>
      </c>
      <c r="M85" s="32">
        <v>202970.35833333334</v>
      </c>
      <c r="N85" s="29">
        <v>17393.5</v>
      </c>
      <c r="O85" s="31">
        <f t="shared" si="9"/>
        <v>386381.59166666662</v>
      </c>
      <c r="P85" s="36">
        <v>46379.933333333327</v>
      </c>
      <c r="Q85" s="36">
        <v>774029.6083333334</v>
      </c>
      <c r="R85" s="31">
        <v>3132.7999999999997</v>
      </c>
      <c r="S85" s="29">
        <f t="shared" si="13"/>
        <v>823542.34166666679</v>
      </c>
      <c r="T85" s="33">
        <f t="shared" si="6"/>
        <v>1209923.9333333333</v>
      </c>
      <c r="U85" s="29">
        <f t="shared" si="10"/>
        <v>1402430.5166666666</v>
      </c>
    </row>
    <row r="86" spans="1:21" s="35" customFormat="1" ht="15.75">
      <c r="A86" s="40">
        <v>41882</v>
      </c>
      <c r="B86" s="36">
        <v>82609.899999999965</v>
      </c>
      <c r="C86" s="36">
        <v>68447.799999999974</v>
      </c>
      <c r="D86" s="36">
        <v>-80.933333333333337</v>
      </c>
      <c r="E86" s="29">
        <f t="shared" si="11"/>
        <v>150976.76666666663</v>
      </c>
      <c r="F86" s="30">
        <v>43358.6</v>
      </c>
      <c r="G86" s="36">
        <v>157164.6</v>
      </c>
      <c r="H86" s="29"/>
      <c r="I86" s="29">
        <v>22709.600000000002</v>
      </c>
      <c r="J86" s="29">
        <v>107284.3</v>
      </c>
      <c r="K86" s="29">
        <v>286825</v>
      </c>
      <c r="L86" s="31">
        <f t="shared" si="8"/>
        <v>617342.10000000009</v>
      </c>
      <c r="M86" s="32">
        <v>197053.01111111112</v>
      </c>
      <c r="N86" s="29">
        <v>19854.8</v>
      </c>
      <c r="O86" s="31">
        <f t="shared" si="9"/>
        <v>400434.28888888896</v>
      </c>
      <c r="P86" s="36">
        <v>46409.666666666664</v>
      </c>
      <c r="Q86" s="36">
        <v>793456.26666666672</v>
      </c>
      <c r="R86" s="31">
        <v>3150.2999999999997</v>
      </c>
      <c r="S86" s="29">
        <f t="shared" si="13"/>
        <v>843016.2333333334</v>
      </c>
      <c r="T86" s="33">
        <f t="shared" si="6"/>
        <v>1243450.5222222223</v>
      </c>
      <c r="U86" s="29">
        <f t="shared" si="10"/>
        <v>1394427.2888888889</v>
      </c>
    </row>
    <row r="87" spans="1:21" s="35" customFormat="1" ht="15.75">
      <c r="A87" s="40">
        <v>41912</v>
      </c>
      <c r="B87" s="36">
        <v>142837.30000000005</v>
      </c>
      <c r="C87" s="36">
        <v>70021.499999999971</v>
      </c>
      <c r="D87" s="36">
        <v>-72.849999999999994</v>
      </c>
      <c r="E87" s="29">
        <f t="shared" si="11"/>
        <v>212785.95</v>
      </c>
      <c r="F87" s="30">
        <v>27300.1</v>
      </c>
      <c r="G87" s="36">
        <v>151516.40000000002</v>
      </c>
      <c r="H87" s="29"/>
      <c r="I87" s="29">
        <v>22821.449999999997</v>
      </c>
      <c r="J87" s="29">
        <v>107284.3</v>
      </c>
      <c r="K87" s="29">
        <v>286825</v>
      </c>
      <c r="L87" s="31">
        <f t="shared" si="8"/>
        <v>595747.25</v>
      </c>
      <c r="M87" s="32">
        <v>278447.73611111112</v>
      </c>
      <c r="N87" s="29">
        <v>25072.2</v>
      </c>
      <c r="O87" s="31">
        <f t="shared" si="9"/>
        <v>292227.31388888886</v>
      </c>
      <c r="P87" s="36">
        <v>44045.2</v>
      </c>
      <c r="Q87" s="36">
        <v>785180.62499999988</v>
      </c>
      <c r="R87" s="31">
        <v>3642.8999999999996</v>
      </c>
      <c r="S87" s="29">
        <f t="shared" si="13"/>
        <v>832868.72499999986</v>
      </c>
      <c r="T87" s="33">
        <f t="shared" si="6"/>
        <v>1125096.0388888887</v>
      </c>
      <c r="U87" s="29">
        <f t="shared" si="10"/>
        <v>1337881.9888888886</v>
      </c>
    </row>
    <row r="88" spans="1:21" s="35" customFormat="1" ht="15.75">
      <c r="A88" s="40">
        <v>41943</v>
      </c>
      <c r="B88" s="36">
        <v>138959.60000000009</v>
      </c>
      <c r="C88" s="36">
        <v>64215.799999999974</v>
      </c>
      <c r="D88" s="36">
        <v>-64.766666666666666</v>
      </c>
      <c r="E88" s="29">
        <f t="shared" si="11"/>
        <v>203110.63333333342</v>
      </c>
      <c r="F88" s="30">
        <v>74347</v>
      </c>
      <c r="G88" s="36">
        <v>146788.6</v>
      </c>
      <c r="H88" s="29"/>
      <c r="I88" s="29">
        <v>22390.1</v>
      </c>
      <c r="J88" s="29">
        <v>107284.3</v>
      </c>
      <c r="K88" s="29">
        <v>286516.8</v>
      </c>
      <c r="L88" s="31">
        <f t="shared" si="8"/>
        <v>637326.80000000005</v>
      </c>
      <c r="M88" s="32">
        <v>245816.67592592593</v>
      </c>
      <c r="N88" s="29">
        <v>29509.200000000001</v>
      </c>
      <c r="O88" s="31">
        <f t="shared" si="9"/>
        <v>362000.92407407408</v>
      </c>
      <c r="P88" s="36">
        <v>41628.933333333334</v>
      </c>
      <c r="Q88" s="36">
        <v>790875.81666666653</v>
      </c>
      <c r="R88" s="31">
        <v>3691</v>
      </c>
      <c r="S88" s="29">
        <f t="shared" si="13"/>
        <v>836195.74999999988</v>
      </c>
      <c r="T88" s="33">
        <f t="shared" si="6"/>
        <v>1198196.674074074</v>
      </c>
      <c r="U88" s="29">
        <f t="shared" si="10"/>
        <v>1401307.3074074076</v>
      </c>
    </row>
    <row r="89" spans="1:21" s="35" customFormat="1" ht="15.75">
      <c r="A89" s="40">
        <v>41973</v>
      </c>
      <c r="B89" s="36">
        <v>134061.10000000009</v>
      </c>
      <c r="C89" s="36">
        <v>57822.8</v>
      </c>
      <c r="D89" s="36">
        <v>-56.683333333333337</v>
      </c>
      <c r="E89" s="29">
        <f t="shared" si="11"/>
        <v>191827.21666666676</v>
      </c>
      <c r="F89" s="30">
        <v>41502.5</v>
      </c>
      <c r="G89" s="36">
        <v>154082.5</v>
      </c>
      <c r="H89" s="29"/>
      <c r="I89" s="29">
        <v>18601.55</v>
      </c>
      <c r="J89" s="29">
        <v>106976.2</v>
      </c>
      <c r="K89" s="29">
        <v>286208.59999999998</v>
      </c>
      <c r="L89" s="31">
        <f t="shared" si="8"/>
        <v>607371.35</v>
      </c>
      <c r="M89" s="32">
        <v>246149.85895061732</v>
      </c>
      <c r="N89" s="29">
        <v>31987.8</v>
      </c>
      <c r="O89" s="31">
        <f t="shared" si="9"/>
        <v>329233.69104938267</v>
      </c>
      <c r="P89" s="36">
        <v>40555.466666666667</v>
      </c>
      <c r="Q89" s="36">
        <v>800124.2972222222</v>
      </c>
      <c r="R89" s="31">
        <v>3607.1</v>
      </c>
      <c r="S89" s="29">
        <f t="shared" si="13"/>
        <v>844286.86388888885</v>
      </c>
      <c r="T89" s="33">
        <f t="shared" si="6"/>
        <v>1173520.5549382716</v>
      </c>
      <c r="U89" s="29">
        <f t="shared" si="10"/>
        <v>1365347.7716049384</v>
      </c>
    </row>
    <row r="90" spans="1:21" s="35" customFormat="1" ht="15.75">
      <c r="A90" s="40">
        <v>42004</v>
      </c>
      <c r="B90" s="36">
        <v>128675.89999999997</v>
      </c>
      <c r="C90" s="36">
        <v>51849.400000000023</v>
      </c>
      <c r="D90" s="36">
        <v>-48.6</v>
      </c>
      <c r="E90" s="29">
        <f t="shared" si="11"/>
        <v>180476.69999999998</v>
      </c>
      <c r="F90" s="30">
        <v>55186.9</v>
      </c>
      <c r="G90" s="36">
        <v>147702.70000000001</v>
      </c>
      <c r="H90" s="29"/>
      <c r="I90" s="29">
        <v>49269.8</v>
      </c>
      <c r="J90" s="29">
        <v>106976.2</v>
      </c>
      <c r="K90" s="29">
        <v>285900.5</v>
      </c>
      <c r="L90" s="31">
        <f t="shared" si="8"/>
        <v>645036.10000000009</v>
      </c>
      <c r="M90" s="32">
        <v>238856.59999999998</v>
      </c>
      <c r="N90" s="29">
        <v>23004.400000000001</v>
      </c>
      <c r="O90" s="31">
        <f t="shared" si="9"/>
        <v>383175.10000000009</v>
      </c>
      <c r="P90" s="36">
        <v>40818.700000000004</v>
      </c>
      <c r="Q90" s="36">
        <v>814694.39999999991</v>
      </c>
      <c r="R90" s="31">
        <v>3449.2999999999997</v>
      </c>
      <c r="S90" s="29">
        <f t="shared" si="13"/>
        <v>858962.39999999991</v>
      </c>
      <c r="T90" s="33">
        <f t="shared" si="6"/>
        <v>1242137.5</v>
      </c>
      <c r="U90" s="29">
        <f t="shared" si="10"/>
        <v>1422614.2</v>
      </c>
    </row>
    <row r="91" spans="1:21" s="35" customFormat="1" ht="15.75">
      <c r="A91" s="40">
        <v>42035</v>
      </c>
      <c r="B91" s="30">
        <v>127066.10000000003</v>
      </c>
      <c r="C91" s="30">
        <v>48113.699999999983</v>
      </c>
      <c r="D91" s="30">
        <v>-40.5</v>
      </c>
      <c r="E91" s="29">
        <f t="shared" si="11"/>
        <v>175139.30000000002</v>
      </c>
      <c r="F91" s="30">
        <v>22472.2</v>
      </c>
      <c r="G91" s="30">
        <v>157245.1</v>
      </c>
      <c r="H91" s="30"/>
      <c r="I91" s="29">
        <v>50691.9</v>
      </c>
      <c r="J91" s="30">
        <v>106976.2</v>
      </c>
      <c r="K91" s="30">
        <v>285900.5</v>
      </c>
      <c r="L91" s="31">
        <f t="shared" si="8"/>
        <v>623285.9</v>
      </c>
      <c r="M91" s="30">
        <v>236855.05</v>
      </c>
      <c r="N91" s="29">
        <v>23585.300000000003</v>
      </c>
      <c r="O91" s="31">
        <f t="shared" si="9"/>
        <v>362845.55000000005</v>
      </c>
      <c r="P91" s="36">
        <v>34865.033333333333</v>
      </c>
      <c r="Q91" s="31">
        <v>814769.25</v>
      </c>
      <c r="R91" s="31">
        <v>3291.2000000000003</v>
      </c>
      <c r="S91" s="29">
        <f t="shared" si="13"/>
        <v>852925.48333333328</v>
      </c>
      <c r="T91" s="33">
        <f t="shared" si="6"/>
        <v>1215771.0333333332</v>
      </c>
      <c r="U91" s="29">
        <f t="shared" si="10"/>
        <v>1390910.3333333333</v>
      </c>
    </row>
    <row r="92" spans="1:21" s="35" customFormat="1" ht="15.75">
      <c r="A92" s="40">
        <v>42063</v>
      </c>
      <c r="B92" s="30">
        <v>122551.00000000006</v>
      </c>
      <c r="C92" s="30">
        <v>30084.300000000017</v>
      </c>
      <c r="D92" s="30">
        <v>-32.400000000000006</v>
      </c>
      <c r="E92" s="29">
        <f t="shared" si="11"/>
        <v>152602.90000000008</v>
      </c>
      <c r="F92" s="30">
        <v>72202.7</v>
      </c>
      <c r="G92" s="30">
        <v>140827.20000000001</v>
      </c>
      <c r="H92" s="30"/>
      <c r="I92" s="29">
        <v>53460.700000000004</v>
      </c>
      <c r="J92" s="30">
        <v>105891</v>
      </c>
      <c r="K92" s="30">
        <v>284644.40000000002</v>
      </c>
      <c r="L92" s="31">
        <f t="shared" si="8"/>
        <v>657026</v>
      </c>
      <c r="M92" s="30">
        <v>234965.2</v>
      </c>
      <c r="N92" s="29">
        <v>26721.800000000003</v>
      </c>
      <c r="O92" s="31">
        <f t="shared" si="9"/>
        <v>395339</v>
      </c>
      <c r="P92" s="36">
        <v>27562.966666666667</v>
      </c>
      <c r="Q92" s="31">
        <v>812510.39999999991</v>
      </c>
      <c r="R92" s="31">
        <v>3220</v>
      </c>
      <c r="S92" s="29">
        <f t="shared" si="13"/>
        <v>843293.36666666658</v>
      </c>
      <c r="T92" s="33">
        <f t="shared" si="6"/>
        <v>1238632.3666666667</v>
      </c>
      <c r="U92" s="29">
        <f t="shared" si="10"/>
        <v>1391235.2666666668</v>
      </c>
    </row>
    <row r="93" spans="1:21" s="35" customFormat="1" ht="15.75">
      <c r="A93" s="40">
        <v>42094</v>
      </c>
      <c r="B93" s="30">
        <v>115526.40000000002</v>
      </c>
      <c r="C93" s="30">
        <v>45364.599999999977</v>
      </c>
      <c r="D93" s="30">
        <v>-24.300000000000004</v>
      </c>
      <c r="E93" s="29">
        <f t="shared" si="11"/>
        <v>160866.70000000001</v>
      </c>
      <c r="F93" s="30">
        <v>23590.1</v>
      </c>
      <c r="G93" s="30">
        <v>156652.5</v>
      </c>
      <c r="H93" s="30"/>
      <c r="I93" s="29">
        <v>51794.399999999994</v>
      </c>
      <c r="J93" s="30">
        <v>104166</v>
      </c>
      <c r="K93" s="30">
        <v>284644.40000000002</v>
      </c>
      <c r="L93" s="31">
        <f t="shared" si="8"/>
        <v>620847.4</v>
      </c>
      <c r="M93" s="30">
        <v>247417.85000000003</v>
      </c>
      <c r="N93" s="29">
        <v>29000.600000000002</v>
      </c>
      <c r="O93" s="31">
        <f t="shared" si="9"/>
        <v>344428.95</v>
      </c>
      <c r="P93" s="36">
        <v>22882</v>
      </c>
      <c r="Q93" s="31">
        <v>819545.25</v>
      </c>
      <c r="R93" s="31">
        <v>3910.9</v>
      </c>
      <c r="S93" s="29">
        <f t="shared" si="13"/>
        <v>846338.15</v>
      </c>
      <c r="T93" s="33">
        <f t="shared" si="6"/>
        <v>1190767.1000000001</v>
      </c>
      <c r="U93" s="29">
        <f t="shared" si="10"/>
        <v>1351633.8</v>
      </c>
    </row>
    <row r="94" spans="1:21" s="35" customFormat="1" ht="15.75">
      <c r="A94" s="40">
        <v>42124</v>
      </c>
      <c r="B94" s="30">
        <v>93523.400000000081</v>
      </c>
      <c r="C94" s="30">
        <v>54537.899999999994</v>
      </c>
      <c r="D94" s="30">
        <v>-16.200000000000003</v>
      </c>
      <c r="E94" s="29">
        <f t="shared" si="11"/>
        <v>148045.10000000006</v>
      </c>
      <c r="F94" s="30">
        <v>54107.7</v>
      </c>
      <c r="G94" s="30">
        <v>152931.6</v>
      </c>
      <c r="H94" s="30"/>
      <c r="I94" s="29">
        <v>47698.899999999994</v>
      </c>
      <c r="J94" s="30">
        <v>102772.7</v>
      </c>
      <c r="K94" s="30">
        <v>284004.5</v>
      </c>
      <c r="L94" s="31">
        <f t="shared" si="8"/>
        <v>641515.39999999991</v>
      </c>
      <c r="M94" s="30">
        <v>234550.90000000002</v>
      </c>
      <c r="N94" s="29">
        <v>27853.399999999998</v>
      </c>
      <c r="O94" s="31">
        <f t="shared" si="9"/>
        <v>379111.09999999986</v>
      </c>
      <c r="P94" s="36">
        <v>20248.833333333332</v>
      </c>
      <c r="Q94" s="31">
        <v>839791.5</v>
      </c>
      <c r="R94" s="31">
        <v>3961.2999999999997</v>
      </c>
      <c r="S94" s="29">
        <f t="shared" si="13"/>
        <v>864001.63333333342</v>
      </c>
      <c r="T94" s="33">
        <f t="shared" ref="T94:T102" si="14">S94+O94</f>
        <v>1243112.7333333334</v>
      </c>
      <c r="U94" s="29">
        <f t="shared" si="10"/>
        <v>1391157.8333333335</v>
      </c>
    </row>
    <row r="95" spans="1:21" s="35" customFormat="1" ht="15.75">
      <c r="A95" s="40">
        <v>42155</v>
      </c>
      <c r="B95" s="30">
        <v>96969.099999999977</v>
      </c>
      <c r="C95" s="30">
        <v>41533.800000000047</v>
      </c>
      <c r="D95" s="30">
        <v>-8.1000000000000014</v>
      </c>
      <c r="E95" s="29">
        <f t="shared" si="11"/>
        <v>138494.80000000002</v>
      </c>
      <c r="F95" s="30">
        <v>79625</v>
      </c>
      <c r="G95" s="30">
        <v>172465.8</v>
      </c>
      <c r="H95" s="30"/>
      <c r="I95" s="29">
        <v>51473.2</v>
      </c>
      <c r="J95" s="30">
        <v>101379.3</v>
      </c>
      <c r="K95" s="30">
        <v>283364.7</v>
      </c>
      <c r="L95" s="31">
        <f t="shared" si="8"/>
        <v>688308</v>
      </c>
      <c r="M95" s="30">
        <v>237907.74999999997</v>
      </c>
      <c r="N95" s="29">
        <v>28395.399999999998</v>
      </c>
      <c r="O95" s="31">
        <f t="shared" si="9"/>
        <v>422004.85</v>
      </c>
      <c r="P95" s="36">
        <v>16421.366666666665</v>
      </c>
      <c r="Q95" s="31">
        <v>850867.45</v>
      </c>
      <c r="R95" s="31">
        <v>4189.7</v>
      </c>
      <c r="S95" s="29">
        <f t="shared" si="13"/>
        <v>871478.5166666666</v>
      </c>
      <c r="T95" s="33">
        <f t="shared" si="14"/>
        <v>1293483.3666666667</v>
      </c>
      <c r="U95" s="29">
        <f t="shared" si="10"/>
        <v>1431978.1666666667</v>
      </c>
    </row>
    <row r="96" spans="1:21" s="35" customFormat="1" ht="15.75">
      <c r="A96" s="40">
        <v>42185</v>
      </c>
      <c r="B96" s="30">
        <v>11927.5</v>
      </c>
      <c r="C96" s="30">
        <v>53211.099999999977</v>
      </c>
      <c r="D96" s="30" t="s">
        <v>2</v>
      </c>
      <c r="E96" s="29">
        <f t="shared" si="11"/>
        <v>65138.599999999977</v>
      </c>
      <c r="F96" s="30">
        <v>121700.8</v>
      </c>
      <c r="G96" s="30">
        <v>166756.20000000001</v>
      </c>
      <c r="H96" s="30"/>
      <c r="I96" s="29">
        <v>48976.1</v>
      </c>
      <c r="J96" s="30">
        <v>100317.8</v>
      </c>
      <c r="K96" s="30">
        <v>282393.09999999998</v>
      </c>
      <c r="L96" s="31">
        <f t="shared" si="8"/>
        <v>720144</v>
      </c>
      <c r="M96" s="30">
        <v>229581.90000000002</v>
      </c>
      <c r="N96" s="29">
        <v>26258.899999999998</v>
      </c>
      <c r="O96" s="31">
        <f t="shared" si="9"/>
        <v>464303.19999999995</v>
      </c>
      <c r="P96" s="36">
        <v>9628.4</v>
      </c>
      <c r="Q96" s="31">
        <v>856754.29999999981</v>
      </c>
      <c r="R96" s="31">
        <v>3822.2</v>
      </c>
      <c r="S96" s="29">
        <f t="shared" si="13"/>
        <v>870204.89999999979</v>
      </c>
      <c r="T96" s="33">
        <f t="shared" si="14"/>
        <v>1334508.0999999996</v>
      </c>
      <c r="U96" s="29">
        <f t="shared" si="10"/>
        <v>1399646.6999999997</v>
      </c>
    </row>
    <row r="97" spans="1:21" s="35" customFormat="1" ht="15.75">
      <c r="A97" s="40">
        <v>42216</v>
      </c>
      <c r="B97" s="30">
        <v>-2305.5999999999185</v>
      </c>
      <c r="C97" s="30">
        <v>32200.400000000023</v>
      </c>
      <c r="D97" s="30" t="s">
        <v>2</v>
      </c>
      <c r="E97" s="29">
        <f t="shared" si="11"/>
        <v>29894.800000000105</v>
      </c>
      <c r="F97" s="30">
        <v>124466.2</v>
      </c>
      <c r="G97" s="30">
        <v>170582</v>
      </c>
      <c r="H97" s="30"/>
      <c r="I97" s="29">
        <v>48274.816666666666</v>
      </c>
      <c r="J97" s="30">
        <v>98924.5</v>
      </c>
      <c r="K97" s="30">
        <v>281753.2</v>
      </c>
      <c r="L97" s="31">
        <f t="shared" si="8"/>
        <v>724000.71666666667</v>
      </c>
      <c r="M97" s="30">
        <v>204000.28333333333</v>
      </c>
      <c r="N97" s="29">
        <v>26401.600000000002</v>
      </c>
      <c r="O97" s="31">
        <f t="shared" si="9"/>
        <v>493598.83333333337</v>
      </c>
      <c r="P97" s="36">
        <v>13310.2</v>
      </c>
      <c r="Q97" s="31">
        <v>865872.11666666646</v>
      </c>
      <c r="R97" s="31">
        <v>3822.1</v>
      </c>
      <c r="S97" s="29">
        <f t="shared" si="13"/>
        <v>883004.4166666664</v>
      </c>
      <c r="T97" s="33">
        <f t="shared" si="14"/>
        <v>1376603.2499999998</v>
      </c>
      <c r="U97" s="29">
        <f t="shared" si="10"/>
        <v>1406498.0499999998</v>
      </c>
    </row>
    <row r="98" spans="1:21" s="35" customFormat="1" ht="15.75">
      <c r="A98" s="40">
        <v>42247</v>
      </c>
      <c r="B98" s="30">
        <v>-43032.299999999872</v>
      </c>
      <c r="C98" s="30">
        <v>46238.700000000012</v>
      </c>
      <c r="D98" s="30" t="s">
        <v>2</v>
      </c>
      <c r="E98" s="29">
        <f t="shared" si="11"/>
        <v>3206.4000000001397</v>
      </c>
      <c r="F98" s="30">
        <v>162684.9</v>
      </c>
      <c r="G98" s="30">
        <v>170888.3</v>
      </c>
      <c r="H98" s="30"/>
      <c r="I98" s="29">
        <v>47924.261111111111</v>
      </c>
      <c r="J98" s="30">
        <v>97531.199999999997</v>
      </c>
      <c r="K98" s="30">
        <v>281113.30000000005</v>
      </c>
      <c r="L98" s="31">
        <f t="shared" si="8"/>
        <v>760141.9611111111</v>
      </c>
      <c r="M98" s="30">
        <v>192151.59444444446</v>
      </c>
      <c r="N98" s="29">
        <v>34152.399999999994</v>
      </c>
      <c r="O98" s="31">
        <f t="shared" si="9"/>
        <v>533837.96666666667</v>
      </c>
      <c r="P98" s="36">
        <v>13105</v>
      </c>
      <c r="Q98" s="31">
        <v>867113.3666666667</v>
      </c>
      <c r="R98" s="31">
        <v>3846.9</v>
      </c>
      <c r="S98" s="29">
        <f t="shared" si="13"/>
        <v>884065.26666666672</v>
      </c>
      <c r="T98" s="33">
        <f t="shared" si="14"/>
        <v>1417903.2333333334</v>
      </c>
      <c r="U98" s="29">
        <f t="shared" si="10"/>
        <v>1421109.6333333335</v>
      </c>
    </row>
    <row r="99" spans="1:21" s="35" customFormat="1" ht="15.75">
      <c r="A99" s="40">
        <v>42277</v>
      </c>
      <c r="B99" s="30">
        <v>-77050.099999999977</v>
      </c>
      <c r="C99" s="30">
        <v>43805.499999999942</v>
      </c>
      <c r="D99" s="30" t="s">
        <v>2</v>
      </c>
      <c r="E99" s="29">
        <f t="shared" si="11"/>
        <v>-33244.600000000035</v>
      </c>
      <c r="F99" s="30">
        <v>201450.1</v>
      </c>
      <c r="G99" s="30">
        <v>177101.60000000003</v>
      </c>
      <c r="H99" s="30"/>
      <c r="I99" s="29">
        <v>50077.969444444447</v>
      </c>
      <c r="J99" s="30">
        <v>96137.9</v>
      </c>
      <c r="K99" s="30">
        <v>280473.5</v>
      </c>
      <c r="L99" s="31">
        <f t="shared" si="8"/>
        <v>805241.0694444445</v>
      </c>
      <c r="M99" s="30">
        <v>208852.61944444446</v>
      </c>
      <c r="N99" s="29">
        <v>29497.3</v>
      </c>
      <c r="O99" s="31">
        <f t="shared" si="9"/>
        <v>566891.15</v>
      </c>
      <c r="P99" s="36">
        <v>14965.4</v>
      </c>
      <c r="Q99" s="31">
        <v>865121.3833333333</v>
      </c>
      <c r="R99" s="31">
        <v>3755.9</v>
      </c>
      <c r="S99" s="29">
        <f t="shared" si="13"/>
        <v>883842.68333333335</v>
      </c>
      <c r="T99" s="33">
        <f t="shared" si="14"/>
        <v>1450733.8333333335</v>
      </c>
      <c r="U99" s="29">
        <f t="shared" si="10"/>
        <v>1417489.2333333334</v>
      </c>
    </row>
    <row r="100" spans="1:21" s="35" customFormat="1" ht="15.75">
      <c r="A100" s="40">
        <v>42308</v>
      </c>
      <c r="B100" s="30">
        <v>-58413.900000000023</v>
      </c>
      <c r="C100" s="30">
        <v>34584.600000000035</v>
      </c>
      <c r="D100" s="30" t="s">
        <v>2</v>
      </c>
      <c r="E100" s="29">
        <f t="shared" si="11"/>
        <v>-23829.299999999988</v>
      </c>
      <c r="F100" s="30">
        <v>227827.20000000001</v>
      </c>
      <c r="G100" s="30">
        <v>194261.09999999998</v>
      </c>
      <c r="H100" s="30"/>
      <c r="I100" s="29">
        <v>54863.787037037036</v>
      </c>
      <c r="J100" s="30">
        <v>95660.7</v>
      </c>
      <c r="K100" s="30">
        <v>279193.7</v>
      </c>
      <c r="L100" s="31">
        <f t="shared" si="8"/>
        <v>851806.48703703703</v>
      </c>
      <c r="M100" s="30">
        <v>190286.82037037038</v>
      </c>
      <c r="N100" s="29">
        <v>33496</v>
      </c>
      <c r="O100" s="31">
        <f t="shared" si="9"/>
        <v>628023.66666666663</v>
      </c>
      <c r="P100" s="36">
        <v>10318.5</v>
      </c>
      <c r="Q100" s="31">
        <v>861702.07777777768</v>
      </c>
      <c r="R100" s="31">
        <v>4663.1000000000004</v>
      </c>
      <c r="S100" s="29">
        <f t="shared" si="13"/>
        <v>876683.67777777766</v>
      </c>
      <c r="T100" s="33">
        <f t="shared" si="14"/>
        <v>1504707.3444444444</v>
      </c>
      <c r="U100" s="29">
        <f t="shared" si="10"/>
        <v>1480878.0444444444</v>
      </c>
    </row>
    <row r="101" spans="1:21" s="35" customFormat="1" ht="15.75">
      <c r="A101" s="40">
        <v>42338</v>
      </c>
      <c r="B101" s="30">
        <v>-112837.10000000003</v>
      </c>
      <c r="C101" s="30">
        <v>28433.800000000017</v>
      </c>
      <c r="D101" s="30" t="s">
        <v>2</v>
      </c>
      <c r="E101" s="29">
        <f t="shared" si="11"/>
        <v>-84403.300000000017</v>
      </c>
      <c r="F101" s="30">
        <v>236897.9</v>
      </c>
      <c r="G101" s="30">
        <v>222734.2</v>
      </c>
      <c r="H101" s="30"/>
      <c r="I101" s="29">
        <v>56418.544135802491</v>
      </c>
      <c r="J101" s="30">
        <v>94267.4</v>
      </c>
      <c r="K101" s="30">
        <v>278553.90000000002</v>
      </c>
      <c r="L101" s="31">
        <f t="shared" si="8"/>
        <v>888871.94413580245</v>
      </c>
      <c r="M101" s="30">
        <v>197165.57191358026</v>
      </c>
      <c r="N101" s="29">
        <v>34078.9</v>
      </c>
      <c r="O101" s="31">
        <f t="shared" si="9"/>
        <v>657627.47222222213</v>
      </c>
      <c r="P101" s="36">
        <v>10127.1</v>
      </c>
      <c r="Q101" s="31">
        <v>830260.12407407397</v>
      </c>
      <c r="R101" s="31">
        <v>8.3000000000000007</v>
      </c>
      <c r="S101" s="29">
        <f t="shared" si="13"/>
        <v>840395.524074074</v>
      </c>
      <c r="T101" s="33">
        <f t="shared" si="14"/>
        <v>1498022.9962962961</v>
      </c>
      <c r="U101" s="29">
        <f t="shared" si="10"/>
        <v>1413619.6962962961</v>
      </c>
    </row>
    <row r="102" spans="1:21" s="35" customFormat="1" ht="15.75">
      <c r="A102" s="40">
        <v>42369</v>
      </c>
      <c r="B102" s="30">
        <v>-132985.60000000001</v>
      </c>
      <c r="C102" s="30">
        <v>57115.499999999971</v>
      </c>
      <c r="D102" s="30" t="s">
        <v>2</v>
      </c>
      <c r="E102" s="29">
        <f t="shared" si="11"/>
        <v>-75870.100000000035</v>
      </c>
      <c r="F102" s="30">
        <v>273246</v>
      </c>
      <c r="G102" s="30">
        <v>254809.2</v>
      </c>
      <c r="H102" s="30"/>
      <c r="I102" s="29">
        <v>50054.3</v>
      </c>
      <c r="J102" s="30">
        <v>90564.7</v>
      </c>
      <c r="K102" s="30">
        <v>277913.90000000002</v>
      </c>
      <c r="L102" s="31">
        <f t="shared" si="8"/>
        <v>946588.1</v>
      </c>
      <c r="M102" s="30">
        <v>233455.5</v>
      </c>
      <c r="N102" s="29">
        <v>26275.999999999996</v>
      </c>
      <c r="O102" s="31">
        <f t="shared" si="9"/>
        <v>686856.6</v>
      </c>
      <c r="P102" s="36">
        <v>6532.0999999999995</v>
      </c>
      <c r="Q102" s="31">
        <v>812972</v>
      </c>
      <c r="R102" s="31">
        <v>27.1</v>
      </c>
      <c r="S102" s="29">
        <f t="shared" si="13"/>
        <v>819531.2</v>
      </c>
      <c r="T102" s="33">
        <f t="shared" si="14"/>
        <v>1506387.7999999998</v>
      </c>
      <c r="U102" s="29">
        <f t="shared" si="10"/>
        <v>1430517.6999999997</v>
      </c>
    </row>
    <row r="103" spans="1:21" s="35" customFormat="1" ht="15.75">
      <c r="A103" s="40">
        <v>42400</v>
      </c>
      <c r="B103" s="30">
        <v>-135855.99999999997</v>
      </c>
      <c r="C103" s="30">
        <v>16621.999999999971</v>
      </c>
      <c r="D103" s="30" t="s">
        <v>2</v>
      </c>
      <c r="E103" s="29">
        <f t="shared" si="11"/>
        <v>-119234</v>
      </c>
      <c r="F103" s="30">
        <v>230233.5</v>
      </c>
      <c r="G103" s="30">
        <v>266534</v>
      </c>
      <c r="H103" s="30"/>
      <c r="I103" s="29">
        <v>49668.816666666666</v>
      </c>
      <c r="J103" s="30">
        <v>90564.7</v>
      </c>
      <c r="K103" s="30">
        <v>277913.90000000002</v>
      </c>
      <c r="L103" s="31">
        <f t="shared" si="8"/>
        <v>914914.91666666663</v>
      </c>
      <c r="M103" s="30">
        <v>194439.72500000003</v>
      </c>
      <c r="N103" s="29">
        <v>27271.8</v>
      </c>
      <c r="O103" s="31">
        <f t="shared" si="9"/>
        <v>693203.3916666666</v>
      </c>
      <c r="P103" s="36">
        <v>2982.7</v>
      </c>
      <c r="Q103" s="31">
        <v>829600.2666666666</v>
      </c>
      <c r="R103" s="31">
        <v>67.399999999999991</v>
      </c>
      <c r="S103" s="29">
        <f t="shared" si="13"/>
        <v>832650.36666666658</v>
      </c>
      <c r="T103" s="33">
        <f t="shared" ref="T103:T138" si="15">S103+O103</f>
        <v>1525853.7583333333</v>
      </c>
      <c r="U103" s="29">
        <f t="shared" ref="U103:U138" si="16">T103+E103</f>
        <v>1406619.7583333333</v>
      </c>
    </row>
    <row r="104" spans="1:21" s="35" customFormat="1" ht="15.75">
      <c r="A104" s="40">
        <v>42429</v>
      </c>
      <c r="B104" s="30">
        <v>-166598.10000000003</v>
      </c>
      <c r="C104" s="30">
        <v>33809.399999999965</v>
      </c>
      <c r="D104" s="30" t="s">
        <v>2</v>
      </c>
      <c r="E104" s="29">
        <f t="shared" si="11"/>
        <v>-132788.70000000007</v>
      </c>
      <c r="F104" s="30">
        <v>260394.9</v>
      </c>
      <c r="G104" s="30">
        <v>282730.90000000002</v>
      </c>
      <c r="H104" s="30"/>
      <c r="I104" s="29">
        <v>52982.73333333333</v>
      </c>
      <c r="J104" s="30">
        <v>89171.4</v>
      </c>
      <c r="K104" s="30">
        <v>277274.09999999998</v>
      </c>
      <c r="L104" s="31">
        <f t="shared" si="8"/>
        <v>962554.03333333333</v>
      </c>
      <c r="M104" s="30">
        <v>200431.34999999998</v>
      </c>
      <c r="N104" s="29">
        <v>27229.1</v>
      </c>
      <c r="O104" s="31">
        <f t="shared" si="9"/>
        <v>734893.58333333337</v>
      </c>
      <c r="P104" s="36">
        <v>3467.3</v>
      </c>
      <c r="Q104" s="31">
        <v>831034.2333333334</v>
      </c>
      <c r="R104" s="31">
        <v>24.400000000000002</v>
      </c>
      <c r="S104" s="29">
        <f t="shared" si="13"/>
        <v>834525.93333333347</v>
      </c>
      <c r="T104" s="33">
        <f t="shared" si="15"/>
        <v>1569419.5166666668</v>
      </c>
      <c r="U104" s="29">
        <f t="shared" si="16"/>
        <v>1436630.8166666669</v>
      </c>
    </row>
    <row r="105" spans="1:21" s="35" customFormat="1" ht="15.75">
      <c r="A105" s="40">
        <v>42460</v>
      </c>
      <c r="B105" s="30">
        <v>-194954.00000000006</v>
      </c>
      <c r="C105" s="30">
        <v>33930.199999999953</v>
      </c>
      <c r="D105" s="30" t="s">
        <v>2</v>
      </c>
      <c r="E105" s="29">
        <f t="shared" si="11"/>
        <v>-161023.8000000001</v>
      </c>
      <c r="F105" s="30">
        <v>273246</v>
      </c>
      <c r="G105" s="30">
        <v>296894.8</v>
      </c>
      <c r="H105" s="30"/>
      <c r="I105" s="29">
        <v>49389.950000000004</v>
      </c>
      <c r="J105" s="30">
        <v>86384.8</v>
      </c>
      <c r="K105" s="30">
        <v>275994.3</v>
      </c>
      <c r="L105" s="31">
        <f t="shared" si="8"/>
        <v>981909.85000000009</v>
      </c>
      <c r="M105" s="30">
        <v>231671.77500000002</v>
      </c>
      <c r="N105" s="29">
        <v>25784.100000000002</v>
      </c>
      <c r="O105" s="31">
        <f t="shared" si="9"/>
        <v>724453.97500000009</v>
      </c>
      <c r="P105" s="36">
        <v>2767.5</v>
      </c>
      <c r="Q105" s="31">
        <v>832325.4</v>
      </c>
      <c r="R105" s="31">
        <v>22.2</v>
      </c>
      <c r="S105" s="29">
        <f t="shared" si="13"/>
        <v>835115.1</v>
      </c>
      <c r="T105" s="33">
        <f t="shared" si="15"/>
        <v>1559569.0750000002</v>
      </c>
      <c r="U105" s="29">
        <f t="shared" si="16"/>
        <v>1398545.2750000001</v>
      </c>
    </row>
    <row r="106" spans="1:21" s="35" customFormat="1" ht="15.75">
      <c r="A106" s="40">
        <v>42490</v>
      </c>
      <c r="B106" s="30">
        <v>-175516.19999999998</v>
      </c>
      <c r="C106" s="30">
        <v>6223.3999999999942</v>
      </c>
      <c r="D106" s="30" t="s">
        <v>2</v>
      </c>
      <c r="E106" s="29">
        <f t="shared" si="11"/>
        <v>-169292.79999999999</v>
      </c>
      <c r="F106" s="30">
        <v>4780.0999999999767</v>
      </c>
      <c r="G106" s="30">
        <v>319584.7</v>
      </c>
      <c r="H106" s="30"/>
      <c r="I106" s="29">
        <v>54947.166666666672</v>
      </c>
      <c r="J106" s="30">
        <v>86384.8</v>
      </c>
      <c r="K106" s="30">
        <v>549240.30000000005</v>
      </c>
      <c r="L106" s="31">
        <f t="shared" si="8"/>
        <v>1014937.0666666667</v>
      </c>
      <c r="M106" s="30">
        <v>213918.30000000002</v>
      </c>
      <c r="N106" s="29">
        <v>31710.300000000003</v>
      </c>
      <c r="O106" s="31">
        <f t="shared" si="9"/>
        <v>769308.46666666656</v>
      </c>
      <c r="P106" s="36">
        <v>6585.9</v>
      </c>
      <c r="Q106" s="31">
        <v>825005.7666666666</v>
      </c>
      <c r="R106" s="31">
        <v>46.2</v>
      </c>
      <c r="S106" s="29">
        <f t="shared" si="13"/>
        <v>831637.86666666658</v>
      </c>
      <c r="T106" s="33">
        <f t="shared" si="15"/>
        <v>1600946.333333333</v>
      </c>
      <c r="U106" s="29">
        <f t="shared" si="16"/>
        <v>1431653.533333333</v>
      </c>
    </row>
    <row r="107" spans="1:21" s="35" customFormat="1" ht="15.75">
      <c r="A107" s="40">
        <v>42521</v>
      </c>
      <c r="B107" s="30">
        <v>-195743.39999999997</v>
      </c>
      <c r="C107" s="30">
        <v>454.5</v>
      </c>
      <c r="D107" s="30" t="s">
        <v>2</v>
      </c>
      <c r="E107" s="29">
        <f t="shared" si="11"/>
        <v>-195288.89999999997</v>
      </c>
      <c r="F107" s="30">
        <v>21652.299999999988</v>
      </c>
      <c r="G107" s="30">
        <v>322381.7</v>
      </c>
      <c r="H107" s="30"/>
      <c r="I107" s="29">
        <v>54341.78333333334</v>
      </c>
      <c r="J107" s="30">
        <v>84991.5</v>
      </c>
      <c r="K107" s="30">
        <v>548600.5</v>
      </c>
      <c r="L107" s="31">
        <f t="shared" si="8"/>
        <v>1031967.7833333333</v>
      </c>
      <c r="M107" s="30">
        <v>216270.52499999999</v>
      </c>
      <c r="N107" s="29">
        <v>33788.199999999997</v>
      </c>
      <c r="O107" s="31">
        <f t="shared" si="9"/>
        <v>781909.05833333335</v>
      </c>
      <c r="P107" s="36">
        <v>7303.9</v>
      </c>
      <c r="Q107" s="31">
        <v>839250.23333333328</v>
      </c>
      <c r="R107" s="31">
        <v>56.4</v>
      </c>
      <c r="S107" s="29">
        <f t="shared" si="13"/>
        <v>846610.53333333333</v>
      </c>
      <c r="T107" s="33">
        <f t="shared" si="15"/>
        <v>1628519.5916666668</v>
      </c>
      <c r="U107" s="29">
        <f t="shared" si="16"/>
        <v>1433230.6916666669</v>
      </c>
    </row>
    <row r="108" spans="1:21" s="35" customFormat="1" ht="15.75">
      <c r="A108" s="40">
        <v>42551</v>
      </c>
      <c r="B108" s="30">
        <v>-186003.4</v>
      </c>
      <c r="C108" s="30">
        <v>20116.699999999953</v>
      </c>
      <c r="D108" s="30" t="s">
        <v>2</v>
      </c>
      <c r="E108" s="29">
        <f t="shared" si="11"/>
        <v>-165886.70000000004</v>
      </c>
      <c r="F108" s="30">
        <v>19504.700000000012</v>
      </c>
      <c r="G108" s="30">
        <v>348742.9</v>
      </c>
      <c r="H108" s="30"/>
      <c r="I108" s="29">
        <v>53066.8</v>
      </c>
      <c r="J108" s="30">
        <v>83598.2</v>
      </c>
      <c r="K108" s="30">
        <v>547320.69999999995</v>
      </c>
      <c r="L108" s="31">
        <f t="shared" si="8"/>
        <v>1052233.3</v>
      </c>
      <c r="M108" s="30">
        <v>222571.65000000002</v>
      </c>
      <c r="N108" s="29">
        <v>41471.800000000003</v>
      </c>
      <c r="O108" s="31">
        <f t="shared" si="9"/>
        <v>788189.85</v>
      </c>
      <c r="P108" s="36">
        <v>6427</v>
      </c>
      <c r="Q108" s="31">
        <v>857911.70000000007</v>
      </c>
      <c r="R108" s="31">
        <v>59.2</v>
      </c>
      <c r="S108" s="29">
        <f t="shared" si="13"/>
        <v>864397.9</v>
      </c>
      <c r="T108" s="33">
        <f t="shared" si="15"/>
        <v>1652587.75</v>
      </c>
      <c r="U108" s="29">
        <f t="shared" si="16"/>
        <v>1486701.05</v>
      </c>
    </row>
    <row r="109" spans="1:21" s="35" customFormat="1" ht="15.75">
      <c r="A109" s="40">
        <v>42582</v>
      </c>
      <c r="B109" s="30">
        <v>-186226.3</v>
      </c>
      <c r="C109" s="30">
        <v>-2306.100000000064</v>
      </c>
      <c r="D109" s="30" t="s">
        <v>2</v>
      </c>
      <c r="E109" s="29">
        <f t="shared" si="11"/>
        <v>-188532.40000000005</v>
      </c>
      <c r="F109" s="30">
        <v>17403.200000000012</v>
      </c>
      <c r="G109" s="30">
        <v>365969.8</v>
      </c>
      <c r="H109" s="30"/>
      <c r="I109" s="29">
        <v>54167.7</v>
      </c>
      <c r="J109" s="30">
        <v>82204.899999999994</v>
      </c>
      <c r="K109" s="30">
        <v>546680.9</v>
      </c>
      <c r="L109" s="31">
        <f t="shared" si="8"/>
        <v>1066426.5</v>
      </c>
      <c r="M109" s="30">
        <v>219058.05833333335</v>
      </c>
      <c r="N109" s="29">
        <v>39586.400000000009</v>
      </c>
      <c r="O109" s="31">
        <f t="shared" si="9"/>
        <v>807782.04166666663</v>
      </c>
      <c r="P109" s="36">
        <v>11339</v>
      </c>
      <c r="Q109" s="31">
        <v>851044.93333333335</v>
      </c>
      <c r="R109" s="31">
        <v>35.000000000000007</v>
      </c>
      <c r="S109" s="29">
        <f t="shared" si="13"/>
        <v>862418.93333333335</v>
      </c>
      <c r="T109" s="33">
        <f t="shared" si="15"/>
        <v>1670200.9750000001</v>
      </c>
      <c r="U109" s="29">
        <f t="shared" si="16"/>
        <v>1481668.575</v>
      </c>
    </row>
    <row r="110" spans="1:21" s="35" customFormat="1" ht="15.75">
      <c r="A110" s="40">
        <v>42613</v>
      </c>
      <c r="B110" s="30">
        <v>-192550.6</v>
      </c>
      <c r="C110" s="30">
        <v>-9672.7000000000262</v>
      </c>
      <c r="D110" s="30" t="s">
        <v>2</v>
      </c>
      <c r="E110" s="29">
        <f t="shared" si="11"/>
        <v>-202223.30000000005</v>
      </c>
      <c r="F110" s="30">
        <v>10113</v>
      </c>
      <c r="G110" s="30">
        <v>370225.1</v>
      </c>
      <c r="H110" s="30"/>
      <c r="I110" s="29">
        <v>47786.5</v>
      </c>
      <c r="J110" s="30">
        <v>80811.600000000006</v>
      </c>
      <c r="K110" s="30">
        <v>546041</v>
      </c>
      <c r="L110" s="31">
        <f t="shared" si="8"/>
        <v>1054977.2</v>
      </c>
      <c r="M110" s="30">
        <v>211792.26666666669</v>
      </c>
      <c r="N110" s="29">
        <v>29870.1</v>
      </c>
      <c r="O110" s="31">
        <f t="shared" si="9"/>
        <v>813314.83333333326</v>
      </c>
      <c r="P110" s="36">
        <v>10303.200000000001</v>
      </c>
      <c r="Q110" s="31">
        <v>877081.2666666666</v>
      </c>
      <c r="R110" s="31">
        <v>26.900000000000002</v>
      </c>
      <c r="S110" s="29">
        <f t="shared" si="13"/>
        <v>887411.36666666658</v>
      </c>
      <c r="T110" s="33">
        <f t="shared" si="15"/>
        <v>1700726.1999999997</v>
      </c>
      <c r="U110" s="29">
        <f t="shared" si="16"/>
        <v>1498502.8999999997</v>
      </c>
    </row>
    <row r="111" spans="1:21" s="35" customFormat="1" ht="15.75">
      <c r="A111" s="40">
        <v>42643</v>
      </c>
      <c r="B111" s="30">
        <v>-181601</v>
      </c>
      <c r="C111" s="30">
        <v>-10844.799999999959</v>
      </c>
      <c r="D111" s="30" t="s">
        <v>2</v>
      </c>
      <c r="E111" s="29">
        <f t="shared" si="11"/>
        <v>-192445.79999999996</v>
      </c>
      <c r="F111" s="30">
        <v>18972.7</v>
      </c>
      <c r="G111" s="30">
        <v>390238.4</v>
      </c>
      <c r="H111" s="30"/>
      <c r="I111" s="29">
        <v>46843.899999999994</v>
      </c>
      <c r="J111" s="30">
        <v>79418.3</v>
      </c>
      <c r="K111" s="30">
        <v>546041</v>
      </c>
      <c r="L111" s="31">
        <f t="shared" si="8"/>
        <v>1081514.3</v>
      </c>
      <c r="M111" s="30">
        <v>220076.07500000001</v>
      </c>
      <c r="N111" s="29">
        <v>34600.5</v>
      </c>
      <c r="O111" s="31">
        <f t="shared" si="9"/>
        <v>826837.72500000009</v>
      </c>
      <c r="P111" s="36">
        <v>11245.4</v>
      </c>
      <c r="Q111" s="31">
        <v>872234.79999999993</v>
      </c>
      <c r="R111" s="31">
        <v>15.5</v>
      </c>
      <c r="S111" s="29">
        <f t="shared" si="13"/>
        <v>883495.7</v>
      </c>
      <c r="T111" s="33">
        <f t="shared" si="15"/>
        <v>1710333.425</v>
      </c>
      <c r="U111" s="29">
        <f t="shared" si="16"/>
        <v>1517887.625</v>
      </c>
    </row>
    <row r="112" spans="1:21" s="35" customFormat="1" ht="15.75">
      <c r="A112" s="40">
        <v>42674</v>
      </c>
      <c r="B112" s="30">
        <v>-181634.80000000002</v>
      </c>
      <c r="C112" s="30">
        <v>-14712.400000000023</v>
      </c>
      <c r="D112" s="30" t="s">
        <v>2</v>
      </c>
      <c r="E112" s="29">
        <f t="shared" si="11"/>
        <v>-196347.20000000004</v>
      </c>
      <c r="F112" s="30">
        <v>37280.9</v>
      </c>
      <c r="G112" s="30">
        <v>391147.4</v>
      </c>
      <c r="H112" s="30"/>
      <c r="I112" s="29">
        <v>51279.066666666666</v>
      </c>
      <c r="J112" s="30">
        <v>78024.899999999994</v>
      </c>
      <c r="K112" s="30">
        <v>545401.19999999995</v>
      </c>
      <c r="L112" s="31">
        <f t="shared" si="8"/>
        <v>1103133.4666666668</v>
      </c>
      <c r="M112" s="30">
        <v>223779.11666666664</v>
      </c>
      <c r="N112" s="29">
        <v>29570.199999999997</v>
      </c>
      <c r="O112" s="31">
        <f t="shared" si="9"/>
        <v>849784.15000000014</v>
      </c>
      <c r="P112" s="36">
        <v>9115.2999999999993</v>
      </c>
      <c r="Q112" s="31">
        <v>870003.23333333316</v>
      </c>
      <c r="R112" s="31">
        <v>21</v>
      </c>
      <c r="S112" s="29">
        <f t="shared" si="13"/>
        <v>879139.53333333321</v>
      </c>
      <c r="T112" s="33">
        <f t="shared" si="15"/>
        <v>1728923.6833333333</v>
      </c>
      <c r="U112" s="29">
        <f t="shared" si="16"/>
        <v>1532576.4833333334</v>
      </c>
    </row>
    <row r="113" spans="1:21" s="35" customFormat="1" ht="15.75">
      <c r="A113" s="40">
        <v>42704</v>
      </c>
      <c r="B113" s="30">
        <v>-174078</v>
      </c>
      <c r="C113" s="30">
        <v>-6939.5000000000291</v>
      </c>
      <c r="D113" s="30" t="s">
        <v>2</v>
      </c>
      <c r="E113" s="29">
        <f t="shared" si="11"/>
        <v>-181017.50000000003</v>
      </c>
      <c r="F113" s="30">
        <v>69788.2</v>
      </c>
      <c r="G113" s="30">
        <v>404323.99999999988</v>
      </c>
      <c r="H113" s="30"/>
      <c r="I113" s="29">
        <v>53115.833333333328</v>
      </c>
      <c r="J113" s="30">
        <v>75238.3</v>
      </c>
      <c r="K113" s="30">
        <v>544121.5</v>
      </c>
      <c r="L113" s="31">
        <f t="shared" si="8"/>
        <v>1146587.8333333333</v>
      </c>
      <c r="M113" s="30">
        <v>232963.04722222226</v>
      </c>
      <c r="N113" s="29">
        <v>29497.7</v>
      </c>
      <c r="O113" s="31">
        <f t="shared" si="9"/>
        <v>884127.0861111111</v>
      </c>
      <c r="P113" s="36">
        <v>6989.2999999999993</v>
      </c>
      <c r="Q113" s="31">
        <v>863617.57777777768</v>
      </c>
      <c r="R113" s="31">
        <v>13.3</v>
      </c>
      <c r="S113" s="29">
        <f t="shared" si="13"/>
        <v>870620.17777777778</v>
      </c>
      <c r="T113" s="33">
        <f t="shared" si="15"/>
        <v>1754747.263888889</v>
      </c>
      <c r="U113" s="29">
        <f t="shared" si="16"/>
        <v>1573729.763888889</v>
      </c>
    </row>
    <row r="114" spans="1:21" s="35" customFormat="1" ht="15.75">
      <c r="A114" s="40">
        <v>42735</v>
      </c>
      <c r="B114" s="30">
        <v>-162073.80000000002</v>
      </c>
      <c r="C114" s="30">
        <v>-14449.299999999974</v>
      </c>
      <c r="D114" s="30" t="s">
        <v>2</v>
      </c>
      <c r="E114" s="29">
        <f t="shared" si="11"/>
        <v>-176523.09999999998</v>
      </c>
      <c r="F114" s="30">
        <v>134973.1</v>
      </c>
      <c r="G114" s="30">
        <v>438079.6</v>
      </c>
      <c r="H114" s="30"/>
      <c r="I114" s="29">
        <v>37133.1</v>
      </c>
      <c r="J114" s="30">
        <v>73845.100000000006</v>
      </c>
      <c r="K114" s="30">
        <v>543481.59999999998</v>
      </c>
      <c r="L114" s="31">
        <f t="shared" si="8"/>
        <v>1227512.5</v>
      </c>
      <c r="M114" s="30">
        <v>291260.3</v>
      </c>
      <c r="N114" s="29">
        <v>30394.800000000003</v>
      </c>
      <c r="O114" s="31">
        <f t="shared" si="9"/>
        <v>905857.39999999991</v>
      </c>
      <c r="P114" s="36">
        <v>7173.4000000000005</v>
      </c>
      <c r="Q114" s="31">
        <v>854034</v>
      </c>
      <c r="R114" s="31">
        <v>57.6</v>
      </c>
      <c r="S114" s="29">
        <f t="shared" si="13"/>
        <v>861265</v>
      </c>
      <c r="T114" s="33">
        <f t="shared" si="15"/>
        <v>1767122.4</v>
      </c>
      <c r="U114" s="29">
        <f t="shared" si="16"/>
        <v>1590599.2999999998</v>
      </c>
    </row>
    <row r="115" spans="1:21" s="35" customFormat="1" ht="15.75">
      <c r="A115" s="40">
        <v>42766</v>
      </c>
      <c r="B115" s="30">
        <v>-140840.69999999998</v>
      </c>
      <c r="C115" s="30">
        <v>-26017.300000000003</v>
      </c>
      <c r="D115" s="30"/>
      <c r="E115" s="29">
        <f t="shared" si="11"/>
        <v>-166858</v>
      </c>
      <c r="F115" s="30">
        <v>91642.3</v>
      </c>
      <c r="G115" s="30">
        <v>434826.99999999988</v>
      </c>
      <c r="H115" s="30"/>
      <c r="I115" s="29">
        <v>36989.983333333337</v>
      </c>
      <c r="J115" s="30">
        <v>73845</v>
      </c>
      <c r="K115" s="30">
        <v>543481.59999999998</v>
      </c>
      <c r="L115" s="31">
        <f t="shared" si="8"/>
        <v>1180785.8833333333</v>
      </c>
      <c r="M115" s="30">
        <v>229536.38333333333</v>
      </c>
      <c r="N115" s="29">
        <v>35154.5</v>
      </c>
      <c r="O115" s="31">
        <f t="shared" si="9"/>
        <v>916095</v>
      </c>
      <c r="P115" s="36">
        <v>5315</v>
      </c>
      <c r="Q115" s="31">
        <v>851398.95</v>
      </c>
      <c r="R115" s="31">
        <v>38.9</v>
      </c>
      <c r="S115" s="29">
        <f t="shared" si="13"/>
        <v>856752.85</v>
      </c>
      <c r="T115" s="33">
        <f t="shared" si="15"/>
        <v>1772847.85</v>
      </c>
      <c r="U115" s="29">
        <f t="shared" si="16"/>
        <v>1605989.85</v>
      </c>
    </row>
    <row r="116" spans="1:21" s="35" customFormat="1" ht="15.75">
      <c r="A116" s="40">
        <v>42794</v>
      </c>
      <c r="B116" s="30">
        <v>-116167</v>
      </c>
      <c r="C116" s="30">
        <v>-30275.099999999977</v>
      </c>
      <c r="D116" s="30"/>
      <c r="E116" s="29">
        <f t="shared" si="11"/>
        <v>-146442.09999999998</v>
      </c>
      <c r="F116" s="30">
        <v>107598.6</v>
      </c>
      <c r="G116" s="30">
        <v>463337.09999999992</v>
      </c>
      <c r="H116" s="30"/>
      <c r="I116" s="29">
        <v>38593.466666666667</v>
      </c>
      <c r="J116" s="30">
        <v>71058.399999999994</v>
      </c>
      <c r="K116" s="30">
        <v>542201.9</v>
      </c>
      <c r="L116" s="31">
        <f t="shared" si="8"/>
        <v>1222789.4666666668</v>
      </c>
      <c r="M116" s="30">
        <v>262216.96666666667</v>
      </c>
      <c r="N116" s="29">
        <v>31124.2</v>
      </c>
      <c r="O116" s="31">
        <f t="shared" si="9"/>
        <v>929448.30000000016</v>
      </c>
      <c r="P116" s="36">
        <v>4372</v>
      </c>
      <c r="Q116" s="31">
        <v>815244.10000000009</v>
      </c>
      <c r="R116" s="31">
        <v>63.3</v>
      </c>
      <c r="S116" s="29">
        <f t="shared" si="13"/>
        <v>819679.40000000014</v>
      </c>
      <c r="T116" s="33">
        <f t="shared" si="15"/>
        <v>1749127.7000000002</v>
      </c>
      <c r="U116" s="29">
        <f t="shared" si="16"/>
        <v>1602685.6</v>
      </c>
    </row>
    <row r="117" spans="1:21" s="35" customFormat="1" ht="15.75">
      <c r="A117" s="40">
        <v>42825</v>
      </c>
      <c r="B117" s="30">
        <v>-133135.90000000002</v>
      </c>
      <c r="C117" s="30">
        <v>-31494.300000000003</v>
      </c>
      <c r="D117" s="30"/>
      <c r="E117" s="29">
        <f t="shared" si="11"/>
        <v>-164630.20000000001</v>
      </c>
      <c r="F117" s="30">
        <v>130042.5</v>
      </c>
      <c r="G117" s="30">
        <v>474831.29999999993</v>
      </c>
      <c r="H117" s="30"/>
      <c r="I117" s="30">
        <v>48614.55</v>
      </c>
      <c r="J117" s="30">
        <v>69665.100000000006</v>
      </c>
      <c r="K117" s="30">
        <v>541562</v>
      </c>
      <c r="L117" s="31">
        <f t="shared" si="8"/>
        <v>1264715.45</v>
      </c>
      <c r="M117" s="30">
        <v>247676.35</v>
      </c>
      <c r="N117" s="29">
        <v>31886.899999999998</v>
      </c>
      <c r="O117" s="31">
        <f t="shared" si="9"/>
        <v>985152.2</v>
      </c>
      <c r="P117" s="36">
        <v>6812.0999999999995</v>
      </c>
      <c r="Q117" s="31">
        <v>806759.35000000009</v>
      </c>
      <c r="R117" s="31">
        <v>58.6</v>
      </c>
      <c r="S117" s="29">
        <f t="shared" si="13"/>
        <v>813630.05</v>
      </c>
      <c r="T117" s="33">
        <f t="shared" si="15"/>
        <v>1798782.25</v>
      </c>
      <c r="U117" s="29">
        <f t="shared" si="16"/>
        <v>1634152.05</v>
      </c>
    </row>
    <row r="118" spans="1:21" s="35" customFormat="1" ht="15.75">
      <c r="A118" s="40">
        <v>42855</v>
      </c>
      <c r="B118" s="30">
        <v>-140187.20000000004</v>
      </c>
      <c r="C118" s="30">
        <v>-22900.300000000017</v>
      </c>
      <c r="D118" s="30"/>
      <c r="E118" s="29">
        <f t="shared" si="11"/>
        <v>-163087.50000000006</v>
      </c>
      <c r="F118" s="30">
        <v>122074.2</v>
      </c>
      <c r="G118" s="30">
        <v>493038.8</v>
      </c>
      <c r="H118" s="30"/>
      <c r="I118" s="30">
        <v>44744.53333333334</v>
      </c>
      <c r="J118" s="30">
        <v>69665.100000000006</v>
      </c>
      <c r="K118" s="30">
        <v>541562</v>
      </c>
      <c r="L118" s="31">
        <f t="shared" si="8"/>
        <v>1271084.6333333333</v>
      </c>
      <c r="M118" s="30">
        <v>233480.46666666667</v>
      </c>
      <c r="N118" s="29">
        <v>38837.9</v>
      </c>
      <c r="O118" s="31">
        <f t="shared" si="9"/>
        <v>998766.2666666666</v>
      </c>
      <c r="P118" s="36">
        <v>5679.7</v>
      </c>
      <c r="Q118" s="31">
        <v>803471.96666666679</v>
      </c>
      <c r="R118" s="31">
        <v>45.9</v>
      </c>
      <c r="S118" s="29">
        <f t="shared" si="13"/>
        <v>809197.56666666677</v>
      </c>
      <c r="T118" s="33">
        <f t="shared" si="15"/>
        <v>1807963.8333333335</v>
      </c>
      <c r="U118" s="29">
        <f t="shared" si="16"/>
        <v>1644876.3333333335</v>
      </c>
    </row>
    <row r="119" spans="1:21" s="35" customFormat="1" ht="15.75">
      <c r="A119" s="40">
        <v>42886</v>
      </c>
      <c r="B119" s="30">
        <v>-104424.50000000006</v>
      </c>
      <c r="C119" s="30">
        <v>-8989.1999999999825</v>
      </c>
      <c r="D119" s="30"/>
      <c r="E119" s="29">
        <f t="shared" si="11"/>
        <v>-113413.70000000004</v>
      </c>
      <c r="F119" s="30">
        <v>139502.5</v>
      </c>
      <c r="G119" s="30">
        <v>511695.80000000005</v>
      </c>
      <c r="H119" s="30"/>
      <c r="I119" s="30">
        <v>46120.016666666663</v>
      </c>
      <c r="J119" s="30">
        <v>68271.8</v>
      </c>
      <c r="K119" s="30">
        <v>540922.1</v>
      </c>
      <c r="L119" s="31">
        <f t="shared" si="8"/>
        <v>1306512.2166666668</v>
      </c>
      <c r="M119" s="30">
        <v>282236.28333333333</v>
      </c>
      <c r="N119" s="29">
        <v>46467.700000000004</v>
      </c>
      <c r="O119" s="31">
        <f t="shared" si="9"/>
        <v>977808.23333333351</v>
      </c>
      <c r="P119" s="36">
        <v>7590.3</v>
      </c>
      <c r="Q119" s="31">
        <v>817242.78333333344</v>
      </c>
      <c r="R119" s="31">
        <v>19.5</v>
      </c>
      <c r="S119" s="29">
        <f t="shared" si="13"/>
        <v>824852.58333333349</v>
      </c>
      <c r="T119" s="33">
        <f t="shared" si="15"/>
        <v>1802660.8166666669</v>
      </c>
      <c r="U119" s="29">
        <f t="shared" si="16"/>
        <v>1689247.1166666669</v>
      </c>
    </row>
    <row r="120" spans="1:21" s="35" customFormat="1" ht="15.75">
      <c r="A120" s="40">
        <v>42916</v>
      </c>
      <c r="B120" s="30">
        <v>-140476.99999999994</v>
      </c>
      <c r="C120" s="30">
        <v>-12640.399999999994</v>
      </c>
      <c r="D120" s="30"/>
      <c r="E120" s="29">
        <f t="shared" si="11"/>
        <v>-153117.39999999994</v>
      </c>
      <c r="F120" s="30">
        <v>141652.79999999999</v>
      </c>
      <c r="G120" s="30">
        <v>520961.5</v>
      </c>
      <c r="H120" s="30"/>
      <c r="I120" s="30">
        <v>41050</v>
      </c>
      <c r="J120" s="30">
        <v>66878.5</v>
      </c>
      <c r="K120" s="30">
        <v>540282.30000000005</v>
      </c>
      <c r="L120" s="31">
        <f t="shared" si="8"/>
        <v>1310825.1000000001</v>
      </c>
      <c r="M120" s="30">
        <v>246217.90000000002</v>
      </c>
      <c r="N120" s="29">
        <v>54196.200000000004</v>
      </c>
      <c r="O120" s="31">
        <f t="shared" si="9"/>
        <v>1010411.0000000002</v>
      </c>
      <c r="P120" s="36">
        <v>13580.699999999999</v>
      </c>
      <c r="Q120" s="31">
        <v>857454.3</v>
      </c>
      <c r="R120" s="31">
        <v>33.299999999999997</v>
      </c>
      <c r="S120" s="29">
        <f t="shared" si="13"/>
        <v>871068.3</v>
      </c>
      <c r="T120" s="33">
        <f t="shared" si="15"/>
        <v>1881479.3000000003</v>
      </c>
      <c r="U120" s="29">
        <f t="shared" si="16"/>
        <v>1728361.9000000004</v>
      </c>
    </row>
    <row r="121" spans="1:21" s="35" customFormat="1" ht="15.75">
      <c r="A121" s="40">
        <v>42947</v>
      </c>
      <c r="B121" s="30">
        <v>-165541.40000000002</v>
      </c>
      <c r="C121" s="30">
        <v>10518.300000000017</v>
      </c>
      <c r="D121" s="30"/>
      <c r="E121" s="29">
        <f t="shared" si="11"/>
        <v>-155023.1</v>
      </c>
      <c r="F121" s="30">
        <v>126976.7</v>
      </c>
      <c r="G121" s="30">
        <v>517101.10000000003</v>
      </c>
      <c r="H121" s="30"/>
      <c r="I121" s="30">
        <v>40961.25</v>
      </c>
      <c r="J121" s="30">
        <v>65485.2</v>
      </c>
      <c r="K121" s="30">
        <v>539642.4</v>
      </c>
      <c r="L121" s="31">
        <f t="shared" si="8"/>
        <v>1290166.6499999999</v>
      </c>
      <c r="M121" s="30">
        <v>248778.76666666669</v>
      </c>
      <c r="N121" s="29">
        <v>45772.9</v>
      </c>
      <c r="O121" s="31">
        <f t="shared" si="9"/>
        <v>995614.98333333316</v>
      </c>
      <c r="P121" s="36">
        <v>14083.899999999998</v>
      </c>
      <c r="Q121" s="31">
        <v>878601.00000000012</v>
      </c>
      <c r="R121" s="31">
        <v>41.9</v>
      </c>
      <c r="S121" s="29">
        <f t="shared" si="13"/>
        <v>892726.80000000016</v>
      </c>
      <c r="T121" s="33">
        <f t="shared" si="15"/>
        <v>1888341.7833333332</v>
      </c>
      <c r="U121" s="29">
        <f t="shared" si="16"/>
        <v>1733318.6833333331</v>
      </c>
    </row>
    <row r="122" spans="1:21" s="35" customFormat="1" ht="15.75">
      <c r="A122" s="40">
        <v>42978</v>
      </c>
      <c r="B122" s="30">
        <v>-141377.29999999999</v>
      </c>
      <c r="C122" s="30">
        <v>-36521.700000000012</v>
      </c>
      <c r="D122" s="30"/>
      <c r="E122" s="29">
        <f t="shared" si="11"/>
        <v>-177899</v>
      </c>
      <c r="F122" s="30">
        <v>129280.9</v>
      </c>
      <c r="G122" s="30">
        <v>534156.80000000005</v>
      </c>
      <c r="H122" s="30"/>
      <c r="I122" s="30">
        <v>44402.2</v>
      </c>
      <c r="J122" s="30">
        <v>62698.6</v>
      </c>
      <c r="K122" s="30">
        <v>538362.6</v>
      </c>
      <c r="L122" s="31">
        <f t="shared" si="8"/>
        <v>1308901.1000000001</v>
      </c>
      <c r="M122" s="30">
        <v>241182.73333333334</v>
      </c>
      <c r="N122" s="29">
        <v>36993.599999999999</v>
      </c>
      <c r="O122" s="31">
        <f t="shared" si="9"/>
        <v>1030724.7666666667</v>
      </c>
      <c r="P122" s="36">
        <v>19603.199999999997</v>
      </c>
      <c r="Q122" s="31">
        <v>887335.6</v>
      </c>
      <c r="R122" s="31">
        <v>39.299999999999997</v>
      </c>
      <c r="S122" s="29">
        <f t="shared" si="13"/>
        <v>906978.1</v>
      </c>
      <c r="T122" s="33">
        <f t="shared" si="15"/>
        <v>1937702.8666666667</v>
      </c>
      <c r="U122" s="29">
        <f t="shared" si="16"/>
        <v>1759803.8666666667</v>
      </c>
    </row>
    <row r="123" spans="1:21" s="35" customFormat="1" ht="15.75">
      <c r="A123" s="40">
        <v>43008</v>
      </c>
      <c r="B123" s="30">
        <v>-134023.79999999999</v>
      </c>
      <c r="C123" s="30">
        <v>-42355.7</v>
      </c>
      <c r="D123" s="30"/>
      <c r="E123" s="29">
        <f t="shared" si="11"/>
        <v>-176379.5</v>
      </c>
      <c r="F123" s="30">
        <v>112382.3</v>
      </c>
      <c r="G123" s="30">
        <v>550738.80000000005</v>
      </c>
      <c r="H123" s="30"/>
      <c r="I123" s="30">
        <v>44013.45</v>
      </c>
      <c r="J123" s="30">
        <v>62698.6</v>
      </c>
      <c r="K123" s="30">
        <v>538362.6</v>
      </c>
      <c r="L123" s="31">
        <f t="shared" si="8"/>
        <v>1308195.75</v>
      </c>
      <c r="M123" s="30">
        <v>234692.7</v>
      </c>
      <c r="N123" s="29">
        <v>36826.199999999997</v>
      </c>
      <c r="O123" s="31">
        <f t="shared" si="9"/>
        <v>1036676.8500000001</v>
      </c>
      <c r="P123" s="36">
        <v>28033</v>
      </c>
      <c r="Q123" s="31">
        <v>893468</v>
      </c>
      <c r="R123" s="31">
        <v>56.1</v>
      </c>
      <c r="S123" s="29">
        <f t="shared" si="13"/>
        <v>921557.1</v>
      </c>
      <c r="T123" s="33">
        <f t="shared" si="15"/>
        <v>1958233.9500000002</v>
      </c>
      <c r="U123" s="29">
        <f t="shared" si="16"/>
        <v>1781854.4500000002</v>
      </c>
    </row>
    <row r="124" spans="1:21" s="35" customFormat="1" ht="15.75">
      <c r="A124" s="40">
        <v>43039</v>
      </c>
      <c r="B124" s="30">
        <v>-126420.60000000003</v>
      </c>
      <c r="C124" s="30">
        <v>12222.300000000017</v>
      </c>
      <c r="D124" s="30"/>
      <c r="E124" s="29">
        <f t="shared" si="11"/>
        <v>-114198.30000000002</v>
      </c>
      <c r="F124" s="30">
        <v>144881.70000000001</v>
      </c>
      <c r="G124" s="30">
        <v>550691.5</v>
      </c>
      <c r="H124" s="30"/>
      <c r="I124" s="30">
        <v>39800.766666666663</v>
      </c>
      <c r="J124" s="30">
        <v>59912</v>
      </c>
      <c r="K124" s="30">
        <v>537082.9</v>
      </c>
      <c r="L124" s="31">
        <f t="shared" si="8"/>
        <v>1332368.8666666667</v>
      </c>
      <c r="M124" s="30">
        <v>300928.10000000003</v>
      </c>
      <c r="N124" s="29">
        <v>36557</v>
      </c>
      <c r="O124" s="31">
        <f t="shared" si="9"/>
        <v>994883.7666666666</v>
      </c>
      <c r="P124" s="36">
        <v>29792.5</v>
      </c>
      <c r="Q124" s="31">
        <v>903481.13333333319</v>
      </c>
      <c r="R124" s="31">
        <v>47.7</v>
      </c>
      <c r="S124" s="29">
        <f t="shared" si="13"/>
        <v>933321.33333333314</v>
      </c>
      <c r="T124" s="33">
        <f t="shared" si="15"/>
        <v>1928205.0999999996</v>
      </c>
      <c r="U124" s="29">
        <f t="shared" si="16"/>
        <v>1814006.7999999996</v>
      </c>
    </row>
    <row r="125" spans="1:21" s="35" customFormat="1" ht="15.75">
      <c r="A125" s="40">
        <v>43069</v>
      </c>
      <c r="B125" s="30">
        <v>-145157.30000000002</v>
      </c>
      <c r="C125" s="30">
        <v>814</v>
      </c>
      <c r="D125" s="30"/>
      <c r="E125" s="29">
        <f t="shared" si="11"/>
        <v>-144343.30000000002</v>
      </c>
      <c r="F125" s="30">
        <v>150659</v>
      </c>
      <c r="G125" s="30">
        <v>572181.1</v>
      </c>
      <c r="H125" s="30"/>
      <c r="I125" s="30">
        <v>32592.883333333335</v>
      </c>
      <c r="J125" s="30">
        <v>59912</v>
      </c>
      <c r="K125" s="30">
        <v>536443</v>
      </c>
      <c r="L125" s="31">
        <f t="shared" si="8"/>
        <v>1351787.9833333334</v>
      </c>
      <c r="M125" s="30">
        <v>268557.89999999997</v>
      </c>
      <c r="N125" s="29">
        <v>44760.4</v>
      </c>
      <c r="O125" s="31">
        <f t="shared" si="9"/>
        <v>1038469.6833333335</v>
      </c>
      <c r="P125" s="36">
        <v>33823.800000000003</v>
      </c>
      <c r="Q125" s="31">
        <v>905361.26666666672</v>
      </c>
      <c r="R125" s="31">
        <v>4522.3</v>
      </c>
      <c r="S125" s="29">
        <f t="shared" si="13"/>
        <v>943707.36666666681</v>
      </c>
      <c r="T125" s="33">
        <f t="shared" si="15"/>
        <v>1982177.0500000003</v>
      </c>
      <c r="U125" s="29">
        <f t="shared" si="16"/>
        <v>1837833.7500000002</v>
      </c>
    </row>
    <row r="126" spans="1:21" s="35" customFormat="1" ht="15.75">
      <c r="A126" s="40">
        <v>43100</v>
      </c>
      <c r="B126" s="30">
        <v>-144480.39999999997</v>
      </c>
      <c r="C126" s="30">
        <v>-9919.6000000000058</v>
      </c>
      <c r="D126" s="30" t="s">
        <v>2</v>
      </c>
      <c r="E126" s="29">
        <f t="shared" si="11"/>
        <v>-154399.99999999997</v>
      </c>
      <c r="F126" s="30">
        <v>194279.4</v>
      </c>
      <c r="G126" s="30">
        <v>643490.6</v>
      </c>
      <c r="H126" s="30"/>
      <c r="I126" s="30">
        <v>30924.9</v>
      </c>
      <c r="J126" s="30">
        <v>57125.4</v>
      </c>
      <c r="K126" s="30">
        <v>535803.19999999995</v>
      </c>
      <c r="L126" s="31">
        <f t="shared" si="8"/>
        <v>1461623.5</v>
      </c>
      <c r="M126" s="30">
        <v>300060.10000000009</v>
      </c>
      <c r="N126" s="29">
        <v>49349</v>
      </c>
      <c r="O126" s="31">
        <f t="shared" si="9"/>
        <v>1112214.3999999999</v>
      </c>
      <c r="P126" s="36">
        <v>28762.899999999998</v>
      </c>
      <c r="Q126" s="31">
        <v>859051.5</v>
      </c>
      <c r="R126" s="31">
        <v>4937.3999999999996</v>
      </c>
      <c r="S126" s="29">
        <f t="shared" si="13"/>
        <v>892751.8</v>
      </c>
      <c r="T126" s="33">
        <f t="shared" si="15"/>
        <v>2004966.2</v>
      </c>
      <c r="U126" s="29">
        <f t="shared" si="16"/>
        <v>1850566.2</v>
      </c>
    </row>
    <row r="127" spans="1:21" s="35" customFormat="1" ht="15.75">
      <c r="A127" s="40">
        <v>43131</v>
      </c>
      <c r="B127" s="30">
        <v>-165010.79999999999</v>
      </c>
      <c r="C127" s="30">
        <v>-12497.699999999983</v>
      </c>
      <c r="D127" s="30" t="s">
        <v>2</v>
      </c>
      <c r="E127" s="29">
        <f t="shared" si="11"/>
        <v>-177508.49999999997</v>
      </c>
      <c r="F127" s="30">
        <v>154611.4</v>
      </c>
      <c r="G127" s="30">
        <v>662177.9</v>
      </c>
      <c r="H127" s="30"/>
      <c r="I127" s="30">
        <v>29868.35</v>
      </c>
      <c r="J127" s="30">
        <v>55732.1</v>
      </c>
      <c r="K127" s="30">
        <v>535163.30000000005</v>
      </c>
      <c r="L127" s="31">
        <f t="shared" si="8"/>
        <v>1437553.05</v>
      </c>
      <c r="M127" s="30">
        <v>273185</v>
      </c>
      <c r="N127" s="29">
        <v>53988.5</v>
      </c>
      <c r="O127" s="31">
        <f t="shared" si="9"/>
        <v>1110379.55</v>
      </c>
      <c r="P127" s="36">
        <v>25425.200000000001</v>
      </c>
      <c r="Q127" s="31">
        <v>861275.6</v>
      </c>
      <c r="R127" s="31">
        <v>4778.2</v>
      </c>
      <c r="S127" s="29">
        <f t="shared" si="13"/>
        <v>891478.99999999988</v>
      </c>
      <c r="T127" s="33">
        <f t="shared" si="15"/>
        <v>2001858.5499999998</v>
      </c>
      <c r="U127" s="29">
        <f t="shared" si="16"/>
        <v>1824350.0499999998</v>
      </c>
    </row>
    <row r="128" spans="1:21" s="35" customFormat="1" ht="15.75">
      <c r="A128" s="40">
        <v>43159</v>
      </c>
      <c r="B128" s="30">
        <v>-136231.60000000003</v>
      </c>
      <c r="C128" s="30">
        <v>7962.1999999999825</v>
      </c>
      <c r="D128" s="30" t="s">
        <v>2</v>
      </c>
      <c r="E128" s="29">
        <f t="shared" si="11"/>
        <v>-128269.40000000005</v>
      </c>
      <c r="F128" s="30">
        <v>156799.4</v>
      </c>
      <c r="G128" s="30">
        <v>689269.8</v>
      </c>
      <c r="H128" s="30"/>
      <c r="I128" s="30">
        <v>33745.700000000004</v>
      </c>
      <c r="J128" s="30">
        <v>54338.8</v>
      </c>
      <c r="K128" s="30">
        <v>534523.4</v>
      </c>
      <c r="L128" s="31">
        <f t="shared" si="8"/>
        <v>1468677.1</v>
      </c>
      <c r="M128" s="30">
        <v>274672.40000000002</v>
      </c>
      <c r="N128" s="29">
        <v>54895.000000000007</v>
      </c>
      <c r="O128" s="31">
        <f t="shared" si="9"/>
        <v>1139109.7000000002</v>
      </c>
      <c r="P128" s="36">
        <v>17299.899999999998</v>
      </c>
      <c r="Q128" s="31">
        <v>893761.9</v>
      </c>
      <c r="R128" s="31">
        <v>4731.8</v>
      </c>
      <c r="S128" s="29">
        <f t="shared" si="13"/>
        <v>915793.60000000009</v>
      </c>
      <c r="T128" s="33">
        <f t="shared" si="15"/>
        <v>2054903.3000000003</v>
      </c>
      <c r="U128" s="29">
        <f t="shared" si="16"/>
        <v>1926633.9000000001</v>
      </c>
    </row>
    <row r="129" spans="1:21" s="35" customFormat="1" ht="15.75">
      <c r="A129" s="40">
        <v>43190</v>
      </c>
      <c r="B129" s="30">
        <v>-180109.99999999997</v>
      </c>
      <c r="C129" s="30">
        <v>10814.499999999913</v>
      </c>
      <c r="D129" s="30" t="s">
        <v>2</v>
      </c>
      <c r="E129" s="29">
        <f t="shared" si="11"/>
        <v>-169295.50000000006</v>
      </c>
      <c r="F129" s="30">
        <v>151279.20000000001</v>
      </c>
      <c r="G129" s="30">
        <v>716057.39999999991</v>
      </c>
      <c r="H129" s="30"/>
      <c r="I129" s="30">
        <v>39655.5</v>
      </c>
      <c r="J129" s="30">
        <v>52945.5</v>
      </c>
      <c r="K129" s="30">
        <v>533314.30000000005</v>
      </c>
      <c r="L129" s="31">
        <f t="shared" si="8"/>
        <v>1493251.9</v>
      </c>
      <c r="M129" s="30">
        <v>290474.59999999998</v>
      </c>
      <c r="N129" s="29">
        <v>56551.900000000009</v>
      </c>
      <c r="O129" s="31">
        <f t="shared" si="9"/>
        <v>1146225.3999999999</v>
      </c>
      <c r="P129" s="36">
        <v>16032.599999999999</v>
      </c>
      <c r="Q129" s="31">
        <v>887426.7</v>
      </c>
      <c r="R129" s="31">
        <v>5422.5</v>
      </c>
      <c r="S129" s="29">
        <f t="shared" si="13"/>
        <v>908881.79999999993</v>
      </c>
      <c r="T129" s="33">
        <f t="shared" si="15"/>
        <v>2055107.1999999997</v>
      </c>
      <c r="U129" s="29">
        <f t="shared" si="16"/>
        <v>1885811.6999999997</v>
      </c>
    </row>
    <row r="130" spans="1:21" s="35" customFormat="1" ht="15.75">
      <c r="A130" s="40">
        <v>43220</v>
      </c>
      <c r="B130" s="30">
        <v>-152351.79999999999</v>
      </c>
      <c r="C130" s="30">
        <v>-4773.4999999999709</v>
      </c>
      <c r="D130" s="30" t="s">
        <v>2</v>
      </c>
      <c r="E130" s="29">
        <f t="shared" si="11"/>
        <v>-157125.29999999996</v>
      </c>
      <c r="F130" s="30">
        <v>130576.4</v>
      </c>
      <c r="G130" s="30">
        <v>744753.10000000009</v>
      </c>
      <c r="H130" s="30"/>
      <c r="I130" s="30">
        <v>31374.366666666669</v>
      </c>
      <c r="J130" s="30">
        <v>52945.5</v>
      </c>
      <c r="K130" s="30">
        <v>532175.80000000005</v>
      </c>
      <c r="L130" s="31">
        <f t="shared" si="8"/>
        <v>1491825.166666667</v>
      </c>
      <c r="M130" s="30">
        <v>289983.09999999998</v>
      </c>
      <c r="N130" s="29">
        <v>59990</v>
      </c>
      <c r="O130" s="31">
        <f t="shared" si="9"/>
        <v>1141852.0666666669</v>
      </c>
      <c r="P130" s="36">
        <v>14505.4</v>
      </c>
      <c r="Q130" s="31">
        <v>894409.2</v>
      </c>
      <c r="R130" s="31">
        <v>4964</v>
      </c>
      <c r="S130" s="29">
        <f t="shared" si="13"/>
        <v>913878.6</v>
      </c>
      <c r="T130" s="33">
        <f t="shared" si="15"/>
        <v>2055730.666666667</v>
      </c>
      <c r="U130" s="29">
        <f t="shared" si="16"/>
        <v>1898605.3666666669</v>
      </c>
    </row>
    <row r="131" spans="1:21" s="35" customFormat="1" ht="15.75">
      <c r="A131" s="40">
        <v>43251</v>
      </c>
      <c r="B131" s="30">
        <v>-171824.40000000002</v>
      </c>
      <c r="C131" s="30">
        <v>-2357.6999999999825</v>
      </c>
      <c r="D131" s="30" t="s">
        <v>2</v>
      </c>
      <c r="E131" s="29">
        <f t="shared" si="11"/>
        <v>-174182.1</v>
      </c>
      <c r="F131" s="30">
        <v>134896.70000000001</v>
      </c>
      <c r="G131" s="30">
        <v>772226.09999999986</v>
      </c>
      <c r="H131" s="30"/>
      <c r="I131" s="30">
        <v>31843.633333333335</v>
      </c>
      <c r="J131" s="30">
        <v>50158.9</v>
      </c>
      <c r="K131" s="30">
        <v>529757.5</v>
      </c>
      <c r="L131" s="31">
        <f t="shared" si="8"/>
        <v>1518882.833333333</v>
      </c>
      <c r="M131" s="30">
        <v>293405.5</v>
      </c>
      <c r="N131" s="29">
        <v>59494.400000000001</v>
      </c>
      <c r="O131" s="31">
        <f t="shared" si="9"/>
        <v>1165982.9333333331</v>
      </c>
      <c r="P131" s="36">
        <v>14832.3</v>
      </c>
      <c r="Q131" s="31">
        <v>889153.7</v>
      </c>
      <c r="R131" s="31">
        <v>5359.7</v>
      </c>
      <c r="S131" s="29">
        <f t="shared" si="13"/>
        <v>909345.7</v>
      </c>
      <c r="T131" s="33">
        <f t="shared" si="15"/>
        <v>2075328.6333333331</v>
      </c>
      <c r="U131" s="29">
        <f t="shared" si="16"/>
        <v>1901146.533333333</v>
      </c>
    </row>
    <row r="132" spans="1:21" s="35" customFormat="1" ht="15.75">
      <c r="A132" s="40">
        <v>43281</v>
      </c>
      <c r="B132" s="30">
        <v>-175279.1</v>
      </c>
      <c r="C132" s="30">
        <v>-25976.599999999977</v>
      </c>
      <c r="D132" s="30" t="s">
        <v>2</v>
      </c>
      <c r="E132" s="29">
        <f t="shared" si="11"/>
        <v>-201255.69999999998</v>
      </c>
      <c r="F132" s="30">
        <v>201181.6</v>
      </c>
      <c r="G132" s="30">
        <v>799117.89999999991</v>
      </c>
      <c r="H132" s="30"/>
      <c r="I132" s="30">
        <v>61935.900000000009</v>
      </c>
      <c r="J132" s="30">
        <v>50158.9</v>
      </c>
      <c r="K132" s="30">
        <v>529117.6</v>
      </c>
      <c r="L132" s="31">
        <f t="shared" si="8"/>
        <v>1641511.9</v>
      </c>
      <c r="M132" s="30">
        <v>398416.1</v>
      </c>
      <c r="N132" s="29">
        <v>53521.5</v>
      </c>
      <c r="O132" s="31">
        <f t="shared" si="9"/>
        <v>1189574.2999999998</v>
      </c>
      <c r="P132" s="36">
        <v>24405.8</v>
      </c>
      <c r="Q132" s="31">
        <v>940441</v>
      </c>
      <c r="R132" s="31">
        <v>5533.2</v>
      </c>
      <c r="S132" s="29">
        <f t="shared" si="13"/>
        <v>970380</v>
      </c>
      <c r="T132" s="33">
        <f t="shared" si="15"/>
        <v>2159954.2999999998</v>
      </c>
      <c r="U132" s="29">
        <f t="shared" si="16"/>
        <v>1958698.5999999999</v>
      </c>
    </row>
    <row r="133" spans="1:21" s="35" customFormat="1" ht="15.75">
      <c r="A133" s="40">
        <v>43312</v>
      </c>
      <c r="B133" s="30">
        <v>-174985.09999999998</v>
      </c>
      <c r="C133" s="30">
        <v>-24669.800000000017</v>
      </c>
      <c r="D133" s="30">
        <v>-97.2</v>
      </c>
      <c r="E133" s="29">
        <f t="shared" si="11"/>
        <v>-199752.1</v>
      </c>
      <c r="F133" s="30">
        <v>162239</v>
      </c>
      <c r="G133" s="30">
        <v>802635.2</v>
      </c>
      <c r="H133" s="30"/>
      <c r="I133" s="30">
        <v>59864.53333333334</v>
      </c>
      <c r="J133" s="30">
        <v>48765.599999999999</v>
      </c>
      <c r="K133" s="30">
        <v>528548.4</v>
      </c>
      <c r="L133" s="31">
        <f t="shared" si="8"/>
        <v>1602052.7333333334</v>
      </c>
      <c r="M133" s="30">
        <v>349061.9</v>
      </c>
      <c r="N133" s="29">
        <v>47099.000000000007</v>
      </c>
      <c r="O133" s="31">
        <f t="shared" si="9"/>
        <v>1205891.8333333335</v>
      </c>
      <c r="P133" s="36">
        <v>27074.999999999996</v>
      </c>
      <c r="Q133" s="31">
        <v>975970.7</v>
      </c>
      <c r="R133" s="31">
        <v>5486.6</v>
      </c>
      <c r="S133" s="29">
        <f t="shared" si="13"/>
        <v>1008532.2999999999</v>
      </c>
      <c r="T133" s="33">
        <f t="shared" si="15"/>
        <v>2214424.1333333333</v>
      </c>
      <c r="U133" s="29">
        <f t="shared" si="16"/>
        <v>2014672.0333333332</v>
      </c>
    </row>
    <row r="134" spans="1:21" s="35" customFormat="1" ht="15.75">
      <c r="A134" s="40">
        <v>43343</v>
      </c>
      <c r="B134" s="30">
        <v>-171826.4</v>
      </c>
      <c r="C134" s="30">
        <v>-36737.100000000035</v>
      </c>
      <c r="D134" s="30">
        <v>-194.4</v>
      </c>
      <c r="E134" s="29">
        <f t="shared" si="11"/>
        <v>-208757.90000000002</v>
      </c>
      <c r="F134" s="30">
        <v>148049.1</v>
      </c>
      <c r="G134" s="30">
        <v>844453.9</v>
      </c>
      <c r="H134" s="30"/>
      <c r="I134" s="30">
        <v>61327.46666666666</v>
      </c>
      <c r="J134" s="30">
        <v>47372.3</v>
      </c>
      <c r="K134" s="30">
        <v>527339.19999999995</v>
      </c>
      <c r="L134" s="31">
        <f t="shared" si="8"/>
        <v>1628541.9666666666</v>
      </c>
      <c r="M134" s="30">
        <v>340200.7</v>
      </c>
      <c r="N134" s="29">
        <v>61491.499999999993</v>
      </c>
      <c r="O134" s="31">
        <f t="shared" si="9"/>
        <v>1226849.7666666666</v>
      </c>
      <c r="P134" s="36">
        <v>36096.699999999997</v>
      </c>
      <c r="Q134" s="31">
        <v>976985.2</v>
      </c>
      <c r="R134" s="31">
        <v>5519.4</v>
      </c>
      <c r="S134" s="29">
        <f t="shared" si="13"/>
        <v>1018601.2999999999</v>
      </c>
      <c r="T134" s="33">
        <f t="shared" si="15"/>
        <v>2245451.0666666664</v>
      </c>
      <c r="U134" s="29">
        <f t="shared" si="16"/>
        <v>2036693.1666666665</v>
      </c>
    </row>
    <row r="135" spans="1:21" s="35" customFormat="1" ht="15.75">
      <c r="A135" s="40">
        <v>43373</v>
      </c>
      <c r="B135" s="30">
        <v>-185086.7</v>
      </c>
      <c r="C135" s="30">
        <v>-31906.400000000052</v>
      </c>
      <c r="D135" s="30">
        <v>-291.60000000000002</v>
      </c>
      <c r="E135" s="29">
        <f t="shared" si="11"/>
        <v>-217284.70000000007</v>
      </c>
      <c r="F135" s="30">
        <v>151767</v>
      </c>
      <c r="G135" s="30">
        <v>868808.30000000016</v>
      </c>
      <c r="H135" s="30"/>
      <c r="I135" s="30">
        <v>65477.4</v>
      </c>
      <c r="J135" s="30">
        <v>45979</v>
      </c>
      <c r="K135" s="30">
        <v>526130.1</v>
      </c>
      <c r="L135" s="31">
        <f t="shared" ref="L135:L138" si="17">SUM(F135:K135)</f>
        <v>1658161.8000000003</v>
      </c>
      <c r="M135" s="30">
        <v>353050.4</v>
      </c>
      <c r="N135" s="29">
        <v>67423.399999999994</v>
      </c>
      <c r="O135" s="31">
        <f t="shared" ref="O135:O138" si="18">L135-M135-N135</f>
        <v>1237688.0000000005</v>
      </c>
      <c r="P135" s="36">
        <v>32676.399999999998</v>
      </c>
      <c r="Q135" s="31">
        <v>989136.8</v>
      </c>
      <c r="R135" s="31">
        <v>5747.6</v>
      </c>
      <c r="S135" s="29">
        <f t="shared" si="13"/>
        <v>1027560.8</v>
      </c>
      <c r="T135" s="33">
        <f t="shared" si="15"/>
        <v>2265248.8000000007</v>
      </c>
      <c r="U135" s="29">
        <f t="shared" si="16"/>
        <v>2047964.1000000006</v>
      </c>
    </row>
    <row r="136" spans="1:21" s="35" customFormat="1" ht="15.75">
      <c r="A136" s="40">
        <v>43404</v>
      </c>
      <c r="B136" s="30">
        <v>-167112.20000000004</v>
      </c>
      <c r="C136" s="30">
        <v>-44112.100000000035</v>
      </c>
      <c r="D136" s="30">
        <v>-194.40000000000003</v>
      </c>
      <c r="E136" s="29">
        <f t="shared" ref="E136:E138" si="19">SUM(B136:D136)</f>
        <v>-211418.70000000007</v>
      </c>
      <c r="F136" s="30">
        <v>182655.4</v>
      </c>
      <c r="G136" s="30">
        <v>889089.8</v>
      </c>
      <c r="H136" s="30"/>
      <c r="I136" s="30">
        <v>63695.033333333326</v>
      </c>
      <c r="J136" s="30">
        <v>44585.7</v>
      </c>
      <c r="K136" s="30">
        <v>523711.8</v>
      </c>
      <c r="L136" s="31">
        <f t="shared" si="17"/>
        <v>1703737.7333333334</v>
      </c>
      <c r="M136" s="30">
        <v>358860.4</v>
      </c>
      <c r="N136" s="29">
        <v>71166.3</v>
      </c>
      <c r="O136" s="31">
        <f t="shared" si="18"/>
        <v>1273711.0333333334</v>
      </c>
      <c r="P136" s="36">
        <v>44255.700000000012</v>
      </c>
      <c r="Q136" s="31">
        <v>1011544.2</v>
      </c>
      <c r="R136" s="31">
        <v>5786.5</v>
      </c>
      <c r="S136" s="29">
        <f t="shared" si="13"/>
        <v>1061586.3999999999</v>
      </c>
      <c r="T136" s="33">
        <f t="shared" si="15"/>
        <v>2335297.4333333336</v>
      </c>
      <c r="U136" s="29">
        <f t="shared" si="16"/>
        <v>2123878.7333333334</v>
      </c>
    </row>
    <row r="137" spans="1:21" s="35" customFormat="1" ht="15.75">
      <c r="A137" s="40">
        <v>43434</v>
      </c>
      <c r="B137" s="30">
        <v>-156463.60000000003</v>
      </c>
      <c r="C137" s="30">
        <v>-38153.599999999977</v>
      </c>
      <c r="D137" s="30">
        <v>-97.200000000000017</v>
      </c>
      <c r="E137" s="29">
        <f t="shared" si="19"/>
        <v>-194714.40000000002</v>
      </c>
      <c r="F137" s="30">
        <v>182857.3</v>
      </c>
      <c r="G137" s="30">
        <v>913706.2</v>
      </c>
      <c r="H137" s="30"/>
      <c r="I137" s="30">
        <v>63621.566666666666</v>
      </c>
      <c r="J137" s="30">
        <v>43192.4</v>
      </c>
      <c r="K137" s="30">
        <v>523711.8</v>
      </c>
      <c r="L137" s="31">
        <f t="shared" si="17"/>
        <v>1727089.2666666666</v>
      </c>
      <c r="M137" s="30">
        <v>349956.5</v>
      </c>
      <c r="N137" s="29">
        <v>64784.799999999996</v>
      </c>
      <c r="O137" s="31">
        <f t="shared" si="18"/>
        <v>1312347.9666666666</v>
      </c>
      <c r="P137" s="36">
        <v>42729.400000000009</v>
      </c>
      <c r="Q137" s="31">
        <v>1016711.4</v>
      </c>
      <c r="R137" s="31">
        <v>5665.9</v>
      </c>
      <c r="S137" s="29">
        <f t="shared" si="13"/>
        <v>1065106.7</v>
      </c>
      <c r="T137" s="33">
        <f t="shared" si="15"/>
        <v>2377454.6666666665</v>
      </c>
      <c r="U137" s="29">
        <f t="shared" si="16"/>
        <v>2182740.2666666666</v>
      </c>
    </row>
    <row r="138" spans="1:21" s="35" customFormat="1" ht="15.75">
      <c r="A138" s="40">
        <v>43465</v>
      </c>
      <c r="B138" s="30">
        <v>-165217.1</v>
      </c>
      <c r="C138" s="30">
        <v>-37983.9</v>
      </c>
      <c r="D138" s="30" t="s">
        <v>2</v>
      </c>
      <c r="E138" s="29">
        <f t="shared" si="19"/>
        <v>-203201</v>
      </c>
      <c r="F138" s="30">
        <v>210409.1</v>
      </c>
      <c r="G138" s="30">
        <v>932439.20000000007</v>
      </c>
      <c r="H138" s="30"/>
      <c r="I138" s="30">
        <v>58884.2</v>
      </c>
      <c r="J138" s="30">
        <v>40405.800000000003</v>
      </c>
      <c r="K138" s="30">
        <v>521293.6</v>
      </c>
      <c r="L138" s="31">
        <f t="shared" si="17"/>
        <v>1763431.9</v>
      </c>
      <c r="M138" s="30">
        <v>353522.4</v>
      </c>
      <c r="N138" s="29">
        <v>72375.499999999985</v>
      </c>
      <c r="O138" s="31">
        <f t="shared" si="18"/>
        <v>1337534</v>
      </c>
      <c r="P138" s="36">
        <v>42063.6</v>
      </c>
      <c r="Q138" s="31">
        <v>983859.20000000019</v>
      </c>
      <c r="R138" s="31">
        <v>6028.8</v>
      </c>
      <c r="S138" s="29">
        <f t="shared" si="13"/>
        <v>1031951.6000000002</v>
      </c>
      <c r="T138" s="33">
        <f t="shared" si="15"/>
        <v>2369485.6</v>
      </c>
      <c r="U138" s="29">
        <f t="shared" si="16"/>
        <v>2166284.6</v>
      </c>
    </row>
    <row r="139" spans="1:21" s="35" customFormat="1" ht="15.75">
      <c r="A139" s="40">
        <v>43496</v>
      </c>
      <c r="B139" s="30">
        <v>-182568.59999999998</v>
      </c>
      <c r="C139" s="30">
        <v>-55757.799999999988</v>
      </c>
      <c r="D139" s="30" t="s">
        <v>2</v>
      </c>
      <c r="E139" s="29">
        <f t="shared" ref="E139:E144" si="20">+SUM(B139:D139)</f>
        <v>-238326.39999999997</v>
      </c>
      <c r="F139" s="30">
        <v>174198.6</v>
      </c>
      <c r="G139" s="30">
        <v>986516.79999999993</v>
      </c>
      <c r="H139" s="30"/>
      <c r="I139" s="30">
        <v>57507.799999999996</v>
      </c>
      <c r="J139" s="30">
        <v>40405.800000000003</v>
      </c>
      <c r="K139" s="30">
        <v>521293.6</v>
      </c>
      <c r="L139" s="31">
        <f t="shared" ref="L139:L144" si="21">+SUM(F139:K139)</f>
        <v>1779922.6</v>
      </c>
      <c r="M139" s="30">
        <v>370633.2</v>
      </c>
      <c r="N139" s="29">
        <v>61052.1</v>
      </c>
      <c r="O139" s="31">
        <f t="shared" ref="O139:O202" si="22">+L139-M139-N139</f>
        <v>1348237.3</v>
      </c>
      <c r="P139" s="36">
        <v>36041.299999999996</v>
      </c>
      <c r="Q139" s="31">
        <v>977163.1</v>
      </c>
      <c r="R139" s="31">
        <v>6363.7</v>
      </c>
      <c r="S139" s="29">
        <f t="shared" ref="S139:S140" si="23">SUM(P139:R139)</f>
        <v>1019568.1</v>
      </c>
      <c r="T139" s="33">
        <f t="shared" ref="T139:T204" si="24">SUM(O139,S139)</f>
        <v>2367805.4</v>
      </c>
      <c r="U139" s="29">
        <f t="shared" ref="U139:U160" si="25">SUM(E139,T139)</f>
        <v>2129479</v>
      </c>
    </row>
    <row r="140" spans="1:21" s="35" customFormat="1" ht="15.75">
      <c r="A140" s="40">
        <v>43524</v>
      </c>
      <c r="B140" s="30">
        <v>-148014.80000000002</v>
      </c>
      <c r="C140" s="30">
        <v>-56830.499999999971</v>
      </c>
      <c r="D140" s="30" t="s">
        <v>2</v>
      </c>
      <c r="E140" s="29">
        <f t="shared" si="20"/>
        <v>-204845.3</v>
      </c>
      <c r="F140" s="30">
        <v>195688.4</v>
      </c>
      <c r="G140" s="30">
        <v>1016767.7000000001</v>
      </c>
      <c r="H140" s="30"/>
      <c r="I140" s="30">
        <v>55457.5</v>
      </c>
      <c r="J140" s="30">
        <v>39012.5</v>
      </c>
      <c r="K140" s="30">
        <v>520084.5</v>
      </c>
      <c r="L140" s="31">
        <f t="shared" si="21"/>
        <v>1827010.6</v>
      </c>
      <c r="M140" s="30">
        <v>368080.4</v>
      </c>
      <c r="N140" s="29">
        <v>64711.1</v>
      </c>
      <c r="O140" s="31">
        <f t="shared" si="22"/>
        <v>1394219.1</v>
      </c>
      <c r="P140" s="36">
        <v>34014.400000000001</v>
      </c>
      <c r="Q140" s="31">
        <v>991824.5</v>
      </c>
      <c r="R140" s="31">
        <v>6912.9</v>
      </c>
      <c r="S140" s="29">
        <f t="shared" si="23"/>
        <v>1032751.8</v>
      </c>
      <c r="T140" s="33">
        <f t="shared" si="24"/>
        <v>2426970.9000000004</v>
      </c>
      <c r="U140" s="29">
        <f t="shared" si="25"/>
        <v>2222125.6000000006</v>
      </c>
    </row>
    <row r="141" spans="1:21" s="35" customFormat="1" ht="15.75">
      <c r="A141" s="40">
        <v>43555</v>
      </c>
      <c r="B141" s="30">
        <v>-166782.39999999999</v>
      </c>
      <c r="C141" s="30">
        <v>-62620.70000000007</v>
      </c>
      <c r="D141" s="30" t="s">
        <v>2</v>
      </c>
      <c r="E141" s="29">
        <f t="shared" si="20"/>
        <v>-229403.10000000006</v>
      </c>
      <c r="F141" s="30">
        <v>221728.4</v>
      </c>
      <c r="G141" s="30">
        <f>74137.1+941488.5+22035.7</f>
        <v>1037661.2999999999</v>
      </c>
      <c r="H141" s="30"/>
      <c r="I141" s="30">
        <v>66134.8</v>
      </c>
      <c r="J141" s="30">
        <v>36225.9</v>
      </c>
      <c r="K141" s="30">
        <v>518306</v>
      </c>
      <c r="L141" s="31">
        <f t="shared" si="21"/>
        <v>1880056.4</v>
      </c>
      <c r="M141" s="30">
        <v>412450</v>
      </c>
      <c r="N141" s="29">
        <v>58269.8</v>
      </c>
      <c r="O141" s="31">
        <f t="shared" si="22"/>
        <v>1409336.5999999999</v>
      </c>
      <c r="P141" s="36">
        <v>32296.6</v>
      </c>
      <c r="Q141" s="31">
        <v>1008148.3000000002</v>
      </c>
      <c r="R141" s="31">
        <v>6662.7</v>
      </c>
      <c r="S141" s="29">
        <f t="shared" ref="S141" si="26">SUM(P141:R141)</f>
        <v>1047107.6000000001</v>
      </c>
      <c r="T141" s="33">
        <f t="shared" si="24"/>
        <v>2456444.2000000002</v>
      </c>
      <c r="U141" s="29">
        <f t="shared" si="25"/>
        <v>2227041.1</v>
      </c>
    </row>
    <row r="142" spans="1:21" s="35" customFormat="1" ht="15.75">
      <c r="A142" s="40">
        <v>43585</v>
      </c>
      <c r="B142" s="30">
        <f>138621.2-298492</f>
        <v>-159870.79999999999</v>
      </c>
      <c r="C142" s="30">
        <f>120674.2-197777.1</f>
        <v>-77102.900000000009</v>
      </c>
      <c r="D142" s="30" t="s">
        <v>2</v>
      </c>
      <c r="E142" s="29">
        <f t="shared" si="20"/>
        <v>-236973.7</v>
      </c>
      <c r="F142" s="30">
        <v>195994.1</v>
      </c>
      <c r="G142" s="30">
        <f>50233.1+1006432.8+19500</f>
        <v>1076165.9000000001</v>
      </c>
      <c r="H142" s="30"/>
      <c r="I142" s="30">
        <v>66482.8</v>
      </c>
      <c r="J142" s="30">
        <v>36225.9</v>
      </c>
      <c r="K142" s="30">
        <v>517334.5</v>
      </c>
      <c r="L142" s="31">
        <f t="shared" si="21"/>
        <v>1892203.2000000002</v>
      </c>
      <c r="M142" s="30">
        <v>390323.7</v>
      </c>
      <c r="N142" s="29">
        <v>56955.6</v>
      </c>
      <c r="O142" s="31">
        <f t="shared" si="22"/>
        <v>1444923.9000000001</v>
      </c>
      <c r="P142" s="36">
        <v>33330.999999999993</v>
      </c>
      <c r="Q142" s="31">
        <v>1004160.3</v>
      </c>
      <c r="R142" s="31">
        <v>6674.3</v>
      </c>
      <c r="S142" s="29">
        <f t="shared" ref="S142" si="27">SUM(P142:R142)</f>
        <v>1044165.6000000001</v>
      </c>
      <c r="T142" s="33">
        <f t="shared" si="24"/>
        <v>2489089.5</v>
      </c>
      <c r="U142" s="29">
        <f t="shared" si="25"/>
        <v>2252115.7999999998</v>
      </c>
    </row>
    <row r="143" spans="1:21" s="35" customFormat="1" ht="15.75">
      <c r="A143" s="40">
        <v>43616</v>
      </c>
      <c r="B143" s="30">
        <f>188353.4-322255.6</f>
        <v>-133902.19999999998</v>
      </c>
      <c r="C143" s="30">
        <f>142300.4-198646.2</f>
        <v>-56345.800000000017</v>
      </c>
      <c r="D143" s="30" t="s">
        <v>2</v>
      </c>
      <c r="E143" s="29">
        <f t="shared" si="20"/>
        <v>-190248</v>
      </c>
      <c r="F143" s="30">
        <v>191866.3</v>
      </c>
      <c r="G143" s="30">
        <f>45273+1055617.8+16915</f>
        <v>1117805.8</v>
      </c>
      <c r="H143" s="30"/>
      <c r="I143" s="30">
        <v>59356.399999999994</v>
      </c>
      <c r="J143" s="30">
        <v>34832.6</v>
      </c>
      <c r="K143" s="30">
        <v>515247.9</v>
      </c>
      <c r="L143" s="31">
        <f t="shared" si="21"/>
        <v>1919109</v>
      </c>
      <c r="M143" s="30">
        <v>428305.4</v>
      </c>
      <c r="N143" s="29">
        <v>67301.8</v>
      </c>
      <c r="O143" s="31">
        <f t="shared" si="22"/>
        <v>1423501.8</v>
      </c>
      <c r="P143" s="36">
        <f>28149+101.6</f>
        <v>28250.6</v>
      </c>
      <c r="Q143" s="31">
        <v>1036819.9</v>
      </c>
      <c r="R143" s="31">
        <v>6967</v>
      </c>
      <c r="S143" s="29">
        <f t="shared" ref="S143:S192" si="28">SUM(P143:R143)</f>
        <v>1072037.5</v>
      </c>
      <c r="T143" s="33">
        <f t="shared" si="24"/>
        <v>2495539.2999999998</v>
      </c>
      <c r="U143" s="29">
        <f t="shared" si="25"/>
        <v>2305291.2999999998</v>
      </c>
    </row>
    <row r="144" spans="1:21" s="35" customFormat="1" ht="15.75">
      <c r="A144" s="40">
        <v>43646</v>
      </c>
      <c r="B144" s="30">
        <f>177153.1-298866.2</f>
        <v>-121713.1</v>
      </c>
      <c r="C144" s="30">
        <f>127120.2-199660</f>
        <v>-72539.8</v>
      </c>
      <c r="D144" s="30" t="s">
        <v>2</v>
      </c>
      <c r="E144" s="29">
        <f t="shared" si="20"/>
        <v>-194252.90000000002</v>
      </c>
      <c r="F144" s="30">
        <v>216009.2</v>
      </c>
      <c r="G144" s="30">
        <f>42174.9+1084518.3+16965</f>
        <v>1143658.2</v>
      </c>
      <c r="H144" s="30"/>
      <c r="I144" s="30">
        <v>59215</v>
      </c>
      <c r="J144" s="30">
        <v>32046</v>
      </c>
      <c r="K144" s="30">
        <v>514038.8</v>
      </c>
      <c r="L144" s="31">
        <f t="shared" si="21"/>
        <v>1964967.2</v>
      </c>
      <c r="M144" s="30">
        <v>427944.6</v>
      </c>
      <c r="N144" s="29">
        <v>62402.2</v>
      </c>
      <c r="O144" s="31">
        <f t="shared" si="22"/>
        <v>1474620.4000000001</v>
      </c>
      <c r="P144" s="36">
        <f>23367.3+101.6</f>
        <v>23468.899999999998</v>
      </c>
      <c r="Q144" s="31">
        <v>1073690.6000000001</v>
      </c>
      <c r="R144" s="31">
        <v>6546.1</v>
      </c>
      <c r="S144" s="29">
        <f t="shared" si="28"/>
        <v>1103705.6000000001</v>
      </c>
      <c r="T144" s="33">
        <f t="shared" si="24"/>
        <v>2578326</v>
      </c>
      <c r="U144" s="29">
        <f t="shared" si="25"/>
        <v>2384073.1</v>
      </c>
    </row>
    <row r="145" spans="1:21" s="35" customFormat="1" ht="15.75">
      <c r="A145" s="40">
        <v>43677</v>
      </c>
      <c r="B145" s="30">
        <f>166708.8-300474.7</f>
        <v>-133765.90000000002</v>
      </c>
      <c r="C145" s="30">
        <f>130910.8-231174</f>
        <v>-100263.2</v>
      </c>
      <c r="D145" s="30" t="s">
        <v>2</v>
      </c>
      <c r="E145" s="29">
        <f t="shared" ref="E145:E156" si="29">+SUM(B145:D145)</f>
        <v>-234029.10000000003</v>
      </c>
      <c r="F145" s="30">
        <v>158917.5</v>
      </c>
      <c r="G145" s="30">
        <f>43953+1112283.8+13837</f>
        <v>1170073.8</v>
      </c>
      <c r="H145" s="30"/>
      <c r="I145" s="30">
        <v>55134.399999999994</v>
      </c>
      <c r="J145" s="30">
        <v>30652.7</v>
      </c>
      <c r="K145" s="30">
        <v>512829.7</v>
      </c>
      <c r="L145" s="31">
        <f t="shared" ref="L145:L156" si="30">+SUM(F145:K145)</f>
        <v>1927608.0999999999</v>
      </c>
      <c r="M145" s="30">
        <v>385962.8</v>
      </c>
      <c r="N145" s="29">
        <v>69016.7</v>
      </c>
      <c r="O145" s="31">
        <f t="shared" si="22"/>
        <v>1472628.5999999999</v>
      </c>
      <c r="P145" s="36">
        <f>19521.9+101.6</f>
        <v>19623.5</v>
      </c>
      <c r="Q145" s="31">
        <v>1117284.0333333332</v>
      </c>
      <c r="R145" s="31">
        <v>6695.5999999999995</v>
      </c>
      <c r="S145" s="29">
        <f t="shared" si="28"/>
        <v>1143603.1333333333</v>
      </c>
      <c r="T145" s="33">
        <f t="shared" si="24"/>
        <v>2616231.7333333334</v>
      </c>
      <c r="U145" s="29">
        <f t="shared" si="25"/>
        <v>2382202.6333333333</v>
      </c>
    </row>
    <row r="146" spans="1:21" s="35" customFormat="1" ht="15.75">
      <c r="A146" s="40">
        <v>43708</v>
      </c>
      <c r="B146" s="30">
        <f>143964.8-295856.6</f>
        <v>-151891.79999999999</v>
      </c>
      <c r="C146" s="30">
        <f>131114.5-221742.4</f>
        <v>-90627.9</v>
      </c>
      <c r="D146" s="30" t="s">
        <v>2</v>
      </c>
      <c r="E146" s="29">
        <f t="shared" si="29"/>
        <v>-242519.69999999998</v>
      </c>
      <c r="F146" s="30">
        <v>0</v>
      </c>
      <c r="G146" s="30">
        <f>44613+1152737.1+15106</f>
        <v>1212456.1000000001</v>
      </c>
      <c r="H146" s="30"/>
      <c r="I146" s="30">
        <v>59369.600000000006</v>
      </c>
      <c r="J146" s="30">
        <v>30652.7</v>
      </c>
      <c r="K146" s="30">
        <v>728838.8</v>
      </c>
      <c r="L146" s="31">
        <f t="shared" si="30"/>
        <v>2031317.2000000002</v>
      </c>
      <c r="M146" s="30">
        <v>467552.1</v>
      </c>
      <c r="N146" s="29">
        <v>76766.3</v>
      </c>
      <c r="O146" s="31">
        <f t="shared" si="22"/>
        <v>1486998.8</v>
      </c>
      <c r="P146" s="36">
        <f>19534+101.6</f>
        <v>19635.599999999999</v>
      </c>
      <c r="Q146" s="31">
        <v>1127544.6666666665</v>
      </c>
      <c r="R146" s="31">
        <v>6755.2</v>
      </c>
      <c r="S146" s="29">
        <f t="shared" si="28"/>
        <v>1153935.4666666666</v>
      </c>
      <c r="T146" s="33">
        <f t="shared" si="24"/>
        <v>2640934.2666666666</v>
      </c>
      <c r="U146" s="29">
        <f t="shared" si="25"/>
        <v>2398414.5666666664</v>
      </c>
    </row>
    <row r="147" spans="1:21" s="35" customFormat="1" ht="15.75">
      <c r="A147" s="40">
        <v>43738</v>
      </c>
      <c r="B147" s="30">
        <f>152229.3-295964.1</f>
        <v>-143734.79999999999</v>
      </c>
      <c r="C147" s="30">
        <f>139248.5-223096</f>
        <v>-83847.5</v>
      </c>
      <c r="D147" s="30" t="s">
        <v>2</v>
      </c>
      <c r="E147" s="29">
        <f t="shared" si="29"/>
        <v>-227582.3</v>
      </c>
      <c r="F147" s="30">
        <v>0</v>
      </c>
      <c r="G147" s="30">
        <f>52783.1+1160384.5+28225</f>
        <v>1241392.6000000001</v>
      </c>
      <c r="H147" s="30"/>
      <c r="I147" s="30">
        <v>65322.7</v>
      </c>
      <c r="J147" s="30">
        <v>29259.4</v>
      </c>
      <c r="K147" s="30">
        <v>727629.7</v>
      </c>
      <c r="L147" s="31">
        <f t="shared" si="30"/>
        <v>2063604.4</v>
      </c>
      <c r="M147" s="30">
        <v>478795.5</v>
      </c>
      <c r="N147" s="29">
        <v>82107.899999999994</v>
      </c>
      <c r="O147" s="31">
        <f t="shared" si="22"/>
        <v>1502701</v>
      </c>
      <c r="P147" s="36">
        <f>25516+101.6</f>
        <v>25617.599999999999</v>
      </c>
      <c r="Q147" s="31">
        <f>1098721+4652.3+44030.8</f>
        <v>1147404.1000000001</v>
      </c>
      <c r="R147" s="31">
        <v>6686.4</v>
      </c>
      <c r="S147" s="29">
        <f t="shared" si="28"/>
        <v>1179708.1000000001</v>
      </c>
      <c r="T147" s="33">
        <f t="shared" si="24"/>
        <v>2682409.1</v>
      </c>
      <c r="U147" s="29">
        <f t="shared" si="25"/>
        <v>2454826.8000000003</v>
      </c>
    </row>
    <row r="148" spans="1:21" s="35" customFormat="1" ht="15.75">
      <c r="A148" s="40">
        <v>43769</v>
      </c>
      <c r="B148" s="30">
        <f>139379.6-293793.8</f>
        <v>-154414.19999999998</v>
      </c>
      <c r="C148" s="30">
        <f>134768.5-216587.2</f>
        <v>-81818.700000000012</v>
      </c>
      <c r="D148" s="30" t="s">
        <v>2</v>
      </c>
      <c r="E148" s="29">
        <f t="shared" si="29"/>
        <v>-236232.9</v>
      </c>
      <c r="F148" s="30">
        <v>0</v>
      </c>
      <c r="G148" s="30">
        <f>53363+1194779.6+32675</f>
        <v>1280817.6000000001</v>
      </c>
      <c r="H148" s="30"/>
      <c r="I148" s="30">
        <v>76553.5</v>
      </c>
      <c r="J148" s="30">
        <v>26472.7</v>
      </c>
      <c r="K148" s="30">
        <v>725211.5</v>
      </c>
      <c r="L148" s="31">
        <f t="shared" si="30"/>
        <v>2109055.2999999998</v>
      </c>
      <c r="M148" s="30">
        <v>498832</v>
      </c>
      <c r="N148" s="29">
        <v>93562</v>
      </c>
      <c r="O148" s="31">
        <f t="shared" si="22"/>
        <v>1516661.2999999998</v>
      </c>
      <c r="P148" s="36">
        <f>25102.5+101.6</f>
        <v>25204.1</v>
      </c>
      <c r="Q148" s="31">
        <v>1169942.3999999999</v>
      </c>
      <c r="R148" s="31">
        <v>547.9</v>
      </c>
      <c r="S148" s="29">
        <f t="shared" si="28"/>
        <v>1195694.3999999999</v>
      </c>
      <c r="T148" s="33">
        <f t="shared" si="24"/>
        <v>2712355.6999999997</v>
      </c>
      <c r="U148" s="29">
        <f t="shared" si="25"/>
        <v>2476122.7999999998</v>
      </c>
    </row>
    <row r="149" spans="1:21" s="35" customFormat="1" ht="15.75">
      <c r="A149" s="40">
        <v>43799</v>
      </c>
      <c r="B149" s="30">
        <f>126892.2-290211.4</f>
        <v>-163319.20000000001</v>
      </c>
      <c r="C149" s="30">
        <f>127575.1-218706.9</f>
        <v>-91131.799999999988</v>
      </c>
      <c r="D149" s="30" t="s">
        <v>2</v>
      </c>
      <c r="E149" s="29">
        <f t="shared" si="29"/>
        <v>-254451</v>
      </c>
      <c r="F149" s="30">
        <v>0</v>
      </c>
      <c r="G149" s="30">
        <v>1313894.1000000001</v>
      </c>
      <c r="H149" s="30"/>
      <c r="I149" s="30">
        <v>74319.900000000009</v>
      </c>
      <c r="J149" s="30">
        <v>25079.5</v>
      </c>
      <c r="K149" s="30">
        <v>724002.3</v>
      </c>
      <c r="L149" s="31">
        <f t="shared" si="30"/>
        <v>2137295.7999999998</v>
      </c>
      <c r="M149" s="30">
        <v>490631.8</v>
      </c>
      <c r="N149" s="29">
        <v>94982.5</v>
      </c>
      <c r="O149" s="31">
        <f t="shared" si="22"/>
        <v>1551681.4999999998</v>
      </c>
      <c r="P149" s="36">
        <f>25813.2+101.6</f>
        <v>25914.799999999999</v>
      </c>
      <c r="Q149" s="31">
        <v>1198880.2</v>
      </c>
      <c r="R149" s="31">
        <v>496</v>
      </c>
      <c r="S149" s="29">
        <f t="shared" si="28"/>
        <v>1225291</v>
      </c>
      <c r="T149" s="33">
        <f t="shared" si="24"/>
        <v>2776972.5</v>
      </c>
      <c r="U149" s="29">
        <f t="shared" si="25"/>
        <v>2522521.5</v>
      </c>
    </row>
    <row r="150" spans="1:21" s="35" customFormat="1" ht="15.75">
      <c r="A150" s="40">
        <v>43830</v>
      </c>
      <c r="B150" s="30">
        <v>-129390.7</v>
      </c>
      <c r="C150" s="30">
        <v>-76949.600000000006</v>
      </c>
      <c r="D150" s="30" t="s">
        <v>2</v>
      </c>
      <c r="E150" s="29">
        <f t="shared" si="29"/>
        <v>-206340.3</v>
      </c>
      <c r="F150" s="30">
        <v>0</v>
      </c>
      <c r="G150" s="30">
        <v>1341367.1000000001</v>
      </c>
      <c r="H150" s="30"/>
      <c r="I150" s="30">
        <v>70919.799999999988</v>
      </c>
      <c r="J150" s="30">
        <v>23686.2</v>
      </c>
      <c r="K150" s="30">
        <v>722793.2</v>
      </c>
      <c r="L150" s="31">
        <f t="shared" si="30"/>
        <v>2158766.2999999998</v>
      </c>
      <c r="M150" s="30">
        <v>443910.5</v>
      </c>
      <c r="N150" s="29">
        <v>95938.2</v>
      </c>
      <c r="O150" s="31">
        <f t="shared" si="22"/>
        <v>1618917.5999999999</v>
      </c>
      <c r="P150" s="36">
        <f>42076.6+101.6</f>
        <v>42178.2</v>
      </c>
      <c r="Q150" s="31">
        <v>1166031.0000000002</v>
      </c>
      <c r="R150" s="31">
        <v>458.5</v>
      </c>
      <c r="S150" s="29">
        <f t="shared" si="28"/>
        <v>1208667.7000000002</v>
      </c>
      <c r="T150" s="33">
        <f t="shared" si="24"/>
        <v>2827585.3</v>
      </c>
      <c r="U150" s="29">
        <f t="shared" si="25"/>
        <v>2621245</v>
      </c>
    </row>
    <row r="151" spans="1:21" s="35" customFormat="1" ht="15.75">
      <c r="A151" s="40">
        <v>43861</v>
      </c>
      <c r="B151" s="30">
        <v>-173480.90000000002</v>
      </c>
      <c r="C151" s="30">
        <f>137465.3-279253.2</f>
        <v>-141787.90000000002</v>
      </c>
      <c r="D151" s="30" t="s">
        <v>2</v>
      </c>
      <c r="E151" s="29">
        <f t="shared" si="29"/>
        <v>-315268.80000000005</v>
      </c>
      <c r="F151" s="30">
        <v>0</v>
      </c>
      <c r="G151" s="30">
        <v>1378830.3</v>
      </c>
      <c r="H151" s="30"/>
      <c r="I151" s="30">
        <f>18559.5+102288.1</f>
        <v>120847.6</v>
      </c>
      <c r="J151" s="30">
        <v>23686.1</v>
      </c>
      <c r="K151" s="30">
        <v>722793.2</v>
      </c>
      <c r="L151" s="31">
        <f t="shared" si="30"/>
        <v>2246157.2000000002</v>
      </c>
      <c r="M151" s="30">
        <v>447113.3</v>
      </c>
      <c r="N151" s="29">
        <v>97728.6</v>
      </c>
      <c r="O151" s="31">
        <f t="shared" si="22"/>
        <v>1701315.3</v>
      </c>
      <c r="P151" s="36">
        <f>37419.8+101.6</f>
        <v>37521.4</v>
      </c>
      <c r="Q151" s="31">
        <v>1196183.8666666667</v>
      </c>
      <c r="R151" s="31">
        <v>370.8</v>
      </c>
      <c r="S151" s="29">
        <f t="shared" si="28"/>
        <v>1234076.0666666667</v>
      </c>
      <c r="T151" s="33">
        <f t="shared" si="24"/>
        <v>2935391.3666666667</v>
      </c>
      <c r="U151" s="29">
        <f t="shared" si="25"/>
        <v>2620122.5666666664</v>
      </c>
    </row>
    <row r="152" spans="1:21" s="35" customFormat="1" ht="15.75">
      <c r="A152" s="40">
        <v>43890</v>
      </c>
      <c r="B152" s="30">
        <f>231895.4-363145.9</f>
        <v>-131250.50000000003</v>
      </c>
      <c r="C152" s="30">
        <f>154904-268234.5</f>
        <v>-113330.5</v>
      </c>
      <c r="D152" s="30" t="s">
        <v>2</v>
      </c>
      <c r="E152" s="29">
        <f t="shared" si="29"/>
        <v>-244581.00000000003</v>
      </c>
      <c r="F152" s="30">
        <v>0</v>
      </c>
      <c r="G152" s="30">
        <v>1386787.3</v>
      </c>
      <c r="H152" s="30"/>
      <c r="I152" s="30">
        <f>18771.6+102880.8</f>
        <v>121652.4</v>
      </c>
      <c r="J152" s="30">
        <v>22292.799999999999</v>
      </c>
      <c r="K152" s="30">
        <v>721584.1</v>
      </c>
      <c r="L152" s="31">
        <f t="shared" si="30"/>
        <v>2252316.6</v>
      </c>
      <c r="M152" s="30">
        <v>456925.6</v>
      </c>
      <c r="N152" s="29">
        <v>96011.1</v>
      </c>
      <c r="O152" s="31">
        <f t="shared" si="22"/>
        <v>1699379.9</v>
      </c>
      <c r="P152" s="36">
        <f>34652.5+101.6</f>
        <v>34754.1</v>
      </c>
      <c r="Q152" s="31">
        <v>1185120.5333333332</v>
      </c>
      <c r="R152" s="31">
        <v>327</v>
      </c>
      <c r="S152" s="29">
        <f t="shared" si="28"/>
        <v>1220201.6333333333</v>
      </c>
      <c r="T152" s="33">
        <f t="shared" si="24"/>
        <v>2919581.5333333332</v>
      </c>
      <c r="U152" s="29">
        <f t="shared" si="25"/>
        <v>2675000.5333333332</v>
      </c>
    </row>
    <row r="153" spans="1:21" s="35" customFormat="1" ht="15.75">
      <c r="A153" s="40">
        <v>43921</v>
      </c>
      <c r="B153" s="30">
        <f>194289.3-361308.8</f>
        <v>-167019.5</v>
      </c>
      <c r="C153" s="30">
        <f>143352.6-261170.6</f>
        <v>-117818</v>
      </c>
      <c r="D153" s="30" t="s">
        <v>2</v>
      </c>
      <c r="E153" s="29">
        <f t="shared" si="29"/>
        <v>-284837.5</v>
      </c>
      <c r="F153" s="30">
        <v>0</v>
      </c>
      <c r="G153" s="30">
        <v>1381408.1999999997</v>
      </c>
      <c r="H153" s="30"/>
      <c r="I153" s="30">
        <f>20393+103560.4</f>
        <v>123953.4</v>
      </c>
      <c r="J153" s="30">
        <v>19506.2</v>
      </c>
      <c r="K153" s="30">
        <v>719165.8</v>
      </c>
      <c r="L153" s="31">
        <f t="shared" si="30"/>
        <v>2244033.5999999996</v>
      </c>
      <c r="M153" s="30">
        <v>503862</v>
      </c>
      <c r="N153" s="29">
        <v>77027.199999999997</v>
      </c>
      <c r="O153" s="31">
        <f t="shared" si="22"/>
        <v>1663144.3999999997</v>
      </c>
      <c r="P153" s="36">
        <f>32138.3+101.6</f>
        <v>32239.899999999998</v>
      </c>
      <c r="Q153" s="31">
        <v>1212703.5999999999</v>
      </c>
      <c r="R153" s="31">
        <v>342.2</v>
      </c>
      <c r="S153" s="29">
        <f t="shared" si="28"/>
        <v>1245285.6999999997</v>
      </c>
      <c r="T153" s="33">
        <f t="shared" si="24"/>
        <v>2908430.0999999996</v>
      </c>
      <c r="U153" s="29">
        <f t="shared" si="25"/>
        <v>2623592.5999999996</v>
      </c>
    </row>
    <row r="154" spans="1:21" s="35" customFormat="1" ht="15.75">
      <c r="A154" s="40">
        <v>43951</v>
      </c>
      <c r="B154" s="30">
        <f>182570.8-361783</f>
        <v>-179212.2</v>
      </c>
      <c r="C154" s="30">
        <f>139173-266161.9</f>
        <v>-126988.90000000002</v>
      </c>
      <c r="D154" s="30" t="s">
        <v>2</v>
      </c>
      <c r="E154" s="29">
        <f t="shared" si="29"/>
        <v>-306201.10000000003</v>
      </c>
      <c r="F154" s="30">
        <v>0</v>
      </c>
      <c r="G154" s="30">
        <v>1385180.4000000001</v>
      </c>
      <c r="H154" s="30"/>
      <c r="I154" s="30">
        <f>16512.8+104228.7</f>
        <v>120741.5</v>
      </c>
      <c r="J154" s="30">
        <v>18112.900000000001</v>
      </c>
      <c r="K154" s="30">
        <v>717956.7</v>
      </c>
      <c r="L154" s="31">
        <f t="shared" si="30"/>
        <v>2241991.5</v>
      </c>
      <c r="M154" s="30">
        <v>464273.2</v>
      </c>
      <c r="N154" s="29">
        <v>73644.3</v>
      </c>
      <c r="O154" s="31">
        <f t="shared" si="22"/>
        <v>1704074</v>
      </c>
      <c r="P154" s="36">
        <f>33552.3+101.6</f>
        <v>33653.9</v>
      </c>
      <c r="Q154" s="31">
        <v>1214945.9000000001</v>
      </c>
      <c r="R154" s="31">
        <v>357.29999999999995</v>
      </c>
      <c r="S154" s="29">
        <f t="shared" si="28"/>
        <v>1248957.1000000001</v>
      </c>
      <c r="T154" s="33">
        <f t="shared" si="24"/>
        <v>2953031.1</v>
      </c>
      <c r="U154" s="29">
        <f t="shared" si="25"/>
        <v>2646830</v>
      </c>
    </row>
    <row r="155" spans="1:21" s="35" customFormat="1" ht="15.75">
      <c r="A155" s="40">
        <v>43982</v>
      </c>
      <c r="B155" s="30">
        <f>172039.8-357937.1</f>
        <v>-185897.3</v>
      </c>
      <c r="C155" s="30">
        <f>130855.2-285542.3</f>
        <v>-154687.09999999998</v>
      </c>
      <c r="D155" s="30" t="s">
        <v>2</v>
      </c>
      <c r="E155" s="29">
        <f t="shared" si="29"/>
        <v>-340584.39999999997</v>
      </c>
      <c r="F155" s="30">
        <v>0</v>
      </c>
      <c r="G155" s="30">
        <v>1411011.9000000004</v>
      </c>
      <c r="H155" s="30"/>
      <c r="I155" s="30">
        <f>15846.7+97709.7+1852.2</f>
        <v>115408.59999999999</v>
      </c>
      <c r="J155" s="30">
        <v>18112.900000000001</v>
      </c>
      <c r="K155" s="30">
        <v>717956.7</v>
      </c>
      <c r="L155" s="31">
        <f t="shared" si="30"/>
        <v>2262490.1000000006</v>
      </c>
      <c r="M155" s="30">
        <v>499649.2</v>
      </c>
      <c r="N155" s="29">
        <v>75206.899999999994</v>
      </c>
      <c r="O155" s="31">
        <f t="shared" si="22"/>
        <v>1687634.0000000007</v>
      </c>
      <c r="P155" s="36">
        <f>30459.2+101.6</f>
        <v>30560.799999999999</v>
      </c>
      <c r="Q155" s="31">
        <v>1282984.5000000002</v>
      </c>
      <c r="R155" s="31">
        <v>552.5</v>
      </c>
      <c r="S155" s="29">
        <f t="shared" si="28"/>
        <v>1314097.8000000003</v>
      </c>
      <c r="T155" s="33">
        <f t="shared" si="24"/>
        <v>3001731.8000000007</v>
      </c>
      <c r="U155" s="29">
        <f t="shared" si="25"/>
        <v>2661147.4000000008</v>
      </c>
    </row>
    <row r="156" spans="1:21" s="35" customFormat="1" ht="15.75">
      <c r="A156" s="40">
        <v>44012</v>
      </c>
      <c r="B156" s="30">
        <f>172739-357357.6</f>
        <v>-184618.59999999998</v>
      </c>
      <c r="C156" s="30">
        <f>128564.4-277077.4</f>
        <v>-148513.00000000003</v>
      </c>
      <c r="D156" s="30" t="s">
        <v>2</v>
      </c>
      <c r="E156" s="29">
        <f t="shared" si="29"/>
        <v>-333131.59999999998</v>
      </c>
      <c r="F156" s="30">
        <v>0</v>
      </c>
      <c r="G156" s="30">
        <v>1468858.5</v>
      </c>
      <c r="H156" s="30"/>
      <c r="I156" s="30">
        <f>16243.7+98487+5357.5</f>
        <v>120088.2</v>
      </c>
      <c r="J156" s="30">
        <v>15326.3</v>
      </c>
      <c r="K156" s="30">
        <v>715538.4</v>
      </c>
      <c r="L156" s="31">
        <f t="shared" si="30"/>
        <v>2319811.4</v>
      </c>
      <c r="M156" s="30">
        <v>441278.2</v>
      </c>
      <c r="N156" s="29">
        <v>86594.1</v>
      </c>
      <c r="O156" s="31">
        <f t="shared" si="22"/>
        <v>1791939.0999999999</v>
      </c>
      <c r="P156" s="36">
        <f>29576.4+101.6</f>
        <v>29678</v>
      </c>
      <c r="Q156" s="31">
        <v>1283209.7000000002</v>
      </c>
      <c r="R156" s="31">
        <v>328.2</v>
      </c>
      <c r="S156" s="29">
        <f t="shared" si="28"/>
        <v>1313215.9000000001</v>
      </c>
      <c r="T156" s="33">
        <f t="shared" si="24"/>
        <v>3105155</v>
      </c>
      <c r="U156" s="29">
        <f t="shared" si="25"/>
        <v>2772023.4</v>
      </c>
    </row>
    <row r="157" spans="1:21" s="35" customFormat="1" ht="15.75">
      <c r="A157" s="40">
        <v>44043</v>
      </c>
      <c r="B157" s="30">
        <v>-149908.6</v>
      </c>
      <c r="C157" s="30">
        <f>131329.1-279283.7</f>
        <v>-147954.6</v>
      </c>
      <c r="D157" s="30" t="s">
        <v>2</v>
      </c>
      <c r="E157" s="29">
        <f t="shared" ref="E157:E161" si="31">+SUM(B157:D157)</f>
        <v>-297863.2</v>
      </c>
      <c r="F157" s="30">
        <v>0</v>
      </c>
      <c r="G157" s="30">
        <v>1499652.7000000002</v>
      </c>
      <c r="H157" s="30"/>
      <c r="I157" s="30">
        <f>21529.8+97665+9362.2</f>
        <v>128557</v>
      </c>
      <c r="J157" s="30">
        <v>13933</v>
      </c>
      <c r="K157" s="30">
        <v>714329.3</v>
      </c>
      <c r="L157" s="31">
        <f t="shared" ref="L157:L161" si="32">+SUM(F157:K157)</f>
        <v>2356472</v>
      </c>
      <c r="M157" s="30">
        <v>505064.03333333298</v>
      </c>
      <c r="N157" s="29">
        <v>87632.4</v>
      </c>
      <c r="O157" s="31">
        <f t="shared" si="22"/>
        <v>1763775.5666666671</v>
      </c>
      <c r="P157" s="36">
        <f>27282+101.6</f>
        <v>27383.599999999999</v>
      </c>
      <c r="Q157" s="31">
        <v>1345297.1666666667</v>
      </c>
      <c r="R157" s="31">
        <v>226.5</v>
      </c>
      <c r="S157" s="29">
        <f t="shared" si="28"/>
        <v>1372907.2666666668</v>
      </c>
      <c r="T157" s="33">
        <f t="shared" si="24"/>
        <v>3136682.833333334</v>
      </c>
      <c r="U157" s="29">
        <f t="shared" si="25"/>
        <v>2838819.6333333338</v>
      </c>
    </row>
    <row r="158" spans="1:21" s="35" customFormat="1" ht="15.75">
      <c r="A158" s="40">
        <v>44074</v>
      </c>
      <c r="B158" s="30">
        <v>-138097.49999999997</v>
      </c>
      <c r="C158" s="30">
        <f>142771.3-263229.3</f>
        <v>-120458</v>
      </c>
      <c r="D158" s="30" t="s">
        <v>2</v>
      </c>
      <c r="E158" s="29">
        <f t="shared" si="31"/>
        <v>-258555.49999999997</v>
      </c>
      <c r="F158" s="30">
        <v>0</v>
      </c>
      <c r="G158" s="30">
        <v>1520939.2</v>
      </c>
      <c r="H158" s="30"/>
      <c r="I158" s="30">
        <f>13546.8+98547.5+23833.1</f>
        <v>135927.4</v>
      </c>
      <c r="J158" s="30">
        <v>13933</v>
      </c>
      <c r="K158" s="30">
        <v>713689.4</v>
      </c>
      <c r="L158" s="31">
        <f t="shared" si="32"/>
        <v>2384489</v>
      </c>
      <c r="M158" s="30">
        <v>552860.86666666705</v>
      </c>
      <c r="N158" s="29">
        <v>88159.1</v>
      </c>
      <c r="O158" s="31">
        <f t="shared" si="22"/>
        <v>1743469.0333333327</v>
      </c>
      <c r="P158" s="36">
        <v>27779.7</v>
      </c>
      <c r="Q158" s="31">
        <v>1379773.4333333333</v>
      </c>
      <c r="R158" s="31">
        <v>305.60000000000002</v>
      </c>
      <c r="S158" s="29">
        <f t="shared" si="28"/>
        <v>1407858.7333333334</v>
      </c>
      <c r="T158" s="33">
        <f t="shared" si="24"/>
        <v>3151327.7666666661</v>
      </c>
      <c r="U158" s="29">
        <f t="shared" si="25"/>
        <v>2892772.2666666661</v>
      </c>
    </row>
    <row r="159" spans="1:21" s="35" customFormat="1" ht="15.75">
      <c r="A159" s="40">
        <v>44104</v>
      </c>
      <c r="B159" s="30">
        <v>-151024.20000000001</v>
      </c>
      <c r="C159" s="30">
        <v>-128888.4</v>
      </c>
      <c r="D159" s="30" t="s">
        <v>2</v>
      </c>
      <c r="E159" s="29">
        <f t="shared" si="31"/>
        <v>-279912.59999999998</v>
      </c>
      <c r="F159" s="30">
        <v>0</v>
      </c>
      <c r="G159" s="30">
        <v>1539157.4000000001</v>
      </c>
      <c r="H159" s="30"/>
      <c r="I159" s="30">
        <f>19611.4+25822.8+124981.5+150000</f>
        <v>320415.7</v>
      </c>
      <c r="J159" s="30">
        <v>12539.7</v>
      </c>
      <c r="K159" s="30">
        <v>713120.2</v>
      </c>
      <c r="L159" s="31">
        <f t="shared" si="32"/>
        <v>2585233</v>
      </c>
      <c r="M159" s="30">
        <v>485147.2</v>
      </c>
      <c r="N159" s="29">
        <v>76753.3</v>
      </c>
      <c r="O159" s="31">
        <f t="shared" si="22"/>
        <v>2023332.4999999998</v>
      </c>
      <c r="P159" s="36">
        <f>30626.8+101.6</f>
        <v>30728.399999999998</v>
      </c>
      <c r="Q159" s="31">
        <v>1349647.4</v>
      </c>
      <c r="R159" s="31">
        <v>311</v>
      </c>
      <c r="S159" s="29">
        <f t="shared" si="28"/>
        <v>1380686.7999999998</v>
      </c>
      <c r="T159" s="33">
        <f t="shared" si="24"/>
        <v>3404019.3</v>
      </c>
      <c r="U159" s="29">
        <f t="shared" si="25"/>
        <v>3124106.6999999997</v>
      </c>
    </row>
    <row r="160" spans="1:21" s="35" customFormat="1" ht="15.75">
      <c r="A160" s="40">
        <v>44135</v>
      </c>
      <c r="B160" s="30">
        <v>-148193.19999999998</v>
      </c>
      <c r="C160" s="30">
        <v>-130928.60000000006</v>
      </c>
      <c r="D160" s="30" t="s">
        <v>2</v>
      </c>
      <c r="E160" s="29">
        <f t="shared" si="31"/>
        <v>-279121.80000000005</v>
      </c>
      <c r="F160" s="30">
        <v>0</v>
      </c>
      <c r="G160" s="30">
        <v>1561990.2</v>
      </c>
      <c r="H160" s="30"/>
      <c r="I160" s="30">
        <f>16167.2+26917.5+125477.3+150000+2000</f>
        <v>320562</v>
      </c>
      <c r="J160" s="30">
        <v>11146.4</v>
      </c>
      <c r="K160" s="30">
        <v>711911</v>
      </c>
      <c r="L160" s="31">
        <f t="shared" si="32"/>
        <v>2605609.5999999996</v>
      </c>
      <c r="M160" s="30">
        <v>516006.42063433299</v>
      </c>
      <c r="N160" s="29">
        <v>89546.6</v>
      </c>
      <c r="O160" s="31">
        <f t="shared" si="22"/>
        <v>2000056.5793656665</v>
      </c>
      <c r="P160" s="36">
        <f>27890.7+101.6</f>
        <v>27992.3</v>
      </c>
      <c r="Q160" s="31">
        <v>1358310.4333333336</v>
      </c>
      <c r="R160" s="31">
        <v>1236.8000000000002</v>
      </c>
      <c r="S160" s="29">
        <f t="shared" si="28"/>
        <v>1387539.5333333337</v>
      </c>
      <c r="T160" s="33">
        <f t="shared" si="24"/>
        <v>3387596.1126990002</v>
      </c>
      <c r="U160" s="29">
        <f t="shared" si="25"/>
        <v>3108474.3126990004</v>
      </c>
    </row>
    <row r="161" spans="1:21" s="35" customFormat="1" ht="15.75">
      <c r="A161" s="40">
        <v>44165</v>
      </c>
      <c r="B161" s="30">
        <v>-138961.59999999998</v>
      </c>
      <c r="C161" s="30">
        <v>-142835.59999999995</v>
      </c>
      <c r="D161" s="30" t="s">
        <v>2</v>
      </c>
      <c r="E161" s="29">
        <f t="shared" si="31"/>
        <v>-281797.19999999995</v>
      </c>
      <c r="F161" s="30">
        <v>0</v>
      </c>
      <c r="G161" s="30">
        <v>1576490.1</v>
      </c>
      <c r="H161" s="30"/>
      <c r="I161" s="30">
        <f>25646.7+26994.4+119336.2+150000+2000</f>
        <v>323977.3</v>
      </c>
      <c r="J161" s="30">
        <v>9753.1</v>
      </c>
      <c r="K161" s="30">
        <v>710701.89999999991</v>
      </c>
      <c r="L161" s="31">
        <f t="shared" si="32"/>
        <v>2620922.4000000004</v>
      </c>
      <c r="M161" s="30">
        <v>528193.41095966694</v>
      </c>
      <c r="N161" s="29">
        <v>78500.7</v>
      </c>
      <c r="O161" s="31">
        <f t="shared" si="22"/>
        <v>2014228.2890403334</v>
      </c>
      <c r="P161" s="36">
        <f>23229.4+101.6</f>
        <v>23331</v>
      </c>
      <c r="Q161" s="31">
        <v>1385259.8666666667</v>
      </c>
      <c r="R161" s="31">
        <v>1196.1000000000001</v>
      </c>
      <c r="S161" s="29">
        <f t="shared" si="28"/>
        <v>1409786.9666666668</v>
      </c>
      <c r="T161" s="33">
        <f t="shared" si="24"/>
        <v>3424015.2557070004</v>
      </c>
      <c r="U161" s="29">
        <f>SUM(E161,T161)</f>
        <v>3142218.0557070002</v>
      </c>
    </row>
    <row r="162" spans="1:21" s="35" customFormat="1" ht="15.75">
      <c r="A162" s="40">
        <v>44196</v>
      </c>
      <c r="B162" s="30">
        <v>-93105.300000000017</v>
      </c>
      <c r="C162" s="30">
        <v>-111910.80000000002</v>
      </c>
      <c r="D162" s="30" t="s">
        <v>2</v>
      </c>
      <c r="E162" s="29">
        <f t="shared" ref="E162:E181" si="33">+SUM(B162:D162)</f>
        <v>-205016.10000000003</v>
      </c>
      <c r="F162" s="30">
        <v>0</v>
      </c>
      <c r="G162" s="30">
        <v>1614167.6</v>
      </c>
      <c r="H162" s="30"/>
      <c r="I162" s="30">
        <f>18210.4+27463+120782.7+150000+2000</f>
        <v>318456.09999999998</v>
      </c>
      <c r="J162" s="30">
        <v>6921.2</v>
      </c>
      <c r="K162" s="30">
        <v>708283.6</v>
      </c>
      <c r="L162" s="31">
        <f t="shared" ref="L162:L181" si="34">+SUM(F162:K162)</f>
        <v>2647828.5</v>
      </c>
      <c r="M162" s="30">
        <v>549158.91651699995</v>
      </c>
      <c r="N162" s="29">
        <v>72918.899999999994</v>
      </c>
      <c r="O162" s="31">
        <f t="shared" si="22"/>
        <v>2025750.6834830004</v>
      </c>
      <c r="P162" s="36">
        <f>22343.7+101.6</f>
        <v>22445.3</v>
      </c>
      <c r="Q162" s="31">
        <v>1413651.5</v>
      </c>
      <c r="R162" s="31">
        <v>1185.1999999999998</v>
      </c>
      <c r="S162" s="29">
        <f t="shared" si="28"/>
        <v>1437282</v>
      </c>
      <c r="T162" s="33">
        <f t="shared" si="24"/>
        <v>3463032.6834830004</v>
      </c>
      <c r="U162" s="29">
        <f>SUM(E162,T162)</f>
        <v>3258016.5834830003</v>
      </c>
    </row>
    <row r="163" spans="1:21" s="35" customFormat="1" ht="15.75">
      <c r="A163" s="40">
        <v>44227</v>
      </c>
      <c r="B163" s="30">
        <v>-100769.59999999998</v>
      </c>
      <c r="C163" s="30">
        <v>-118502.9</v>
      </c>
      <c r="D163" s="30">
        <v>-27.233333333333334</v>
      </c>
      <c r="E163" s="29">
        <f t="shared" si="33"/>
        <v>-219299.73333333331</v>
      </c>
      <c r="F163" s="30">
        <v>0</v>
      </c>
      <c r="G163" s="30">
        <v>1630156.1</v>
      </c>
      <c r="H163" s="30"/>
      <c r="I163" s="30">
        <v>322809.2</v>
      </c>
      <c r="J163" s="30">
        <v>6921.2</v>
      </c>
      <c r="K163" s="30">
        <v>708283.6</v>
      </c>
      <c r="L163" s="31">
        <f t="shared" si="34"/>
        <v>2668170.1</v>
      </c>
      <c r="M163" s="30">
        <v>562252.57774199999</v>
      </c>
      <c r="N163" s="29">
        <v>84343.1</v>
      </c>
      <c r="O163" s="31">
        <f t="shared" si="22"/>
        <v>2021574.4222579999</v>
      </c>
      <c r="P163" s="36">
        <v>28289.699999999997</v>
      </c>
      <c r="Q163" s="31">
        <v>1440450.8000000003</v>
      </c>
      <c r="R163" s="31">
        <v>1063.0999999999999</v>
      </c>
      <c r="S163" s="29">
        <f t="shared" si="28"/>
        <v>1469803.6000000003</v>
      </c>
      <c r="T163" s="33">
        <f t="shared" si="24"/>
        <v>3491378.0222580004</v>
      </c>
      <c r="U163" s="29">
        <f t="shared" ref="U163:U210" si="35">SUM(E163,T163)</f>
        <v>3272078.2889246671</v>
      </c>
    </row>
    <row r="164" spans="1:21" s="35" customFormat="1" ht="15.75">
      <c r="A164" s="40">
        <v>44255</v>
      </c>
      <c r="B164" s="30">
        <v>-94851.999999999971</v>
      </c>
      <c r="C164" s="30">
        <v>-94494.800000000047</v>
      </c>
      <c r="D164" s="30">
        <v>-54.466666666666669</v>
      </c>
      <c r="E164" s="29">
        <f t="shared" si="33"/>
        <v>-189401.26666666669</v>
      </c>
      <c r="F164" s="30">
        <v>0</v>
      </c>
      <c r="G164" s="30">
        <v>1650991.0999999999</v>
      </c>
      <c r="H164" s="30"/>
      <c r="I164" s="30">
        <v>353692.5</v>
      </c>
      <c r="J164" s="30">
        <v>5527.9</v>
      </c>
      <c r="K164" s="30">
        <v>704458.1</v>
      </c>
      <c r="L164" s="31">
        <f t="shared" si="34"/>
        <v>2714669.5999999996</v>
      </c>
      <c r="M164" s="30">
        <v>617816.80289299996</v>
      </c>
      <c r="N164" s="29">
        <v>74764.100000000006</v>
      </c>
      <c r="O164" s="31">
        <f t="shared" si="22"/>
        <v>2022088.6971069996</v>
      </c>
      <c r="P164" s="36">
        <v>26351.899999999998</v>
      </c>
      <c r="Q164" s="31">
        <v>1473856.5</v>
      </c>
      <c r="R164" s="31">
        <v>1036.3</v>
      </c>
      <c r="S164" s="29">
        <f t="shared" si="28"/>
        <v>1501244.7</v>
      </c>
      <c r="T164" s="33">
        <f t="shared" si="24"/>
        <v>3523333.3971069995</v>
      </c>
      <c r="U164" s="29">
        <f t="shared" si="35"/>
        <v>3333932.1304403329</v>
      </c>
    </row>
    <row r="165" spans="1:21" s="35" customFormat="1" ht="15.75">
      <c r="A165" s="40">
        <v>44286</v>
      </c>
      <c r="B165" s="30">
        <v>-119123.90000000002</v>
      </c>
      <c r="C165" s="30">
        <v>-108593.39999999997</v>
      </c>
      <c r="D165" s="30">
        <v>-81.7</v>
      </c>
      <c r="E165" s="29">
        <f t="shared" si="33"/>
        <v>-227799</v>
      </c>
      <c r="F165" s="30">
        <v>0</v>
      </c>
      <c r="G165" s="30">
        <v>1648781.3</v>
      </c>
      <c r="H165" s="30"/>
      <c r="I165" s="30">
        <v>328747.7</v>
      </c>
      <c r="J165" s="30">
        <v>4134.6000000000004</v>
      </c>
      <c r="K165" s="30">
        <v>703262.9</v>
      </c>
      <c r="L165" s="31">
        <f t="shared" si="34"/>
        <v>2684926.5</v>
      </c>
      <c r="M165" s="30">
        <v>570127</v>
      </c>
      <c r="N165" s="29">
        <v>79893.7</v>
      </c>
      <c r="O165" s="31">
        <f t="shared" si="22"/>
        <v>2034905.8</v>
      </c>
      <c r="P165" s="36">
        <v>24688.199999999997</v>
      </c>
      <c r="Q165" s="31">
        <v>1524807.0000000002</v>
      </c>
      <c r="R165" s="31">
        <v>734.60000000000014</v>
      </c>
      <c r="S165" s="29">
        <f t="shared" si="28"/>
        <v>1550229.8000000003</v>
      </c>
      <c r="T165" s="33">
        <f t="shared" si="24"/>
        <v>3585135.6000000006</v>
      </c>
      <c r="U165" s="29">
        <f t="shared" si="35"/>
        <v>3357336.6000000006</v>
      </c>
    </row>
    <row r="166" spans="1:21" s="35" customFormat="1" ht="15.75">
      <c r="A166" s="40">
        <v>44316</v>
      </c>
      <c r="B166" s="30">
        <v>-105226.09999999998</v>
      </c>
      <c r="C166" s="30">
        <v>-143518.30000000002</v>
      </c>
      <c r="D166" s="30">
        <v>-93.8</v>
      </c>
      <c r="E166" s="29">
        <f t="shared" si="33"/>
        <v>-248838.19999999998</v>
      </c>
      <c r="F166" s="30">
        <v>0</v>
      </c>
      <c r="G166" s="30">
        <v>1666160.8</v>
      </c>
      <c r="H166" s="30"/>
      <c r="I166" s="30">
        <v>351318.8</v>
      </c>
      <c r="J166" s="30">
        <v>2741.3</v>
      </c>
      <c r="K166" s="30">
        <v>702954.8</v>
      </c>
      <c r="L166" s="31">
        <f t="shared" si="34"/>
        <v>2723175.7</v>
      </c>
      <c r="M166" s="30">
        <v>605863.23333333305</v>
      </c>
      <c r="N166" s="29">
        <v>103216.1</v>
      </c>
      <c r="O166" s="31">
        <f t="shared" si="22"/>
        <v>2014096.3666666672</v>
      </c>
      <c r="P166" s="36">
        <v>23401.3</v>
      </c>
      <c r="Q166" s="31">
        <v>1552846.0999999996</v>
      </c>
      <c r="R166" s="31">
        <v>596.59999999999991</v>
      </c>
      <c r="S166" s="29">
        <f t="shared" si="28"/>
        <v>1576843.9999999998</v>
      </c>
      <c r="T166" s="33">
        <f t="shared" si="24"/>
        <v>3590940.3666666672</v>
      </c>
      <c r="U166" s="29">
        <f t="shared" si="35"/>
        <v>3342102.166666667</v>
      </c>
    </row>
    <row r="167" spans="1:21" s="35" customFormat="1" ht="15.75">
      <c r="A167" s="40">
        <v>44347</v>
      </c>
      <c r="B167" s="30">
        <v>-123599.69999999998</v>
      </c>
      <c r="C167" s="30">
        <v>-148492.4</v>
      </c>
      <c r="D167" s="30">
        <v>-105.9</v>
      </c>
      <c r="E167" s="29">
        <f t="shared" si="33"/>
        <v>-272198</v>
      </c>
      <c r="F167" s="30">
        <v>0</v>
      </c>
      <c r="G167" s="30">
        <v>1691766.9</v>
      </c>
      <c r="H167" s="30"/>
      <c r="I167" s="30">
        <v>342116.6</v>
      </c>
      <c r="J167" s="30">
        <v>0</v>
      </c>
      <c r="K167" s="30">
        <v>702546.1</v>
      </c>
      <c r="L167" s="31">
        <f t="shared" si="34"/>
        <v>2736429.6</v>
      </c>
      <c r="M167" s="30">
        <v>602255.26666666695</v>
      </c>
      <c r="N167" s="29">
        <v>92826.3</v>
      </c>
      <c r="O167" s="31">
        <f t="shared" si="22"/>
        <v>2041348.033333333</v>
      </c>
      <c r="P167" s="36">
        <v>24903.699999999997</v>
      </c>
      <c r="Q167" s="31">
        <v>1616844.9000000004</v>
      </c>
      <c r="R167" s="31">
        <v>5596.7000000000007</v>
      </c>
      <c r="S167" s="29">
        <f t="shared" si="28"/>
        <v>1647345.3000000003</v>
      </c>
      <c r="T167" s="33">
        <f t="shared" si="24"/>
        <v>3688693.333333333</v>
      </c>
      <c r="U167" s="29">
        <f t="shared" si="35"/>
        <v>3416495.333333333</v>
      </c>
    </row>
    <row r="168" spans="1:21" s="35" customFormat="1" ht="15.75">
      <c r="A168" s="40">
        <v>44377</v>
      </c>
      <c r="B168" s="30">
        <v>-114588.4</v>
      </c>
      <c r="C168" s="30">
        <v>-190802.4</v>
      </c>
      <c r="D168" s="30">
        <v>-118</v>
      </c>
      <c r="E168" s="29">
        <f t="shared" si="33"/>
        <v>-305508.8</v>
      </c>
      <c r="F168" s="30">
        <v>57076.7</v>
      </c>
      <c r="G168" s="30">
        <v>1719227.5999999999</v>
      </c>
      <c r="H168" s="30"/>
      <c r="I168" s="30">
        <v>347225.00000000006</v>
      </c>
      <c r="J168" s="30">
        <v>0</v>
      </c>
      <c r="K168" s="30">
        <v>701028.8</v>
      </c>
      <c r="L168" s="31">
        <f t="shared" si="34"/>
        <v>2824558.0999999996</v>
      </c>
      <c r="M168" s="30">
        <v>625806.5</v>
      </c>
      <c r="N168" s="29">
        <v>82601.5</v>
      </c>
      <c r="O168" s="31">
        <f t="shared" si="22"/>
        <v>2116150.0999999996</v>
      </c>
      <c r="P168" s="36">
        <v>26228.6</v>
      </c>
      <c r="Q168" s="31">
        <v>1724195.7</v>
      </c>
      <c r="R168" s="31">
        <v>5539.4</v>
      </c>
      <c r="S168" s="29">
        <f t="shared" si="28"/>
        <v>1755963.7</v>
      </c>
      <c r="T168" s="33">
        <f t="shared" si="24"/>
        <v>3872113.8</v>
      </c>
      <c r="U168" s="29">
        <f t="shared" si="35"/>
        <v>3566605</v>
      </c>
    </row>
    <row r="169" spans="1:21" s="35" customFormat="1" ht="15.75">
      <c r="A169" s="40">
        <v>44408</v>
      </c>
      <c r="B169" s="30">
        <v>-137154.4</v>
      </c>
      <c r="C169" s="30">
        <v>-203220.3</v>
      </c>
      <c r="D169" s="30">
        <v>-148.66666666666666</v>
      </c>
      <c r="E169" s="29">
        <f t="shared" si="33"/>
        <v>-340523.36666666664</v>
      </c>
      <c r="F169" s="30">
        <v>63146.5</v>
      </c>
      <c r="G169" s="30">
        <v>1777924.3</v>
      </c>
      <c r="H169" s="30"/>
      <c r="I169" s="30">
        <v>334942.40000000002</v>
      </c>
      <c r="J169" s="30">
        <v>0</v>
      </c>
      <c r="K169" s="30">
        <v>700389</v>
      </c>
      <c r="L169" s="31">
        <f t="shared" si="34"/>
        <v>2876402.2</v>
      </c>
      <c r="M169" s="30">
        <v>629393.76666666695</v>
      </c>
      <c r="N169" s="29">
        <v>92362.5</v>
      </c>
      <c r="O169" s="31">
        <f t="shared" si="22"/>
        <v>2154645.9333333331</v>
      </c>
      <c r="P169" s="36">
        <v>23518.199999999997</v>
      </c>
      <c r="Q169" s="31">
        <v>1796258.9999999998</v>
      </c>
      <c r="R169" s="31">
        <v>383.9</v>
      </c>
      <c r="S169" s="29">
        <f t="shared" si="28"/>
        <v>1820161.0999999996</v>
      </c>
      <c r="T169" s="33">
        <f t="shared" si="24"/>
        <v>3974807.0333333327</v>
      </c>
      <c r="U169" s="29">
        <f t="shared" si="35"/>
        <v>3634283.666666666</v>
      </c>
    </row>
    <row r="170" spans="1:21" s="35" customFormat="1" ht="15.75">
      <c r="A170" s="40">
        <v>44439</v>
      </c>
      <c r="B170" s="30">
        <v>-140627.90000000002</v>
      </c>
      <c r="C170" s="30">
        <v>-223632.4</v>
      </c>
      <c r="D170" s="30">
        <v>-179.33333333333334</v>
      </c>
      <c r="E170" s="29">
        <f t="shared" si="33"/>
        <v>-364439.63333333336</v>
      </c>
      <c r="F170" s="30">
        <v>33670.800000000003</v>
      </c>
      <c r="G170" s="30">
        <v>1802932.4000000001</v>
      </c>
      <c r="H170" s="30"/>
      <c r="I170" s="30">
        <v>350919.80000000005</v>
      </c>
      <c r="J170" s="30">
        <v>0</v>
      </c>
      <c r="K170" s="30">
        <v>698477.8</v>
      </c>
      <c r="L170" s="31">
        <f t="shared" si="34"/>
        <v>2886000.8</v>
      </c>
      <c r="M170" s="30">
        <v>663897.83333333302</v>
      </c>
      <c r="N170" s="29">
        <v>81429.399999999994</v>
      </c>
      <c r="O170" s="31">
        <f t="shared" si="22"/>
        <v>2140673.5666666669</v>
      </c>
      <c r="P170" s="36">
        <v>25458.699999999997</v>
      </c>
      <c r="Q170" s="31">
        <v>1877007.8</v>
      </c>
      <c r="R170" s="31">
        <v>309.8</v>
      </c>
      <c r="S170" s="29">
        <f t="shared" si="28"/>
        <v>1902776.3</v>
      </c>
      <c r="T170" s="33">
        <f t="shared" si="24"/>
        <v>4043449.8666666672</v>
      </c>
      <c r="U170" s="29">
        <f t="shared" si="35"/>
        <v>3679010.2333333339</v>
      </c>
    </row>
    <row r="171" spans="1:21" s="35" customFormat="1" ht="15.75">
      <c r="A171" s="40">
        <v>44469</v>
      </c>
      <c r="B171" s="30">
        <v>-150538.59999999998</v>
      </c>
      <c r="C171" s="30">
        <v>-254415.30000000002</v>
      </c>
      <c r="D171" s="30">
        <v>-210</v>
      </c>
      <c r="E171" s="29">
        <f t="shared" si="33"/>
        <v>-405163.9</v>
      </c>
      <c r="F171" s="30">
        <v>0</v>
      </c>
      <c r="G171" s="30">
        <v>1831324.1</v>
      </c>
      <c r="H171" s="30"/>
      <c r="I171" s="30">
        <v>347172.2</v>
      </c>
      <c r="J171" s="30">
        <v>0</v>
      </c>
      <c r="K171" s="30">
        <v>697339.3</v>
      </c>
      <c r="L171" s="31">
        <f t="shared" si="34"/>
        <v>2875835.6000000006</v>
      </c>
      <c r="M171" s="30">
        <v>649481.6</v>
      </c>
      <c r="N171" s="29">
        <v>82805.899999999994</v>
      </c>
      <c r="O171" s="31">
        <f t="shared" si="22"/>
        <v>2143548.1000000006</v>
      </c>
      <c r="P171" s="36">
        <v>25714.199999999997</v>
      </c>
      <c r="Q171" s="31">
        <v>2139643.5</v>
      </c>
      <c r="R171" s="31">
        <v>337.9</v>
      </c>
      <c r="S171" s="29">
        <f t="shared" si="28"/>
        <v>2165695.6</v>
      </c>
      <c r="T171" s="33">
        <f t="shared" si="24"/>
        <v>4309243.7000000011</v>
      </c>
      <c r="U171" s="29">
        <f t="shared" si="35"/>
        <v>3904079.8000000012</v>
      </c>
    </row>
    <row r="172" spans="1:21" s="35" customFormat="1" ht="15.75">
      <c r="A172" s="40">
        <v>44500</v>
      </c>
      <c r="B172" s="30">
        <v>4592.7000000000698</v>
      </c>
      <c r="C172" s="30">
        <v>-281290.19999999995</v>
      </c>
      <c r="D172" s="30">
        <v>-140</v>
      </c>
      <c r="E172" s="29">
        <f t="shared" si="33"/>
        <v>-276837.49999999988</v>
      </c>
      <c r="F172" s="30">
        <v>0</v>
      </c>
      <c r="G172" s="30">
        <v>1829946.6</v>
      </c>
      <c r="H172" s="30"/>
      <c r="I172" s="30">
        <v>348219.30000000005</v>
      </c>
      <c r="J172" s="30">
        <v>0</v>
      </c>
      <c r="K172" s="30">
        <v>696699.4</v>
      </c>
      <c r="L172" s="31">
        <f t="shared" si="34"/>
        <v>2874865.3000000003</v>
      </c>
      <c r="M172" s="30">
        <v>828877.9</v>
      </c>
      <c r="N172" s="29">
        <v>83014.5</v>
      </c>
      <c r="O172" s="31">
        <f t="shared" si="22"/>
        <v>1962972.9000000004</v>
      </c>
      <c r="P172" s="36">
        <v>25674.5</v>
      </c>
      <c r="Q172" s="31">
        <v>2219614.7999999998</v>
      </c>
      <c r="R172" s="31">
        <v>279.7</v>
      </c>
      <c r="S172" s="29">
        <f t="shared" si="28"/>
        <v>2245569</v>
      </c>
      <c r="T172" s="33">
        <f t="shared" si="24"/>
        <v>4208541.9000000004</v>
      </c>
      <c r="U172" s="29">
        <f t="shared" si="35"/>
        <v>3931704.4000000004</v>
      </c>
    </row>
    <row r="173" spans="1:21" s="35" customFormat="1" ht="15.75">
      <c r="A173" s="40">
        <v>44530</v>
      </c>
      <c r="B173" s="30">
        <v>-78219.400000000023</v>
      </c>
      <c r="C173" s="30">
        <v>-243064.40000000002</v>
      </c>
      <c r="D173" s="30">
        <v>-70</v>
      </c>
      <c r="E173" s="29">
        <f t="shared" si="33"/>
        <v>-321353.80000000005</v>
      </c>
      <c r="F173" s="30">
        <v>61719.1</v>
      </c>
      <c r="G173" s="30">
        <v>1820943</v>
      </c>
      <c r="H173" s="30"/>
      <c r="I173" s="30">
        <v>292644.5</v>
      </c>
      <c r="J173" s="30">
        <v>0</v>
      </c>
      <c r="K173" s="30">
        <v>693753.1</v>
      </c>
      <c r="L173" s="31">
        <f t="shared" si="34"/>
        <v>2869059.7</v>
      </c>
      <c r="M173" s="30">
        <v>831789.9</v>
      </c>
      <c r="N173" s="29">
        <v>79761.2</v>
      </c>
      <c r="O173" s="31">
        <f t="shared" si="22"/>
        <v>1957508.6000000003</v>
      </c>
      <c r="P173" s="36">
        <v>25832.899999999998</v>
      </c>
      <c r="Q173" s="31">
        <v>2304686.5</v>
      </c>
      <c r="R173" s="31">
        <v>266.3</v>
      </c>
      <c r="S173" s="29">
        <f t="shared" si="28"/>
        <v>2330785.6999999997</v>
      </c>
      <c r="T173" s="33">
        <f t="shared" si="24"/>
        <v>4288294.3</v>
      </c>
      <c r="U173" s="29">
        <f t="shared" si="35"/>
        <v>3966940.5</v>
      </c>
    </row>
    <row r="174" spans="1:21" s="35" customFormat="1" ht="15.75">
      <c r="A174" s="40">
        <v>44561</v>
      </c>
      <c r="B174" s="30">
        <v>-141348.09999999998</v>
      </c>
      <c r="C174" s="30">
        <v>-181042.40000000002</v>
      </c>
      <c r="D174" s="30">
        <v>0</v>
      </c>
      <c r="E174" s="29">
        <f t="shared" si="33"/>
        <v>-322390.5</v>
      </c>
      <c r="F174" s="30">
        <v>36124.9</v>
      </c>
      <c r="G174" s="30">
        <v>1816057.7</v>
      </c>
      <c r="H174" s="30"/>
      <c r="I174" s="30">
        <v>290056.7</v>
      </c>
      <c r="J174" s="30">
        <v>0</v>
      </c>
      <c r="K174" s="30">
        <v>690961.7</v>
      </c>
      <c r="L174" s="31">
        <f t="shared" si="34"/>
        <v>2833201</v>
      </c>
      <c r="M174" s="30">
        <v>826676.3</v>
      </c>
      <c r="N174" s="29">
        <v>75800.899999999994</v>
      </c>
      <c r="O174" s="31">
        <f t="shared" si="22"/>
        <v>1930723.8</v>
      </c>
      <c r="P174" s="36">
        <v>25121</v>
      </c>
      <c r="Q174" s="31">
        <v>2351611.3000000003</v>
      </c>
      <c r="R174" s="31">
        <v>256.5</v>
      </c>
      <c r="S174" s="29">
        <f t="shared" si="28"/>
        <v>2376988.8000000003</v>
      </c>
      <c r="T174" s="33">
        <f t="shared" si="24"/>
        <v>4307712.6000000006</v>
      </c>
      <c r="U174" s="29">
        <f t="shared" si="35"/>
        <v>3985322.1000000006</v>
      </c>
    </row>
    <row r="175" spans="1:21" s="35" customFormat="1" ht="15.75">
      <c r="A175" s="40">
        <v>44562</v>
      </c>
      <c r="B175" s="30">
        <v>-117059.80000000005</v>
      </c>
      <c r="C175" s="30">
        <v>-237485.4</v>
      </c>
      <c r="D175" s="30">
        <v>0</v>
      </c>
      <c r="E175" s="29">
        <f t="shared" si="33"/>
        <v>-354545.20000000007</v>
      </c>
      <c r="F175" s="30">
        <v>57950.6</v>
      </c>
      <c r="G175" s="30">
        <v>1809944.3</v>
      </c>
      <c r="H175" s="30"/>
      <c r="I175" s="30">
        <v>435342.9</v>
      </c>
      <c r="J175" s="30">
        <v>0</v>
      </c>
      <c r="K175" s="30">
        <v>691355.6</v>
      </c>
      <c r="L175" s="31">
        <f t="shared" si="34"/>
        <v>2994593.4000000004</v>
      </c>
      <c r="M175" s="30">
        <v>835800.1</v>
      </c>
      <c r="N175" s="29">
        <v>82686.100000000006</v>
      </c>
      <c r="O175" s="31">
        <f t="shared" si="22"/>
        <v>2076107.2000000002</v>
      </c>
      <c r="P175" s="36">
        <v>24911.699999999997</v>
      </c>
      <c r="Q175" s="31">
        <v>2391220.9</v>
      </c>
      <c r="R175" s="31">
        <v>230.5</v>
      </c>
      <c r="S175" s="29">
        <f t="shared" si="28"/>
        <v>2416363.1</v>
      </c>
      <c r="T175" s="33">
        <f t="shared" si="24"/>
        <v>4492470.3000000007</v>
      </c>
      <c r="U175" s="29">
        <f t="shared" si="35"/>
        <v>4137925.1000000006</v>
      </c>
    </row>
    <row r="176" spans="1:21" s="35" customFormat="1" ht="15.75">
      <c r="A176" s="40">
        <v>44593</v>
      </c>
      <c r="B176" s="30">
        <v>-117059.80000000005</v>
      </c>
      <c r="C176" s="30">
        <v>-222015.3</v>
      </c>
      <c r="D176" s="30">
        <v>0</v>
      </c>
      <c r="E176" s="29">
        <f t="shared" si="33"/>
        <v>-339075.10000000003</v>
      </c>
      <c r="F176" s="30">
        <v>57950.6</v>
      </c>
      <c r="G176" s="30">
        <v>1817154.0000000002</v>
      </c>
      <c r="H176" s="30"/>
      <c r="I176" s="30">
        <v>434194.8</v>
      </c>
      <c r="J176" s="30">
        <v>0</v>
      </c>
      <c r="K176" s="30">
        <v>691355.6</v>
      </c>
      <c r="L176" s="31">
        <f t="shared" si="34"/>
        <v>3000655.0000000005</v>
      </c>
      <c r="M176" s="30">
        <v>841264.9</v>
      </c>
      <c r="N176" s="29">
        <v>90403.9</v>
      </c>
      <c r="O176" s="31">
        <f t="shared" si="22"/>
        <v>2068986.2000000007</v>
      </c>
      <c r="P176" s="36">
        <v>24451.600000000002</v>
      </c>
      <c r="Q176" s="31">
        <v>2473616.3000000003</v>
      </c>
      <c r="R176" s="31">
        <v>245.6</v>
      </c>
      <c r="S176" s="29">
        <f t="shared" si="28"/>
        <v>2498313.5000000005</v>
      </c>
      <c r="T176" s="33">
        <f t="shared" si="24"/>
        <v>4567299.7000000011</v>
      </c>
      <c r="U176" s="29">
        <f t="shared" si="35"/>
        <v>4228224.6000000015</v>
      </c>
    </row>
    <row r="177" spans="1:21" s="35" customFormat="1" ht="15.75">
      <c r="A177" s="40">
        <v>44621</v>
      </c>
      <c r="B177" s="30">
        <v>-113493.90000000002</v>
      </c>
      <c r="C177" s="30">
        <v>-194680.9</v>
      </c>
      <c r="D177" s="30">
        <v>0</v>
      </c>
      <c r="E177" s="29">
        <f t="shared" si="33"/>
        <v>-308174.80000000005</v>
      </c>
      <c r="F177" s="30">
        <v>32028.5</v>
      </c>
      <c r="G177" s="30">
        <v>1833166.5</v>
      </c>
      <c r="H177" s="30"/>
      <c r="I177" s="30">
        <v>429373.89999999997</v>
      </c>
      <c r="J177" s="30">
        <v>0</v>
      </c>
      <c r="K177" s="30">
        <v>690433.4</v>
      </c>
      <c r="L177" s="31">
        <f t="shared" si="34"/>
        <v>2985002.3</v>
      </c>
      <c r="M177" s="30">
        <v>950524.7</v>
      </c>
      <c r="N177" s="29">
        <v>118394.9</v>
      </c>
      <c r="O177" s="31">
        <f t="shared" si="22"/>
        <v>1916082.7</v>
      </c>
      <c r="P177" s="36">
        <v>24010.399999999998</v>
      </c>
      <c r="Q177" s="31">
        <v>2537250.1</v>
      </c>
      <c r="R177" s="31">
        <v>238.4</v>
      </c>
      <c r="S177" s="29">
        <f t="shared" si="28"/>
        <v>2561498.9</v>
      </c>
      <c r="T177" s="33">
        <f t="shared" si="24"/>
        <v>4477581.5999999996</v>
      </c>
      <c r="U177" s="29">
        <f t="shared" si="35"/>
        <v>4169406.8</v>
      </c>
    </row>
    <row r="178" spans="1:21" s="35" customFormat="1" ht="15.75">
      <c r="A178" s="40">
        <v>44652</v>
      </c>
      <c r="B178" s="30">
        <v>-113493.90000000002</v>
      </c>
      <c r="C178" s="30">
        <v>-165760.99999999997</v>
      </c>
      <c r="D178" s="30">
        <v>0</v>
      </c>
      <c r="E178" s="29">
        <f t="shared" si="33"/>
        <v>-279254.90000000002</v>
      </c>
      <c r="F178" s="30">
        <v>32028.5</v>
      </c>
      <c r="G178" s="30">
        <v>1817104.8</v>
      </c>
      <c r="H178" s="30"/>
      <c r="I178" s="30">
        <v>435118.19999999995</v>
      </c>
      <c r="J178" s="30">
        <v>0</v>
      </c>
      <c r="K178" s="30">
        <v>690433.4</v>
      </c>
      <c r="L178" s="31">
        <f t="shared" si="34"/>
        <v>2974684.9</v>
      </c>
      <c r="M178" s="30">
        <v>918450.3</v>
      </c>
      <c r="N178" s="29">
        <v>113333.2</v>
      </c>
      <c r="O178" s="31">
        <f t="shared" si="22"/>
        <v>1942901.4</v>
      </c>
      <c r="P178" s="36">
        <v>24211.1</v>
      </c>
      <c r="Q178" s="31">
        <v>2619879.0100000002</v>
      </c>
      <c r="R178" s="31">
        <v>233</v>
      </c>
      <c r="S178" s="29">
        <f t="shared" si="28"/>
        <v>2644323.1100000003</v>
      </c>
      <c r="T178" s="33">
        <f t="shared" si="24"/>
        <v>4587224.51</v>
      </c>
      <c r="U178" s="29">
        <f t="shared" si="35"/>
        <v>4307969.6099999994</v>
      </c>
    </row>
    <row r="179" spans="1:21" s="35" customFormat="1" ht="15.75">
      <c r="A179" s="40">
        <v>44682</v>
      </c>
      <c r="B179" s="30">
        <v>-113493.90000000002</v>
      </c>
      <c r="C179" s="30">
        <v>-135284.69999999998</v>
      </c>
      <c r="D179" s="30">
        <v>0</v>
      </c>
      <c r="E179" s="29">
        <f t="shared" si="33"/>
        <v>-248778.6</v>
      </c>
      <c r="F179" s="30">
        <v>32028.5</v>
      </c>
      <c r="G179" s="30">
        <v>1791570.8</v>
      </c>
      <c r="H179" s="30"/>
      <c r="I179" s="30">
        <v>425847.39999999997</v>
      </c>
      <c r="J179" s="30">
        <v>0</v>
      </c>
      <c r="K179" s="30">
        <v>690433.4</v>
      </c>
      <c r="L179" s="31">
        <f t="shared" si="34"/>
        <v>2939880.1</v>
      </c>
      <c r="M179" s="30">
        <v>942925</v>
      </c>
      <c r="N179" s="29">
        <v>87288.2</v>
      </c>
      <c r="O179" s="31">
        <f t="shared" si="22"/>
        <v>1909666.9000000001</v>
      </c>
      <c r="P179" s="36">
        <v>23597.5</v>
      </c>
      <c r="Q179" s="31">
        <v>2715988.1999999997</v>
      </c>
      <c r="R179" s="31">
        <v>270.40000000000003</v>
      </c>
      <c r="S179" s="29">
        <f t="shared" si="28"/>
        <v>2739856.0999999996</v>
      </c>
      <c r="T179" s="33">
        <f t="shared" si="24"/>
        <v>4649523</v>
      </c>
      <c r="U179" s="29">
        <f t="shared" si="35"/>
        <v>4400744.4000000004</v>
      </c>
    </row>
    <row r="180" spans="1:21" s="35" customFormat="1" ht="15.75">
      <c r="A180" s="40">
        <v>44713</v>
      </c>
      <c r="B180" s="30">
        <v>-232158.59999999998</v>
      </c>
      <c r="C180" s="30">
        <v>-190483.3</v>
      </c>
      <c r="D180" s="30">
        <v>0</v>
      </c>
      <c r="E180" s="29">
        <f t="shared" si="33"/>
        <v>-422641.89999999997</v>
      </c>
      <c r="F180" s="30">
        <v>266435.90000000002</v>
      </c>
      <c r="G180" s="30">
        <v>1777341.7</v>
      </c>
      <c r="H180" s="30"/>
      <c r="I180" s="30">
        <v>524312.9</v>
      </c>
      <c r="J180" s="30">
        <v>0</v>
      </c>
      <c r="K180" s="30">
        <v>686729.1</v>
      </c>
      <c r="L180" s="31">
        <f t="shared" si="34"/>
        <v>3254819.6</v>
      </c>
      <c r="M180" s="30">
        <v>905749</v>
      </c>
      <c r="N180" s="29">
        <v>120078.3</v>
      </c>
      <c r="O180" s="31">
        <f t="shared" si="22"/>
        <v>2228992.3000000003</v>
      </c>
      <c r="P180" s="36">
        <v>24195.1</v>
      </c>
      <c r="Q180" s="31">
        <v>2882825.3</v>
      </c>
      <c r="R180" s="31">
        <v>6839.5000000000009</v>
      </c>
      <c r="S180" s="29">
        <f t="shared" si="28"/>
        <v>2913859.9</v>
      </c>
      <c r="T180" s="33">
        <f t="shared" si="24"/>
        <v>5142852.2</v>
      </c>
      <c r="U180" s="29">
        <f t="shared" si="35"/>
        <v>4720210.3</v>
      </c>
    </row>
    <row r="181" spans="1:21" s="35" customFormat="1" ht="15.75">
      <c r="A181" s="40">
        <v>44743</v>
      </c>
      <c r="B181" s="30">
        <v>-335583.1</v>
      </c>
      <c r="C181" s="30">
        <v>-217524.2</v>
      </c>
      <c r="D181" s="30">
        <v>0</v>
      </c>
      <c r="E181" s="29">
        <f t="shared" si="33"/>
        <v>-553107.30000000005</v>
      </c>
      <c r="F181" s="30">
        <v>28468.2</v>
      </c>
      <c r="G181" s="30">
        <v>1762267.7000000002</v>
      </c>
      <c r="H181" s="30"/>
      <c r="I181" s="30">
        <v>839632.6</v>
      </c>
      <c r="J181" s="30">
        <v>0</v>
      </c>
      <c r="K181" s="30">
        <v>945987.1</v>
      </c>
      <c r="L181" s="31">
        <f t="shared" si="34"/>
        <v>3576355.6</v>
      </c>
      <c r="M181" s="30">
        <v>968414.23333333305</v>
      </c>
      <c r="N181" s="29">
        <v>115213.2</v>
      </c>
      <c r="O181" s="31">
        <f t="shared" si="22"/>
        <v>2492728.166666667</v>
      </c>
      <c r="P181" s="36">
        <v>25024.1</v>
      </c>
      <c r="Q181" s="31">
        <v>3001914.9000000004</v>
      </c>
      <c r="R181" s="31">
        <v>213</v>
      </c>
      <c r="S181" s="29">
        <f t="shared" si="28"/>
        <v>3027152.0000000005</v>
      </c>
      <c r="T181" s="33">
        <f t="shared" si="24"/>
        <v>5519880.1666666679</v>
      </c>
      <c r="U181" s="29">
        <f t="shared" si="35"/>
        <v>4966772.8666666681</v>
      </c>
    </row>
    <row r="182" spans="1:21" s="35" customFormat="1" ht="15.75">
      <c r="A182" s="40">
        <v>44774</v>
      </c>
      <c r="B182" s="30">
        <f>387586.1-686552.4</f>
        <v>-298966.30000000005</v>
      </c>
      <c r="C182" s="30">
        <f>281907-521199.2</f>
        <v>-239292.2</v>
      </c>
      <c r="D182" s="30">
        <v>0</v>
      </c>
      <c r="E182" s="29">
        <f t="shared" ref="E182:E190" si="36">+SUM(B182:D182)</f>
        <v>-538258.5</v>
      </c>
      <c r="F182" s="30">
        <v>17695.5</v>
      </c>
      <c r="G182" s="30">
        <f>206969.1+1461211.8+104326.2</f>
        <v>1772507.1</v>
      </c>
      <c r="H182" s="30"/>
      <c r="I182" s="30">
        <f>19206.9+71943.5+76116.6+28339.5+8070.1+17408.9+0+150000+120000+31144.2+300000+0</f>
        <v>822229.7</v>
      </c>
      <c r="J182" s="30">
        <v>0</v>
      </c>
      <c r="K182" s="30">
        <f>690433.4+266435.9</f>
        <v>956869.3</v>
      </c>
      <c r="L182" s="31">
        <f t="shared" ref="L182:L185" si="37">+SUM(F182:K182)</f>
        <v>3569301.5999999996</v>
      </c>
      <c r="M182" s="30">
        <v>895084.66666666698</v>
      </c>
      <c r="N182" s="29">
        <v>96818.9</v>
      </c>
      <c r="O182" s="31">
        <f t="shared" si="22"/>
        <v>2577398.0333333327</v>
      </c>
      <c r="P182" s="36">
        <f>25308.6+101.6</f>
        <v>25410.199999999997</v>
      </c>
      <c r="Q182" s="31">
        <f>2988983.5+8861.5+61881.9</f>
        <v>3059726.9</v>
      </c>
      <c r="R182" s="31">
        <v>203.5</v>
      </c>
      <c r="S182" s="29">
        <f t="shared" si="28"/>
        <v>3085340.6</v>
      </c>
      <c r="T182" s="33">
        <f t="shared" si="24"/>
        <v>5662738.6333333328</v>
      </c>
      <c r="U182" s="29">
        <f t="shared" si="35"/>
        <v>5124480.1333333328</v>
      </c>
    </row>
    <row r="183" spans="1:21" s="35" customFormat="1" ht="15.75">
      <c r="A183" s="40">
        <v>44805</v>
      </c>
      <c r="B183" s="30">
        <f>422873.9-675064.3</f>
        <v>-252190.40000000002</v>
      </c>
      <c r="C183" s="30">
        <f>257721.4-584494.2</f>
        <v>-326772.79999999993</v>
      </c>
      <c r="D183" s="30">
        <v>0</v>
      </c>
      <c r="E183" s="29">
        <f t="shared" si="36"/>
        <v>-578963.19999999995</v>
      </c>
      <c r="F183" s="30">
        <v>82611.8</v>
      </c>
      <c r="G183" s="30">
        <f>215562.4+1513163.8+103533.7</f>
        <v>1832259.9</v>
      </c>
      <c r="H183" s="30"/>
      <c r="I183" s="30">
        <f>14141.4+67066.7+76116.6+0+8242.3+17408.9+150000+120000+31492.1+300000+27969.6</f>
        <v>812437.6</v>
      </c>
      <c r="J183" s="30">
        <v>0</v>
      </c>
      <c r="K183" s="30">
        <f>690433.4+266435.9</f>
        <v>956869.3</v>
      </c>
      <c r="L183" s="31">
        <f t="shared" si="37"/>
        <v>3684178.5999999996</v>
      </c>
      <c r="M183" s="30">
        <v>1027904.5</v>
      </c>
      <c r="N183" s="29">
        <v>123234.2</v>
      </c>
      <c r="O183" s="31">
        <f t="shared" si="22"/>
        <v>2533039.8999999994</v>
      </c>
      <c r="P183" s="36">
        <f>24087.5+101.6</f>
        <v>24189.1</v>
      </c>
      <c r="Q183" s="31">
        <f>3111518.3+8163.7+84038.8</f>
        <v>3203720.8</v>
      </c>
      <c r="R183" s="31">
        <v>829.2</v>
      </c>
      <c r="S183" s="29">
        <f t="shared" si="28"/>
        <v>3228739.1</v>
      </c>
      <c r="T183" s="33">
        <f t="shared" si="24"/>
        <v>5761779</v>
      </c>
      <c r="U183" s="29">
        <f t="shared" si="35"/>
        <v>5182815.8</v>
      </c>
    </row>
    <row r="184" spans="1:21" s="35" customFormat="1" ht="15.75">
      <c r="A184" s="40">
        <v>44835</v>
      </c>
      <c r="B184" s="30">
        <f>414986.9-679517.5</f>
        <v>-264530.59999999998</v>
      </c>
      <c r="C184" s="30">
        <f>191292.4-500557.5</f>
        <v>-309265.09999999998</v>
      </c>
      <c r="D184" s="30">
        <v>-119.3</v>
      </c>
      <c r="E184" s="29">
        <f>+SUM(B184:D184)</f>
        <v>-573915</v>
      </c>
      <c r="F184" s="30">
        <v>25854.9</v>
      </c>
      <c r="G184" s="30">
        <f>192546.4+1545814.4+105586.2</f>
        <v>1843946.9999999998</v>
      </c>
      <c r="H184" s="30"/>
      <c r="I184" s="30">
        <f>14581.5+66441.2+0+76116.6+0+9412.6+17408.9+0+150000+120000+31831.8+300000+27969.6</f>
        <v>813762.2</v>
      </c>
      <c r="J184" s="30">
        <v>0</v>
      </c>
      <c r="K184" s="30">
        <f>690433.4+266435.9</f>
        <v>956869.3</v>
      </c>
      <c r="L184" s="31">
        <f t="shared" si="37"/>
        <v>3640433.3999999994</v>
      </c>
      <c r="M184" s="30">
        <v>969164.1</v>
      </c>
      <c r="N184" s="29">
        <v>65963.3</v>
      </c>
      <c r="O184" s="31">
        <f t="shared" si="22"/>
        <v>2605305.9999999995</v>
      </c>
      <c r="P184" s="36">
        <f>23539.4+101.6</f>
        <v>23641</v>
      </c>
      <c r="Q184" s="31">
        <f>3134479.2+7665.1+75057.9</f>
        <v>3217202.2</v>
      </c>
      <c r="R184" s="31">
        <v>189</v>
      </c>
      <c r="S184" s="29">
        <f t="shared" si="28"/>
        <v>3241032.2</v>
      </c>
      <c r="T184" s="33">
        <f t="shared" si="24"/>
        <v>5846338.1999999993</v>
      </c>
      <c r="U184" s="29">
        <f t="shared" si="35"/>
        <v>5272423.1999999993</v>
      </c>
    </row>
    <row r="185" spans="1:21" s="35" customFormat="1" ht="15.75">
      <c r="A185" s="40">
        <v>44866</v>
      </c>
      <c r="B185" s="30">
        <f>477565-679584.7</f>
        <v>-202019.69999999995</v>
      </c>
      <c r="C185" s="30">
        <f>148532.6-498885.7</f>
        <v>-350353.1</v>
      </c>
      <c r="D185" s="30">
        <v>-238.6</v>
      </c>
      <c r="E185" s="29">
        <f t="shared" si="36"/>
        <v>-552611.39999999991</v>
      </c>
      <c r="F185" s="30">
        <v>52799.4</v>
      </c>
      <c r="G185" s="30">
        <f>221483.9+1561732.5+107905.3</f>
        <v>1891121.7</v>
      </c>
      <c r="H185" s="30"/>
      <c r="I185" s="30">
        <f>20173.8+66689.1+0+76116.6+0+9412.6+17408.9+0+150000+120000+33091.4+300000+27969.6</f>
        <v>820862</v>
      </c>
      <c r="J185" s="30">
        <v>0</v>
      </c>
      <c r="K185" s="30">
        <f>675694.1+266435.9</f>
        <v>942130</v>
      </c>
      <c r="L185" s="31">
        <f t="shared" si="37"/>
        <v>3706913.0999999996</v>
      </c>
      <c r="M185" s="30">
        <v>1101437.8</v>
      </c>
      <c r="N185" s="29">
        <v>116703.4</v>
      </c>
      <c r="O185" s="31">
        <f t="shared" si="22"/>
        <v>2488771.9</v>
      </c>
      <c r="P185" s="36">
        <f>24980.6+101.6</f>
        <v>25082.199999999997</v>
      </c>
      <c r="Q185" s="31">
        <f>3194865.3+6995.1+110146</f>
        <v>3312006.4</v>
      </c>
      <c r="R185" s="31">
        <v>181.5</v>
      </c>
      <c r="S185" s="29">
        <f t="shared" si="28"/>
        <v>3337270.1</v>
      </c>
      <c r="T185" s="33">
        <f t="shared" si="24"/>
        <v>5826042</v>
      </c>
      <c r="U185" s="29">
        <f t="shared" si="35"/>
        <v>5273430.5999999996</v>
      </c>
    </row>
    <row r="186" spans="1:21" s="35" customFormat="1" ht="15.75">
      <c r="A186" s="40">
        <v>44896</v>
      </c>
      <c r="B186" s="30">
        <f>427908.5-679955.4</f>
        <v>-252046.90000000002</v>
      </c>
      <c r="C186" s="30">
        <f>188285.8-497807.3</f>
        <v>-309521.5</v>
      </c>
      <c r="D186" s="30">
        <f t="shared" ref="D186" si="38">0-357.9</f>
        <v>-357.9</v>
      </c>
      <c r="E186" s="29">
        <f t="shared" si="36"/>
        <v>-561926.30000000005</v>
      </c>
      <c r="F186" s="30">
        <v>3346.5</v>
      </c>
      <c r="G186" s="30">
        <f>259067.9+1624450+111019</f>
        <v>1994536.9</v>
      </c>
      <c r="H186" s="30"/>
      <c r="I186" s="30">
        <f>20801.7+67766.3+0+76116.6+0+11066.4+0+0+150000+120000+34806+300000+94652.5</f>
        <v>875209.5</v>
      </c>
      <c r="J186" s="30">
        <v>0</v>
      </c>
      <c r="K186" s="30">
        <f>674793.1+266435.9</f>
        <v>941229</v>
      </c>
      <c r="L186" s="31">
        <f>+SUM(F186:K186)</f>
        <v>3814321.9</v>
      </c>
      <c r="M186" s="30">
        <v>1152725.8999999999</v>
      </c>
      <c r="N186" s="29">
        <v>128898.4</v>
      </c>
      <c r="O186" s="31">
        <f t="shared" si="22"/>
        <v>2532697.6</v>
      </c>
      <c r="P186" s="36">
        <f>23616.4+101.6</f>
        <v>23718</v>
      </c>
      <c r="Q186" s="31">
        <f>3309927.1+6325.2+72088.9</f>
        <v>3388341.2</v>
      </c>
      <c r="R186" s="31">
        <v>167.9</v>
      </c>
      <c r="S186" s="29">
        <f t="shared" si="28"/>
        <v>3412227.1</v>
      </c>
      <c r="T186" s="33">
        <f t="shared" si="24"/>
        <v>5944924.7000000002</v>
      </c>
      <c r="U186" s="29">
        <f t="shared" si="35"/>
        <v>5382998.4000000004</v>
      </c>
    </row>
    <row r="187" spans="1:21" s="35" customFormat="1" ht="15.75">
      <c r="A187" s="40">
        <v>44927</v>
      </c>
      <c r="B187" s="30">
        <v>-301583.40000000002</v>
      </c>
      <c r="C187" s="30">
        <v>-242665.9</v>
      </c>
      <c r="D187" s="30">
        <v>-246.1333333333333</v>
      </c>
      <c r="E187" s="29">
        <f t="shared" si="36"/>
        <v>-544495.43333333335</v>
      </c>
      <c r="F187" s="30">
        <v>0</v>
      </c>
      <c r="G187" s="30">
        <v>2056818.1</v>
      </c>
      <c r="H187" s="30"/>
      <c r="I187" s="30">
        <v>876828.20000000007</v>
      </c>
      <c r="J187" s="30">
        <v>0</v>
      </c>
      <c r="K187" s="30">
        <v>939663</v>
      </c>
      <c r="L187" s="31">
        <f t="shared" ref="L187:L192" si="39">+SUM(F187:K187)</f>
        <v>3873309.3000000003</v>
      </c>
      <c r="M187" s="30">
        <v>1108779.7666666666</v>
      </c>
      <c r="N187" s="29">
        <v>104771.7</v>
      </c>
      <c r="O187" s="31">
        <f t="shared" si="22"/>
        <v>2659757.8333333335</v>
      </c>
      <c r="P187" s="36">
        <v>24359.766666666666</v>
      </c>
      <c r="Q187" s="31">
        <v>3400741.7333333334</v>
      </c>
      <c r="R187" s="31">
        <v>160</v>
      </c>
      <c r="S187" s="29">
        <f t="shared" si="28"/>
        <v>3425261.5</v>
      </c>
      <c r="T187" s="33">
        <f t="shared" si="24"/>
        <v>6085019.333333334</v>
      </c>
      <c r="U187" s="29">
        <f t="shared" si="35"/>
        <v>5540523.9000000004</v>
      </c>
    </row>
    <row r="188" spans="1:21" s="35" customFormat="1" ht="15.75">
      <c r="A188" s="40">
        <v>44958</v>
      </c>
      <c r="B188" s="30">
        <v>-308320.40000000002</v>
      </c>
      <c r="C188" s="30">
        <v>-286060.00000000006</v>
      </c>
      <c r="D188" s="30">
        <v>-123.06666666666665</v>
      </c>
      <c r="E188" s="29">
        <f t="shared" si="36"/>
        <v>-594503.46666666679</v>
      </c>
      <c r="F188" s="30">
        <v>0</v>
      </c>
      <c r="G188" s="30">
        <v>2082232.7</v>
      </c>
      <c r="H188" s="30"/>
      <c r="I188" s="30">
        <v>911297.2</v>
      </c>
      <c r="J188" s="30">
        <v>0</v>
      </c>
      <c r="K188" s="30">
        <v>938096.39999999991</v>
      </c>
      <c r="L188" s="31">
        <f t="shared" si="39"/>
        <v>3931626.3</v>
      </c>
      <c r="M188" s="30">
        <v>1055417.3333333333</v>
      </c>
      <c r="N188" s="29">
        <v>109022.5</v>
      </c>
      <c r="O188" s="31">
        <f t="shared" si="22"/>
        <v>2767186.4666666668</v>
      </c>
      <c r="P188" s="36">
        <v>25308.833333333328</v>
      </c>
      <c r="Q188" s="31">
        <v>3391158.8666666667</v>
      </c>
      <c r="R188" s="31">
        <v>155.5</v>
      </c>
      <c r="S188" s="29">
        <f t="shared" si="28"/>
        <v>3416623.2</v>
      </c>
      <c r="T188" s="33">
        <f t="shared" si="24"/>
        <v>6183809.666666667</v>
      </c>
      <c r="U188" s="29">
        <f t="shared" si="35"/>
        <v>5589306.2000000002</v>
      </c>
    </row>
    <row r="189" spans="1:21" s="35" customFormat="1" ht="15.75">
      <c r="A189" s="40">
        <v>44986</v>
      </c>
      <c r="B189" s="30">
        <v>-280639.7</v>
      </c>
      <c r="C189" s="30">
        <v>-304530.80000000005</v>
      </c>
      <c r="D189" s="30">
        <v>0</v>
      </c>
      <c r="E189" s="29">
        <f t="shared" si="36"/>
        <v>-585170.5</v>
      </c>
      <c r="F189" s="30">
        <v>0</v>
      </c>
      <c r="G189" s="30">
        <v>2089393.5000000002</v>
      </c>
      <c r="H189" s="30"/>
      <c r="I189" s="30">
        <v>918452.4</v>
      </c>
      <c r="J189" s="30">
        <v>0</v>
      </c>
      <c r="K189" s="30">
        <v>936198</v>
      </c>
      <c r="L189" s="31">
        <f t="shared" si="39"/>
        <v>3944043.9000000004</v>
      </c>
      <c r="M189" s="30">
        <v>1217275</v>
      </c>
      <c r="N189" s="29">
        <v>92302.1</v>
      </c>
      <c r="O189" s="31">
        <f t="shared" si="22"/>
        <v>2634466.8000000003</v>
      </c>
      <c r="P189" s="36">
        <v>25378.1</v>
      </c>
      <c r="Q189" s="31">
        <v>3467725.1999999997</v>
      </c>
      <c r="R189" s="31">
        <v>301.89999999999998</v>
      </c>
      <c r="S189" s="29">
        <f t="shared" si="28"/>
        <v>3493405.1999999997</v>
      </c>
      <c r="T189" s="33">
        <f t="shared" si="24"/>
        <v>6127872</v>
      </c>
      <c r="U189" s="29">
        <f t="shared" si="35"/>
        <v>5542701.5</v>
      </c>
    </row>
    <row r="190" spans="1:21" s="35" customFormat="1" ht="15.75">
      <c r="A190" s="40">
        <v>45017</v>
      </c>
      <c r="B190" s="30">
        <v>-379010.1</v>
      </c>
      <c r="C190" s="30">
        <v>-353051.79999999993</v>
      </c>
      <c r="D190" s="30">
        <v>-114.7</v>
      </c>
      <c r="E190" s="29">
        <f t="shared" si="36"/>
        <v>-732176.59999999986</v>
      </c>
      <c r="F190" s="30">
        <v>0</v>
      </c>
      <c r="G190" s="30">
        <v>2066016.0000000002</v>
      </c>
      <c r="H190" s="30"/>
      <c r="I190" s="30">
        <v>881771.8</v>
      </c>
      <c r="J190" s="30">
        <v>0</v>
      </c>
      <c r="K190" s="30">
        <v>934630.89999999991</v>
      </c>
      <c r="L190" s="31">
        <f t="shared" si="39"/>
        <v>3882418.7</v>
      </c>
      <c r="M190" s="30">
        <v>1015178.9</v>
      </c>
      <c r="N190" s="29">
        <v>106641.4</v>
      </c>
      <c r="O190" s="31">
        <f t="shared" si="22"/>
        <v>2760598.4000000004</v>
      </c>
      <c r="P190" s="36">
        <v>24913.699999999997</v>
      </c>
      <c r="Q190" s="31">
        <v>3552421.1666666665</v>
      </c>
      <c r="R190" s="31">
        <v>293.3</v>
      </c>
      <c r="S190" s="29">
        <f t="shared" si="28"/>
        <v>3577628.1666666665</v>
      </c>
      <c r="T190" s="33">
        <f t="shared" si="24"/>
        <v>6338226.5666666664</v>
      </c>
      <c r="U190" s="29">
        <f t="shared" si="35"/>
        <v>5606049.9666666668</v>
      </c>
    </row>
    <row r="191" spans="1:21" s="35" customFormat="1" ht="15.75">
      <c r="A191" s="40">
        <v>45047</v>
      </c>
      <c r="B191" s="30">
        <v>-598429.60000000009</v>
      </c>
      <c r="C191" s="30">
        <v>-418745.00000000012</v>
      </c>
      <c r="D191" s="30">
        <v>-229.4</v>
      </c>
      <c r="E191" s="29">
        <f t="shared" ref="E191" si="40">+SUM(B191:D191)</f>
        <v>-1017404.0000000002</v>
      </c>
      <c r="F191" s="30">
        <v>123094.8</v>
      </c>
      <c r="G191" s="30">
        <v>1995815.7</v>
      </c>
      <c r="H191" s="30"/>
      <c r="I191" s="30">
        <v>774408</v>
      </c>
      <c r="J191" s="30">
        <v>0</v>
      </c>
      <c r="K191" s="30">
        <v>933421.39999999991</v>
      </c>
      <c r="L191" s="31">
        <f t="shared" si="39"/>
        <v>3826739.9</v>
      </c>
      <c r="M191" s="30">
        <v>1058392.1000000001</v>
      </c>
      <c r="N191" s="29">
        <v>108214.8</v>
      </c>
      <c r="O191" s="31">
        <f t="shared" si="22"/>
        <v>2660133</v>
      </c>
      <c r="P191" s="36">
        <v>25721</v>
      </c>
      <c r="Q191" s="31">
        <v>3721689.833333333</v>
      </c>
      <c r="R191" s="31">
        <v>320.8</v>
      </c>
      <c r="S191" s="29">
        <f t="shared" si="28"/>
        <v>3747731.6333333328</v>
      </c>
      <c r="T191" s="33">
        <f t="shared" si="24"/>
        <v>6407864.6333333328</v>
      </c>
      <c r="U191" s="29">
        <f t="shared" si="35"/>
        <v>5390460.6333333328</v>
      </c>
    </row>
    <row r="192" spans="1:21" s="35" customFormat="1" ht="15.75">
      <c r="A192" s="40">
        <v>45078</v>
      </c>
      <c r="B192" s="30">
        <v>-532892.1</v>
      </c>
      <c r="C192" s="30">
        <v>-459070.50000000006</v>
      </c>
      <c r="D192" s="30">
        <v>-344.1</v>
      </c>
      <c r="E192" s="29">
        <f t="shared" ref="E192" si="41">+SUM(B192:D192)</f>
        <v>-992306.70000000007</v>
      </c>
      <c r="F192" s="30">
        <v>314986.5</v>
      </c>
      <c r="G192" s="30">
        <v>2012225.5</v>
      </c>
      <c r="H192" s="30"/>
      <c r="I192" s="30">
        <v>773286.7</v>
      </c>
      <c r="J192" s="30">
        <v>0</v>
      </c>
      <c r="K192" s="30">
        <v>930266.6</v>
      </c>
      <c r="L192" s="31">
        <f t="shared" si="39"/>
        <v>4030765.3000000003</v>
      </c>
      <c r="M192" s="30">
        <v>1101488.7</v>
      </c>
      <c r="N192" s="29">
        <v>182718.6</v>
      </c>
      <c r="O192" s="31">
        <f t="shared" si="22"/>
        <v>2746558.0000000005</v>
      </c>
      <c r="P192" s="36">
        <v>25644.199999999997</v>
      </c>
      <c r="Q192" s="31">
        <v>3793951.9000000004</v>
      </c>
      <c r="R192" s="31">
        <v>277.5</v>
      </c>
      <c r="S192" s="29">
        <f t="shared" si="28"/>
        <v>3819873.6000000006</v>
      </c>
      <c r="T192" s="33">
        <f t="shared" si="24"/>
        <v>6566431.6000000015</v>
      </c>
      <c r="U192" s="29">
        <f t="shared" si="35"/>
        <v>5574124.9000000013</v>
      </c>
    </row>
    <row r="193" spans="1:21" s="35" customFormat="1" ht="15.75">
      <c r="A193" s="40">
        <v>45108</v>
      </c>
      <c r="B193" s="30">
        <v>-588761.4</v>
      </c>
      <c r="C193" s="30">
        <v>-460993.29999999993</v>
      </c>
      <c r="D193" s="30">
        <v>-355.66666666666669</v>
      </c>
      <c r="E193" s="29">
        <v>-1050110.3666666667</v>
      </c>
      <c r="F193" s="30">
        <v>0</v>
      </c>
      <c r="G193" s="30">
        <v>2000748.2</v>
      </c>
      <c r="H193" s="30"/>
      <c r="I193" s="30">
        <v>773358.7</v>
      </c>
      <c r="J193" s="30">
        <v>0</v>
      </c>
      <c r="K193" s="30">
        <v>1243684.6000000001</v>
      </c>
      <c r="L193" s="31">
        <v>4017791.5</v>
      </c>
      <c r="M193" s="30">
        <v>1202473.7666666666</v>
      </c>
      <c r="N193" s="29">
        <v>157582.19999999998</v>
      </c>
      <c r="O193" s="31">
        <v>2657735.5333333332</v>
      </c>
      <c r="P193" s="36">
        <v>25557.200000000001</v>
      </c>
      <c r="Q193" s="31">
        <v>3907405.6666666665</v>
      </c>
      <c r="R193" s="31">
        <v>295.10000000000002</v>
      </c>
      <c r="S193" s="29">
        <v>3933257.9666666668</v>
      </c>
      <c r="T193" s="33">
        <v>6590993.5</v>
      </c>
      <c r="U193" s="29">
        <v>5540883.1333333328</v>
      </c>
    </row>
    <row r="194" spans="1:21" s="35" customFormat="1" ht="15.75">
      <c r="A194" s="40" t="s">
        <v>64</v>
      </c>
      <c r="B194" s="30">
        <v>-734549.2</v>
      </c>
      <c r="C194" s="30">
        <v>-486627.59999999986</v>
      </c>
      <c r="D194" s="30">
        <v>-367.23333333333335</v>
      </c>
      <c r="E194" s="29">
        <v>-1221544.0333333332</v>
      </c>
      <c r="F194" s="30">
        <v>48385</v>
      </c>
      <c r="G194" s="30">
        <v>1988525.1</v>
      </c>
      <c r="H194" s="30"/>
      <c r="I194" s="30">
        <v>729497</v>
      </c>
      <c r="J194" s="30">
        <v>0</v>
      </c>
      <c r="K194" s="30">
        <v>1242115.7000000002</v>
      </c>
      <c r="L194" s="31">
        <v>4008522.8000000003</v>
      </c>
      <c r="M194" s="30">
        <v>1136938.5333333332</v>
      </c>
      <c r="N194" s="29">
        <v>169713.6</v>
      </c>
      <c r="O194" s="31">
        <v>2701870.666666667</v>
      </c>
      <c r="P194" s="36">
        <v>25974.099999999995</v>
      </c>
      <c r="Q194" s="31">
        <v>4024614.7333333339</v>
      </c>
      <c r="R194" s="31">
        <v>239.9</v>
      </c>
      <c r="S194" s="29">
        <v>4050828.7333333339</v>
      </c>
      <c r="T194" s="33">
        <v>6752699.4000000004</v>
      </c>
      <c r="U194" s="29">
        <v>5531155.3666666672</v>
      </c>
    </row>
    <row r="195" spans="1:21" s="35" customFormat="1" ht="15.75">
      <c r="A195" s="40">
        <v>45170</v>
      </c>
      <c r="B195" s="30">
        <v>-701824.70000000007</v>
      </c>
      <c r="C195" s="30">
        <v>-531861.79999999993</v>
      </c>
      <c r="D195" s="30">
        <v>-378.8</v>
      </c>
      <c r="E195" s="29">
        <v>-1234065.3</v>
      </c>
      <c r="F195" s="30">
        <v>168204</v>
      </c>
      <c r="G195" s="30">
        <v>1986108.3</v>
      </c>
      <c r="H195" s="30"/>
      <c r="I195" s="30">
        <v>698659.5</v>
      </c>
      <c r="J195" s="30">
        <v>0</v>
      </c>
      <c r="K195" s="30">
        <v>1241186.3999999999</v>
      </c>
      <c r="L195" s="31">
        <v>4094158.1999999997</v>
      </c>
      <c r="M195" s="30">
        <v>1123258.5000000002</v>
      </c>
      <c r="N195" s="29">
        <v>168824.19999999998</v>
      </c>
      <c r="O195" s="31">
        <v>2802075.4999999995</v>
      </c>
      <c r="P195" s="36">
        <v>26195.899999999998</v>
      </c>
      <c r="Q195" s="31">
        <v>4279426.6999999993</v>
      </c>
      <c r="R195" s="31">
        <v>1209.8000000000002</v>
      </c>
      <c r="S195" s="29">
        <v>4306832.3999999994</v>
      </c>
      <c r="T195" s="33">
        <v>7108907.8999999985</v>
      </c>
      <c r="U195" s="29">
        <v>5874842.5999999987</v>
      </c>
    </row>
    <row r="196" spans="1:21" s="35" customFormat="1" ht="15.75">
      <c r="A196" s="40">
        <v>45200</v>
      </c>
      <c r="B196" s="30">
        <v>-656014.60000000009</v>
      </c>
      <c r="C196" s="30">
        <v>-539657.9</v>
      </c>
      <c r="D196" s="30">
        <v>-255.83333333333337</v>
      </c>
      <c r="E196" s="29">
        <v>-1195928.3333333333</v>
      </c>
      <c r="F196" s="30">
        <v>194000.9</v>
      </c>
      <c r="G196" s="30">
        <v>2016858.2666666666</v>
      </c>
      <c r="H196" s="30"/>
      <c r="I196" s="30">
        <v>624372.6</v>
      </c>
      <c r="J196" s="30">
        <v>0</v>
      </c>
      <c r="K196" s="30">
        <v>1240546.5</v>
      </c>
      <c r="L196" s="31">
        <v>4075778.2666666666</v>
      </c>
      <c r="M196" s="30">
        <v>1110437.2000000002</v>
      </c>
      <c r="N196" s="29">
        <v>184226.69999999998</v>
      </c>
      <c r="O196" s="31">
        <v>2781114.3666666662</v>
      </c>
      <c r="P196" s="36">
        <v>24268.199999999997</v>
      </c>
      <c r="Q196" s="31">
        <v>4356064.8666666681</v>
      </c>
      <c r="R196" s="31">
        <v>1135.1999999999998</v>
      </c>
      <c r="S196" s="29">
        <v>4381468.2666666685</v>
      </c>
      <c r="T196" s="33">
        <v>7162582.6333333347</v>
      </c>
      <c r="U196" s="29">
        <v>5966654.3000000017</v>
      </c>
    </row>
    <row r="197" spans="1:21" s="35" customFormat="1" ht="15.75">
      <c r="A197" s="40">
        <v>45231</v>
      </c>
      <c r="B197" s="30">
        <v>-561245.60000000009</v>
      </c>
      <c r="C197" s="30">
        <v>-594082.19999999984</v>
      </c>
      <c r="D197" s="30">
        <v>-132.86666666666667</v>
      </c>
      <c r="E197" s="29">
        <v>-1155460.6666666665</v>
      </c>
      <c r="F197" s="30">
        <v>124891.5</v>
      </c>
      <c r="G197" s="30">
        <v>2014755.4333333333</v>
      </c>
      <c r="H197" s="30"/>
      <c r="I197" s="30">
        <v>623552.6</v>
      </c>
      <c r="J197" s="30">
        <v>0</v>
      </c>
      <c r="K197" s="30">
        <v>1240546.5</v>
      </c>
      <c r="L197" s="31">
        <v>4003746.0333333337</v>
      </c>
      <c r="M197" s="30">
        <v>1137877.6000000001</v>
      </c>
      <c r="N197" s="29">
        <v>172578.9</v>
      </c>
      <c r="O197" s="31">
        <v>2693289.5333333337</v>
      </c>
      <c r="P197" s="36">
        <v>25517.899999999998</v>
      </c>
      <c r="Q197" s="31">
        <v>4388439.6333333328</v>
      </c>
      <c r="R197" s="31">
        <v>1121.9000000000001</v>
      </c>
      <c r="S197" s="29">
        <v>4415079.4333333336</v>
      </c>
      <c r="T197" s="33">
        <v>7108368.9666666668</v>
      </c>
      <c r="U197" s="29">
        <v>5952908.3000000007</v>
      </c>
    </row>
    <row r="198" spans="1:21" s="35" customFormat="1" ht="15.75">
      <c r="A198" s="40">
        <v>45261</v>
      </c>
      <c r="B198" s="30">
        <v>-652621.79999999993</v>
      </c>
      <c r="C198" s="30">
        <v>-442426.50000000006</v>
      </c>
      <c r="D198" s="30">
        <v>-9.9</v>
      </c>
      <c r="E198" s="29">
        <v>-1095058.2</v>
      </c>
      <c r="F198" s="30">
        <v>45365.4</v>
      </c>
      <c r="G198" s="30">
        <v>2068505.1</v>
      </c>
      <c r="H198" s="30"/>
      <c r="I198" s="30">
        <v>819217.39999999991</v>
      </c>
      <c r="J198" s="30">
        <v>0</v>
      </c>
      <c r="K198" s="30">
        <v>1238638.2000000002</v>
      </c>
      <c r="L198" s="31">
        <v>4171726.1</v>
      </c>
      <c r="M198" s="30">
        <v>1084051.7999999998</v>
      </c>
      <c r="N198" s="29">
        <v>172112.80000000002</v>
      </c>
      <c r="O198" s="31">
        <v>2915561.5</v>
      </c>
      <c r="P198" s="36">
        <v>24184.9</v>
      </c>
      <c r="Q198" s="31">
        <v>4425779.3000000007</v>
      </c>
      <c r="R198" s="31">
        <v>1112.6000000000001</v>
      </c>
      <c r="S198" s="29">
        <v>4451076.8000000007</v>
      </c>
      <c r="T198" s="33">
        <v>7366638.3000000007</v>
      </c>
      <c r="U198" s="29">
        <v>6271580.1000000006</v>
      </c>
    </row>
    <row r="199" spans="1:21" s="35" customFormat="1" ht="15.75">
      <c r="A199" s="40">
        <v>45292</v>
      </c>
      <c r="B199" s="30">
        <v>-620626.89999999991</v>
      </c>
      <c r="C199" s="30">
        <v>-611822.39999999991</v>
      </c>
      <c r="D199" s="30">
        <v>-9.1666666666666661</v>
      </c>
      <c r="E199" s="29">
        <f t="shared" ref="E199:E210" si="42">+SUM(B199:D199)</f>
        <v>-1232458.4666666666</v>
      </c>
      <c r="F199" s="30">
        <v>0</v>
      </c>
      <c r="G199" s="30">
        <v>2095345.4666666668</v>
      </c>
      <c r="H199" s="30"/>
      <c r="I199" s="30">
        <v>816465.1</v>
      </c>
      <c r="J199" s="30">
        <v>0</v>
      </c>
      <c r="K199" s="30">
        <v>1236636.5</v>
      </c>
      <c r="L199" s="31">
        <f t="shared" ref="L199:L210" si="43">+SUM(F199:K199)</f>
        <v>4148447.0666666669</v>
      </c>
      <c r="M199" s="30">
        <v>1091595.0666666667</v>
      </c>
      <c r="N199" s="29">
        <v>158605.29999999999</v>
      </c>
      <c r="O199" s="31">
        <f t="shared" si="22"/>
        <v>2898246.7</v>
      </c>
      <c r="P199" s="36">
        <v>23987.433333333334</v>
      </c>
      <c r="Q199" s="31">
        <v>4475881.5</v>
      </c>
      <c r="R199" s="31">
        <v>1094.9999999999998</v>
      </c>
      <c r="S199" s="29">
        <f t="shared" ref="S199:S210" si="44">SUM(P199:R199)</f>
        <v>4500963.9333333336</v>
      </c>
      <c r="T199" s="33">
        <f t="shared" si="24"/>
        <v>7399210.6333333338</v>
      </c>
      <c r="U199" s="29">
        <f t="shared" si="35"/>
        <v>6166752.166666667</v>
      </c>
    </row>
    <row r="200" spans="1:21" s="35" customFormat="1" ht="15.75">
      <c r="A200" s="40">
        <v>45323</v>
      </c>
      <c r="B200" s="30">
        <v>-666662.89999999991</v>
      </c>
      <c r="C200" s="30">
        <v>-647642.5</v>
      </c>
      <c r="D200" s="30">
        <v>-8.4333333333333336</v>
      </c>
      <c r="E200" s="29">
        <f t="shared" si="42"/>
        <v>-1314313.8333333333</v>
      </c>
      <c r="F200" s="30">
        <v>0</v>
      </c>
      <c r="G200" s="30">
        <v>2142355.5333333332</v>
      </c>
      <c r="H200" s="30"/>
      <c r="I200" s="30">
        <v>808273.29999999993</v>
      </c>
      <c r="J200" s="30">
        <v>0</v>
      </c>
      <c r="K200" s="30">
        <v>1234828.3</v>
      </c>
      <c r="L200" s="31">
        <f t="shared" si="43"/>
        <v>4185457.1333333328</v>
      </c>
      <c r="M200" s="30">
        <v>1042207.9333333333</v>
      </c>
      <c r="N200" s="29">
        <v>189886.5</v>
      </c>
      <c r="O200" s="31">
        <f t="shared" si="22"/>
        <v>2953362.6999999993</v>
      </c>
      <c r="P200" s="36">
        <v>24252.766666666666</v>
      </c>
      <c r="Q200" s="31">
        <v>4499002.9000000013</v>
      </c>
      <c r="R200" s="31">
        <v>1081.6000000000001</v>
      </c>
      <c r="S200" s="29">
        <f t="shared" si="44"/>
        <v>4524337.2666666675</v>
      </c>
      <c r="T200" s="33">
        <f t="shared" si="24"/>
        <v>7477699.9666666668</v>
      </c>
      <c r="U200" s="29">
        <f t="shared" si="35"/>
        <v>6163386.1333333338</v>
      </c>
    </row>
    <row r="201" spans="1:21" s="35" customFormat="1" ht="15.75">
      <c r="A201" s="40">
        <v>45352</v>
      </c>
      <c r="B201" s="30">
        <v>-513773.49999999994</v>
      </c>
      <c r="C201" s="30">
        <v>-687363.49999999988</v>
      </c>
      <c r="D201" s="30">
        <v>-7.6999999999999993</v>
      </c>
      <c r="E201" s="29">
        <f t="shared" si="42"/>
        <v>-1201144.6999999997</v>
      </c>
      <c r="F201" s="30">
        <v>0</v>
      </c>
      <c r="G201" s="30">
        <v>2167505.7000000002</v>
      </c>
      <c r="H201" s="30"/>
      <c r="I201" s="30">
        <v>813199.20000000007</v>
      </c>
      <c r="J201" s="30">
        <v>0</v>
      </c>
      <c r="K201" s="30">
        <v>1233257.3</v>
      </c>
      <c r="L201" s="31">
        <f t="shared" si="43"/>
        <v>4213962.2</v>
      </c>
      <c r="M201" s="30">
        <v>1182403.5</v>
      </c>
      <c r="N201" s="29">
        <v>191157.9</v>
      </c>
      <c r="O201" s="31">
        <f t="shared" si="22"/>
        <v>2840400.8000000003</v>
      </c>
      <c r="P201" s="36">
        <v>25772.1</v>
      </c>
      <c r="Q201" s="31">
        <v>4608774</v>
      </c>
      <c r="R201" s="31">
        <v>1070.1000000000001</v>
      </c>
      <c r="S201" s="29">
        <f t="shared" si="44"/>
        <v>4635616.1999999993</v>
      </c>
      <c r="T201" s="33">
        <f t="shared" si="24"/>
        <v>7476017</v>
      </c>
      <c r="U201" s="29">
        <f t="shared" si="35"/>
        <v>6274872.3000000007</v>
      </c>
    </row>
    <row r="202" spans="1:21" s="35" customFormat="1" ht="15.75">
      <c r="A202" s="40">
        <v>45383</v>
      </c>
      <c r="B202" s="30">
        <v>-539017.6</v>
      </c>
      <c r="C202" s="30">
        <v>-750965.59999999986</v>
      </c>
      <c r="D202" s="30">
        <v>-11.533333333333333</v>
      </c>
      <c r="E202" s="29">
        <f t="shared" si="42"/>
        <v>-1289994.7333333332</v>
      </c>
      <c r="F202" s="30">
        <v>36468.5</v>
      </c>
      <c r="G202" s="30">
        <v>2150381.1333333333</v>
      </c>
      <c r="H202" s="30"/>
      <c r="I202" s="30">
        <v>817792.7</v>
      </c>
      <c r="J202" s="30">
        <v>0</v>
      </c>
      <c r="K202" s="30">
        <v>1232048.2000000002</v>
      </c>
      <c r="L202" s="31">
        <f t="shared" si="43"/>
        <v>4236690.5333333332</v>
      </c>
      <c r="M202" s="30">
        <v>1085101.5999999999</v>
      </c>
      <c r="N202" s="29">
        <v>236117.8</v>
      </c>
      <c r="O202" s="31">
        <f t="shared" si="22"/>
        <v>2915471.1333333338</v>
      </c>
      <c r="P202" s="36">
        <v>25420.9</v>
      </c>
      <c r="Q202" s="31">
        <v>4685023.8066666666</v>
      </c>
      <c r="R202" s="31">
        <v>1056.3</v>
      </c>
      <c r="S202" s="29">
        <f t="shared" si="44"/>
        <v>4711501.0066666668</v>
      </c>
      <c r="T202" s="33">
        <f t="shared" si="24"/>
        <v>7626972.1400000006</v>
      </c>
      <c r="U202" s="29">
        <f t="shared" si="35"/>
        <v>6336977.4066666672</v>
      </c>
    </row>
    <row r="203" spans="1:21" s="35" customFormat="1" ht="15.75">
      <c r="A203" s="40">
        <v>45413</v>
      </c>
      <c r="B203" s="30">
        <v>-569228</v>
      </c>
      <c r="C203" s="30">
        <v>-739272.7</v>
      </c>
      <c r="D203" s="30">
        <v>-15.366666666666667</v>
      </c>
      <c r="E203" s="29">
        <f t="shared" si="42"/>
        <v>-1308516.0666666667</v>
      </c>
      <c r="F203" s="30">
        <v>97253.4</v>
      </c>
      <c r="G203" s="30">
        <v>2155047.9666666668</v>
      </c>
      <c r="H203" s="30"/>
      <c r="I203" s="30">
        <v>827572.89999999991</v>
      </c>
      <c r="J203" s="30">
        <v>0</v>
      </c>
      <c r="K203" s="30">
        <v>1230114.2000000002</v>
      </c>
      <c r="L203" s="31">
        <f t="shared" si="43"/>
        <v>4309988.4666666668</v>
      </c>
      <c r="M203" s="30">
        <v>1108696.7999999998</v>
      </c>
      <c r="N203" s="29">
        <v>192272.09999999998</v>
      </c>
      <c r="O203" s="31">
        <f t="shared" ref="O203:O210" si="45">+L203-M203-N203</f>
        <v>3009019.5666666669</v>
      </c>
      <c r="P203" s="36">
        <v>13456.7</v>
      </c>
      <c r="Q203" s="31">
        <v>4814983.7333333325</v>
      </c>
      <c r="R203" s="31">
        <v>1044.1000000000001</v>
      </c>
      <c r="S203" s="29">
        <f t="shared" si="44"/>
        <v>4829484.5333333323</v>
      </c>
      <c r="T203" s="33">
        <f t="shared" ref="T203:T210" si="46">SUM(O203,S203)</f>
        <v>7838504.0999999996</v>
      </c>
      <c r="U203" s="29">
        <f t="shared" si="35"/>
        <v>6529988.0333333332</v>
      </c>
    </row>
    <row r="204" spans="1:21" s="35" customFormat="1" ht="15.75">
      <c r="A204" s="40">
        <v>45444</v>
      </c>
      <c r="B204" s="30">
        <v>-533814.59999999986</v>
      </c>
      <c r="C204" s="30">
        <v>-936358.19999999984</v>
      </c>
      <c r="D204" s="30">
        <v>-19.2</v>
      </c>
      <c r="E204" s="29">
        <f t="shared" si="42"/>
        <v>-1470191.9999999998</v>
      </c>
      <c r="F204" s="30">
        <v>153944.29999999999</v>
      </c>
      <c r="G204" s="30">
        <v>2127620.7999999993</v>
      </c>
      <c r="H204" s="30"/>
      <c r="I204" s="30">
        <v>835674.1</v>
      </c>
      <c r="J204" s="30">
        <v>0</v>
      </c>
      <c r="K204" s="30">
        <v>1226068.6000000001</v>
      </c>
      <c r="L204" s="31">
        <f t="shared" si="43"/>
        <v>4343307.7999999989</v>
      </c>
      <c r="M204" s="30">
        <v>1006010.8</v>
      </c>
      <c r="N204" s="29">
        <v>235701.60000000003</v>
      </c>
      <c r="O204" s="31">
        <f t="shared" si="45"/>
        <v>3101595.399999999</v>
      </c>
      <c r="P204" s="36">
        <v>11870.7</v>
      </c>
      <c r="Q204" s="31">
        <v>4939151.63</v>
      </c>
      <c r="R204" s="31">
        <v>1059.1000000000001</v>
      </c>
      <c r="S204" s="29">
        <f t="shared" si="44"/>
        <v>4952081.43</v>
      </c>
      <c r="T204" s="33">
        <f t="shared" si="24"/>
        <v>8053676.8299999982</v>
      </c>
      <c r="U204" s="29">
        <f t="shared" si="35"/>
        <v>6583484.8299999982</v>
      </c>
    </row>
    <row r="205" spans="1:21" s="35" customFormat="1" ht="15.75">
      <c r="A205" s="40">
        <v>45474</v>
      </c>
      <c r="B205" s="30">
        <v>-555050.89999999991</v>
      </c>
      <c r="C205" s="30">
        <v>-925644.59999999986</v>
      </c>
      <c r="D205" s="30">
        <v>-12.8</v>
      </c>
      <c r="E205" s="29">
        <f t="shared" si="42"/>
        <v>-1480708.2999999998</v>
      </c>
      <c r="F205" s="30">
        <v>103537.9</v>
      </c>
      <c r="G205" s="30">
        <v>2083126.7666666668</v>
      </c>
      <c r="H205" s="30"/>
      <c r="I205" s="30">
        <v>897203.19999999995</v>
      </c>
      <c r="J205" s="30">
        <v>0</v>
      </c>
      <c r="K205" s="30">
        <v>1380012.9</v>
      </c>
      <c r="L205" s="31">
        <f t="shared" si="43"/>
        <v>4463880.7666666675</v>
      </c>
      <c r="M205" s="30">
        <v>962810.26666666672</v>
      </c>
      <c r="N205" s="29">
        <v>217081.8</v>
      </c>
      <c r="O205" s="31">
        <f t="shared" si="45"/>
        <v>3283988.7000000011</v>
      </c>
      <c r="P205" s="36">
        <v>11819</v>
      </c>
      <c r="Q205" s="31">
        <v>5087831.9533333341</v>
      </c>
      <c r="R205" s="31">
        <v>1036.9000000000001</v>
      </c>
      <c r="S205" s="29">
        <f t="shared" si="44"/>
        <v>5100687.8533333344</v>
      </c>
      <c r="T205" s="33">
        <f t="shared" si="46"/>
        <v>8384676.5533333356</v>
      </c>
      <c r="U205" s="29">
        <f t="shared" si="35"/>
        <v>6903968.2533333357</v>
      </c>
    </row>
    <row r="206" spans="1:21" s="35" customFormat="1" ht="15.75">
      <c r="A206" s="40" t="s">
        <v>65</v>
      </c>
      <c r="B206" s="30">
        <v>-580702.19999999995</v>
      </c>
      <c r="C206" s="30">
        <v>-918320.29999999993</v>
      </c>
      <c r="D206" s="30">
        <v>-6.4</v>
      </c>
      <c r="E206" s="29">
        <f t="shared" si="42"/>
        <v>-1499028.9</v>
      </c>
      <c r="F206" s="30">
        <v>295755.7</v>
      </c>
      <c r="G206" s="30">
        <v>2092806.033333333</v>
      </c>
      <c r="H206" s="30"/>
      <c r="I206" s="30">
        <v>867679.8</v>
      </c>
      <c r="J206" s="30">
        <v>0</v>
      </c>
      <c r="K206" s="30">
        <v>1377870.7999999998</v>
      </c>
      <c r="L206" s="31">
        <f t="shared" si="43"/>
        <v>4634112.333333333</v>
      </c>
      <c r="M206" s="30">
        <v>1040645.2333333334</v>
      </c>
      <c r="N206" s="29">
        <v>236333.2</v>
      </c>
      <c r="O206" s="31">
        <f t="shared" si="45"/>
        <v>3357133.8999999994</v>
      </c>
      <c r="P206" s="36">
        <v>11814.4</v>
      </c>
      <c r="Q206" s="31">
        <v>5186552.4666666659</v>
      </c>
      <c r="R206" s="31">
        <v>1016.4</v>
      </c>
      <c r="S206" s="29">
        <f t="shared" si="44"/>
        <v>5199383.2666666666</v>
      </c>
      <c r="T206" s="33">
        <f t="shared" si="46"/>
        <v>8556517.166666666</v>
      </c>
      <c r="U206" s="29">
        <f t="shared" si="35"/>
        <v>7057488.2666666657</v>
      </c>
    </row>
    <row r="207" spans="1:21" s="35" customFormat="1" ht="15.75">
      <c r="A207" s="40">
        <v>45536</v>
      </c>
      <c r="B207" s="30">
        <v>-622133.30000000005</v>
      </c>
      <c r="C207" s="30">
        <v>-947005.40000000014</v>
      </c>
      <c r="D207" s="30">
        <v>0</v>
      </c>
      <c r="E207" s="29">
        <f t="shared" si="42"/>
        <v>-1569138.7000000002</v>
      </c>
      <c r="F207" s="30">
        <v>415256.8</v>
      </c>
      <c r="G207" s="30">
        <v>2047371.7000000002</v>
      </c>
      <c r="H207" s="30"/>
      <c r="I207" s="30">
        <v>879291.1</v>
      </c>
      <c r="J207" s="30">
        <v>0</v>
      </c>
      <c r="K207" s="30">
        <v>1377870.7999999998</v>
      </c>
      <c r="L207" s="31">
        <f t="shared" si="43"/>
        <v>4719790.4000000004</v>
      </c>
      <c r="M207" s="30">
        <v>1122475.2999999998</v>
      </c>
      <c r="N207" s="29">
        <v>233301.19999999998</v>
      </c>
      <c r="O207" s="31">
        <f t="shared" si="45"/>
        <v>3364013.9000000004</v>
      </c>
      <c r="P207" s="36">
        <v>11811.1</v>
      </c>
      <c r="Q207" s="31">
        <v>5292063</v>
      </c>
      <c r="R207" s="31">
        <v>995.5</v>
      </c>
      <c r="S207" s="29">
        <f t="shared" si="44"/>
        <v>5304869.5999999996</v>
      </c>
      <c r="T207" s="33">
        <f t="shared" si="46"/>
        <v>8668883.5</v>
      </c>
      <c r="U207" s="29">
        <f t="shared" si="35"/>
        <v>7099744.7999999998</v>
      </c>
    </row>
    <row r="208" spans="1:21" s="35" customFormat="1" ht="15.75">
      <c r="A208" s="40">
        <v>45566</v>
      </c>
      <c r="B208" s="30">
        <v>-644529.19999999995</v>
      </c>
      <c r="C208" s="30">
        <v>-936705.69999999984</v>
      </c>
      <c r="D208" s="30">
        <v>0</v>
      </c>
      <c r="E208" s="29">
        <f t="shared" si="42"/>
        <v>-1581234.9</v>
      </c>
      <c r="F208" s="30">
        <v>488651.3</v>
      </c>
      <c r="G208" s="30">
        <v>2075817.4</v>
      </c>
      <c r="H208" s="30"/>
      <c r="I208" s="30">
        <v>826746.4</v>
      </c>
      <c r="J208" s="30">
        <v>0</v>
      </c>
      <c r="K208" s="30">
        <v>1376661.6</v>
      </c>
      <c r="L208" s="31">
        <f t="shared" si="43"/>
        <v>4767876.6999999993</v>
      </c>
      <c r="M208" s="30">
        <v>1086349.1666666665</v>
      </c>
      <c r="N208" s="29">
        <v>234166.10000000003</v>
      </c>
      <c r="O208" s="31">
        <f t="shared" si="45"/>
        <v>3447361.4333333327</v>
      </c>
      <c r="P208" s="36">
        <v>11855.4</v>
      </c>
      <c r="Q208" s="31">
        <v>5457381.5666666664</v>
      </c>
      <c r="R208" s="31">
        <v>977.6</v>
      </c>
      <c r="S208" s="29">
        <f t="shared" si="44"/>
        <v>5470214.5666666664</v>
      </c>
      <c r="T208" s="33">
        <f t="shared" si="46"/>
        <v>8917576</v>
      </c>
      <c r="U208" s="29">
        <f t="shared" si="35"/>
        <v>7336341.0999999996</v>
      </c>
    </row>
    <row r="209" spans="1:21" s="35" customFormat="1" ht="15.75">
      <c r="A209" s="40">
        <v>45597</v>
      </c>
      <c r="B209" s="30">
        <v>-595273.4</v>
      </c>
      <c r="C209" s="30">
        <v>-919104.40000000014</v>
      </c>
      <c r="D209" s="30">
        <v>0</v>
      </c>
      <c r="E209" s="29">
        <f t="shared" si="42"/>
        <v>-1514377.8000000003</v>
      </c>
      <c r="F209" s="30">
        <v>641722</v>
      </c>
      <c r="G209" s="30">
        <v>2105348.6</v>
      </c>
      <c r="H209" s="30"/>
      <c r="I209" s="30">
        <v>831642.1</v>
      </c>
      <c r="J209" s="30">
        <v>0</v>
      </c>
      <c r="K209" s="30">
        <v>1376661.6</v>
      </c>
      <c r="L209" s="31">
        <f t="shared" si="43"/>
        <v>4955374.3000000007</v>
      </c>
      <c r="M209" s="30">
        <v>1152278.3333333335</v>
      </c>
      <c r="N209" s="29">
        <v>239229.8</v>
      </c>
      <c r="O209" s="31">
        <f t="shared" si="45"/>
        <v>3563866.1666666674</v>
      </c>
      <c r="P209" s="36">
        <v>17733.300000000003</v>
      </c>
      <c r="Q209" s="31">
        <v>5569501.5333333341</v>
      </c>
      <c r="R209" s="31">
        <v>1174.8000000000002</v>
      </c>
      <c r="S209" s="29">
        <f t="shared" si="44"/>
        <v>5588409.6333333338</v>
      </c>
      <c r="T209" s="33">
        <f t="shared" si="46"/>
        <v>9152275.8000000007</v>
      </c>
      <c r="U209" s="29">
        <f t="shared" si="35"/>
        <v>7637898</v>
      </c>
    </row>
    <row r="210" spans="1:21" s="35" customFormat="1" ht="15.75">
      <c r="A210" s="40">
        <v>45627</v>
      </c>
      <c r="B210" s="30">
        <v>-548227.89999999991</v>
      </c>
      <c r="C210" s="30">
        <v>-910786.50000000023</v>
      </c>
      <c r="D210" s="30">
        <v>0</v>
      </c>
      <c r="E210" s="29">
        <f t="shared" si="42"/>
        <v>-1459014.4000000001</v>
      </c>
      <c r="F210" s="30">
        <v>751335.6</v>
      </c>
      <c r="G210" s="30">
        <v>2152489.6</v>
      </c>
      <c r="H210" s="30"/>
      <c r="I210" s="30">
        <v>840020.10000000009</v>
      </c>
      <c r="J210" s="30">
        <v>0</v>
      </c>
      <c r="K210" s="30">
        <v>1371442.2</v>
      </c>
      <c r="L210" s="31">
        <f t="shared" si="43"/>
        <v>5115287.5</v>
      </c>
      <c r="M210" s="30">
        <v>1113900.2999999998</v>
      </c>
      <c r="N210" s="29">
        <v>250593.6</v>
      </c>
      <c r="O210" s="31">
        <f t="shared" si="45"/>
        <v>3750793.6</v>
      </c>
      <c r="P210" s="36">
        <v>13044.300000000001</v>
      </c>
      <c r="Q210" s="31">
        <v>5618117.9000000004</v>
      </c>
      <c r="R210" s="31">
        <v>1170.2</v>
      </c>
      <c r="S210" s="29">
        <f t="shared" si="44"/>
        <v>5632332.4000000004</v>
      </c>
      <c r="T210" s="33">
        <f t="shared" si="46"/>
        <v>9383126</v>
      </c>
      <c r="U210" s="29">
        <f t="shared" si="35"/>
        <v>7924111.5999999996</v>
      </c>
    </row>
    <row r="211" spans="1:21" s="35" customFormat="1" ht="15.75">
      <c r="A211" s="40">
        <v>45658</v>
      </c>
      <c r="B211" s="30">
        <v>-652667.19999999995</v>
      </c>
      <c r="C211" s="30">
        <v>-888975.99999999988</v>
      </c>
      <c r="D211" s="30">
        <v>0</v>
      </c>
      <c r="E211" s="29">
        <v>-1541643.1999999997</v>
      </c>
      <c r="F211" s="30">
        <v>839706.7</v>
      </c>
      <c r="G211" s="30">
        <v>2220015.1333333333</v>
      </c>
      <c r="H211" s="30"/>
      <c r="I211" s="30">
        <v>824738.5</v>
      </c>
      <c r="J211" s="30">
        <v>0</v>
      </c>
      <c r="K211" s="30">
        <v>1371442.2</v>
      </c>
      <c r="L211" s="31">
        <v>5255902.5333333332</v>
      </c>
      <c r="M211" s="30">
        <v>1085588.0333333332</v>
      </c>
      <c r="N211" s="29">
        <v>278180.59999999998</v>
      </c>
      <c r="O211" s="31">
        <v>3892133.9</v>
      </c>
      <c r="P211" s="36">
        <v>13194.900000000001</v>
      </c>
      <c r="Q211" s="31">
        <v>5671168.9333333327</v>
      </c>
      <c r="R211" s="31">
        <v>1009.5000000000001</v>
      </c>
      <c r="S211" s="29">
        <v>5685373.333333333</v>
      </c>
      <c r="T211" s="33">
        <v>9577507.2333333325</v>
      </c>
      <c r="U211" s="29">
        <v>8035864.0333333332</v>
      </c>
    </row>
    <row r="212" spans="1:21" s="35" customFormat="1" ht="15.75">
      <c r="A212" s="40">
        <v>45689</v>
      </c>
      <c r="B212" s="30">
        <v>-704553.7</v>
      </c>
      <c r="C212" s="30">
        <v>-867672.9</v>
      </c>
      <c r="D212" s="30">
        <v>0</v>
      </c>
      <c r="E212" s="29">
        <v>-1572226.6</v>
      </c>
      <c r="F212" s="30">
        <v>806591.4</v>
      </c>
      <c r="G212" s="30">
        <v>2226497.9666666668</v>
      </c>
      <c r="H212" s="30"/>
      <c r="I212" s="30">
        <v>700680.7</v>
      </c>
      <c r="J212" s="30">
        <v>0</v>
      </c>
      <c r="K212" s="30">
        <v>1367903.7999999998</v>
      </c>
      <c r="L212" s="31">
        <v>5101673.8666666662</v>
      </c>
      <c r="M212" s="30">
        <v>1219791.9666666668</v>
      </c>
      <c r="N212" s="29">
        <v>189829.00000000003</v>
      </c>
      <c r="O212" s="31">
        <v>3692052.8999999994</v>
      </c>
      <c r="P212" s="36">
        <v>12205.2</v>
      </c>
      <c r="Q212" s="31">
        <v>5755163.7666666666</v>
      </c>
      <c r="R212" s="31">
        <v>921.9</v>
      </c>
      <c r="S212" s="29">
        <v>5768290.8666666672</v>
      </c>
      <c r="T212" s="33">
        <v>9460343.7666666657</v>
      </c>
      <c r="U212" s="29">
        <v>7888117.166666666</v>
      </c>
    </row>
    <row r="213" spans="1:21" s="35" customFormat="1" ht="15.75">
      <c r="A213" s="40">
        <v>45717</v>
      </c>
      <c r="B213" s="30">
        <v>-692738.10000000009</v>
      </c>
      <c r="C213" s="30">
        <v>-879873.79999999981</v>
      </c>
      <c r="D213" s="30">
        <v>0</v>
      </c>
      <c r="E213" s="29">
        <v>-1572611.9</v>
      </c>
      <c r="F213" s="30">
        <v>629494.5</v>
      </c>
      <c r="G213" s="30">
        <v>2443996.6</v>
      </c>
      <c r="H213" s="30"/>
      <c r="I213" s="30">
        <v>685447.5</v>
      </c>
      <c r="J213" s="30">
        <v>0</v>
      </c>
      <c r="K213" s="30">
        <v>1365759.1</v>
      </c>
      <c r="L213" s="31">
        <v>5124697.7</v>
      </c>
      <c r="M213" s="30">
        <v>1114492.7000000002</v>
      </c>
      <c r="N213" s="29">
        <v>241724.5</v>
      </c>
      <c r="O213" s="31">
        <v>3768480.5</v>
      </c>
      <c r="P213" s="36">
        <v>20127.400000000005</v>
      </c>
      <c r="Q213" s="31">
        <v>5824835.5000000009</v>
      </c>
      <c r="R213" s="31">
        <v>1008.3</v>
      </c>
      <c r="S213" s="29">
        <v>5845971.2000000011</v>
      </c>
      <c r="T213" s="33">
        <v>9614451.7000000011</v>
      </c>
      <c r="U213" s="29">
        <v>8041839.8000000007</v>
      </c>
    </row>
    <row r="214" spans="1:21" s="35" customFormat="1" ht="15.75">
      <c r="A214" s="40">
        <v>45748</v>
      </c>
      <c r="B214" s="30">
        <v>-634426.70000000007</v>
      </c>
      <c r="C214" s="30">
        <v>-1002217.4</v>
      </c>
      <c r="D214" s="30">
        <v>0</v>
      </c>
      <c r="E214" s="29">
        <v>-1636644.1</v>
      </c>
      <c r="F214" s="30">
        <v>614541.4</v>
      </c>
      <c r="G214" s="30">
        <v>2479635.9</v>
      </c>
      <c r="H214" s="30"/>
      <c r="I214" s="30">
        <v>750621.29999999993</v>
      </c>
      <c r="J214" s="30">
        <v>0</v>
      </c>
      <c r="K214" s="30">
        <v>1363044.7</v>
      </c>
      <c r="L214" s="31">
        <v>5207843.3</v>
      </c>
      <c r="M214" s="30">
        <v>1154150.7666666666</v>
      </c>
      <c r="N214" s="29">
        <v>272937</v>
      </c>
      <c r="O214" s="31">
        <v>3780755.5333333332</v>
      </c>
      <c r="P214" s="36">
        <v>14143.1</v>
      </c>
      <c r="Q214" s="31">
        <v>5948724.2333333334</v>
      </c>
      <c r="R214" s="31">
        <v>892</v>
      </c>
      <c r="S214" s="29">
        <v>5963759.333333333</v>
      </c>
      <c r="T214" s="33">
        <v>9744514.8666666672</v>
      </c>
      <c r="U214" s="29">
        <v>8107870.7666666675</v>
      </c>
    </row>
    <row r="215" spans="1:21" s="35" customFormat="1" ht="15.75">
      <c r="A215" s="40">
        <v>45778</v>
      </c>
      <c r="B215" s="30">
        <v>-648525.29999999981</v>
      </c>
      <c r="C215" s="30">
        <v>-1052134.2000000002</v>
      </c>
      <c r="D215" s="30">
        <v>0</v>
      </c>
      <c r="E215" s="29">
        <v>-1700659.5</v>
      </c>
      <c r="F215" s="30">
        <v>584716.1</v>
      </c>
      <c r="G215" s="30">
        <v>2541634.5000000005</v>
      </c>
      <c r="H215" s="30"/>
      <c r="I215" s="30">
        <v>744028.8</v>
      </c>
      <c r="J215" s="30">
        <v>0</v>
      </c>
      <c r="K215" s="30">
        <v>1362251.7</v>
      </c>
      <c r="L215" s="31">
        <v>5232631.1000000006</v>
      </c>
      <c r="M215" s="30">
        <v>1097894.5333333334</v>
      </c>
      <c r="N215" s="29">
        <v>261701.40000000002</v>
      </c>
      <c r="O215" s="31">
        <v>3873035.1666666674</v>
      </c>
      <c r="P215" s="36">
        <v>12296.300000000001</v>
      </c>
      <c r="Q215" s="31">
        <v>6129287.9666666649</v>
      </c>
      <c r="R215" s="31">
        <v>875.4</v>
      </c>
      <c r="S215" s="29">
        <v>6142459.6666666651</v>
      </c>
      <c r="T215" s="33">
        <v>10015494.833333332</v>
      </c>
      <c r="U215" s="29">
        <v>8314835.3333333321</v>
      </c>
    </row>
    <row r="216" spans="1:21" s="35" customFormat="1" ht="15.75">
      <c r="A216" s="40">
        <v>45809</v>
      </c>
      <c r="B216" s="30">
        <v>-568852.99999999988</v>
      </c>
      <c r="C216" s="30">
        <v>-1037881.9000000001</v>
      </c>
      <c r="D216" s="30">
        <v>0</v>
      </c>
      <c r="E216" s="29">
        <v>-1606734.9</v>
      </c>
      <c r="F216" s="30">
        <v>1017484.8</v>
      </c>
      <c r="G216" s="30">
        <v>2525337.3000000003</v>
      </c>
      <c r="H216" s="30"/>
      <c r="I216" s="30">
        <v>756190</v>
      </c>
      <c r="J216" s="30">
        <v>0</v>
      </c>
      <c r="K216" s="30">
        <v>1355991.1</v>
      </c>
      <c r="L216" s="31">
        <v>5655003.2000000011</v>
      </c>
      <c r="M216" s="30">
        <v>1203853.3999999999</v>
      </c>
      <c r="N216" s="29">
        <v>292443.99999999994</v>
      </c>
      <c r="O216" s="31">
        <v>4158705.8000000007</v>
      </c>
      <c r="P216" s="36">
        <v>12344.800000000001</v>
      </c>
      <c r="Q216" s="31">
        <v>6267915.6000000006</v>
      </c>
      <c r="R216" s="31">
        <v>858.6</v>
      </c>
      <c r="S216" s="29">
        <v>6281119</v>
      </c>
      <c r="T216" s="33">
        <v>10439824.800000001</v>
      </c>
      <c r="U216" s="29">
        <v>8833089.9000000004</v>
      </c>
    </row>
    <row r="217" spans="1:21" s="35" customFormat="1" ht="15.75">
      <c r="A217" s="40">
        <v>45839</v>
      </c>
      <c r="B217" s="30">
        <v>-549694.30000000005</v>
      </c>
      <c r="C217" s="30">
        <v>-1164854.7999999998</v>
      </c>
      <c r="D217" s="30">
        <v>0</v>
      </c>
      <c r="E217" s="29">
        <v>-1714549.0999999999</v>
      </c>
      <c r="F217" s="30">
        <v>1017484.8</v>
      </c>
      <c r="G217" s="30">
        <v>2569537.4000000004</v>
      </c>
      <c r="H217" s="30"/>
      <c r="I217" s="30">
        <v>744029.6</v>
      </c>
      <c r="J217" s="30">
        <v>0</v>
      </c>
      <c r="K217" s="30">
        <v>1354852.5</v>
      </c>
      <c r="L217" s="31">
        <v>5685904.2999999998</v>
      </c>
      <c r="M217" s="30">
        <v>1263485.2666666666</v>
      </c>
      <c r="N217" s="29">
        <v>303069</v>
      </c>
      <c r="O217" s="31">
        <v>4119350.0333333332</v>
      </c>
      <c r="P217" s="36">
        <v>20346.300000000003</v>
      </c>
      <c r="Q217" s="31">
        <v>6380297.0999999996</v>
      </c>
      <c r="R217" s="31">
        <v>966.9</v>
      </c>
      <c r="S217" s="29">
        <v>6401610.2999999998</v>
      </c>
      <c r="T217" s="33">
        <v>10520960.333333332</v>
      </c>
      <c r="U217" s="29">
        <v>8806411.2333333325</v>
      </c>
    </row>
    <row r="218" spans="1:21" s="35" customFormat="1" ht="15.75">
      <c r="A218" s="40" t="s">
        <v>66</v>
      </c>
      <c r="B218" s="30">
        <v>-653606.5</v>
      </c>
      <c r="C218" s="30">
        <v>-1189178.7000000002</v>
      </c>
      <c r="D218" s="30">
        <v>0</v>
      </c>
      <c r="E218" s="29">
        <v>-1842785.2000000002</v>
      </c>
      <c r="F218" s="30">
        <v>1017484.8</v>
      </c>
      <c r="G218" s="30">
        <v>2551306</v>
      </c>
      <c r="H218" s="30"/>
      <c r="I218" s="30">
        <v>815282.4</v>
      </c>
      <c r="J218" s="30">
        <v>0</v>
      </c>
      <c r="K218" s="30">
        <v>1354852.4</v>
      </c>
      <c r="L218" s="31">
        <v>5738925.5999999996</v>
      </c>
      <c r="M218" s="30">
        <v>1254991.8333333333</v>
      </c>
      <c r="N218" s="29">
        <v>269584.69999999995</v>
      </c>
      <c r="O218" s="31">
        <v>4214349.0666666664</v>
      </c>
      <c r="P218" s="36">
        <v>12911.4</v>
      </c>
      <c r="Q218" s="31">
        <v>6435482.7000000011</v>
      </c>
      <c r="R218" s="31">
        <v>949.69999999999993</v>
      </c>
      <c r="S218" s="29">
        <v>6449343.8000000017</v>
      </c>
      <c r="T218" s="33">
        <v>10663692.866666667</v>
      </c>
      <c r="U218" s="29">
        <v>8820907.6666666679</v>
      </c>
    </row>
    <row r="219" spans="1:21" s="35" customFormat="1" ht="15.75">
      <c r="A219" s="40">
        <v>45901</v>
      </c>
      <c r="B219" s="30">
        <v>-687889.89999999991</v>
      </c>
      <c r="C219" s="30">
        <v>-1182789.7000000004</v>
      </c>
      <c r="D219" s="30">
        <v>0</v>
      </c>
      <c r="E219" s="29">
        <v>-1870679.6000000003</v>
      </c>
      <c r="F219" s="30">
        <v>1017484.8</v>
      </c>
      <c r="G219" s="30">
        <v>2590705.1999999997</v>
      </c>
      <c r="H219" s="30"/>
      <c r="I219" s="30">
        <v>1054566.5</v>
      </c>
      <c r="J219" s="30">
        <v>0</v>
      </c>
      <c r="K219" s="30">
        <v>1353643.2000000002</v>
      </c>
      <c r="L219" s="31">
        <v>6016399.7000000002</v>
      </c>
      <c r="M219" s="30">
        <v>1449681.5</v>
      </c>
      <c r="N219" s="29">
        <v>244860.29999999996</v>
      </c>
      <c r="O219" s="31">
        <v>4321857.9000000004</v>
      </c>
      <c r="P219" s="36">
        <v>12869.500000000002</v>
      </c>
      <c r="Q219" s="31">
        <v>6594802.6999999993</v>
      </c>
      <c r="R219" s="31">
        <v>710</v>
      </c>
      <c r="S219" s="29">
        <v>6608382.1999999993</v>
      </c>
      <c r="T219" s="33">
        <v>10930240.1</v>
      </c>
      <c r="U219" s="29">
        <v>9059560.5</v>
      </c>
    </row>
    <row r="220" spans="1:21" s="35" customFormat="1" ht="15.75">
      <c r="A220" s="40">
        <v>45931</v>
      </c>
      <c r="B220" s="30">
        <v>-759104.2</v>
      </c>
      <c r="C220" s="30">
        <v>-1135263.4000000004</v>
      </c>
      <c r="D220" s="30">
        <v>0</v>
      </c>
      <c r="E220" s="29">
        <v>-1894367.6000000003</v>
      </c>
      <c r="F220" s="30">
        <v>1017484.8</v>
      </c>
      <c r="G220" s="30">
        <v>2579308.0333333337</v>
      </c>
      <c r="H220" s="30"/>
      <c r="I220" s="30">
        <v>956768.1</v>
      </c>
      <c r="J220" s="30">
        <v>0</v>
      </c>
      <c r="K220" s="30">
        <v>1346643.1</v>
      </c>
      <c r="L220" s="31">
        <v>5900204.0333333332</v>
      </c>
      <c r="M220" s="30">
        <v>1287565.5333333332</v>
      </c>
      <c r="N220" s="29">
        <v>244063.4</v>
      </c>
      <c r="O220" s="31">
        <v>4368575.0999999996</v>
      </c>
      <c r="P220" s="36">
        <v>12941.2</v>
      </c>
      <c r="Q220" s="31">
        <v>6773151.4333333345</v>
      </c>
      <c r="R220" s="31">
        <v>689.6</v>
      </c>
      <c r="S220" s="29">
        <v>6786782.2333333343</v>
      </c>
      <c r="T220" s="33">
        <v>11155357.333333334</v>
      </c>
      <c r="U220" s="29">
        <v>9260989.7333333343</v>
      </c>
    </row>
    <row r="221" spans="1:21" s="35" customFormat="1" ht="15.75">
      <c r="A221" s="40">
        <v>45962</v>
      </c>
      <c r="B221" s="30">
        <v>-578404.5</v>
      </c>
      <c r="C221" s="30">
        <v>-1402365.6</v>
      </c>
      <c r="D221" s="30">
        <v>0</v>
      </c>
      <c r="E221" s="29">
        <v>-1980770.1</v>
      </c>
      <c r="F221" s="30">
        <v>1017484.8</v>
      </c>
      <c r="G221" s="30">
        <v>2660512.8666666667</v>
      </c>
      <c r="H221" s="30"/>
      <c r="I221" s="30">
        <v>973790.3</v>
      </c>
      <c r="J221" s="30">
        <v>0</v>
      </c>
      <c r="K221" s="30">
        <v>1346311.4</v>
      </c>
      <c r="L221" s="31">
        <v>5998099.3666666672</v>
      </c>
      <c r="M221" s="30">
        <v>1454158.2666666666</v>
      </c>
      <c r="N221" s="29">
        <v>135517.19999999998</v>
      </c>
      <c r="O221" s="31">
        <v>4408423.9000000004</v>
      </c>
      <c r="P221" s="36">
        <v>21333</v>
      </c>
      <c r="Q221" s="31">
        <v>6856468.166666667</v>
      </c>
      <c r="R221" s="31">
        <v>702.4</v>
      </c>
      <c r="S221" s="29">
        <v>6878503.5666666673</v>
      </c>
      <c r="T221" s="33">
        <v>11286927.466666669</v>
      </c>
      <c r="U221" s="29">
        <v>9306157.366666669</v>
      </c>
    </row>
    <row r="222" spans="1:21" s="35" customFormat="1" ht="15.75">
      <c r="A222" s="40">
        <v>45992</v>
      </c>
      <c r="B222" s="30">
        <v>-529875.19999999984</v>
      </c>
      <c r="C222" s="30">
        <v>-1422222.1</v>
      </c>
      <c r="D222" s="30">
        <v>0</v>
      </c>
      <c r="E222" s="29">
        <v>-1952097.2999999998</v>
      </c>
      <c r="F222" s="30">
        <v>0</v>
      </c>
      <c r="G222" s="30">
        <v>2656108.2999999998</v>
      </c>
      <c r="H222" s="30"/>
      <c r="I222" s="30">
        <v>934011.10000000009</v>
      </c>
      <c r="J222" s="30">
        <v>0</v>
      </c>
      <c r="K222" s="30">
        <v>2362001.5</v>
      </c>
      <c r="L222" s="31">
        <v>5952120.9000000004</v>
      </c>
      <c r="M222" s="30">
        <v>1308922.5</v>
      </c>
      <c r="N222" s="29">
        <v>138190.5</v>
      </c>
      <c r="O222" s="31">
        <v>4505007.9000000004</v>
      </c>
      <c r="P222" s="36">
        <v>12640.9</v>
      </c>
      <c r="Q222" s="31">
        <v>6946023.2000000011</v>
      </c>
      <c r="R222" s="31">
        <v>682</v>
      </c>
      <c r="S222" s="29">
        <v>6959346.1000000015</v>
      </c>
      <c r="T222" s="33">
        <v>11464354.000000002</v>
      </c>
      <c r="U222" s="29">
        <v>9512256.700000003</v>
      </c>
    </row>
    <row r="223" spans="1:21" s="35" customFormat="1" ht="15.75">
      <c r="A223" s="40">
        <v>46023</v>
      </c>
      <c r="B223" s="30">
        <v>-539741.60000000009</v>
      </c>
      <c r="C223" s="30">
        <v>-1416297.2999999998</v>
      </c>
      <c r="D223" s="30">
        <v>0</v>
      </c>
      <c r="E223" s="29">
        <v>-1956038.9</v>
      </c>
      <c r="F223" s="30">
        <v>0</v>
      </c>
      <c r="G223" s="30">
        <v>2671487.4</v>
      </c>
      <c r="H223" s="30"/>
      <c r="I223" s="30">
        <v>923736.3</v>
      </c>
      <c r="J223" s="30">
        <v>0</v>
      </c>
      <c r="K223" s="30">
        <v>2358716.2999999998</v>
      </c>
      <c r="L223" s="31">
        <v>5953940</v>
      </c>
      <c r="M223" s="30">
        <v>1233603.1000000001</v>
      </c>
      <c r="N223" s="29">
        <v>270962</v>
      </c>
      <c r="O223" s="31">
        <v>4449374.9000000004</v>
      </c>
      <c r="P223" s="36">
        <v>12717.699999999999</v>
      </c>
      <c r="Q223" s="31">
        <v>6869307.6000000006</v>
      </c>
      <c r="R223" s="31">
        <v>643</v>
      </c>
      <c r="S223" s="29">
        <v>6882668.3000000007</v>
      </c>
      <c r="T223" s="33">
        <v>11332043.200000001</v>
      </c>
      <c r="U223" s="29">
        <v>9376004.3000000007</v>
      </c>
    </row>
    <row r="224" spans="1:21" s="35" customFormat="1" ht="15.75">
      <c r="A224" s="46" t="s">
        <v>45</v>
      </c>
      <c r="B224" s="47"/>
      <c r="C224" s="47"/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8"/>
    </row>
    <row r="225" spans="1:22" s="35" customFormat="1">
      <c r="A225" s="49"/>
      <c r="B225" s="50"/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1"/>
      <c r="V225" s="2"/>
    </row>
  </sheetData>
  <mergeCells count="10">
    <mergeCell ref="A224:U225"/>
    <mergeCell ref="T5:T6"/>
    <mergeCell ref="U4:U6"/>
    <mergeCell ref="B4:E5"/>
    <mergeCell ref="A4:A6"/>
    <mergeCell ref="F2:H2"/>
    <mergeCell ref="F5:O5"/>
    <mergeCell ref="P5:S5"/>
    <mergeCell ref="F4:O4"/>
    <mergeCell ref="P4:T4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XFB80"/>
  <sheetViews>
    <sheetView zoomScale="80" zoomScaleNormal="80" workbookViewId="0">
      <pane xSplit="1" ySplit="6" topLeftCell="P57" activePane="bottomRight" state="frozen"/>
      <selection pane="topRight" activeCell="B1" sqref="B1"/>
      <selection pane="bottomLeft" activeCell="A7" sqref="A7"/>
      <selection pane="bottomRight" activeCell="X68" sqref="X68"/>
    </sheetView>
  </sheetViews>
  <sheetFormatPr baseColWidth="10" defaultColWidth="11.5546875" defaultRowHeight="18.75"/>
  <cols>
    <col min="1" max="1" width="27.44140625" style="1" customWidth="1"/>
    <col min="2" max="2" width="11.77734375" style="1" customWidth="1"/>
    <col min="3" max="3" width="16.33203125" style="1" customWidth="1"/>
    <col min="4" max="4" width="17.5546875" style="1" customWidth="1"/>
    <col min="5" max="5" width="23.6640625" style="1" bestFit="1" customWidth="1"/>
    <col min="6" max="6" width="21.5546875" style="1" bestFit="1" customWidth="1"/>
    <col min="7" max="8" width="11.6640625" style="1" bestFit="1" customWidth="1"/>
    <col min="9" max="9" width="14.33203125" style="1" bestFit="1" customWidth="1"/>
    <col min="10" max="10" width="11.6640625" style="1" bestFit="1" customWidth="1"/>
    <col min="11" max="11" width="17.33203125" style="1" bestFit="1" customWidth="1"/>
    <col min="12" max="12" width="31.109375" style="1" bestFit="1" customWidth="1"/>
    <col min="13" max="13" width="29.77734375" style="1" bestFit="1" customWidth="1"/>
    <col min="14" max="14" width="12" style="1" customWidth="1"/>
    <col min="15" max="15" width="29.88671875" style="1" customWidth="1"/>
    <col min="16" max="16" width="20.109375" style="1" bestFit="1" customWidth="1"/>
    <col min="17" max="17" width="19.88671875" style="1" customWidth="1"/>
    <col min="18" max="18" width="9.6640625" style="1" customWidth="1"/>
    <col min="19" max="19" width="10" style="1" customWidth="1"/>
    <col min="20" max="20" width="10.77734375" style="1" customWidth="1"/>
    <col min="21" max="16384" width="11.5546875" style="1"/>
  </cols>
  <sheetData>
    <row r="1" spans="1:16382">
      <c r="A1" s="15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1" t="s">
        <v>62</v>
      </c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T1" s="2"/>
      <c r="AXU1" s="2"/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J1" s="2"/>
      <c r="BCK1" s="2"/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R1" s="2"/>
      <c r="BES1" s="2"/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L1" s="2"/>
      <c r="BFM1" s="2"/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F1" s="2"/>
      <c r="BGG1" s="2"/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GZ1" s="2"/>
      <c r="BHA1" s="2"/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T1" s="2"/>
      <c r="BHU1" s="2"/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N1" s="2"/>
      <c r="BIO1" s="2"/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H1" s="2"/>
      <c r="BJI1" s="2"/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B1" s="2"/>
      <c r="BKC1" s="2"/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V1" s="2"/>
      <c r="BKW1" s="2"/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P1" s="2"/>
      <c r="BLQ1" s="2"/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  <c r="BMJ1" s="2"/>
      <c r="BMK1" s="2"/>
      <c r="BML1" s="2"/>
      <c r="BMM1" s="2"/>
      <c r="BMN1" s="2"/>
      <c r="BMO1" s="2"/>
      <c r="BMP1" s="2"/>
      <c r="BMQ1" s="2"/>
      <c r="BMR1" s="2"/>
      <c r="BMS1" s="2"/>
      <c r="BMT1" s="2"/>
      <c r="BMU1" s="2"/>
      <c r="BMV1" s="2"/>
      <c r="BMW1" s="2"/>
      <c r="BMX1" s="2"/>
      <c r="BMY1" s="2"/>
      <c r="BMZ1" s="2"/>
      <c r="BNA1" s="2"/>
      <c r="BNB1" s="2"/>
      <c r="BNC1" s="2"/>
      <c r="BND1" s="2"/>
      <c r="BNE1" s="2"/>
      <c r="BNF1" s="2"/>
      <c r="BNG1" s="2"/>
      <c r="BNH1" s="2"/>
      <c r="BNI1" s="2"/>
      <c r="BNJ1" s="2"/>
      <c r="BNK1" s="2"/>
      <c r="BNL1" s="2"/>
      <c r="BNM1" s="2"/>
      <c r="BNN1" s="2"/>
      <c r="BNO1" s="2"/>
      <c r="BNP1" s="2"/>
      <c r="BNQ1" s="2"/>
      <c r="BNR1" s="2"/>
      <c r="BNS1" s="2"/>
      <c r="BNT1" s="2"/>
      <c r="BNU1" s="2"/>
      <c r="BNV1" s="2"/>
      <c r="BNW1" s="2"/>
      <c r="BNX1" s="2"/>
      <c r="BNY1" s="2"/>
      <c r="BNZ1" s="2"/>
      <c r="BOA1" s="2"/>
      <c r="BOB1" s="2"/>
      <c r="BOC1" s="2"/>
      <c r="BOD1" s="2"/>
      <c r="BOE1" s="2"/>
      <c r="BOF1" s="2"/>
      <c r="BOG1" s="2"/>
      <c r="BOH1" s="2"/>
      <c r="BOI1" s="2"/>
      <c r="BOJ1" s="2"/>
      <c r="BOK1" s="2"/>
      <c r="BOL1" s="2"/>
      <c r="BOM1" s="2"/>
      <c r="BON1" s="2"/>
      <c r="BOO1" s="2"/>
      <c r="BOP1" s="2"/>
      <c r="BOQ1" s="2"/>
      <c r="BOR1" s="2"/>
      <c r="BOS1" s="2"/>
      <c r="BOT1" s="2"/>
      <c r="BOU1" s="2"/>
      <c r="BOV1" s="2"/>
      <c r="BOW1" s="2"/>
      <c r="BOX1" s="2"/>
      <c r="BOY1" s="2"/>
      <c r="BOZ1" s="2"/>
      <c r="BPA1" s="2"/>
      <c r="BPB1" s="2"/>
      <c r="BPC1" s="2"/>
      <c r="BPD1" s="2"/>
      <c r="BPE1" s="2"/>
      <c r="BPF1" s="2"/>
      <c r="BPG1" s="2"/>
      <c r="BPH1" s="2"/>
      <c r="BPI1" s="2"/>
      <c r="BPJ1" s="2"/>
      <c r="BPK1" s="2"/>
      <c r="BPL1" s="2"/>
      <c r="BPM1" s="2"/>
      <c r="BPN1" s="2"/>
      <c r="BPO1" s="2"/>
      <c r="BPP1" s="2"/>
      <c r="BPQ1" s="2"/>
      <c r="BPR1" s="2"/>
      <c r="BPS1" s="2"/>
      <c r="BPT1" s="2"/>
      <c r="BPU1" s="2"/>
      <c r="BPV1" s="2"/>
      <c r="BPW1" s="2"/>
      <c r="BPX1" s="2"/>
      <c r="BPY1" s="2"/>
      <c r="BPZ1" s="2"/>
      <c r="BQA1" s="2"/>
      <c r="BQB1" s="2"/>
      <c r="BQC1" s="2"/>
      <c r="BQD1" s="2"/>
      <c r="BQE1" s="2"/>
      <c r="BQF1" s="2"/>
      <c r="BQG1" s="2"/>
      <c r="BQH1" s="2"/>
      <c r="BQI1" s="2"/>
      <c r="BQJ1" s="2"/>
      <c r="BQK1" s="2"/>
      <c r="BQL1" s="2"/>
      <c r="BQM1" s="2"/>
      <c r="BQN1" s="2"/>
      <c r="BQO1" s="2"/>
      <c r="BQP1" s="2"/>
      <c r="BQQ1" s="2"/>
      <c r="BQR1" s="2"/>
      <c r="BQS1" s="2"/>
      <c r="BQT1" s="2"/>
      <c r="BQU1" s="2"/>
      <c r="BQV1" s="2"/>
      <c r="BQW1" s="2"/>
      <c r="BQX1" s="2"/>
      <c r="BQY1" s="2"/>
      <c r="BQZ1" s="2"/>
      <c r="BRA1" s="2"/>
      <c r="BRB1" s="2"/>
      <c r="BRC1" s="2"/>
      <c r="BRD1" s="2"/>
      <c r="BRE1" s="2"/>
      <c r="BRF1" s="2"/>
      <c r="BRG1" s="2"/>
      <c r="BRH1" s="2"/>
      <c r="BRI1" s="2"/>
      <c r="BRJ1" s="2"/>
      <c r="BRK1" s="2"/>
      <c r="BRL1" s="2"/>
      <c r="BRM1" s="2"/>
      <c r="BRN1" s="2"/>
      <c r="BRO1" s="2"/>
      <c r="BRP1" s="2"/>
      <c r="BRQ1" s="2"/>
      <c r="BRR1" s="2"/>
      <c r="BRS1" s="2"/>
      <c r="BRT1" s="2"/>
      <c r="BRU1" s="2"/>
      <c r="BRV1" s="2"/>
      <c r="BRW1" s="2"/>
      <c r="BRX1" s="2"/>
      <c r="BRY1" s="2"/>
      <c r="BRZ1" s="2"/>
      <c r="BSA1" s="2"/>
      <c r="BSB1" s="2"/>
      <c r="BSC1" s="2"/>
      <c r="BSD1" s="2"/>
      <c r="BSE1" s="2"/>
      <c r="BSF1" s="2"/>
      <c r="BSG1" s="2"/>
      <c r="BSH1" s="2"/>
      <c r="BSI1" s="2"/>
      <c r="BSJ1" s="2"/>
      <c r="BSK1" s="2"/>
      <c r="BSL1" s="2"/>
      <c r="BSM1" s="2"/>
      <c r="BSN1" s="2"/>
      <c r="BSO1" s="2"/>
      <c r="BSP1" s="2"/>
      <c r="BSQ1" s="2"/>
      <c r="BSR1" s="2"/>
      <c r="BSS1" s="2"/>
      <c r="BST1" s="2"/>
      <c r="BSU1" s="2"/>
      <c r="BSV1" s="2"/>
      <c r="BSW1" s="2"/>
      <c r="BSX1" s="2"/>
      <c r="BSY1" s="2"/>
      <c r="BSZ1" s="2"/>
      <c r="BTA1" s="2"/>
      <c r="BTB1" s="2"/>
      <c r="BTC1" s="2"/>
      <c r="BTD1" s="2"/>
      <c r="BTE1" s="2"/>
      <c r="BTF1" s="2"/>
      <c r="BTG1" s="2"/>
      <c r="BTH1" s="2"/>
      <c r="BTI1" s="2"/>
      <c r="BTJ1" s="2"/>
      <c r="BTK1" s="2"/>
      <c r="BTL1" s="2"/>
      <c r="BTM1" s="2"/>
      <c r="BTN1" s="2"/>
      <c r="BTO1" s="2"/>
      <c r="BTP1" s="2"/>
      <c r="BTQ1" s="2"/>
      <c r="BTR1" s="2"/>
      <c r="BTS1" s="2"/>
      <c r="BTT1" s="2"/>
      <c r="BTU1" s="2"/>
      <c r="BTV1" s="2"/>
      <c r="BTW1" s="2"/>
      <c r="BTX1" s="2"/>
      <c r="BTY1" s="2"/>
      <c r="BTZ1" s="2"/>
      <c r="BUA1" s="2"/>
      <c r="BUB1" s="2"/>
      <c r="BUC1" s="2"/>
      <c r="BUD1" s="2"/>
      <c r="BUE1" s="2"/>
      <c r="BUF1" s="2"/>
      <c r="BUG1" s="2"/>
      <c r="BUH1" s="2"/>
      <c r="BUI1" s="2"/>
      <c r="BUJ1" s="2"/>
      <c r="BUK1" s="2"/>
      <c r="BUL1" s="2"/>
      <c r="BUM1" s="2"/>
      <c r="BUN1" s="2"/>
      <c r="BUO1" s="2"/>
      <c r="BUP1" s="2"/>
      <c r="BUQ1" s="2"/>
      <c r="BUR1" s="2"/>
      <c r="BUS1" s="2"/>
      <c r="BUT1" s="2"/>
      <c r="BUU1" s="2"/>
      <c r="BUV1" s="2"/>
      <c r="BUW1" s="2"/>
      <c r="BUX1" s="2"/>
      <c r="BUY1" s="2"/>
      <c r="BUZ1" s="2"/>
      <c r="BVA1" s="2"/>
      <c r="BVB1" s="2"/>
      <c r="BVC1" s="2"/>
      <c r="BVD1" s="2"/>
      <c r="BVE1" s="2"/>
      <c r="BVF1" s="2"/>
      <c r="BVG1" s="2"/>
      <c r="BVH1" s="2"/>
      <c r="BVI1" s="2"/>
      <c r="BVJ1" s="2"/>
      <c r="BVK1" s="2"/>
      <c r="BVL1" s="2"/>
      <c r="BVM1" s="2"/>
      <c r="BVN1" s="2"/>
      <c r="BVO1" s="2"/>
      <c r="BVP1" s="2"/>
      <c r="BVQ1" s="2"/>
      <c r="BVR1" s="2"/>
      <c r="BVS1" s="2"/>
      <c r="BVT1" s="2"/>
      <c r="BVU1" s="2"/>
      <c r="BVV1" s="2"/>
      <c r="BVW1" s="2"/>
      <c r="BVX1" s="2"/>
      <c r="BVY1" s="2"/>
      <c r="BVZ1" s="2"/>
      <c r="BWA1" s="2"/>
      <c r="BWB1" s="2"/>
      <c r="BWC1" s="2"/>
      <c r="BWD1" s="2"/>
      <c r="BWE1" s="2"/>
      <c r="BWF1" s="2"/>
      <c r="BWG1" s="2"/>
      <c r="BWH1" s="2"/>
      <c r="BWI1" s="2"/>
      <c r="BWJ1" s="2"/>
      <c r="BWK1" s="2"/>
      <c r="BWL1" s="2"/>
      <c r="BWM1" s="2"/>
      <c r="BWN1" s="2"/>
      <c r="BWO1" s="2"/>
      <c r="BWP1" s="2"/>
      <c r="BWQ1" s="2"/>
      <c r="BWR1" s="2"/>
      <c r="BWS1" s="2"/>
      <c r="BWT1" s="2"/>
      <c r="BWU1" s="2"/>
      <c r="BWV1" s="2"/>
      <c r="BWW1" s="2"/>
      <c r="BWX1" s="2"/>
      <c r="BWY1" s="2"/>
      <c r="BWZ1" s="2"/>
      <c r="BXA1" s="2"/>
      <c r="BXB1" s="2"/>
      <c r="BXC1" s="2"/>
      <c r="BXD1" s="2"/>
      <c r="BXE1" s="2"/>
      <c r="BXF1" s="2"/>
      <c r="BXG1" s="2"/>
      <c r="BXH1" s="2"/>
      <c r="BXI1" s="2"/>
      <c r="BXJ1" s="2"/>
      <c r="BXK1" s="2"/>
      <c r="BXL1" s="2"/>
      <c r="BXM1" s="2"/>
      <c r="BXN1" s="2"/>
      <c r="BXO1" s="2"/>
      <c r="BXP1" s="2"/>
      <c r="BXQ1" s="2"/>
      <c r="BXR1" s="2"/>
      <c r="BXS1" s="2"/>
      <c r="BXT1" s="2"/>
      <c r="BXU1" s="2"/>
      <c r="BXV1" s="2"/>
      <c r="BXW1" s="2"/>
      <c r="BXX1" s="2"/>
      <c r="BXY1" s="2"/>
      <c r="BXZ1" s="2"/>
      <c r="BYA1" s="2"/>
      <c r="BYB1" s="2"/>
      <c r="BYC1" s="2"/>
      <c r="BYD1" s="2"/>
      <c r="BYE1" s="2"/>
      <c r="BYF1" s="2"/>
      <c r="BYG1" s="2"/>
      <c r="BYH1" s="2"/>
      <c r="BYI1" s="2"/>
      <c r="BYJ1" s="2"/>
      <c r="BYK1" s="2"/>
      <c r="BYL1" s="2"/>
      <c r="BYM1" s="2"/>
      <c r="BYN1" s="2"/>
      <c r="BYO1" s="2"/>
      <c r="BYP1" s="2"/>
      <c r="BYQ1" s="2"/>
      <c r="BYR1" s="2"/>
      <c r="BYS1" s="2"/>
      <c r="BYT1" s="2"/>
      <c r="BYU1" s="2"/>
      <c r="BYV1" s="2"/>
      <c r="BYW1" s="2"/>
      <c r="BYX1" s="2"/>
      <c r="BYY1" s="2"/>
      <c r="BYZ1" s="2"/>
      <c r="BZA1" s="2"/>
      <c r="BZB1" s="2"/>
      <c r="BZC1" s="2"/>
      <c r="BZD1" s="2"/>
      <c r="BZE1" s="2"/>
      <c r="BZF1" s="2"/>
      <c r="BZG1" s="2"/>
      <c r="BZH1" s="2"/>
      <c r="BZI1" s="2"/>
      <c r="BZJ1" s="2"/>
      <c r="BZK1" s="2"/>
      <c r="BZL1" s="2"/>
      <c r="BZM1" s="2"/>
      <c r="BZN1" s="2"/>
      <c r="BZO1" s="2"/>
      <c r="BZP1" s="2"/>
      <c r="BZQ1" s="2"/>
      <c r="BZR1" s="2"/>
      <c r="BZS1" s="2"/>
      <c r="BZT1" s="2"/>
      <c r="BZU1" s="2"/>
      <c r="BZV1" s="2"/>
      <c r="BZW1" s="2"/>
      <c r="BZX1" s="2"/>
      <c r="BZY1" s="2"/>
      <c r="BZZ1" s="2"/>
      <c r="CAA1" s="2"/>
      <c r="CAB1" s="2"/>
      <c r="CAC1" s="2"/>
      <c r="CAD1" s="2"/>
      <c r="CAE1" s="2"/>
      <c r="CAF1" s="2"/>
      <c r="CAG1" s="2"/>
      <c r="CAH1" s="2"/>
      <c r="CAI1" s="2"/>
      <c r="CAJ1" s="2"/>
      <c r="CAK1" s="2"/>
      <c r="CAL1" s="2"/>
      <c r="CAM1" s="2"/>
      <c r="CAN1" s="2"/>
      <c r="CAO1" s="2"/>
      <c r="CAP1" s="2"/>
      <c r="CAQ1" s="2"/>
      <c r="CAR1" s="2"/>
      <c r="CAS1" s="2"/>
      <c r="CAT1" s="2"/>
      <c r="CAU1" s="2"/>
      <c r="CAV1" s="2"/>
      <c r="CAW1" s="2"/>
      <c r="CAX1" s="2"/>
      <c r="CAY1" s="2"/>
      <c r="CAZ1" s="2"/>
      <c r="CBA1" s="2"/>
      <c r="CBB1" s="2"/>
      <c r="CBC1" s="2"/>
      <c r="CBD1" s="2"/>
      <c r="CBE1" s="2"/>
      <c r="CBF1" s="2"/>
      <c r="CBG1" s="2"/>
      <c r="CBH1" s="2"/>
      <c r="CBI1" s="2"/>
      <c r="CBJ1" s="2"/>
      <c r="CBK1" s="2"/>
      <c r="CBL1" s="2"/>
      <c r="CBM1" s="2"/>
      <c r="CBN1" s="2"/>
      <c r="CBO1" s="2"/>
      <c r="CBP1" s="2"/>
      <c r="CBQ1" s="2"/>
      <c r="CBR1" s="2"/>
      <c r="CBS1" s="2"/>
      <c r="CBT1" s="2"/>
      <c r="CBU1" s="2"/>
      <c r="CBV1" s="2"/>
      <c r="CBW1" s="2"/>
      <c r="CBX1" s="2"/>
      <c r="CBY1" s="2"/>
      <c r="CBZ1" s="2"/>
      <c r="CCA1" s="2"/>
      <c r="CCB1" s="2"/>
      <c r="CCC1" s="2"/>
      <c r="CCD1" s="2"/>
      <c r="CCE1" s="2"/>
      <c r="CCF1" s="2"/>
      <c r="CCG1" s="2"/>
      <c r="CCH1" s="2"/>
      <c r="CCI1" s="2"/>
      <c r="CCJ1" s="2"/>
      <c r="CCK1" s="2"/>
      <c r="CCL1" s="2"/>
      <c r="CCM1" s="2"/>
      <c r="CCN1" s="2"/>
      <c r="CCO1" s="2"/>
      <c r="CCP1" s="2"/>
      <c r="CCQ1" s="2"/>
      <c r="CCR1" s="2"/>
      <c r="CCS1" s="2"/>
      <c r="CCT1" s="2"/>
      <c r="CCU1" s="2"/>
      <c r="CCV1" s="2"/>
      <c r="CCW1" s="2"/>
      <c r="CCX1" s="2"/>
      <c r="CCY1" s="2"/>
      <c r="CCZ1" s="2"/>
      <c r="CDA1" s="2"/>
      <c r="CDB1" s="2"/>
      <c r="CDC1" s="2"/>
      <c r="CDD1" s="2"/>
      <c r="CDE1" s="2"/>
      <c r="CDF1" s="2"/>
      <c r="CDG1" s="2"/>
      <c r="CDH1" s="2"/>
      <c r="CDI1" s="2"/>
      <c r="CDJ1" s="2"/>
      <c r="CDK1" s="2"/>
      <c r="CDL1" s="2"/>
      <c r="CDM1" s="2"/>
      <c r="CDN1" s="2"/>
      <c r="CDO1" s="2"/>
      <c r="CDP1" s="2"/>
      <c r="CDQ1" s="2"/>
      <c r="CDR1" s="2"/>
      <c r="CDS1" s="2"/>
      <c r="CDT1" s="2"/>
      <c r="CDU1" s="2"/>
      <c r="CDV1" s="2"/>
      <c r="CDW1" s="2"/>
      <c r="CDX1" s="2"/>
      <c r="CDY1" s="2"/>
      <c r="CDZ1" s="2"/>
      <c r="CEA1" s="2"/>
      <c r="CEB1" s="2"/>
      <c r="CEC1" s="2"/>
      <c r="CED1" s="2"/>
      <c r="CEE1" s="2"/>
      <c r="CEF1" s="2"/>
      <c r="CEG1" s="2"/>
      <c r="CEH1" s="2"/>
      <c r="CEI1" s="2"/>
      <c r="CEJ1" s="2"/>
      <c r="CEK1" s="2"/>
      <c r="CEL1" s="2"/>
      <c r="CEM1" s="2"/>
      <c r="CEN1" s="2"/>
      <c r="CEO1" s="2"/>
      <c r="CEP1" s="2"/>
      <c r="CEQ1" s="2"/>
      <c r="CER1" s="2"/>
      <c r="CES1" s="2"/>
      <c r="CET1" s="2"/>
      <c r="CEU1" s="2"/>
      <c r="CEV1" s="2"/>
      <c r="CEW1" s="2"/>
      <c r="CEX1" s="2"/>
      <c r="CEY1" s="2"/>
      <c r="CEZ1" s="2"/>
      <c r="CFA1" s="2"/>
      <c r="CFB1" s="2"/>
      <c r="CFC1" s="2"/>
      <c r="CFD1" s="2"/>
      <c r="CFE1" s="2"/>
      <c r="CFF1" s="2"/>
      <c r="CFG1" s="2"/>
      <c r="CFH1" s="2"/>
      <c r="CFI1" s="2"/>
      <c r="CFJ1" s="2"/>
      <c r="CFK1" s="2"/>
      <c r="CFL1" s="2"/>
      <c r="CFM1" s="2"/>
      <c r="CFN1" s="2"/>
      <c r="CFO1" s="2"/>
      <c r="CFP1" s="2"/>
      <c r="CFQ1" s="2"/>
      <c r="CFR1" s="2"/>
      <c r="CFS1" s="2"/>
      <c r="CFT1" s="2"/>
      <c r="CFU1" s="2"/>
      <c r="CFV1" s="2"/>
      <c r="CFW1" s="2"/>
      <c r="CFX1" s="2"/>
      <c r="CFY1" s="2"/>
      <c r="CFZ1" s="2"/>
      <c r="CGA1" s="2"/>
      <c r="CGB1" s="2"/>
      <c r="CGC1" s="2"/>
      <c r="CGD1" s="2"/>
      <c r="CGE1" s="2"/>
      <c r="CGF1" s="2"/>
      <c r="CGG1" s="2"/>
      <c r="CGH1" s="2"/>
      <c r="CGI1" s="2"/>
      <c r="CGJ1" s="2"/>
      <c r="CGK1" s="2"/>
      <c r="CGL1" s="2"/>
      <c r="CGM1" s="2"/>
      <c r="CGN1" s="2"/>
      <c r="CGO1" s="2"/>
      <c r="CGP1" s="2"/>
      <c r="CGQ1" s="2"/>
      <c r="CGR1" s="2"/>
      <c r="CGS1" s="2"/>
      <c r="CGT1" s="2"/>
      <c r="CGU1" s="2"/>
      <c r="CGV1" s="2"/>
      <c r="CGW1" s="2"/>
      <c r="CGX1" s="2"/>
      <c r="CGY1" s="2"/>
      <c r="CGZ1" s="2"/>
      <c r="CHA1" s="2"/>
      <c r="CHB1" s="2"/>
      <c r="CHC1" s="2"/>
      <c r="CHD1" s="2"/>
      <c r="CHE1" s="2"/>
      <c r="CHF1" s="2"/>
      <c r="CHG1" s="2"/>
      <c r="CHH1" s="2"/>
      <c r="CHI1" s="2"/>
      <c r="CHJ1" s="2"/>
      <c r="CHK1" s="2"/>
      <c r="CHL1" s="2"/>
      <c r="CHM1" s="2"/>
      <c r="CHN1" s="2"/>
      <c r="CHO1" s="2"/>
      <c r="CHP1" s="2"/>
      <c r="CHQ1" s="2"/>
      <c r="CHR1" s="2"/>
      <c r="CHS1" s="2"/>
      <c r="CHT1" s="2"/>
      <c r="CHU1" s="2"/>
      <c r="CHV1" s="2"/>
      <c r="CHW1" s="2"/>
      <c r="CHX1" s="2"/>
      <c r="CHY1" s="2"/>
      <c r="CHZ1" s="2"/>
      <c r="CIA1" s="2"/>
      <c r="CIB1" s="2"/>
      <c r="CIC1" s="2"/>
      <c r="CID1" s="2"/>
      <c r="CIE1" s="2"/>
      <c r="CIF1" s="2"/>
      <c r="CIG1" s="2"/>
      <c r="CIH1" s="2"/>
      <c r="CII1" s="2"/>
      <c r="CIJ1" s="2"/>
      <c r="CIK1" s="2"/>
      <c r="CIL1" s="2"/>
      <c r="CIM1" s="2"/>
      <c r="CIN1" s="2"/>
      <c r="CIO1" s="2"/>
      <c r="CIP1" s="2"/>
      <c r="CIQ1" s="2"/>
      <c r="CIR1" s="2"/>
      <c r="CIS1" s="2"/>
      <c r="CIT1" s="2"/>
      <c r="CIU1" s="2"/>
      <c r="CIV1" s="2"/>
      <c r="CIW1" s="2"/>
      <c r="CIX1" s="2"/>
      <c r="CIY1" s="2"/>
      <c r="CIZ1" s="2"/>
      <c r="CJA1" s="2"/>
      <c r="CJB1" s="2"/>
      <c r="CJC1" s="2"/>
      <c r="CJD1" s="2"/>
      <c r="CJE1" s="2"/>
      <c r="CJF1" s="2"/>
      <c r="CJG1" s="2"/>
      <c r="CJH1" s="2"/>
      <c r="CJI1" s="2"/>
      <c r="CJJ1" s="2"/>
      <c r="CJK1" s="2"/>
      <c r="CJL1" s="2"/>
      <c r="CJM1" s="2"/>
      <c r="CJN1" s="2"/>
      <c r="CJO1" s="2"/>
      <c r="CJP1" s="2"/>
      <c r="CJQ1" s="2"/>
      <c r="CJR1" s="2"/>
      <c r="CJS1" s="2"/>
      <c r="CJT1" s="2"/>
      <c r="CJU1" s="2"/>
      <c r="CJV1" s="2"/>
      <c r="CJW1" s="2"/>
      <c r="CJX1" s="2"/>
      <c r="CJY1" s="2"/>
      <c r="CJZ1" s="2"/>
      <c r="CKA1" s="2"/>
      <c r="CKB1" s="2"/>
      <c r="CKC1" s="2"/>
      <c r="CKD1" s="2"/>
      <c r="CKE1" s="2"/>
      <c r="CKF1" s="2"/>
      <c r="CKG1" s="2"/>
      <c r="CKH1" s="2"/>
      <c r="CKI1" s="2"/>
      <c r="CKJ1" s="2"/>
      <c r="CKK1" s="2"/>
      <c r="CKL1" s="2"/>
      <c r="CKM1" s="2"/>
      <c r="CKN1" s="2"/>
      <c r="CKO1" s="2"/>
      <c r="CKP1" s="2"/>
      <c r="CKQ1" s="2"/>
      <c r="CKR1" s="2"/>
      <c r="CKS1" s="2"/>
      <c r="CKT1" s="2"/>
      <c r="CKU1" s="2"/>
      <c r="CKV1" s="2"/>
      <c r="CKW1" s="2"/>
      <c r="CKX1" s="2"/>
      <c r="CKY1" s="2"/>
      <c r="CKZ1" s="2"/>
      <c r="CLA1" s="2"/>
      <c r="CLB1" s="2"/>
      <c r="CLC1" s="2"/>
      <c r="CLD1" s="2"/>
      <c r="CLE1" s="2"/>
      <c r="CLF1" s="2"/>
      <c r="CLG1" s="2"/>
      <c r="CLH1" s="2"/>
      <c r="CLI1" s="2"/>
      <c r="CLJ1" s="2"/>
      <c r="CLK1" s="2"/>
      <c r="CLL1" s="2"/>
      <c r="CLM1" s="2"/>
      <c r="CLN1" s="2"/>
      <c r="CLO1" s="2"/>
      <c r="CLP1" s="2"/>
      <c r="CLQ1" s="2"/>
      <c r="CLR1" s="2"/>
      <c r="CLS1" s="2"/>
      <c r="CLT1" s="2"/>
      <c r="CLU1" s="2"/>
      <c r="CLV1" s="2"/>
      <c r="CLW1" s="2"/>
      <c r="CLX1" s="2"/>
      <c r="CLY1" s="2"/>
      <c r="CLZ1" s="2"/>
      <c r="CMA1" s="2"/>
      <c r="CMB1" s="2"/>
      <c r="CMC1" s="2"/>
      <c r="CMD1" s="2"/>
      <c r="CME1" s="2"/>
      <c r="CMF1" s="2"/>
      <c r="CMG1" s="2"/>
      <c r="CMH1" s="2"/>
      <c r="CMI1" s="2"/>
      <c r="CMJ1" s="2"/>
      <c r="CMK1" s="2"/>
      <c r="CML1" s="2"/>
      <c r="CMM1" s="2"/>
      <c r="CMN1" s="2"/>
      <c r="CMO1" s="2"/>
      <c r="CMP1" s="2"/>
      <c r="CMQ1" s="2"/>
      <c r="CMR1" s="2"/>
      <c r="CMS1" s="2"/>
      <c r="CMT1" s="2"/>
      <c r="CMU1" s="2"/>
      <c r="CMV1" s="2"/>
      <c r="CMW1" s="2"/>
      <c r="CMX1" s="2"/>
      <c r="CMY1" s="2"/>
      <c r="CMZ1" s="2"/>
      <c r="CNA1" s="2"/>
      <c r="CNB1" s="2"/>
      <c r="CNC1" s="2"/>
      <c r="CND1" s="2"/>
      <c r="CNE1" s="2"/>
      <c r="CNF1" s="2"/>
      <c r="CNG1" s="2"/>
      <c r="CNH1" s="2"/>
      <c r="CNI1" s="2"/>
      <c r="CNJ1" s="2"/>
      <c r="CNK1" s="2"/>
      <c r="CNL1" s="2"/>
      <c r="CNM1" s="2"/>
      <c r="CNN1" s="2"/>
      <c r="CNO1" s="2"/>
      <c r="CNP1" s="2"/>
      <c r="CNQ1" s="2"/>
      <c r="CNR1" s="2"/>
      <c r="CNS1" s="2"/>
      <c r="CNT1" s="2"/>
      <c r="CNU1" s="2"/>
      <c r="CNV1" s="2"/>
      <c r="CNW1" s="2"/>
      <c r="CNX1" s="2"/>
      <c r="CNY1" s="2"/>
      <c r="CNZ1" s="2"/>
      <c r="COA1" s="2"/>
      <c r="COB1" s="2"/>
      <c r="COC1" s="2"/>
      <c r="COD1" s="2"/>
      <c r="COE1" s="2"/>
      <c r="COF1" s="2"/>
      <c r="COG1" s="2"/>
      <c r="COH1" s="2"/>
      <c r="COI1" s="2"/>
      <c r="COJ1" s="2"/>
      <c r="COK1" s="2"/>
      <c r="COL1" s="2"/>
      <c r="COM1" s="2"/>
      <c r="CON1" s="2"/>
      <c r="COO1" s="2"/>
      <c r="COP1" s="2"/>
      <c r="COQ1" s="2"/>
      <c r="COR1" s="2"/>
      <c r="COS1" s="2"/>
      <c r="COT1" s="2"/>
      <c r="COU1" s="2"/>
      <c r="COV1" s="2"/>
      <c r="COW1" s="2"/>
      <c r="COX1" s="2"/>
      <c r="COY1" s="2"/>
      <c r="COZ1" s="2"/>
      <c r="CPA1" s="2"/>
      <c r="CPB1" s="2"/>
      <c r="CPC1" s="2"/>
      <c r="CPD1" s="2"/>
      <c r="CPE1" s="2"/>
      <c r="CPF1" s="2"/>
      <c r="CPG1" s="2"/>
      <c r="CPH1" s="2"/>
      <c r="CPI1" s="2"/>
      <c r="CPJ1" s="2"/>
      <c r="CPK1" s="2"/>
      <c r="CPL1" s="2"/>
      <c r="CPM1" s="2"/>
      <c r="CPN1" s="2"/>
      <c r="CPO1" s="2"/>
      <c r="CPP1" s="2"/>
      <c r="CPQ1" s="2"/>
      <c r="CPR1" s="2"/>
      <c r="CPS1" s="2"/>
      <c r="CPT1" s="2"/>
      <c r="CPU1" s="2"/>
      <c r="CPV1" s="2"/>
      <c r="CPW1" s="2"/>
      <c r="CPX1" s="2"/>
      <c r="CPY1" s="2"/>
      <c r="CPZ1" s="2"/>
      <c r="CQA1" s="2"/>
      <c r="CQB1" s="2"/>
      <c r="CQC1" s="2"/>
      <c r="CQD1" s="2"/>
      <c r="CQE1" s="2"/>
      <c r="CQF1" s="2"/>
      <c r="CQG1" s="2"/>
      <c r="CQH1" s="2"/>
      <c r="CQI1" s="2"/>
      <c r="CQJ1" s="2"/>
      <c r="CQK1" s="2"/>
      <c r="CQL1" s="2"/>
      <c r="CQM1" s="2"/>
      <c r="CQN1" s="2"/>
      <c r="CQO1" s="2"/>
      <c r="CQP1" s="2"/>
      <c r="CQQ1" s="2"/>
      <c r="CQR1" s="2"/>
      <c r="CQS1" s="2"/>
      <c r="CQT1" s="2"/>
      <c r="CQU1" s="2"/>
      <c r="CQV1" s="2"/>
      <c r="CQW1" s="2"/>
      <c r="CQX1" s="2"/>
      <c r="CQY1" s="2"/>
      <c r="CQZ1" s="2"/>
      <c r="CRA1" s="2"/>
      <c r="CRB1" s="2"/>
      <c r="CRC1" s="2"/>
      <c r="CRD1" s="2"/>
      <c r="CRE1" s="2"/>
      <c r="CRF1" s="2"/>
      <c r="CRG1" s="2"/>
      <c r="CRH1" s="2"/>
      <c r="CRI1" s="2"/>
      <c r="CRJ1" s="2"/>
      <c r="CRK1" s="2"/>
      <c r="CRL1" s="2"/>
      <c r="CRM1" s="2"/>
      <c r="CRN1" s="2"/>
      <c r="CRO1" s="2"/>
      <c r="CRP1" s="2"/>
      <c r="CRQ1" s="2"/>
      <c r="CRR1" s="2"/>
      <c r="CRS1" s="2"/>
      <c r="CRT1" s="2"/>
      <c r="CRU1" s="2"/>
      <c r="CRV1" s="2"/>
      <c r="CRW1" s="2"/>
      <c r="CRX1" s="2"/>
      <c r="CRY1" s="2"/>
      <c r="CRZ1" s="2"/>
      <c r="CSA1" s="2"/>
      <c r="CSB1" s="2"/>
      <c r="CSC1" s="2"/>
      <c r="CSD1" s="2"/>
      <c r="CSE1" s="2"/>
      <c r="CSF1" s="2"/>
      <c r="CSG1" s="2"/>
      <c r="CSH1" s="2"/>
      <c r="CSI1" s="2"/>
      <c r="CSJ1" s="2"/>
      <c r="CSK1" s="2"/>
      <c r="CSL1" s="2"/>
      <c r="CSM1" s="2"/>
      <c r="CSN1" s="2"/>
      <c r="CSO1" s="2"/>
      <c r="CSP1" s="2"/>
      <c r="CSQ1" s="2"/>
      <c r="CSR1" s="2"/>
      <c r="CSS1" s="2"/>
      <c r="CST1" s="2"/>
      <c r="CSU1" s="2"/>
      <c r="CSV1" s="2"/>
      <c r="CSW1" s="2"/>
      <c r="CSX1" s="2"/>
      <c r="CSY1" s="2"/>
      <c r="CSZ1" s="2"/>
      <c r="CTA1" s="2"/>
      <c r="CTB1" s="2"/>
      <c r="CTC1" s="2"/>
      <c r="CTD1" s="2"/>
      <c r="CTE1" s="2"/>
      <c r="CTF1" s="2"/>
      <c r="CTG1" s="2"/>
      <c r="CTH1" s="2"/>
      <c r="CTI1" s="2"/>
      <c r="CTJ1" s="2"/>
      <c r="CTK1" s="2"/>
      <c r="CTL1" s="2"/>
      <c r="CTM1" s="2"/>
      <c r="CTN1" s="2"/>
      <c r="CTO1" s="2"/>
      <c r="CTP1" s="2"/>
      <c r="CTQ1" s="2"/>
      <c r="CTR1" s="2"/>
      <c r="CTS1" s="2"/>
      <c r="CTT1" s="2"/>
      <c r="CTU1" s="2"/>
      <c r="CTV1" s="2"/>
      <c r="CTW1" s="2"/>
      <c r="CTX1" s="2"/>
      <c r="CTY1" s="2"/>
      <c r="CTZ1" s="2"/>
      <c r="CUA1" s="2"/>
      <c r="CUB1" s="2"/>
      <c r="CUC1" s="2"/>
      <c r="CUD1" s="2"/>
      <c r="CUE1" s="2"/>
      <c r="CUF1" s="2"/>
      <c r="CUG1" s="2"/>
      <c r="CUH1" s="2"/>
      <c r="CUI1" s="2"/>
      <c r="CUJ1" s="2"/>
      <c r="CUK1" s="2"/>
      <c r="CUL1" s="2"/>
      <c r="CUM1" s="2"/>
      <c r="CUN1" s="2"/>
      <c r="CUO1" s="2"/>
      <c r="CUP1" s="2"/>
      <c r="CUQ1" s="2"/>
      <c r="CUR1" s="2"/>
      <c r="CUS1" s="2"/>
      <c r="CUT1" s="2"/>
      <c r="CUU1" s="2"/>
      <c r="CUV1" s="2"/>
      <c r="CUW1" s="2"/>
      <c r="CUX1" s="2"/>
      <c r="CUY1" s="2"/>
      <c r="CUZ1" s="2"/>
      <c r="CVA1" s="2"/>
      <c r="CVB1" s="2"/>
      <c r="CVC1" s="2"/>
      <c r="CVD1" s="2"/>
      <c r="CVE1" s="2"/>
      <c r="CVF1" s="2"/>
      <c r="CVG1" s="2"/>
      <c r="CVH1" s="2"/>
      <c r="CVI1" s="2"/>
      <c r="CVJ1" s="2"/>
      <c r="CVK1" s="2"/>
      <c r="CVL1" s="2"/>
      <c r="CVM1" s="2"/>
      <c r="CVN1" s="2"/>
      <c r="CVO1" s="2"/>
      <c r="CVP1" s="2"/>
      <c r="CVQ1" s="2"/>
      <c r="CVR1" s="2"/>
      <c r="CVS1" s="2"/>
      <c r="CVT1" s="2"/>
      <c r="CVU1" s="2"/>
      <c r="CVV1" s="2"/>
      <c r="CVW1" s="2"/>
      <c r="CVX1" s="2"/>
      <c r="CVY1" s="2"/>
      <c r="CVZ1" s="2"/>
      <c r="CWA1" s="2"/>
      <c r="CWB1" s="2"/>
      <c r="CWC1" s="2"/>
      <c r="CWD1" s="2"/>
      <c r="CWE1" s="2"/>
      <c r="CWF1" s="2"/>
      <c r="CWG1" s="2"/>
      <c r="CWH1" s="2"/>
      <c r="CWI1" s="2"/>
      <c r="CWJ1" s="2"/>
      <c r="CWK1" s="2"/>
      <c r="CWL1" s="2"/>
      <c r="CWM1" s="2"/>
      <c r="CWN1" s="2"/>
      <c r="CWO1" s="2"/>
      <c r="CWP1" s="2"/>
      <c r="CWQ1" s="2"/>
      <c r="CWR1" s="2"/>
      <c r="CWS1" s="2"/>
      <c r="CWT1" s="2"/>
      <c r="CWU1" s="2"/>
      <c r="CWV1" s="2"/>
      <c r="CWW1" s="2"/>
      <c r="CWX1" s="2"/>
      <c r="CWY1" s="2"/>
      <c r="CWZ1" s="2"/>
      <c r="CXA1" s="2"/>
      <c r="CXB1" s="2"/>
      <c r="CXC1" s="2"/>
      <c r="CXD1" s="2"/>
      <c r="CXE1" s="2"/>
      <c r="CXF1" s="2"/>
      <c r="CXG1" s="2"/>
      <c r="CXH1" s="2"/>
      <c r="CXI1" s="2"/>
      <c r="CXJ1" s="2"/>
      <c r="CXK1" s="2"/>
      <c r="CXL1" s="2"/>
      <c r="CXM1" s="2"/>
      <c r="CXN1" s="2"/>
      <c r="CXO1" s="2"/>
      <c r="CXP1" s="2"/>
      <c r="CXQ1" s="2"/>
      <c r="CXR1" s="2"/>
      <c r="CXS1" s="2"/>
      <c r="CXT1" s="2"/>
      <c r="CXU1" s="2"/>
      <c r="CXV1" s="2"/>
      <c r="CXW1" s="2"/>
      <c r="CXX1" s="2"/>
      <c r="CXY1" s="2"/>
      <c r="CXZ1" s="2"/>
      <c r="CYA1" s="2"/>
      <c r="CYB1" s="2"/>
      <c r="CYC1" s="2"/>
      <c r="CYD1" s="2"/>
      <c r="CYE1" s="2"/>
      <c r="CYF1" s="2"/>
      <c r="CYG1" s="2"/>
      <c r="CYH1" s="2"/>
      <c r="CYI1" s="2"/>
      <c r="CYJ1" s="2"/>
      <c r="CYK1" s="2"/>
      <c r="CYL1" s="2"/>
      <c r="CYM1" s="2"/>
      <c r="CYN1" s="2"/>
      <c r="CYO1" s="2"/>
      <c r="CYP1" s="2"/>
      <c r="CYQ1" s="2"/>
      <c r="CYR1" s="2"/>
      <c r="CYS1" s="2"/>
      <c r="CYT1" s="2"/>
      <c r="CYU1" s="2"/>
      <c r="CYV1" s="2"/>
      <c r="CYW1" s="2"/>
      <c r="CYX1" s="2"/>
      <c r="CYY1" s="2"/>
      <c r="CYZ1" s="2"/>
      <c r="CZA1" s="2"/>
      <c r="CZB1" s="2"/>
      <c r="CZC1" s="2"/>
      <c r="CZD1" s="2"/>
      <c r="CZE1" s="2"/>
      <c r="CZF1" s="2"/>
      <c r="CZG1" s="2"/>
      <c r="CZH1" s="2"/>
      <c r="CZI1" s="2"/>
      <c r="CZJ1" s="2"/>
      <c r="CZK1" s="2"/>
      <c r="CZL1" s="2"/>
      <c r="CZM1" s="2"/>
      <c r="CZN1" s="2"/>
      <c r="CZO1" s="2"/>
      <c r="CZP1" s="2"/>
      <c r="CZQ1" s="2"/>
      <c r="CZR1" s="2"/>
      <c r="CZS1" s="2"/>
      <c r="CZT1" s="2"/>
      <c r="CZU1" s="2"/>
      <c r="CZV1" s="2"/>
      <c r="CZW1" s="2"/>
      <c r="CZX1" s="2"/>
      <c r="CZY1" s="2"/>
      <c r="CZZ1" s="2"/>
      <c r="DAA1" s="2"/>
      <c r="DAB1" s="2"/>
      <c r="DAC1" s="2"/>
      <c r="DAD1" s="2"/>
      <c r="DAE1" s="2"/>
      <c r="DAF1" s="2"/>
      <c r="DAG1" s="2"/>
      <c r="DAH1" s="2"/>
      <c r="DAI1" s="2"/>
      <c r="DAJ1" s="2"/>
      <c r="DAK1" s="2"/>
      <c r="DAL1" s="2"/>
      <c r="DAM1" s="2"/>
      <c r="DAN1" s="2"/>
      <c r="DAO1" s="2"/>
      <c r="DAP1" s="2"/>
      <c r="DAQ1" s="2"/>
      <c r="DAR1" s="2"/>
      <c r="DAS1" s="2"/>
      <c r="DAT1" s="2"/>
      <c r="DAU1" s="2"/>
      <c r="DAV1" s="2"/>
      <c r="DAW1" s="2"/>
      <c r="DAX1" s="2"/>
      <c r="DAY1" s="2"/>
      <c r="DAZ1" s="2"/>
      <c r="DBA1" s="2"/>
      <c r="DBB1" s="2"/>
      <c r="DBC1" s="2"/>
      <c r="DBD1" s="2"/>
      <c r="DBE1" s="2"/>
      <c r="DBF1" s="2"/>
      <c r="DBG1" s="2"/>
      <c r="DBH1" s="2"/>
      <c r="DBI1" s="2"/>
      <c r="DBJ1" s="2"/>
      <c r="DBK1" s="2"/>
      <c r="DBL1" s="2"/>
      <c r="DBM1" s="2"/>
      <c r="DBN1" s="2"/>
      <c r="DBO1" s="2"/>
      <c r="DBP1" s="2"/>
      <c r="DBQ1" s="2"/>
      <c r="DBR1" s="2"/>
      <c r="DBS1" s="2"/>
      <c r="DBT1" s="2"/>
      <c r="DBU1" s="2"/>
      <c r="DBV1" s="2"/>
      <c r="DBW1" s="2"/>
      <c r="DBX1" s="2"/>
      <c r="DBY1" s="2"/>
      <c r="DBZ1" s="2"/>
      <c r="DCA1" s="2"/>
      <c r="DCB1" s="2"/>
      <c r="DCC1" s="2"/>
      <c r="DCD1" s="2"/>
      <c r="DCE1" s="2"/>
      <c r="DCF1" s="2"/>
      <c r="DCG1" s="2"/>
      <c r="DCH1" s="2"/>
      <c r="DCI1" s="2"/>
      <c r="DCJ1" s="2"/>
      <c r="DCK1" s="2"/>
      <c r="DCL1" s="2"/>
      <c r="DCM1" s="2"/>
      <c r="DCN1" s="2"/>
      <c r="DCO1" s="2"/>
      <c r="DCP1" s="2"/>
      <c r="DCQ1" s="2"/>
      <c r="DCR1" s="2"/>
      <c r="DCS1" s="2"/>
      <c r="DCT1" s="2"/>
      <c r="DCU1" s="2"/>
      <c r="DCV1" s="2"/>
      <c r="DCW1" s="2"/>
      <c r="DCX1" s="2"/>
      <c r="DCY1" s="2"/>
      <c r="DCZ1" s="2"/>
      <c r="DDA1" s="2"/>
      <c r="DDB1" s="2"/>
      <c r="DDC1" s="2"/>
      <c r="DDD1" s="2"/>
      <c r="DDE1" s="2"/>
      <c r="DDF1" s="2"/>
      <c r="DDG1" s="2"/>
      <c r="DDH1" s="2"/>
      <c r="DDI1" s="2"/>
      <c r="DDJ1" s="2"/>
      <c r="DDK1" s="2"/>
      <c r="DDL1" s="2"/>
      <c r="DDM1" s="2"/>
      <c r="DDN1" s="2"/>
      <c r="DDO1" s="2"/>
      <c r="DDP1" s="2"/>
      <c r="DDQ1" s="2"/>
      <c r="DDR1" s="2"/>
      <c r="DDS1" s="2"/>
      <c r="DDT1" s="2"/>
      <c r="DDU1" s="2"/>
      <c r="DDV1" s="2"/>
      <c r="DDW1" s="2"/>
      <c r="DDX1" s="2"/>
      <c r="DDY1" s="2"/>
      <c r="DDZ1" s="2"/>
      <c r="DEA1" s="2"/>
      <c r="DEB1" s="2"/>
      <c r="DEC1" s="2"/>
      <c r="DED1" s="2"/>
      <c r="DEE1" s="2"/>
      <c r="DEF1" s="2"/>
      <c r="DEG1" s="2"/>
      <c r="DEH1" s="2"/>
      <c r="DEI1" s="2"/>
      <c r="DEJ1" s="2"/>
      <c r="DEK1" s="2"/>
      <c r="DEL1" s="2"/>
      <c r="DEM1" s="2"/>
      <c r="DEN1" s="2"/>
      <c r="DEO1" s="2"/>
      <c r="DEP1" s="2"/>
      <c r="DEQ1" s="2"/>
      <c r="DER1" s="2"/>
      <c r="DES1" s="2"/>
      <c r="DET1" s="2"/>
      <c r="DEU1" s="2"/>
      <c r="DEV1" s="2"/>
      <c r="DEW1" s="2"/>
      <c r="DEX1" s="2"/>
      <c r="DEY1" s="2"/>
      <c r="DEZ1" s="2"/>
      <c r="DFA1" s="2"/>
      <c r="DFB1" s="2"/>
      <c r="DFC1" s="2"/>
      <c r="DFD1" s="2"/>
      <c r="DFE1" s="2"/>
      <c r="DFF1" s="2"/>
      <c r="DFG1" s="2"/>
      <c r="DFH1" s="2"/>
      <c r="DFI1" s="2"/>
      <c r="DFJ1" s="2"/>
      <c r="DFK1" s="2"/>
      <c r="DFL1" s="2"/>
      <c r="DFM1" s="2"/>
      <c r="DFN1" s="2"/>
      <c r="DFO1" s="2"/>
      <c r="DFP1" s="2"/>
      <c r="DFQ1" s="2"/>
      <c r="DFR1" s="2"/>
      <c r="DFS1" s="2"/>
      <c r="DFT1" s="2"/>
      <c r="DFU1" s="2"/>
      <c r="DFV1" s="2"/>
      <c r="DFW1" s="2"/>
      <c r="DFX1" s="2"/>
      <c r="DFY1" s="2"/>
      <c r="DFZ1" s="2"/>
      <c r="DGA1" s="2"/>
      <c r="DGB1" s="2"/>
      <c r="DGC1" s="2"/>
      <c r="DGD1" s="2"/>
      <c r="DGE1" s="2"/>
      <c r="DGF1" s="2"/>
      <c r="DGG1" s="2"/>
      <c r="DGH1" s="2"/>
      <c r="DGI1" s="2"/>
      <c r="DGJ1" s="2"/>
      <c r="DGK1" s="2"/>
      <c r="DGL1" s="2"/>
      <c r="DGM1" s="2"/>
      <c r="DGN1" s="2"/>
      <c r="DGO1" s="2"/>
      <c r="DGP1" s="2"/>
      <c r="DGQ1" s="2"/>
      <c r="DGR1" s="2"/>
      <c r="DGS1" s="2"/>
      <c r="DGT1" s="2"/>
      <c r="DGU1" s="2"/>
      <c r="DGV1" s="2"/>
      <c r="DGW1" s="2"/>
      <c r="DGX1" s="2"/>
      <c r="DGY1" s="2"/>
      <c r="DGZ1" s="2"/>
      <c r="DHA1" s="2"/>
      <c r="DHB1" s="2"/>
      <c r="DHC1" s="2"/>
      <c r="DHD1" s="2"/>
      <c r="DHE1" s="2"/>
      <c r="DHF1" s="2"/>
      <c r="DHG1" s="2"/>
      <c r="DHH1" s="2"/>
      <c r="DHI1" s="2"/>
      <c r="DHJ1" s="2"/>
      <c r="DHK1" s="2"/>
      <c r="DHL1" s="2"/>
      <c r="DHM1" s="2"/>
      <c r="DHN1" s="2"/>
      <c r="DHO1" s="2"/>
      <c r="DHP1" s="2"/>
      <c r="DHQ1" s="2"/>
      <c r="DHR1" s="2"/>
      <c r="DHS1" s="2"/>
      <c r="DHT1" s="2"/>
      <c r="DHU1" s="2"/>
      <c r="DHV1" s="2"/>
      <c r="DHW1" s="2"/>
      <c r="DHX1" s="2"/>
      <c r="DHY1" s="2"/>
      <c r="DHZ1" s="2"/>
      <c r="DIA1" s="2"/>
      <c r="DIB1" s="2"/>
      <c r="DIC1" s="2"/>
      <c r="DID1" s="2"/>
      <c r="DIE1" s="2"/>
      <c r="DIF1" s="2"/>
      <c r="DIG1" s="2"/>
      <c r="DIH1" s="2"/>
      <c r="DII1" s="2"/>
      <c r="DIJ1" s="2"/>
      <c r="DIK1" s="2"/>
      <c r="DIL1" s="2"/>
      <c r="DIM1" s="2"/>
      <c r="DIN1" s="2"/>
      <c r="DIO1" s="2"/>
      <c r="DIP1" s="2"/>
      <c r="DIQ1" s="2"/>
      <c r="DIR1" s="2"/>
      <c r="DIS1" s="2"/>
      <c r="DIT1" s="2"/>
      <c r="DIU1" s="2"/>
      <c r="DIV1" s="2"/>
      <c r="DIW1" s="2"/>
      <c r="DIX1" s="2"/>
      <c r="DIY1" s="2"/>
      <c r="DIZ1" s="2"/>
      <c r="DJA1" s="2"/>
      <c r="DJB1" s="2"/>
      <c r="DJC1" s="2"/>
      <c r="DJD1" s="2"/>
      <c r="DJE1" s="2"/>
      <c r="DJF1" s="2"/>
      <c r="DJG1" s="2"/>
      <c r="DJH1" s="2"/>
      <c r="DJI1" s="2"/>
      <c r="DJJ1" s="2"/>
      <c r="DJK1" s="2"/>
      <c r="DJL1" s="2"/>
      <c r="DJM1" s="2"/>
      <c r="DJN1" s="2"/>
      <c r="DJO1" s="2"/>
      <c r="DJP1" s="2"/>
      <c r="DJQ1" s="2"/>
      <c r="DJR1" s="2"/>
      <c r="DJS1" s="2"/>
      <c r="DJT1" s="2"/>
      <c r="DJU1" s="2"/>
      <c r="DJV1" s="2"/>
      <c r="DJW1" s="2"/>
      <c r="DJX1" s="2"/>
      <c r="DJY1" s="2"/>
      <c r="DJZ1" s="2"/>
      <c r="DKA1" s="2"/>
      <c r="DKB1" s="2"/>
      <c r="DKC1" s="2"/>
      <c r="DKD1" s="2"/>
      <c r="DKE1" s="2"/>
      <c r="DKF1" s="2"/>
      <c r="DKG1" s="2"/>
      <c r="DKH1" s="2"/>
      <c r="DKI1" s="2"/>
      <c r="DKJ1" s="2"/>
      <c r="DKK1" s="2"/>
      <c r="DKL1" s="2"/>
      <c r="DKM1" s="2"/>
      <c r="DKN1" s="2"/>
      <c r="DKO1" s="2"/>
      <c r="DKP1" s="2"/>
      <c r="DKQ1" s="2"/>
      <c r="DKR1" s="2"/>
      <c r="DKS1" s="2"/>
      <c r="DKT1" s="2"/>
      <c r="DKU1" s="2"/>
      <c r="DKV1" s="2"/>
      <c r="DKW1" s="2"/>
      <c r="DKX1" s="2"/>
      <c r="DKY1" s="2"/>
      <c r="DKZ1" s="2"/>
      <c r="DLA1" s="2"/>
      <c r="DLB1" s="2"/>
      <c r="DLC1" s="2"/>
      <c r="DLD1" s="2"/>
      <c r="DLE1" s="2"/>
      <c r="DLF1" s="2"/>
      <c r="DLG1" s="2"/>
      <c r="DLH1" s="2"/>
      <c r="DLI1" s="2"/>
      <c r="DLJ1" s="2"/>
      <c r="DLK1" s="2"/>
      <c r="DLL1" s="2"/>
      <c r="DLM1" s="2"/>
      <c r="DLN1" s="2"/>
      <c r="DLO1" s="2"/>
      <c r="DLP1" s="2"/>
      <c r="DLQ1" s="2"/>
      <c r="DLR1" s="2"/>
      <c r="DLS1" s="2"/>
      <c r="DLT1" s="2"/>
      <c r="DLU1" s="2"/>
      <c r="DLV1" s="2"/>
      <c r="DLW1" s="2"/>
      <c r="DLX1" s="2"/>
      <c r="DLY1" s="2"/>
      <c r="DLZ1" s="2"/>
      <c r="DMA1" s="2"/>
      <c r="DMB1" s="2"/>
      <c r="DMC1" s="2"/>
      <c r="DMD1" s="2"/>
      <c r="DME1" s="2"/>
      <c r="DMF1" s="2"/>
      <c r="DMG1" s="2"/>
      <c r="DMH1" s="2"/>
      <c r="DMI1" s="2"/>
      <c r="DMJ1" s="2"/>
      <c r="DMK1" s="2"/>
      <c r="DML1" s="2"/>
      <c r="DMM1" s="2"/>
      <c r="DMN1" s="2"/>
      <c r="DMO1" s="2"/>
      <c r="DMP1" s="2"/>
      <c r="DMQ1" s="2"/>
      <c r="DMR1" s="2"/>
      <c r="DMS1" s="2"/>
      <c r="DMT1" s="2"/>
      <c r="DMU1" s="2"/>
      <c r="DMV1" s="2"/>
      <c r="DMW1" s="2"/>
      <c r="DMX1" s="2"/>
      <c r="DMY1" s="2"/>
      <c r="DMZ1" s="2"/>
      <c r="DNA1" s="2"/>
      <c r="DNB1" s="2"/>
      <c r="DNC1" s="2"/>
      <c r="DND1" s="2"/>
      <c r="DNE1" s="2"/>
      <c r="DNF1" s="2"/>
      <c r="DNG1" s="2"/>
      <c r="DNH1" s="2"/>
      <c r="DNI1" s="2"/>
      <c r="DNJ1" s="2"/>
      <c r="DNK1" s="2"/>
      <c r="DNL1" s="2"/>
      <c r="DNM1" s="2"/>
      <c r="DNN1" s="2"/>
      <c r="DNO1" s="2"/>
      <c r="DNP1" s="2"/>
      <c r="DNQ1" s="2"/>
      <c r="DNR1" s="2"/>
      <c r="DNS1" s="2"/>
      <c r="DNT1" s="2"/>
      <c r="DNU1" s="2"/>
      <c r="DNV1" s="2"/>
      <c r="DNW1" s="2"/>
      <c r="DNX1" s="2"/>
      <c r="DNY1" s="2"/>
      <c r="DNZ1" s="2"/>
      <c r="DOA1" s="2"/>
      <c r="DOB1" s="2"/>
      <c r="DOC1" s="2"/>
      <c r="DOD1" s="2"/>
      <c r="DOE1" s="2"/>
      <c r="DOF1" s="2"/>
      <c r="DOG1" s="2"/>
      <c r="DOH1" s="2"/>
      <c r="DOI1" s="2"/>
      <c r="DOJ1" s="2"/>
      <c r="DOK1" s="2"/>
      <c r="DOL1" s="2"/>
      <c r="DOM1" s="2"/>
      <c r="DON1" s="2"/>
      <c r="DOO1" s="2"/>
      <c r="DOP1" s="2"/>
      <c r="DOQ1" s="2"/>
      <c r="DOR1" s="2"/>
      <c r="DOS1" s="2"/>
      <c r="DOT1" s="2"/>
      <c r="DOU1" s="2"/>
      <c r="DOV1" s="2"/>
      <c r="DOW1" s="2"/>
      <c r="DOX1" s="2"/>
      <c r="DOY1" s="2"/>
      <c r="DOZ1" s="2"/>
      <c r="DPA1" s="2"/>
      <c r="DPB1" s="2"/>
      <c r="DPC1" s="2"/>
      <c r="DPD1" s="2"/>
      <c r="DPE1" s="2"/>
      <c r="DPF1" s="2"/>
      <c r="DPG1" s="2"/>
      <c r="DPH1" s="2"/>
      <c r="DPI1" s="2"/>
      <c r="DPJ1" s="2"/>
      <c r="DPK1" s="2"/>
      <c r="DPL1" s="2"/>
      <c r="DPM1" s="2"/>
      <c r="DPN1" s="2"/>
      <c r="DPO1" s="2"/>
      <c r="DPP1" s="2"/>
      <c r="DPQ1" s="2"/>
      <c r="DPR1" s="2"/>
      <c r="DPS1" s="2"/>
      <c r="DPT1" s="2"/>
      <c r="DPU1" s="2"/>
      <c r="DPV1" s="2"/>
      <c r="DPW1" s="2"/>
      <c r="DPX1" s="2"/>
      <c r="DPY1" s="2"/>
      <c r="DPZ1" s="2"/>
      <c r="DQA1" s="2"/>
      <c r="DQB1" s="2"/>
      <c r="DQC1" s="2"/>
      <c r="DQD1" s="2"/>
      <c r="DQE1" s="2"/>
      <c r="DQF1" s="2"/>
      <c r="DQG1" s="2"/>
      <c r="DQH1" s="2"/>
      <c r="DQI1" s="2"/>
      <c r="DQJ1" s="2"/>
      <c r="DQK1" s="2"/>
      <c r="DQL1" s="2"/>
      <c r="DQM1" s="2"/>
      <c r="DQN1" s="2"/>
      <c r="DQO1" s="2"/>
      <c r="DQP1" s="2"/>
      <c r="DQQ1" s="2"/>
      <c r="DQR1" s="2"/>
      <c r="DQS1" s="2"/>
      <c r="DQT1" s="2"/>
      <c r="DQU1" s="2"/>
      <c r="DQV1" s="2"/>
      <c r="DQW1" s="2"/>
      <c r="DQX1" s="2"/>
      <c r="DQY1" s="2"/>
      <c r="DQZ1" s="2"/>
      <c r="DRA1" s="2"/>
      <c r="DRB1" s="2"/>
      <c r="DRC1" s="2"/>
      <c r="DRD1" s="2"/>
      <c r="DRE1" s="2"/>
      <c r="DRF1" s="2"/>
      <c r="DRG1" s="2"/>
      <c r="DRH1" s="2"/>
      <c r="DRI1" s="2"/>
      <c r="DRJ1" s="2"/>
      <c r="DRK1" s="2"/>
      <c r="DRL1" s="2"/>
      <c r="DRM1" s="2"/>
      <c r="DRN1" s="2"/>
      <c r="DRO1" s="2"/>
      <c r="DRP1" s="2"/>
      <c r="DRQ1" s="2"/>
      <c r="DRR1" s="2"/>
      <c r="DRS1" s="2"/>
      <c r="DRT1" s="2"/>
      <c r="DRU1" s="2"/>
      <c r="DRV1" s="2"/>
      <c r="DRW1" s="2"/>
      <c r="DRX1" s="2"/>
      <c r="DRY1" s="2"/>
      <c r="DRZ1" s="2"/>
      <c r="DSA1" s="2"/>
      <c r="DSB1" s="2"/>
      <c r="DSC1" s="2"/>
      <c r="DSD1" s="2"/>
      <c r="DSE1" s="2"/>
      <c r="DSF1" s="2"/>
      <c r="DSG1" s="2"/>
      <c r="DSH1" s="2"/>
      <c r="DSI1" s="2"/>
      <c r="DSJ1" s="2"/>
      <c r="DSK1" s="2"/>
      <c r="DSL1" s="2"/>
      <c r="DSM1" s="2"/>
      <c r="DSN1" s="2"/>
      <c r="DSO1" s="2"/>
      <c r="DSP1" s="2"/>
      <c r="DSQ1" s="2"/>
      <c r="DSR1" s="2"/>
      <c r="DSS1" s="2"/>
      <c r="DST1" s="2"/>
      <c r="DSU1" s="2"/>
      <c r="DSV1" s="2"/>
      <c r="DSW1" s="2"/>
      <c r="DSX1" s="2"/>
      <c r="DSY1" s="2"/>
      <c r="DSZ1" s="2"/>
      <c r="DTA1" s="2"/>
      <c r="DTB1" s="2"/>
      <c r="DTC1" s="2"/>
      <c r="DTD1" s="2"/>
      <c r="DTE1" s="2"/>
      <c r="DTF1" s="2"/>
      <c r="DTG1" s="2"/>
      <c r="DTH1" s="2"/>
      <c r="DTI1" s="2"/>
      <c r="DTJ1" s="2"/>
      <c r="DTK1" s="2"/>
      <c r="DTL1" s="2"/>
      <c r="DTM1" s="2"/>
      <c r="DTN1" s="2"/>
      <c r="DTO1" s="2"/>
      <c r="DTP1" s="2"/>
      <c r="DTQ1" s="2"/>
      <c r="DTR1" s="2"/>
      <c r="DTS1" s="2"/>
      <c r="DTT1" s="2"/>
      <c r="DTU1" s="2"/>
      <c r="DTV1" s="2"/>
      <c r="DTW1" s="2"/>
      <c r="DTX1" s="2"/>
      <c r="DTY1" s="2"/>
      <c r="DTZ1" s="2"/>
      <c r="DUA1" s="2"/>
      <c r="DUB1" s="2"/>
      <c r="DUC1" s="2"/>
      <c r="DUD1" s="2"/>
      <c r="DUE1" s="2"/>
      <c r="DUF1" s="2"/>
      <c r="DUG1" s="2"/>
      <c r="DUH1" s="2"/>
      <c r="DUI1" s="2"/>
      <c r="DUJ1" s="2"/>
      <c r="DUK1" s="2"/>
      <c r="DUL1" s="2"/>
      <c r="DUM1" s="2"/>
      <c r="DUN1" s="2"/>
      <c r="DUO1" s="2"/>
      <c r="DUP1" s="2"/>
      <c r="DUQ1" s="2"/>
      <c r="DUR1" s="2"/>
      <c r="DUS1" s="2"/>
      <c r="DUT1" s="2"/>
      <c r="DUU1" s="2"/>
      <c r="DUV1" s="2"/>
      <c r="DUW1" s="2"/>
      <c r="DUX1" s="2"/>
      <c r="DUY1" s="2"/>
      <c r="DUZ1" s="2"/>
      <c r="DVA1" s="2"/>
      <c r="DVB1" s="2"/>
      <c r="DVC1" s="2"/>
      <c r="DVD1" s="2"/>
      <c r="DVE1" s="2"/>
      <c r="DVF1" s="2"/>
      <c r="DVG1" s="2"/>
      <c r="DVH1" s="2"/>
      <c r="DVI1" s="2"/>
      <c r="DVJ1" s="2"/>
      <c r="DVK1" s="2"/>
      <c r="DVL1" s="2"/>
      <c r="DVM1" s="2"/>
      <c r="DVN1" s="2"/>
      <c r="DVO1" s="2"/>
      <c r="DVP1" s="2"/>
      <c r="DVQ1" s="2"/>
      <c r="DVR1" s="2"/>
      <c r="DVS1" s="2"/>
      <c r="DVT1" s="2"/>
      <c r="DVU1" s="2"/>
      <c r="DVV1" s="2"/>
      <c r="DVW1" s="2"/>
      <c r="DVX1" s="2"/>
      <c r="DVY1" s="2"/>
      <c r="DVZ1" s="2"/>
      <c r="DWA1" s="2"/>
      <c r="DWB1" s="2"/>
      <c r="DWC1" s="2"/>
      <c r="DWD1" s="2"/>
      <c r="DWE1" s="2"/>
      <c r="DWF1" s="2"/>
      <c r="DWG1" s="2"/>
      <c r="DWH1" s="2"/>
      <c r="DWI1" s="2"/>
      <c r="DWJ1" s="2"/>
      <c r="DWK1" s="2"/>
      <c r="DWL1" s="2"/>
      <c r="DWM1" s="2"/>
      <c r="DWN1" s="2"/>
      <c r="DWO1" s="2"/>
      <c r="DWP1" s="2"/>
      <c r="DWQ1" s="2"/>
      <c r="DWR1" s="2"/>
      <c r="DWS1" s="2"/>
      <c r="DWT1" s="2"/>
      <c r="DWU1" s="2"/>
      <c r="DWV1" s="2"/>
      <c r="DWW1" s="2"/>
      <c r="DWX1" s="2"/>
      <c r="DWY1" s="2"/>
      <c r="DWZ1" s="2"/>
      <c r="DXA1" s="2"/>
      <c r="DXB1" s="2"/>
      <c r="DXC1" s="2"/>
      <c r="DXD1" s="2"/>
      <c r="DXE1" s="2"/>
      <c r="DXF1" s="2"/>
      <c r="DXG1" s="2"/>
      <c r="DXH1" s="2"/>
      <c r="DXI1" s="2"/>
      <c r="DXJ1" s="2"/>
      <c r="DXK1" s="2"/>
      <c r="DXL1" s="2"/>
      <c r="DXM1" s="2"/>
      <c r="DXN1" s="2"/>
      <c r="DXO1" s="2"/>
      <c r="DXP1" s="2"/>
      <c r="DXQ1" s="2"/>
      <c r="DXR1" s="2"/>
      <c r="DXS1" s="2"/>
      <c r="DXT1" s="2"/>
      <c r="DXU1" s="2"/>
      <c r="DXV1" s="2"/>
      <c r="DXW1" s="2"/>
      <c r="DXX1" s="2"/>
      <c r="DXY1" s="2"/>
      <c r="DXZ1" s="2"/>
      <c r="DYA1" s="2"/>
      <c r="DYB1" s="2"/>
      <c r="DYC1" s="2"/>
      <c r="DYD1" s="2"/>
      <c r="DYE1" s="2"/>
      <c r="DYF1" s="2"/>
      <c r="DYG1" s="2"/>
      <c r="DYH1" s="2"/>
      <c r="DYI1" s="2"/>
      <c r="DYJ1" s="2"/>
      <c r="DYK1" s="2"/>
      <c r="DYL1" s="2"/>
      <c r="DYM1" s="2"/>
      <c r="DYN1" s="2"/>
      <c r="DYO1" s="2"/>
      <c r="DYP1" s="2"/>
      <c r="DYQ1" s="2"/>
      <c r="DYR1" s="2"/>
      <c r="DYS1" s="2"/>
      <c r="DYT1" s="2"/>
      <c r="DYU1" s="2"/>
      <c r="DYV1" s="2"/>
      <c r="DYW1" s="2"/>
      <c r="DYX1" s="2"/>
      <c r="DYY1" s="2"/>
      <c r="DYZ1" s="2"/>
      <c r="DZA1" s="2"/>
      <c r="DZB1" s="2"/>
      <c r="DZC1" s="2"/>
      <c r="DZD1" s="2"/>
      <c r="DZE1" s="2"/>
      <c r="DZF1" s="2"/>
      <c r="DZG1" s="2"/>
      <c r="DZH1" s="2"/>
      <c r="DZI1" s="2"/>
      <c r="DZJ1" s="2"/>
      <c r="DZK1" s="2"/>
      <c r="DZL1" s="2"/>
      <c r="DZM1" s="2"/>
      <c r="DZN1" s="2"/>
      <c r="DZO1" s="2"/>
      <c r="DZP1" s="2"/>
      <c r="DZQ1" s="2"/>
      <c r="DZR1" s="2"/>
      <c r="DZS1" s="2"/>
      <c r="DZT1" s="2"/>
      <c r="DZU1" s="2"/>
      <c r="DZV1" s="2"/>
      <c r="DZW1" s="2"/>
      <c r="DZX1" s="2"/>
      <c r="DZY1" s="2"/>
      <c r="DZZ1" s="2"/>
      <c r="EAA1" s="2"/>
      <c r="EAB1" s="2"/>
      <c r="EAC1" s="2"/>
      <c r="EAD1" s="2"/>
      <c r="EAE1" s="2"/>
      <c r="EAF1" s="2"/>
      <c r="EAG1" s="2"/>
      <c r="EAH1" s="2"/>
      <c r="EAI1" s="2"/>
      <c r="EAJ1" s="2"/>
      <c r="EAK1" s="2"/>
      <c r="EAL1" s="2"/>
      <c r="EAM1" s="2"/>
      <c r="EAN1" s="2"/>
      <c r="EAO1" s="2"/>
      <c r="EAP1" s="2"/>
      <c r="EAQ1" s="2"/>
      <c r="EAR1" s="2"/>
      <c r="EAS1" s="2"/>
      <c r="EAT1" s="2"/>
      <c r="EAU1" s="2"/>
      <c r="EAV1" s="2"/>
      <c r="EAW1" s="2"/>
      <c r="EAX1" s="2"/>
      <c r="EAY1" s="2"/>
      <c r="EAZ1" s="2"/>
      <c r="EBA1" s="2"/>
      <c r="EBB1" s="2"/>
      <c r="EBC1" s="2"/>
      <c r="EBD1" s="2"/>
      <c r="EBE1" s="2"/>
      <c r="EBF1" s="2"/>
      <c r="EBG1" s="2"/>
      <c r="EBH1" s="2"/>
      <c r="EBI1" s="2"/>
      <c r="EBJ1" s="2"/>
      <c r="EBK1" s="2"/>
      <c r="EBL1" s="2"/>
      <c r="EBM1" s="2"/>
      <c r="EBN1" s="2"/>
      <c r="EBO1" s="2"/>
      <c r="EBP1" s="2"/>
      <c r="EBQ1" s="2"/>
      <c r="EBR1" s="2"/>
      <c r="EBS1" s="2"/>
      <c r="EBT1" s="2"/>
      <c r="EBU1" s="2"/>
      <c r="EBV1" s="2"/>
      <c r="EBW1" s="2"/>
      <c r="EBX1" s="2"/>
      <c r="EBY1" s="2"/>
      <c r="EBZ1" s="2"/>
      <c r="ECA1" s="2"/>
      <c r="ECB1" s="2"/>
      <c r="ECC1" s="2"/>
      <c r="ECD1" s="2"/>
      <c r="ECE1" s="2"/>
      <c r="ECF1" s="2"/>
      <c r="ECG1" s="2"/>
      <c r="ECH1" s="2"/>
      <c r="ECI1" s="2"/>
      <c r="ECJ1" s="2"/>
      <c r="ECK1" s="2"/>
      <c r="ECL1" s="2"/>
      <c r="ECM1" s="2"/>
      <c r="ECN1" s="2"/>
      <c r="ECO1" s="2"/>
      <c r="ECP1" s="2"/>
      <c r="ECQ1" s="2"/>
      <c r="ECR1" s="2"/>
      <c r="ECS1" s="2"/>
      <c r="ECT1" s="2"/>
      <c r="ECU1" s="2"/>
      <c r="ECV1" s="2"/>
      <c r="ECW1" s="2"/>
      <c r="ECX1" s="2"/>
      <c r="ECY1" s="2"/>
      <c r="ECZ1" s="2"/>
      <c r="EDA1" s="2"/>
      <c r="EDB1" s="2"/>
      <c r="EDC1" s="2"/>
      <c r="EDD1" s="2"/>
      <c r="EDE1" s="2"/>
      <c r="EDF1" s="2"/>
      <c r="EDG1" s="2"/>
      <c r="EDH1" s="2"/>
      <c r="EDI1" s="2"/>
      <c r="EDJ1" s="2"/>
      <c r="EDK1" s="2"/>
      <c r="EDL1" s="2"/>
      <c r="EDM1" s="2"/>
      <c r="EDN1" s="2"/>
      <c r="EDO1" s="2"/>
      <c r="EDP1" s="2"/>
      <c r="EDQ1" s="2"/>
      <c r="EDR1" s="2"/>
      <c r="EDS1" s="2"/>
      <c r="EDT1" s="2"/>
      <c r="EDU1" s="2"/>
      <c r="EDV1" s="2"/>
      <c r="EDW1" s="2"/>
      <c r="EDX1" s="2"/>
      <c r="EDY1" s="2"/>
      <c r="EDZ1" s="2"/>
      <c r="EEA1" s="2"/>
      <c r="EEB1" s="2"/>
      <c r="EEC1" s="2"/>
      <c r="EED1" s="2"/>
      <c r="EEE1" s="2"/>
      <c r="EEF1" s="2"/>
      <c r="EEG1" s="2"/>
      <c r="EEH1" s="2"/>
      <c r="EEI1" s="2"/>
      <c r="EEJ1" s="2"/>
      <c r="EEK1" s="2"/>
      <c r="EEL1" s="2"/>
      <c r="EEM1" s="2"/>
      <c r="EEN1" s="2"/>
      <c r="EEO1" s="2"/>
      <c r="EEP1" s="2"/>
      <c r="EEQ1" s="2"/>
      <c r="EER1" s="2"/>
      <c r="EES1" s="2"/>
      <c r="EET1" s="2"/>
      <c r="EEU1" s="2"/>
      <c r="EEV1" s="2"/>
      <c r="EEW1" s="2"/>
      <c r="EEX1" s="2"/>
      <c r="EEY1" s="2"/>
      <c r="EEZ1" s="2"/>
      <c r="EFA1" s="2"/>
      <c r="EFB1" s="2"/>
      <c r="EFC1" s="2"/>
      <c r="EFD1" s="2"/>
      <c r="EFE1" s="2"/>
      <c r="EFF1" s="2"/>
      <c r="EFG1" s="2"/>
      <c r="EFH1" s="2"/>
      <c r="EFI1" s="2"/>
      <c r="EFJ1" s="2"/>
      <c r="EFK1" s="2"/>
      <c r="EFL1" s="2"/>
      <c r="EFM1" s="2"/>
      <c r="EFN1" s="2"/>
      <c r="EFO1" s="2"/>
      <c r="EFP1" s="2"/>
      <c r="EFQ1" s="2"/>
      <c r="EFR1" s="2"/>
      <c r="EFS1" s="2"/>
      <c r="EFT1" s="2"/>
      <c r="EFU1" s="2"/>
      <c r="EFV1" s="2"/>
      <c r="EFW1" s="2"/>
      <c r="EFX1" s="2"/>
      <c r="EFY1" s="2"/>
      <c r="EFZ1" s="2"/>
      <c r="EGA1" s="2"/>
      <c r="EGB1" s="2"/>
      <c r="EGC1" s="2"/>
      <c r="EGD1" s="2"/>
      <c r="EGE1" s="2"/>
      <c r="EGF1" s="2"/>
      <c r="EGG1" s="2"/>
      <c r="EGH1" s="2"/>
      <c r="EGI1" s="2"/>
      <c r="EGJ1" s="2"/>
      <c r="EGK1" s="2"/>
      <c r="EGL1" s="2"/>
      <c r="EGM1" s="2"/>
      <c r="EGN1" s="2"/>
      <c r="EGO1" s="2"/>
      <c r="EGP1" s="2"/>
      <c r="EGQ1" s="2"/>
      <c r="EGR1" s="2"/>
      <c r="EGS1" s="2"/>
      <c r="EGT1" s="2"/>
      <c r="EGU1" s="2"/>
      <c r="EGV1" s="2"/>
      <c r="EGW1" s="2"/>
      <c r="EGX1" s="2"/>
      <c r="EGY1" s="2"/>
      <c r="EGZ1" s="2"/>
      <c r="EHA1" s="2"/>
      <c r="EHB1" s="2"/>
      <c r="EHC1" s="2"/>
      <c r="EHD1" s="2"/>
      <c r="EHE1" s="2"/>
      <c r="EHF1" s="2"/>
      <c r="EHG1" s="2"/>
      <c r="EHH1" s="2"/>
      <c r="EHI1" s="2"/>
      <c r="EHJ1" s="2"/>
      <c r="EHK1" s="2"/>
      <c r="EHL1" s="2"/>
      <c r="EHM1" s="2"/>
      <c r="EHN1" s="2"/>
      <c r="EHO1" s="2"/>
      <c r="EHP1" s="2"/>
      <c r="EHQ1" s="2"/>
      <c r="EHR1" s="2"/>
      <c r="EHS1" s="2"/>
      <c r="EHT1" s="2"/>
      <c r="EHU1" s="2"/>
      <c r="EHV1" s="2"/>
      <c r="EHW1" s="2"/>
      <c r="EHX1" s="2"/>
      <c r="EHY1" s="2"/>
      <c r="EHZ1" s="2"/>
      <c r="EIA1" s="2"/>
      <c r="EIB1" s="2"/>
      <c r="EIC1" s="2"/>
      <c r="EID1" s="2"/>
      <c r="EIE1" s="2"/>
      <c r="EIF1" s="2"/>
      <c r="EIG1" s="2"/>
      <c r="EIH1" s="2"/>
      <c r="EII1" s="2"/>
      <c r="EIJ1" s="2"/>
      <c r="EIK1" s="2"/>
      <c r="EIL1" s="2"/>
      <c r="EIM1" s="2"/>
      <c r="EIN1" s="2"/>
      <c r="EIO1" s="2"/>
      <c r="EIP1" s="2"/>
      <c r="EIQ1" s="2"/>
      <c r="EIR1" s="2"/>
      <c r="EIS1" s="2"/>
      <c r="EIT1" s="2"/>
      <c r="EIU1" s="2"/>
      <c r="EIV1" s="2"/>
      <c r="EIW1" s="2"/>
      <c r="EIX1" s="2"/>
      <c r="EIY1" s="2"/>
      <c r="EIZ1" s="2"/>
      <c r="EJA1" s="2"/>
      <c r="EJB1" s="2"/>
      <c r="EJC1" s="2"/>
      <c r="EJD1" s="2"/>
      <c r="EJE1" s="2"/>
      <c r="EJF1" s="2"/>
      <c r="EJG1" s="2"/>
      <c r="EJH1" s="2"/>
      <c r="EJI1" s="2"/>
      <c r="EJJ1" s="2"/>
      <c r="EJK1" s="2"/>
      <c r="EJL1" s="2"/>
      <c r="EJM1" s="2"/>
      <c r="EJN1" s="2"/>
      <c r="EJO1" s="2"/>
      <c r="EJP1" s="2"/>
      <c r="EJQ1" s="2"/>
      <c r="EJR1" s="2"/>
      <c r="EJS1" s="2"/>
      <c r="EJT1" s="2"/>
      <c r="EJU1" s="2"/>
      <c r="EJV1" s="2"/>
      <c r="EJW1" s="2"/>
      <c r="EJX1" s="2"/>
      <c r="EJY1" s="2"/>
      <c r="EJZ1" s="2"/>
      <c r="EKA1" s="2"/>
      <c r="EKB1" s="2"/>
      <c r="EKC1" s="2"/>
      <c r="EKD1" s="2"/>
      <c r="EKE1" s="2"/>
      <c r="EKF1" s="2"/>
      <c r="EKG1" s="2"/>
      <c r="EKH1" s="2"/>
      <c r="EKI1" s="2"/>
      <c r="EKJ1" s="2"/>
      <c r="EKK1" s="2"/>
      <c r="EKL1" s="2"/>
      <c r="EKM1" s="2"/>
      <c r="EKN1" s="2"/>
      <c r="EKO1" s="2"/>
      <c r="EKP1" s="2"/>
      <c r="EKQ1" s="2"/>
      <c r="EKR1" s="2"/>
      <c r="EKS1" s="2"/>
      <c r="EKT1" s="2"/>
      <c r="EKU1" s="2"/>
      <c r="EKV1" s="2"/>
      <c r="EKW1" s="2"/>
      <c r="EKX1" s="2"/>
      <c r="EKY1" s="2"/>
      <c r="EKZ1" s="2"/>
      <c r="ELA1" s="2"/>
      <c r="ELB1" s="2"/>
      <c r="ELC1" s="2"/>
      <c r="ELD1" s="2"/>
      <c r="ELE1" s="2"/>
      <c r="ELF1" s="2"/>
      <c r="ELG1" s="2"/>
      <c r="ELH1" s="2"/>
      <c r="ELI1" s="2"/>
      <c r="ELJ1" s="2"/>
      <c r="ELK1" s="2"/>
      <c r="ELL1" s="2"/>
      <c r="ELM1" s="2"/>
      <c r="ELN1" s="2"/>
      <c r="ELO1" s="2"/>
      <c r="ELP1" s="2"/>
      <c r="ELQ1" s="2"/>
      <c r="ELR1" s="2"/>
      <c r="ELS1" s="2"/>
      <c r="ELT1" s="2"/>
      <c r="ELU1" s="2"/>
      <c r="ELV1" s="2"/>
      <c r="ELW1" s="2"/>
      <c r="ELX1" s="2"/>
      <c r="ELY1" s="2"/>
      <c r="ELZ1" s="2"/>
      <c r="EMA1" s="2"/>
      <c r="EMB1" s="2"/>
      <c r="EMC1" s="2"/>
      <c r="EMD1" s="2"/>
      <c r="EME1" s="2"/>
      <c r="EMF1" s="2"/>
      <c r="EMG1" s="2"/>
      <c r="EMH1" s="2"/>
      <c r="EMI1" s="2"/>
      <c r="EMJ1" s="2"/>
      <c r="EMK1" s="2"/>
      <c r="EML1" s="2"/>
      <c r="EMM1" s="2"/>
      <c r="EMN1" s="2"/>
      <c r="EMO1" s="2"/>
      <c r="EMP1" s="2"/>
      <c r="EMQ1" s="2"/>
      <c r="EMR1" s="2"/>
      <c r="EMS1" s="2"/>
      <c r="EMT1" s="2"/>
      <c r="EMU1" s="2"/>
      <c r="EMV1" s="2"/>
      <c r="EMW1" s="2"/>
      <c r="EMX1" s="2"/>
      <c r="EMY1" s="2"/>
      <c r="EMZ1" s="2"/>
      <c r="ENA1" s="2"/>
      <c r="ENB1" s="2"/>
      <c r="ENC1" s="2"/>
      <c r="END1" s="2"/>
      <c r="ENE1" s="2"/>
      <c r="ENF1" s="2"/>
      <c r="ENG1" s="2"/>
      <c r="ENH1" s="2"/>
      <c r="ENI1" s="2"/>
      <c r="ENJ1" s="2"/>
      <c r="ENK1" s="2"/>
      <c r="ENL1" s="2"/>
      <c r="ENM1" s="2"/>
      <c r="ENN1" s="2"/>
      <c r="ENO1" s="2"/>
      <c r="ENP1" s="2"/>
      <c r="ENQ1" s="2"/>
      <c r="ENR1" s="2"/>
      <c r="ENS1" s="2"/>
      <c r="ENT1" s="2"/>
      <c r="ENU1" s="2"/>
      <c r="ENV1" s="2"/>
      <c r="ENW1" s="2"/>
      <c r="ENX1" s="2"/>
      <c r="ENY1" s="2"/>
      <c r="ENZ1" s="2"/>
      <c r="EOA1" s="2"/>
      <c r="EOB1" s="2"/>
      <c r="EOC1" s="2"/>
      <c r="EOD1" s="2"/>
      <c r="EOE1" s="2"/>
      <c r="EOF1" s="2"/>
      <c r="EOG1" s="2"/>
      <c r="EOH1" s="2"/>
      <c r="EOI1" s="2"/>
      <c r="EOJ1" s="2"/>
      <c r="EOK1" s="2"/>
      <c r="EOL1" s="2"/>
      <c r="EOM1" s="2"/>
      <c r="EON1" s="2"/>
      <c r="EOO1" s="2"/>
      <c r="EOP1" s="2"/>
      <c r="EOQ1" s="2"/>
      <c r="EOR1" s="2"/>
      <c r="EOS1" s="2"/>
      <c r="EOT1" s="2"/>
      <c r="EOU1" s="2"/>
      <c r="EOV1" s="2"/>
      <c r="EOW1" s="2"/>
      <c r="EOX1" s="2"/>
      <c r="EOY1" s="2"/>
      <c r="EOZ1" s="2"/>
      <c r="EPA1" s="2"/>
      <c r="EPB1" s="2"/>
      <c r="EPC1" s="2"/>
      <c r="EPD1" s="2"/>
      <c r="EPE1" s="2"/>
      <c r="EPF1" s="2"/>
      <c r="EPG1" s="2"/>
      <c r="EPH1" s="2"/>
      <c r="EPI1" s="2"/>
      <c r="EPJ1" s="2"/>
      <c r="EPK1" s="2"/>
      <c r="EPL1" s="2"/>
      <c r="EPM1" s="2"/>
      <c r="EPN1" s="2"/>
      <c r="EPO1" s="2"/>
      <c r="EPP1" s="2"/>
      <c r="EPQ1" s="2"/>
      <c r="EPR1" s="2"/>
      <c r="EPS1" s="2"/>
      <c r="EPT1" s="2"/>
      <c r="EPU1" s="2"/>
      <c r="EPV1" s="2"/>
      <c r="EPW1" s="2"/>
      <c r="EPX1" s="2"/>
      <c r="EPY1" s="2"/>
      <c r="EPZ1" s="2"/>
      <c r="EQA1" s="2"/>
      <c r="EQB1" s="2"/>
      <c r="EQC1" s="2"/>
      <c r="EQD1" s="2"/>
      <c r="EQE1" s="2"/>
      <c r="EQF1" s="2"/>
      <c r="EQG1" s="2"/>
      <c r="EQH1" s="2"/>
      <c r="EQI1" s="2"/>
      <c r="EQJ1" s="2"/>
      <c r="EQK1" s="2"/>
      <c r="EQL1" s="2"/>
      <c r="EQM1" s="2"/>
      <c r="EQN1" s="2"/>
      <c r="EQO1" s="2"/>
      <c r="EQP1" s="2"/>
      <c r="EQQ1" s="2"/>
      <c r="EQR1" s="2"/>
      <c r="EQS1" s="2"/>
      <c r="EQT1" s="2"/>
      <c r="EQU1" s="2"/>
      <c r="EQV1" s="2"/>
      <c r="EQW1" s="2"/>
      <c r="EQX1" s="2"/>
      <c r="EQY1" s="2"/>
      <c r="EQZ1" s="2"/>
      <c r="ERA1" s="2"/>
      <c r="ERB1" s="2"/>
      <c r="ERC1" s="2"/>
      <c r="ERD1" s="2"/>
      <c r="ERE1" s="2"/>
      <c r="ERF1" s="2"/>
      <c r="ERG1" s="2"/>
      <c r="ERH1" s="2"/>
      <c r="ERI1" s="2"/>
      <c r="ERJ1" s="2"/>
      <c r="ERK1" s="2"/>
      <c r="ERL1" s="2"/>
      <c r="ERM1" s="2"/>
      <c r="ERN1" s="2"/>
      <c r="ERO1" s="2"/>
      <c r="ERP1" s="2"/>
      <c r="ERQ1" s="2"/>
      <c r="ERR1" s="2"/>
      <c r="ERS1" s="2"/>
      <c r="ERT1" s="2"/>
      <c r="ERU1" s="2"/>
      <c r="ERV1" s="2"/>
      <c r="ERW1" s="2"/>
      <c r="ERX1" s="2"/>
      <c r="ERY1" s="2"/>
      <c r="ERZ1" s="2"/>
      <c r="ESA1" s="2"/>
      <c r="ESB1" s="2"/>
      <c r="ESC1" s="2"/>
      <c r="ESD1" s="2"/>
      <c r="ESE1" s="2"/>
      <c r="ESF1" s="2"/>
      <c r="ESG1" s="2"/>
      <c r="ESH1" s="2"/>
      <c r="ESI1" s="2"/>
      <c r="ESJ1" s="2"/>
      <c r="ESK1" s="2"/>
      <c r="ESL1" s="2"/>
      <c r="ESM1" s="2"/>
      <c r="ESN1" s="2"/>
      <c r="ESO1" s="2"/>
      <c r="ESP1" s="2"/>
      <c r="ESQ1" s="2"/>
      <c r="ESR1" s="2"/>
      <c r="ESS1" s="2"/>
      <c r="EST1" s="2"/>
      <c r="ESU1" s="2"/>
      <c r="ESV1" s="2"/>
      <c r="ESW1" s="2"/>
      <c r="ESX1" s="2"/>
      <c r="ESY1" s="2"/>
      <c r="ESZ1" s="2"/>
      <c r="ETA1" s="2"/>
      <c r="ETB1" s="2"/>
      <c r="ETC1" s="2"/>
      <c r="ETD1" s="2"/>
      <c r="ETE1" s="2"/>
      <c r="ETF1" s="2"/>
      <c r="ETG1" s="2"/>
      <c r="ETH1" s="2"/>
      <c r="ETI1" s="2"/>
      <c r="ETJ1" s="2"/>
      <c r="ETK1" s="2"/>
      <c r="ETL1" s="2"/>
      <c r="ETM1" s="2"/>
      <c r="ETN1" s="2"/>
      <c r="ETO1" s="2"/>
      <c r="ETP1" s="2"/>
      <c r="ETQ1" s="2"/>
      <c r="ETR1" s="2"/>
      <c r="ETS1" s="2"/>
      <c r="ETT1" s="2"/>
      <c r="ETU1" s="2"/>
      <c r="ETV1" s="2"/>
      <c r="ETW1" s="2"/>
      <c r="ETX1" s="2"/>
      <c r="ETY1" s="2"/>
      <c r="ETZ1" s="2"/>
      <c r="EUA1" s="2"/>
      <c r="EUB1" s="2"/>
      <c r="EUC1" s="2"/>
      <c r="EUD1" s="2"/>
      <c r="EUE1" s="2"/>
      <c r="EUF1" s="2"/>
      <c r="EUG1" s="2"/>
      <c r="EUH1" s="2"/>
      <c r="EUI1" s="2"/>
      <c r="EUJ1" s="2"/>
      <c r="EUK1" s="2"/>
      <c r="EUL1" s="2"/>
      <c r="EUM1" s="2"/>
      <c r="EUN1" s="2"/>
      <c r="EUO1" s="2"/>
      <c r="EUP1" s="2"/>
      <c r="EUQ1" s="2"/>
      <c r="EUR1" s="2"/>
      <c r="EUS1" s="2"/>
      <c r="EUT1" s="2"/>
      <c r="EUU1" s="2"/>
      <c r="EUV1" s="2"/>
      <c r="EUW1" s="2"/>
      <c r="EUX1" s="2"/>
      <c r="EUY1" s="2"/>
      <c r="EUZ1" s="2"/>
      <c r="EVA1" s="2"/>
      <c r="EVB1" s="2"/>
      <c r="EVC1" s="2"/>
      <c r="EVD1" s="2"/>
      <c r="EVE1" s="2"/>
      <c r="EVF1" s="2"/>
      <c r="EVG1" s="2"/>
      <c r="EVH1" s="2"/>
      <c r="EVI1" s="2"/>
      <c r="EVJ1" s="2"/>
      <c r="EVK1" s="2"/>
      <c r="EVL1" s="2"/>
      <c r="EVM1" s="2"/>
      <c r="EVN1" s="2"/>
      <c r="EVO1" s="2"/>
      <c r="EVP1" s="2"/>
      <c r="EVQ1" s="2"/>
      <c r="EVR1" s="2"/>
      <c r="EVS1" s="2"/>
      <c r="EVT1" s="2"/>
      <c r="EVU1" s="2"/>
      <c r="EVV1" s="2"/>
      <c r="EVW1" s="2"/>
      <c r="EVX1" s="2"/>
      <c r="EVY1" s="2"/>
      <c r="EVZ1" s="2"/>
      <c r="EWA1" s="2"/>
      <c r="EWB1" s="2"/>
      <c r="EWC1" s="2"/>
      <c r="EWD1" s="2"/>
      <c r="EWE1" s="2"/>
      <c r="EWF1" s="2"/>
      <c r="EWG1" s="2"/>
      <c r="EWH1" s="2"/>
      <c r="EWI1" s="2"/>
      <c r="EWJ1" s="2"/>
      <c r="EWK1" s="2"/>
      <c r="EWL1" s="2"/>
      <c r="EWM1" s="2"/>
      <c r="EWN1" s="2"/>
      <c r="EWO1" s="2"/>
      <c r="EWP1" s="2"/>
      <c r="EWQ1" s="2"/>
      <c r="EWR1" s="2"/>
      <c r="EWS1" s="2"/>
      <c r="EWT1" s="2"/>
      <c r="EWU1" s="2"/>
      <c r="EWV1" s="2"/>
      <c r="EWW1" s="2"/>
      <c r="EWX1" s="2"/>
      <c r="EWY1" s="2"/>
      <c r="EWZ1" s="2"/>
      <c r="EXA1" s="2"/>
      <c r="EXB1" s="2"/>
      <c r="EXC1" s="2"/>
      <c r="EXD1" s="2"/>
      <c r="EXE1" s="2"/>
      <c r="EXF1" s="2"/>
      <c r="EXG1" s="2"/>
      <c r="EXH1" s="2"/>
      <c r="EXI1" s="2"/>
      <c r="EXJ1" s="2"/>
      <c r="EXK1" s="2"/>
      <c r="EXL1" s="2"/>
      <c r="EXM1" s="2"/>
      <c r="EXN1" s="2"/>
      <c r="EXO1" s="2"/>
      <c r="EXP1" s="2"/>
      <c r="EXQ1" s="2"/>
      <c r="EXR1" s="2"/>
      <c r="EXS1" s="2"/>
      <c r="EXT1" s="2"/>
      <c r="EXU1" s="2"/>
      <c r="EXV1" s="2"/>
      <c r="EXW1" s="2"/>
      <c r="EXX1" s="2"/>
      <c r="EXY1" s="2"/>
      <c r="EXZ1" s="2"/>
      <c r="EYA1" s="2"/>
      <c r="EYB1" s="2"/>
      <c r="EYC1" s="2"/>
      <c r="EYD1" s="2"/>
      <c r="EYE1" s="2"/>
      <c r="EYF1" s="2"/>
      <c r="EYG1" s="2"/>
      <c r="EYH1" s="2"/>
      <c r="EYI1" s="2"/>
      <c r="EYJ1" s="2"/>
      <c r="EYK1" s="2"/>
      <c r="EYL1" s="2"/>
      <c r="EYM1" s="2"/>
      <c r="EYN1" s="2"/>
      <c r="EYO1" s="2"/>
      <c r="EYP1" s="2"/>
      <c r="EYQ1" s="2"/>
      <c r="EYR1" s="2"/>
      <c r="EYS1" s="2"/>
      <c r="EYT1" s="2"/>
      <c r="EYU1" s="2"/>
      <c r="EYV1" s="2"/>
      <c r="EYW1" s="2"/>
      <c r="EYX1" s="2"/>
      <c r="EYY1" s="2"/>
      <c r="EYZ1" s="2"/>
      <c r="EZA1" s="2"/>
      <c r="EZB1" s="2"/>
      <c r="EZC1" s="2"/>
      <c r="EZD1" s="2"/>
      <c r="EZE1" s="2"/>
      <c r="EZF1" s="2"/>
      <c r="EZG1" s="2"/>
      <c r="EZH1" s="2"/>
      <c r="EZI1" s="2"/>
      <c r="EZJ1" s="2"/>
      <c r="EZK1" s="2"/>
      <c r="EZL1" s="2"/>
      <c r="EZM1" s="2"/>
      <c r="EZN1" s="2"/>
      <c r="EZO1" s="2"/>
      <c r="EZP1" s="2"/>
      <c r="EZQ1" s="2"/>
      <c r="EZR1" s="2"/>
      <c r="EZS1" s="2"/>
      <c r="EZT1" s="2"/>
      <c r="EZU1" s="2"/>
      <c r="EZV1" s="2"/>
      <c r="EZW1" s="2"/>
      <c r="EZX1" s="2"/>
      <c r="EZY1" s="2"/>
      <c r="EZZ1" s="2"/>
      <c r="FAA1" s="2"/>
      <c r="FAB1" s="2"/>
      <c r="FAC1" s="2"/>
      <c r="FAD1" s="2"/>
      <c r="FAE1" s="2"/>
      <c r="FAF1" s="2"/>
      <c r="FAG1" s="2"/>
      <c r="FAH1" s="2"/>
      <c r="FAI1" s="2"/>
      <c r="FAJ1" s="2"/>
      <c r="FAK1" s="2"/>
      <c r="FAL1" s="2"/>
      <c r="FAM1" s="2"/>
      <c r="FAN1" s="2"/>
      <c r="FAO1" s="2"/>
      <c r="FAP1" s="2"/>
      <c r="FAQ1" s="2"/>
      <c r="FAR1" s="2"/>
      <c r="FAS1" s="2"/>
      <c r="FAT1" s="2"/>
      <c r="FAU1" s="2"/>
      <c r="FAV1" s="2"/>
      <c r="FAW1" s="2"/>
      <c r="FAX1" s="2"/>
      <c r="FAY1" s="2"/>
      <c r="FAZ1" s="2"/>
      <c r="FBA1" s="2"/>
      <c r="FBB1" s="2"/>
      <c r="FBC1" s="2"/>
      <c r="FBD1" s="2"/>
      <c r="FBE1" s="2"/>
      <c r="FBF1" s="2"/>
      <c r="FBG1" s="2"/>
      <c r="FBH1" s="2"/>
      <c r="FBI1" s="2"/>
      <c r="FBJ1" s="2"/>
      <c r="FBK1" s="2"/>
      <c r="FBL1" s="2"/>
      <c r="FBM1" s="2"/>
      <c r="FBN1" s="2"/>
      <c r="FBO1" s="2"/>
      <c r="FBP1" s="2"/>
      <c r="FBQ1" s="2"/>
      <c r="FBR1" s="2"/>
      <c r="FBS1" s="2"/>
      <c r="FBT1" s="2"/>
      <c r="FBU1" s="2"/>
      <c r="FBV1" s="2"/>
      <c r="FBW1" s="2"/>
      <c r="FBX1" s="2"/>
      <c r="FBY1" s="2"/>
      <c r="FBZ1" s="2"/>
      <c r="FCA1" s="2"/>
      <c r="FCB1" s="2"/>
      <c r="FCC1" s="2"/>
      <c r="FCD1" s="2"/>
      <c r="FCE1" s="2"/>
      <c r="FCF1" s="2"/>
      <c r="FCG1" s="2"/>
      <c r="FCH1" s="2"/>
      <c r="FCI1" s="2"/>
      <c r="FCJ1" s="2"/>
      <c r="FCK1" s="2"/>
      <c r="FCL1" s="2"/>
      <c r="FCM1" s="2"/>
      <c r="FCN1" s="2"/>
      <c r="FCO1" s="2"/>
      <c r="FCP1" s="2"/>
      <c r="FCQ1" s="2"/>
      <c r="FCR1" s="2"/>
      <c r="FCS1" s="2"/>
      <c r="FCT1" s="2"/>
      <c r="FCU1" s="2"/>
      <c r="FCV1" s="2"/>
      <c r="FCW1" s="2"/>
      <c r="FCX1" s="2"/>
      <c r="FCY1" s="2"/>
      <c r="FCZ1" s="2"/>
      <c r="FDA1" s="2"/>
      <c r="FDB1" s="2"/>
      <c r="FDC1" s="2"/>
      <c r="FDD1" s="2"/>
      <c r="FDE1" s="2"/>
      <c r="FDF1" s="2"/>
      <c r="FDG1" s="2"/>
      <c r="FDH1" s="2"/>
      <c r="FDI1" s="2"/>
      <c r="FDJ1" s="2"/>
      <c r="FDK1" s="2"/>
      <c r="FDL1" s="2"/>
      <c r="FDM1" s="2"/>
      <c r="FDN1" s="2"/>
      <c r="FDO1" s="2"/>
      <c r="FDP1" s="2"/>
      <c r="FDQ1" s="2"/>
      <c r="FDR1" s="2"/>
      <c r="FDS1" s="2"/>
      <c r="FDT1" s="2"/>
      <c r="FDU1" s="2"/>
      <c r="FDV1" s="2"/>
      <c r="FDW1" s="2"/>
      <c r="FDX1" s="2"/>
      <c r="FDY1" s="2"/>
      <c r="FDZ1" s="2"/>
      <c r="FEA1" s="2"/>
      <c r="FEB1" s="2"/>
      <c r="FEC1" s="2"/>
      <c r="FED1" s="2"/>
      <c r="FEE1" s="2"/>
      <c r="FEF1" s="2"/>
      <c r="FEG1" s="2"/>
      <c r="FEH1" s="2"/>
      <c r="FEI1" s="2"/>
      <c r="FEJ1" s="2"/>
      <c r="FEK1" s="2"/>
      <c r="FEL1" s="2"/>
      <c r="FEM1" s="2"/>
      <c r="FEN1" s="2"/>
      <c r="FEO1" s="2"/>
      <c r="FEP1" s="2"/>
      <c r="FEQ1" s="2"/>
      <c r="FER1" s="2"/>
      <c r="FES1" s="2"/>
      <c r="FET1" s="2"/>
      <c r="FEU1" s="2"/>
      <c r="FEV1" s="2"/>
      <c r="FEW1" s="2"/>
      <c r="FEX1" s="2"/>
      <c r="FEY1" s="2"/>
      <c r="FEZ1" s="2"/>
      <c r="FFA1" s="2"/>
      <c r="FFB1" s="2"/>
      <c r="FFC1" s="2"/>
      <c r="FFD1" s="2"/>
      <c r="FFE1" s="2"/>
      <c r="FFF1" s="2"/>
      <c r="FFG1" s="2"/>
      <c r="FFH1" s="2"/>
      <c r="FFI1" s="2"/>
      <c r="FFJ1" s="2"/>
      <c r="FFK1" s="2"/>
      <c r="FFL1" s="2"/>
      <c r="FFM1" s="2"/>
      <c r="FFN1" s="2"/>
      <c r="FFO1" s="2"/>
      <c r="FFP1" s="2"/>
      <c r="FFQ1" s="2"/>
      <c r="FFR1" s="2"/>
      <c r="FFS1" s="2"/>
      <c r="FFT1" s="2"/>
      <c r="FFU1" s="2"/>
      <c r="FFV1" s="2"/>
      <c r="FFW1" s="2"/>
      <c r="FFX1" s="2"/>
      <c r="FFY1" s="2"/>
      <c r="FFZ1" s="2"/>
      <c r="FGA1" s="2"/>
      <c r="FGB1" s="2"/>
      <c r="FGC1" s="2"/>
      <c r="FGD1" s="2"/>
      <c r="FGE1" s="2"/>
      <c r="FGF1" s="2"/>
      <c r="FGG1" s="2"/>
      <c r="FGH1" s="2"/>
      <c r="FGI1" s="2"/>
      <c r="FGJ1" s="2"/>
      <c r="FGK1" s="2"/>
      <c r="FGL1" s="2"/>
      <c r="FGM1" s="2"/>
      <c r="FGN1" s="2"/>
      <c r="FGO1" s="2"/>
      <c r="FGP1" s="2"/>
      <c r="FGQ1" s="2"/>
      <c r="FGR1" s="2"/>
      <c r="FGS1" s="2"/>
      <c r="FGT1" s="2"/>
      <c r="FGU1" s="2"/>
      <c r="FGV1" s="2"/>
      <c r="FGW1" s="2"/>
      <c r="FGX1" s="2"/>
      <c r="FGY1" s="2"/>
      <c r="FGZ1" s="2"/>
      <c r="FHA1" s="2"/>
      <c r="FHB1" s="2"/>
      <c r="FHC1" s="2"/>
      <c r="FHD1" s="2"/>
      <c r="FHE1" s="2"/>
      <c r="FHF1" s="2"/>
      <c r="FHG1" s="2"/>
      <c r="FHH1" s="2"/>
      <c r="FHI1" s="2"/>
      <c r="FHJ1" s="2"/>
      <c r="FHK1" s="2"/>
      <c r="FHL1" s="2"/>
      <c r="FHM1" s="2"/>
      <c r="FHN1" s="2"/>
      <c r="FHO1" s="2"/>
      <c r="FHP1" s="2"/>
      <c r="FHQ1" s="2"/>
      <c r="FHR1" s="2"/>
      <c r="FHS1" s="2"/>
      <c r="FHT1" s="2"/>
      <c r="FHU1" s="2"/>
      <c r="FHV1" s="2"/>
      <c r="FHW1" s="2"/>
      <c r="FHX1" s="2"/>
      <c r="FHY1" s="2"/>
      <c r="FHZ1" s="2"/>
      <c r="FIA1" s="2"/>
      <c r="FIB1" s="2"/>
      <c r="FIC1" s="2"/>
      <c r="FID1" s="2"/>
      <c r="FIE1" s="2"/>
      <c r="FIF1" s="2"/>
      <c r="FIG1" s="2"/>
      <c r="FIH1" s="2"/>
      <c r="FII1" s="2"/>
      <c r="FIJ1" s="2"/>
      <c r="FIK1" s="2"/>
      <c r="FIL1" s="2"/>
      <c r="FIM1" s="2"/>
      <c r="FIN1" s="2"/>
      <c r="FIO1" s="2"/>
      <c r="FIP1" s="2"/>
      <c r="FIQ1" s="2"/>
      <c r="FIR1" s="2"/>
      <c r="FIS1" s="2"/>
      <c r="FIT1" s="2"/>
      <c r="FIU1" s="2"/>
      <c r="FIV1" s="2"/>
      <c r="FIW1" s="2"/>
      <c r="FIX1" s="2"/>
      <c r="FIY1" s="2"/>
      <c r="FIZ1" s="2"/>
      <c r="FJA1" s="2"/>
      <c r="FJB1" s="2"/>
      <c r="FJC1" s="2"/>
      <c r="FJD1" s="2"/>
      <c r="FJE1" s="2"/>
      <c r="FJF1" s="2"/>
      <c r="FJG1" s="2"/>
      <c r="FJH1" s="2"/>
      <c r="FJI1" s="2"/>
      <c r="FJJ1" s="2"/>
      <c r="FJK1" s="2"/>
      <c r="FJL1" s="2"/>
      <c r="FJM1" s="2"/>
      <c r="FJN1" s="2"/>
      <c r="FJO1" s="2"/>
      <c r="FJP1" s="2"/>
      <c r="FJQ1" s="2"/>
      <c r="FJR1" s="2"/>
      <c r="FJS1" s="2"/>
      <c r="FJT1" s="2"/>
      <c r="FJU1" s="2"/>
      <c r="FJV1" s="2"/>
      <c r="FJW1" s="2"/>
      <c r="FJX1" s="2"/>
      <c r="FJY1" s="2"/>
      <c r="FJZ1" s="2"/>
      <c r="FKA1" s="2"/>
      <c r="FKB1" s="2"/>
      <c r="FKC1" s="2"/>
      <c r="FKD1" s="2"/>
      <c r="FKE1" s="2"/>
      <c r="FKF1" s="2"/>
      <c r="FKG1" s="2"/>
      <c r="FKH1" s="2"/>
      <c r="FKI1" s="2"/>
      <c r="FKJ1" s="2"/>
      <c r="FKK1" s="2"/>
      <c r="FKL1" s="2"/>
      <c r="FKM1" s="2"/>
      <c r="FKN1" s="2"/>
      <c r="FKO1" s="2"/>
      <c r="FKP1" s="2"/>
      <c r="FKQ1" s="2"/>
      <c r="FKR1" s="2"/>
      <c r="FKS1" s="2"/>
      <c r="FKT1" s="2"/>
      <c r="FKU1" s="2"/>
      <c r="FKV1" s="2"/>
      <c r="FKW1" s="2"/>
      <c r="FKX1" s="2"/>
      <c r="FKY1" s="2"/>
      <c r="FKZ1" s="2"/>
      <c r="FLA1" s="2"/>
      <c r="FLB1" s="2"/>
      <c r="FLC1" s="2"/>
      <c r="FLD1" s="2"/>
      <c r="FLE1" s="2"/>
      <c r="FLF1" s="2"/>
      <c r="FLG1" s="2"/>
      <c r="FLH1" s="2"/>
      <c r="FLI1" s="2"/>
      <c r="FLJ1" s="2"/>
      <c r="FLK1" s="2"/>
      <c r="FLL1" s="2"/>
      <c r="FLM1" s="2"/>
      <c r="FLN1" s="2"/>
      <c r="FLO1" s="2"/>
      <c r="FLP1" s="2"/>
      <c r="FLQ1" s="2"/>
      <c r="FLR1" s="2"/>
      <c r="FLS1" s="2"/>
      <c r="FLT1" s="2"/>
      <c r="FLU1" s="2"/>
      <c r="FLV1" s="2"/>
      <c r="FLW1" s="2"/>
      <c r="FLX1" s="2"/>
      <c r="FLY1" s="2"/>
      <c r="FLZ1" s="2"/>
      <c r="FMA1" s="2"/>
      <c r="FMB1" s="2"/>
      <c r="FMC1" s="2"/>
      <c r="FMD1" s="2"/>
      <c r="FME1" s="2"/>
      <c r="FMF1" s="2"/>
      <c r="FMG1" s="2"/>
      <c r="FMH1" s="2"/>
      <c r="FMI1" s="2"/>
      <c r="FMJ1" s="2"/>
      <c r="FMK1" s="2"/>
      <c r="FML1" s="2"/>
      <c r="FMM1" s="2"/>
      <c r="FMN1" s="2"/>
      <c r="FMO1" s="2"/>
      <c r="FMP1" s="2"/>
      <c r="FMQ1" s="2"/>
      <c r="FMR1" s="2"/>
      <c r="FMS1" s="2"/>
      <c r="FMT1" s="2"/>
      <c r="FMU1" s="2"/>
      <c r="FMV1" s="2"/>
      <c r="FMW1" s="2"/>
      <c r="FMX1" s="2"/>
      <c r="FMY1" s="2"/>
      <c r="FMZ1" s="2"/>
      <c r="FNA1" s="2"/>
      <c r="FNB1" s="2"/>
      <c r="FNC1" s="2"/>
      <c r="FND1" s="2"/>
      <c r="FNE1" s="2"/>
      <c r="FNF1" s="2"/>
      <c r="FNG1" s="2"/>
      <c r="FNH1" s="2"/>
      <c r="FNI1" s="2"/>
      <c r="FNJ1" s="2"/>
      <c r="FNK1" s="2"/>
      <c r="FNL1" s="2"/>
      <c r="FNM1" s="2"/>
      <c r="FNN1" s="2"/>
      <c r="FNO1" s="2"/>
      <c r="FNP1" s="2"/>
      <c r="FNQ1" s="2"/>
      <c r="FNR1" s="2"/>
      <c r="FNS1" s="2"/>
      <c r="FNT1" s="2"/>
      <c r="FNU1" s="2"/>
      <c r="FNV1" s="2"/>
      <c r="FNW1" s="2"/>
      <c r="FNX1" s="2"/>
      <c r="FNY1" s="2"/>
      <c r="FNZ1" s="2"/>
      <c r="FOA1" s="2"/>
      <c r="FOB1" s="2"/>
      <c r="FOC1" s="2"/>
      <c r="FOD1" s="2"/>
      <c r="FOE1" s="2"/>
      <c r="FOF1" s="2"/>
      <c r="FOG1" s="2"/>
      <c r="FOH1" s="2"/>
      <c r="FOI1" s="2"/>
      <c r="FOJ1" s="2"/>
      <c r="FOK1" s="2"/>
      <c r="FOL1" s="2"/>
      <c r="FOM1" s="2"/>
      <c r="FON1" s="2"/>
      <c r="FOO1" s="2"/>
      <c r="FOP1" s="2"/>
      <c r="FOQ1" s="2"/>
      <c r="FOR1" s="2"/>
      <c r="FOS1" s="2"/>
      <c r="FOT1" s="2"/>
      <c r="FOU1" s="2"/>
      <c r="FOV1" s="2"/>
      <c r="FOW1" s="2"/>
      <c r="FOX1" s="2"/>
      <c r="FOY1" s="2"/>
      <c r="FOZ1" s="2"/>
      <c r="FPA1" s="2"/>
      <c r="FPB1" s="2"/>
      <c r="FPC1" s="2"/>
      <c r="FPD1" s="2"/>
      <c r="FPE1" s="2"/>
      <c r="FPF1" s="2"/>
      <c r="FPG1" s="2"/>
      <c r="FPH1" s="2"/>
      <c r="FPI1" s="2"/>
      <c r="FPJ1" s="2"/>
      <c r="FPK1" s="2"/>
      <c r="FPL1" s="2"/>
      <c r="FPM1" s="2"/>
      <c r="FPN1" s="2"/>
      <c r="FPO1" s="2"/>
      <c r="FPP1" s="2"/>
      <c r="FPQ1" s="2"/>
      <c r="FPR1" s="2"/>
      <c r="FPS1" s="2"/>
      <c r="FPT1" s="2"/>
      <c r="FPU1" s="2"/>
      <c r="FPV1" s="2"/>
      <c r="FPW1" s="2"/>
      <c r="FPX1" s="2"/>
      <c r="FPY1" s="2"/>
      <c r="FPZ1" s="2"/>
      <c r="FQA1" s="2"/>
      <c r="FQB1" s="2"/>
      <c r="FQC1" s="2"/>
      <c r="FQD1" s="2"/>
      <c r="FQE1" s="2"/>
      <c r="FQF1" s="2"/>
      <c r="FQG1" s="2"/>
      <c r="FQH1" s="2"/>
      <c r="FQI1" s="2"/>
      <c r="FQJ1" s="2"/>
      <c r="FQK1" s="2"/>
      <c r="FQL1" s="2"/>
      <c r="FQM1" s="2"/>
      <c r="FQN1" s="2"/>
      <c r="FQO1" s="2"/>
      <c r="FQP1" s="2"/>
      <c r="FQQ1" s="2"/>
      <c r="FQR1" s="2"/>
      <c r="FQS1" s="2"/>
      <c r="FQT1" s="2"/>
      <c r="FQU1" s="2"/>
      <c r="FQV1" s="2"/>
      <c r="FQW1" s="2"/>
      <c r="FQX1" s="2"/>
      <c r="FQY1" s="2"/>
      <c r="FQZ1" s="2"/>
      <c r="FRA1" s="2"/>
      <c r="FRB1" s="2"/>
      <c r="FRC1" s="2"/>
      <c r="FRD1" s="2"/>
      <c r="FRE1" s="2"/>
      <c r="FRF1" s="2"/>
      <c r="FRG1" s="2"/>
      <c r="FRH1" s="2"/>
      <c r="FRI1" s="2"/>
      <c r="FRJ1" s="2"/>
      <c r="FRK1" s="2"/>
      <c r="FRL1" s="2"/>
      <c r="FRM1" s="2"/>
      <c r="FRN1" s="2"/>
      <c r="FRO1" s="2"/>
      <c r="FRP1" s="2"/>
      <c r="FRQ1" s="2"/>
      <c r="FRR1" s="2"/>
      <c r="FRS1" s="2"/>
      <c r="FRT1" s="2"/>
      <c r="FRU1" s="2"/>
      <c r="FRV1" s="2"/>
      <c r="FRW1" s="2"/>
      <c r="FRX1" s="2"/>
      <c r="FRY1" s="2"/>
      <c r="FRZ1" s="2"/>
      <c r="FSA1" s="2"/>
      <c r="FSB1" s="2"/>
      <c r="FSC1" s="2"/>
      <c r="FSD1" s="2"/>
      <c r="FSE1" s="2"/>
      <c r="FSF1" s="2"/>
      <c r="FSG1" s="2"/>
      <c r="FSH1" s="2"/>
      <c r="FSI1" s="2"/>
      <c r="FSJ1" s="2"/>
      <c r="FSK1" s="2"/>
      <c r="FSL1" s="2"/>
      <c r="FSM1" s="2"/>
      <c r="FSN1" s="2"/>
      <c r="FSO1" s="2"/>
      <c r="FSP1" s="2"/>
      <c r="FSQ1" s="2"/>
      <c r="FSR1" s="2"/>
      <c r="FSS1" s="2"/>
      <c r="FST1" s="2"/>
      <c r="FSU1" s="2"/>
      <c r="FSV1" s="2"/>
      <c r="FSW1" s="2"/>
      <c r="FSX1" s="2"/>
      <c r="FSY1" s="2"/>
      <c r="FSZ1" s="2"/>
      <c r="FTA1" s="2"/>
      <c r="FTB1" s="2"/>
      <c r="FTC1" s="2"/>
      <c r="FTD1" s="2"/>
      <c r="FTE1" s="2"/>
      <c r="FTF1" s="2"/>
      <c r="FTG1" s="2"/>
      <c r="FTH1" s="2"/>
      <c r="FTI1" s="2"/>
      <c r="FTJ1" s="2"/>
      <c r="FTK1" s="2"/>
      <c r="FTL1" s="2"/>
      <c r="FTM1" s="2"/>
      <c r="FTN1" s="2"/>
      <c r="FTO1" s="2"/>
      <c r="FTP1" s="2"/>
      <c r="FTQ1" s="2"/>
      <c r="FTR1" s="2"/>
      <c r="FTS1" s="2"/>
      <c r="FTT1" s="2"/>
      <c r="FTU1" s="2"/>
      <c r="FTV1" s="2"/>
      <c r="FTW1" s="2"/>
      <c r="FTX1" s="2"/>
      <c r="FTY1" s="2"/>
      <c r="FTZ1" s="2"/>
      <c r="FUA1" s="2"/>
      <c r="FUB1" s="2"/>
      <c r="FUC1" s="2"/>
      <c r="FUD1" s="2"/>
      <c r="FUE1" s="2"/>
      <c r="FUF1" s="2"/>
      <c r="FUG1" s="2"/>
      <c r="FUH1" s="2"/>
      <c r="FUI1" s="2"/>
      <c r="FUJ1" s="2"/>
      <c r="FUK1" s="2"/>
      <c r="FUL1" s="2"/>
      <c r="FUM1" s="2"/>
      <c r="FUN1" s="2"/>
      <c r="FUO1" s="2"/>
      <c r="FUP1" s="2"/>
      <c r="FUQ1" s="2"/>
      <c r="FUR1" s="2"/>
      <c r="FUS1" s="2"/>
      <c r="FUT1" s="2"/>
      <c r="FUU1" s="2"/>
      <c r="FUV1" s="2"/>
      <c r="FUW1" s="2"/>
      <c r="FUX1" s="2"/>
      <c r="FUY1" s="2"/>
      <c r="FUZ1" s="2"/>
      <c r="FVA1" s="2"/>
      <c r="FVB1" s="2"/>
      <c r="FVC1" s="2"/>
      <c r="FVD1" s="2"/>
      <c r="FVE1" s="2"/>
      <c r="FVF1" s="2"/>
      <c r="FVG1" s="2"/>
      <c r="FVH1" s="2"/>
      <c r="FVI1" s="2"/>
      <c r="FVJ1" s="2"/>
      <c r="FVK1" s="2"/>
      <c r="FVL1" s="2"/>
      <c r="FVM1" s="2"/>
      <c r="FVN1" s="2"/>
      <c r="FVO1" s="2"/>
      <c r="FVP1" s="2"/>
      <c r="FVQ1" s="2"/>
      <c r="FVR1" s="2"/>
      <c r="FVS1" s="2"/>
      <c r="FVT1" s="2"/>
      <c r="FVU1" s="2"/>
      <c r="FVV1" s="2"/>
      <c r="FVW1" s="2"/>
      <c r="FVX1" s="2"/>
      <c r="FVY1" s="2"/>
      <c r="FVZ1" s="2"/>
      <c r="FWA1" s="2"/>
      <c r="FWB1" s="2"/>
      <c r="FWC1" s="2"/>
      <c r="FWD1" s="2"/>
      <c r="FWE1" s="2"/>
      <c r="FWF1" s="2"/>
      <c r="FWG1" s="2"/>
      <c r="FWH1" s="2"/>
      <c r="FWI1" s="2"/>
      <c r="FWJ1" s="2"/>
      <c r="FWK1" s="2"/>
      <c r="FWL1" s="2"/>
      <c r="FWM1" s="2"/>
      <c r="FWN1" s="2"/>
      <c r="FWO1" s="2"/>
      <c r="FWP1" s="2"/>
      <c r="FWQ1" s="2"/>
      <c r="FWR1" s="2"/>
      <c r="FWS1" s="2"/>
      <c r="FWT1" s="2"/>
      <c r="FWU1" s="2"/>
      <c r="FWV1" s="2"/>
      <c r="FWW1" s="2"/>
      <c r="FWX1" s="2"/>
      <c r="FWY1" s="2"/>
      <c r="FWZ1" s="2"/>
      <c r="FXA1" s="2"/>
      <c r="FXB1" s="2"/>
      <c r="FXC1" s="2"/>
      <c r="FXD1" s="2"/>
      <c r="FXE1" s="2"/>
      <c r="FXF1" s="2"/>
      <c r="FXG1" s="2"/>
      <c r="FXH1" s="2"/>
      <c r="FXI1" s="2"/>
      <c r="FXJ1" s="2"/>
      <c r="FXK1" s="2"/>
      <c r="FXL1" s="2"/>
      <c r="FXM1" s="2"/>
      <c r="FXN1" s="2"/>
      <c r="FXO1" s="2"/>
      <c r="FXP1" s="2"/>
      <c r="FXQ1" s="2"/>
      <c r="FXR1" s="2"/>
      <c r="FXS1" s="2"/>
      <c r="FXT1" s="2"/>
      <c r="FXU1" s="2"/>
      <c r="FXV1" s="2"/>
      <c r="FXW1" s="2"/>
      <c r="FXX1" s="2"/>
      <c r="FXY1" s="2"/>
      <c r="FXZ1" s="2"/>
      <c r="FYA1" s="2"/>
      <c r="FYB1" s="2"/>
      <c r="FYC1" s="2"/>
      <c r="FYD1" s="2"/>
      <c r="FYE1" s="2"/>
      <c r="FYF1" s="2"/>
      <c r="FYG1" s="2"/>
      <c r="FYH1" s="2"/>
      <c r="FYI1" s="2"/>
      <c r="FYJ1" s="2"/>
      <c r="FYK1" s="2"/>
      <c r="FYL1" s="2"/>
      <c r="FYM1" s="2"/>
      <c r="FYN1" s="2"/>
      <c r="FYO1" s="2"/>
      <c r="FYP1" s="2"/>
      <c r="FYQ1" s="2"/>
      <c r="FYR1" s="2"/>
      <c r="FYS1" s="2"/>
      <c r="FYT1" s="2"/>
      <c r="FYU1" s="2"/>
      <c r="FYV1" s="2"/>
      <c r="FYW1" s="2"/>
      <c r="FYX1" s="2"/>
      <c r="FYY1" s="2"/>
      <c r="FYZ1" s="2"/>
      <c r="FZA1" s="2"/>
      <c r="FZB1" s="2"/>
      <c r="FZC1" s="2"/>
      <c r="FZD1" s="2"/>
      <c r="FZE1" s="2"/>
      <c r="FZF1" s="2"/>
      <c r="FZG1" s="2"/>
      <c r="FZH1" s="2"/>
      <c r="FZI1" s="2"/>
      <c r="FZJ1" s="2"/>
      <c r="FZK1" s="2"/>
      <c r="FZL1" s="2"/>
      <c r="FZM1" s="2"/>
      <c r="FZN1" s="2"/>
      <c r="FZO1" s="2"/>
      <c r="FZP1" s="2"/>
      <c r="FZQ1" s="2"/>
      <c r="FZR1" s="2"/>
      <c r="FZS1" s="2"/>
      <c r="FZT1" s="2"/>
      <c r="FZU1" s="2"/>
      <c r="FZV1" s="2"/>
      <c r="FZW1" s="2"/>
      <c r="FZX1" s="2"/>
      <c r="FZY1" s="2"/>
      <c r="FZZ1" s="2"/>
      <c r="GAA1" s="2"/>
      <c r="GAB1" s="2"/>
      <c r="GAC1" s="2"/>
      <c r="GAD1" s="2"/>
      <c r="GAE1" s="2"/>
      <c r="GAF1" s="2"/>
      <c r="GAG1" s="2"/>
      <c r="GAH1" s="2"/>
      <c r="GAI1" s="2"/>
      <c r="GAJ1" s="2"/>
      <c r="GAK1" s="2"/>
      <c r="GAL1" s="2"/>
      <c r="GAM1" s="2"/>
      <c r="GAN1" s="2"/>
      <c r="GAO1" s="2"/>
      <c r="GAP1" s="2"/>
      <c r="GAQ1" s="2"/>
      <c r="GAR1" s="2"/>
      <c r="GAS1" s="2"/>
      <c r="GAT1" s="2"/>
      <c r="GAU1" s="2"/>
      <c r="GAV1" s="2"/>
      <c r="GAW1" s="2"/>
      <c r="GAX1" s="2"/>
      <c r="GAY1" s="2"/>
      <c r="GAZ1" s="2"/>
      <c r="GBA1" s="2"/>
      <c r="GBB1" s="2"/>
      <c r="GBC1" s="2"/>
      <c r="GBD1" s="2"/>
      <c r="GBE1" s="2"/>
      <c r="GBF1" s="2"/>
      <c r="GBG1" s="2"/>
      <c r="GBH1" s="2"/>
      <c r="GBI1" s="2"/>
      <c r="GBJ1" s="2"/>
      <c r="GBK1" s="2"/>
      <c r="GBL1" s="2"/>
      <c r="GBM1" s="2"/>
      <c r="GBN1" s="2"/>
      <c r="GBO1" s="2"/>
      <c r="GBP1" s="2"/>
      <c r="GBQ1" s="2"/>
      <c r="GBR1" s="2"/>
      <c r="GBS1" s="2"/>
      <c r="GBT1" s="2"/>
      <c r="GBU1" s="2"/>
      <c r="GBV1" s="2"/>
      <c r="GBW1" s="2"/>
      <c r="GBX1" s="2"/>
      <c r="GBY1" s="2"/>
      <c r="GBZ1" s="2"/>
      <c r="GCA1" s="2"/>
      <c r="GCB1" s="2"/>
      <c r="GCC1" s="2"/>
      <c r="GCD1" s="2"/>
      <c r="GCE1" s="2"/>
      <c r="GCF1" s="2"/>
      <c r="GCG1" s="2"/>
      <c r="GCH1" s="2"/>
      <c r="GCI1" s="2"/>
      <c r="GCJ1" s="2"/>
      <c r="GCK1" s="2"/>
      <c r="GCL1" s="2"/>
      <c r="GCM1" s="2"/>
      <c r="GCN1" s="2"/>
      <c r="GCO1" s="2"/>
      <c r="GCP1" s="2"/>
      <c r="GCQ1" s="2"/>
      <c r="GCR1" s="2"/>
      <c r="GCS1" s="2"/>
      <c r="GCT1" s="2"/>
      <c r="GCU1" s="2"/>
      <c r="GCV1" s="2"/>
      <c r="GCW1" s="2"/>
      <c r="GCX1" s="2"/>
      <c r="GCY1" s="2"/>
      <c r="GCZ1" s="2"/>
      <c r="GDA1" s="2"/>
      <c r="GDB1" s="2"/>
      <c r="GDC1" s="2"/>
      <c r="GDD1" s="2"/>
      <c r="GDE1" s="2"/>
      <c r="GDF1" s="2"/>
      <c r="GDG1" s="2"/>
      <c r="GDH1" s="2"/>
      <c r="GDI1" s="2"/>
      <c r="GDJ1" s="2"/>
      <c r="GDK1" s="2"/>
      <c r="GDL1" s="2"/>
      <c r="GDM1" s="2"/>
      <c r="GDN1" s="2"/>
      <c r="GDO1" s="2"/>
      <c r="GDP1" s="2"/>
      <c r="GDQ1" s="2"/>
      <c r="GDR1" s="2"/>
      <c r="GDS1" s="2"/>
      <c r="GDT1" s="2"/>
      <c r="GDU1" s="2"/>
      <c r="GDV1" s="2"/>
      <c r="GDW1" s="2"/>
      <c r="GDX1" s="2"/>
      <c r="GDY1" s="2"/>
      <c r="GDZ1" s="2"/>
      <c r="GEA1" s="2"/>
      <c r="GEB1" s="2"/>
      <c r="GEC1" s="2"/>
      <c r="GED1" s="2"/>
      <c r="GEE1" s="2"/>
      <c r="GEF1" s="2"/>
      <c r="GEG1" s="2"/>
      <c r="GEH1" s="2"/>
      <c r="GEI1" s="2"/>
      <c r="GEJ1" s="2"/>
      <c r="GEK1" s="2"/>
      <c r="GEL1" s="2"/>
      <c r="GEM1" s="2"/>
      <c r="GEN1" s="2"/>
      <c r="GEO1" s="2"/>
      <c r="GEP1" s="2"/>
      <c r="GEQ1" s="2"/>
      <c r="GER1" s="2"/>
      <c r="GES1" s="2"/>
      <c r="GET1" s="2"/>
      <c r="GEU1" s="2"/>
      <c r="GEV1" s="2"/>
      <c r="GEW1" s="2"/>
      <c r="GEX1" s="2"/>
      <c r="GEY1" s="2"/>
      <c r="GEZ1" s="2"/>
      <c r="GFA1" s="2"/>
      <c r="GFB1" s="2"/>
      <c r="GFC1" s="2"/>
      <c r="GFD1" s="2"/>
      <c r="GFE1" s="2"/>
      <c r="GFF1" s="2"/>
      <c r="GFG1" s="2"/>
      <c r="GFH1" s="2"/>
      <c r="GFI1" s="2"/>
      <c r="GFJ1" s="2"/>
      <c r="GFK1" s="2"/>
      <c r="GFL1" s="2"/>
      <c r="GFM1" s="2"/>
      <c r="GFN1" s="2"/>
      <c r="GFO1" s="2"/>
      <c r="GFP1" s="2"/>
      <c r="GFQ1" s="2"/>
      <c r="GFR1" s="2"/>
      <c r="GFS1" s="2"/>
      <c r="GFT1" s="2"/>
      <c r="GFU1" s="2"/>
      <c r="GFV1" s="2"/>
      <c r="GFW1" s="2"/>
      <c r="GFX1" s="2"/>
      <c r="GFY1" s="2"/>
      <c r="GFZ1" s="2"/>
      <c r="GGA1" s="2"/>
      <c r="GGB1" s="2"/>
      <c r="GGC1" s="2"/>
      <c r="GGD1" s="2"/>
      <c r="GGE1" s="2"/>
      <c r="GGF1" s="2"/>
      <c r="GGG1" s="2"/>
      <c r="GGH1" s="2"/>
      <c r="GGI1" s="2"/>
      <c r="GGJ1" s="2"/>
      <c r="GGK1" s="2"/>
      <c r="GGL1" s="2"/>
      <c r="GGM1" s="2"/>
      <c r="GGN1" s="2"/>
      <c r="GGO1" s="2"/>
      <c r="GGP1" s="2"/>
      <c r="GGQ1" s="2"/>
      <c r="GGR1" s="2"/>
      <c r="GGS1" s="2"/>
      <c r="GGT1" s="2"/>
      <c r="GGU1" s="2"/>
      <c r="GGV1" s="2"/>
      <c r="GGW1" s="2"/>
      <c r="GGX1" s="2"/>
      <c r="GGY1" s="2"/>
      <c r="GGZ1" s="2"/>
      <c r="GHA1" s="2"/>
      <c r="GHB1" s="2"/>
      <c r="GHC1" s="2"/>
      <c r="GHD1" s="2"/>
      <c r="GHE1" s="2"/>
      <c r="GHF1" s="2"/>
      <c r="GHG1" s="2"/>
      <c r="GHH1" s="2"/>
      <c r="GHI1" s="2"/>
      <c r="GHJ1" s="2"/>
      <c r="GHK1" s="2"/>
      <c r="GHL1" s="2"/>
      <c r="GHM1" s="2"/>
      <c r="GHN1" s="2"/>
      <c r="GHO1" s="2"/>
      <c r="GHP1" s="2"/>
      <c r="GHQ1" s="2"/>
      <c r="GHR1" s="2"/>
      <c r="GHS1" s="2"/>
      <c r="GHT1" s="2"/>
      <c r="GHU1" s="2"/>
      <c r="GHV1" s="2"/>
      <c r="GHW1" s="2"/>
      <c r="GHX1" s="2"/>
      <c r="GHY1" s="2"/>
      <c r="GHZ1" s="2"/>
      <c r="GIA1" s="2"/>
      <c r="GIB1" s="2"/>
      <c r="GIC1" s="2"/>
      <c r="GID1" s="2"/>
      <c r="GIE1" s="2"/>
      <c r="GIF1" s="2"/>
      <c r="GIG1" s="2"/>
      <c r="GIH1" s="2"/>
      <c r="GII1" s="2"/>
      <c r="GIJ1" s="2"/>
      <c r="GIK1" s="2"/>
      <c r="GIL1" s="2"/>
      <c r="GIM1" s="2"/>
      <c r="GIN1" s="2"/>
      <c r="GIO1" s="2"/>
      <c r="GIP1" s="2"/>
      <c r="GIQ1" s="2"/>
      <c r="GIR1" s="2"/>
      <c r="GIS1" s="2"/>
      <c r="GIT1" s="2"/>
      <c r="GIU1" s="2"/>
      <c r="GIV1" s="2"/>
      <c r="GIW1" s="2"/>
      <c r="GIX1" s="2"/>
      <c r="GIY1" s="2"/>
      <c r="GIZ1" s="2"/>
      <c r="GJA1" s="2"/>
      <c r="GJB1" s="2"/>
      <c r="GJC1" s="2"/>
      <c r="GJD1" s="2"/>
      <c r="GJE1" s="2"/>
      <c r="GJF1" s="2"/>
      <c r="GJG1" s="2"/>
      <c r="GJH1" s="2"/>
      <c r="GJI1" s="2"/>
      <c r="GJJ1" s="2"/>
      <c r="GJK1" s="2"/>
      <c r="GJL1" s="2"/>
      <c r="GJM1" s="2"/>
      <c r="GJN1" s="2"/>
      <c r="GJO1" s="2"/>
      <c r="GJP1" s="2"/>
      <c r="GJQ1" s="2"/>
      <c r="GJR1" s="2"/>
      <c r="GJS1" s="2"/>
      <c r="GJT1" s="2"/>
      <c r="GJU1" s="2"/>
      <c r="GJV1" s="2"/>
      <c r="GJW1" s="2"/>
      <c r="GJX1" s="2"/>
      <c r="GJY1" s="2"/>
      <c r="GJZ1" s="2"/>
      <c r="GKA1" s="2"/>
      <c r="GKB1" s="2"/>
      <c r="GKC1" s="2"/>
      <c r="GKD1" s="2"/>
      <c r="GKE1" s="2"/>
      <c r="GKF1" s="2"/>
      <c r="GKG1" s="2"/>
      <c r="GKH1" s="2"/>
      <c r="GKI1" s="2"/>
      <c r="GKJ1" s="2"/>
      <c r="GKK1" s="2"/>
      <c r="GKL1" s="2"/>
      <c r="GKM1" s="2"/>
      <c r="GKN1" s="2"/>
      <c r="GKO1" s="2"/>
      <c r="GKP1" s="2"/>
      <c r="GKQ1" s="2"/>
      <c r="GKR1" s="2"/>
      <c r="GKS1" s="2"/>
      <c r="GKT1" s="2"/>
      <c r="GKU1" s="2"/>
      <c r="GKV1" s="2"/>
      <c r="GKW1" s="2"/>
      <c r="GKX1" s="2"/>
      <c r="GKY1" s="2"/>
      <c r="GKZ1" s="2"/>
      <c r="GLA1" s="2"/>
      <c r="GLB1" s="2"/>
      <c r="GLC1" s="2"/>
      <c r="GLD1" s="2"/>
      <c r="GLE1" s="2"/>
      <c r="GLF1" s="2"/>
      <c r="GLG1" s="2"/>
      <c r="GLH1" s="2"/>
      <c r="GLI1" s="2"/>
      <c r="GLJ1" s="2"/>
      <c r="GLK1" s="2"/>
      <c r="GLL1" s="2"/>
      <c r="GLM1" s="2"/>
      <c r="GLN1" s="2"/>
      <c r="GLO1" s="2"/>
      <c r="GLP1" s="2"/>
      <c r="GLQ1" s="2"/>
      <c r="GLR1" s="2"/>
      <c r="GLS1" s="2"/>
      <c r="GLT1" s="2"/>
      <c r="GLU1" s="2"/>
      <c r="GLV1" s="2"/>
      <c r="GLW1" s="2"/>
      <c r="GLX1" s="2"/>
      <c r="GLY1" s="2"/>
      <c r="GLZ1" s="2"/>
      <c r="GMA1" s="2"/>
      <c r="GMB1" s="2"/>
      <c r="GMC1" s="2"/>
      <c r="GMD1" s="2"/>
      <c r="GME1" s="2"/>
      <c r="GMF1" s="2"/>
      <c r="GMG1" s="2"/>
      <c r="GMH1" s="2"/>
      <c r="GMI1" s="2"/>
      <c r="GMJ1" s="2"/>
      <c r="GMK1" s="2"/>
      <c r="GML1" s="2"/>
      <c r="GMM1" s="2"/>
      <c r="GMN1" s="2"/>
      <c r="GMO1" s="2"/>
      <c r="GMP1" s="2"/>
      <c r="GMQ1" s="2"/>
      <c r="GMR1" s="2"/>
      <c r="GMS1" s="2"/>
      <c r="GMT1" s="2"/>
      <c r="GMU1" s="2"/>
      <c r="GMV1" s="2"/>
      <c r="GMW1" s="2"/>
      <c r="GMX1" s="2"/>
      <c r="GMY1" s="2"/>
      <c r="GMZ1" s="2"/>
      <c r="GNA1" s="2"/>
      <c r="GNB1" s="2"/>
      <c r="GNC1" s="2"/>
      <c r="GND1" s="2"/>
      <c r="GNE1" s="2"/>
      <c r="GNF1" s="2"/>
      <c r="GNG1" s="2"/>
      <c r="GNH1" s="2"/>
      <c r="GNI1" s="2"/>
      <c r="GNJ1" s="2"/>
      <c r="GNK1" s="2"/>
      <c r="GNL1" s="2"/>
      <c r="GNM1" s="2"/>
      <c r="GNN1" s="2"/>
      <c r="GNO1" s="2"/>
      <c r="GNP1" s="2"/>
      <c r="GNQ1" s="2"/>
      <c r="GNR1" s="2"/>
      <c r="GNS1" s="2"/>
      <c r="GNT1" s="2"/>
      <c r="GNU1" s="2"/>
      <c r="GNV1" s="2"/>
      <c r="GNW1" s="2"/>
      <c r="GNX1" s="2"/>
      <c r="GNY1" s="2"/>
      <c r="GNZ1" s="2"/>
      <c r="GOA1" s="2"/>
      <c r="GOB1" s="2"/>
      <c r="GOC1" s="2"/>
      <c r="GOD1" s="2"/>
      <c r="GOE1" s="2"/>
      <c r="GOF1" s="2"/>
      <c r="GOG1" s="2"/>
      <c r="GOH1" s="2"/>
      <c r="GOI1" s="2"/>
      <c r="GOJ1" s="2"/>
      <c r="GOK1" s="2"/>
      <c r="GOL1" s="2"/>
      <c r="GOM1" s="2"/>
      <c r="GON1" s="2"/>
      <c r="GOO1" s="2"/>
      <c r="GOP1" s="2"/>
      <c r="GOQ1" s="2"/>
      <c r="GOR1" s="2"/>
      <c r="GOS1" s="2"/>
      <c r="GOT1" s="2"/>
      <c r="GOU1" s="2"/>
      <c r="GOV1" s="2"/>
      <c r="GOW1" s="2"/>
      <c r="GOX1" s="2"/>
      <c r="GOY1" s="2"/>
      <c r="GOZ1" s="2"/>
      <c r="GPA1" s="2"/>
      <c r="GPB1" s="2"/>
      <c r="GPC1" s="2"/>
      <c r="GPD1" s="2"/>
      <c r="GPE1" s="2"/>
      <c r="GPF1" s="2"/>
      <c r="GPG1" s="2"/>
      <c r="GPH1" s="2"/>
      <c r="GPI1" s="2"/>
      <c r="GPJ1" s="2"/>
      <c r="GPK1" s="2"/>
      <c r="GPL1" s="2"/>
      <c r="GPM1" s="2"/>
      <c r="GPN1" s="2"/>
      <c r="GPO1" s="2"/>
      <c r="GPP1" s="2"/>
      <c r="GPQ1" s="2"/>
      <c r="GPR1" s="2"/>
      <c r="GPS1" s="2"/>
      <c r="GPT1" s="2"/>
      <c r="GPU1" s="2"/>
      <c r="GPV1" s="2"/>
      <c r="GPW1" s="2"/>
      <c r="GPX1" s="2"/>
      <c r="GPY1" s="2"/>
      <c r="GPZ1" s="2"/>
      <c r="GQA1" s="2"/>
      <c r="GQB1" s="2"/>
      <c r="GQC1" s="2"/>
      <c r="GQD1" s="2"/>
      <c r="GQE1" s="2"/>
      <c r="GQF1" s="2"/>
      <c r="GQG1" s="2"/>
      <c r="GQH1" s="2"/>
      <c r="GQI1" s="2"/>
      <c r="GQJ1" s="2"/>
      <c r="GQK1" s="2"/>
      <c r="GQL1" s="2"/>
      <c r="GQM1" s="2"/>
      <c r="GQN1" s="2"/>
      <c r="GQO1" s="2"/>
      <c r="GQP1" s="2"/>
      <c r="GQQ1" s="2"/>
      <c r="GQR1" s="2"/>
      <c r="GQS1" s="2"/>
      <c r="GQT1" s="2"/>
      <c r="GQU1" s="2"/>
      <c r="GQV1" s="2"/>
      <c r="GQW1" s="2"/>
      <c r="GQX1" s="2"/>
      <c r="GQY1" s="2"/>
      <c r="GQZ1" s="2"/>
      <c r="GRA1" s="2"/>
      <c r="GRB1" s="2"/>
      <c r="GRC1" s="2"/>
      <c r="GRD1" s="2"/>
      <c r="GRE1" s="2"/>
      <c r="GRF1" s="2"/>
      <c r="GRG1" s="2"/>
      <c r="GRH1" s="2"/>
      <c r="GRI1" s="2"/>
      <c r="GRJ1" s="2"/>
      <c r="GRK1" s="2"/>
      <c r="GRL1" s="2"/>
      <c r="GRM1" s="2"/>
      <c r="GRN1" s="2"/>
      <c r="GRO1" s="2"/>
      <c r="GRP1" s="2"/>
      <c r="GRQ1" s="2"/>
      <c r="GRR1" s="2"/>
      <c r="GRS1" s="2"/>
      <c r="GRT1" s="2"/>
      <c r="GRU1" s="2"/>
      <c r="GRV1" s="2"/>
      <c r="GRW1" s="2"/>
      <c r="GRX1" s="2"/>
      <c r="GRY1" s="2"/>
      <c r="GRZ1" s="2"/>
      <c r="GSA1" s="2"/>
      <c r="GSB1" s="2"/>
      <c r="GSC1" s="2"/>
      <c r="GSD1" s="2"/>
      <c r="GSE1" s="2"/>
      <c r="GSF1" s="2"/>
      <c r="GSG1" s="2"/>
      <c r="GSH1" s="2"/>
      <c r="GSI1" s="2"/>
      <c r="GSJ1" s="2"/>
      <c r="GSK1" s="2"/>
      <c r="GSL1" s="2"/>
      <c r="GSM1" s="2"/>
      <c r="GSN1" s="2"/>
      <c r="GSO1" s="2"/>
      <c r="GSP1" s="2"/>
      <c r="GSQ1" s="2"/>
      <c r="GSR1" s="2"/>
      <c r="GSS1" s="2"/>
      <c r="GST1" s="2"/>
      <c r="GSU1" s="2"/>
      <c r="GSV1" s="2"/>
      <c r="GSW1" s="2"/>
      <c r="GSX1" s="2"/>
      <c r="GSY1" s="2"/>
      <c r="GSZ1" s="2"/>
      <c r="GTA1" s="2"/>
      <c r="GTB1" s="2"/>
      <c r="GTC1" s="2"/>
      <c r="GTD1" s="2"/>
      <c r="GTE1" s="2"/>
      <c r="GTF1" s="2"/>
      <c r="GTG1" s="2"/>
      <c r="GTH1" s="2"/>
      <c r="GTI1" s="2"/>
      <c r="GTJ1" s="2"/>
      <c r="GTK1" s="2"/>
      <c r="GTL1" s="2"/>
      <c r="GTM1" s="2"/>
      <c r="GTN1" s="2"/>
      <c r="GTO1" s="2"/>
      <c r="GTP1" s="2"/>
      <c r="GTQ1" s="2"/>
      <c r="GTR1" s="2"/>
      <c r="GTS1" s="2"/>
      <c r="GTT1" s="2"/>
      <c r="GTU1" s="2"/>
      <c r="GTV1" s="2"/>
      <c r="GTW1" s="2"/>
      <c r="GTX1" s="2"/>
      <c r="GTY1" s="2"/>
      <c r="GTZ1" s="2"/>
      <c r="GUA1" s="2"/>
      <c r="GUB1" s="2"/>
      <c r="GUC1" s="2"/>
      <c r="GUD1" s="2"/>
      <c r="GUE1" s="2"/>
      <c r="GUF1" s="2"/>
      <c r="GUG1" s="2"/>
      <c r="GUH1" s="2"/>
      <c r="GUI1" s="2"/>
      <c r="GUJ1" s="2"/>
      <c r="GUK1" s="2"/>
      <c r="GUL1" s="2"/>
      <c r="GUM1" s="2"/>
      <c r="GUN1" s="2"/>
      <c r="GUO1" s="2"/>
      <c r="GUP1" s="2"/>
      <c r="GUQ1" s="2"/>
      <c r="GUR1" s="2"/>
      <c r="GUS1" s="2"/>
      <c r="GUT1" s="2"/>
      <c r="GUU1" s="2"/>
      <c r="GUV1" s="2"/>
      <c r="GUW1" s="2"/>
      <c r="GUX1" s="2"/>
      <c r="GUY1" s="2"/>
      <c r="GUZ1" s="2"/>
      <c r="GVA1" s="2"/>
      <c r="GVB1" s="2"/>
      <c r="GVC1" s="2"/>
      <c r="GVD1" s="2"/>
      <c r="GVE1" s="2"/>
      <c r="GVF1" s="2"/>
      <c r="GVG1" s="2"/>
      <c r="GVH1" s="2"/>
      <c r="GVI1" s="2"/>
      <c r="GVJ1" s="2"/>
      <c r="GVK1" s="2"/>
      <c r="GVL1" s="2"/>
      <c r="GVM1" s="2"/>
      <c r="GVN1" s="2"/>
      <c r="GVO1" s="2"/>
      <c r="GVP1" s="2"/>
      <c r="GVQ1" s="2"/>
      <c r="GVR1" s="2"/>
      <c r="GVS1" s="2"/>
      <c r="GVT1" s="2"/>
      <c r="GVU1" s="2"/>
      <c r="GVV1" s="2"/>
      <c r="GVW1" s="2"/>
      <c r="GVX1" s="2"/>
      <c r="GVY1" s="2"/>
      <c r="GVZ1" s="2"/>
      <c r="GWA1" s="2"/>
      <c r="GWB1" s="2"/>
      <c r="GWC1" s="2"/>
      <c r="GWD1" s="2"/>
      <c r="GWE1" s="2"/>
      <c r="GWF1" s="2"/>
      <c r="GWG1" s="2"/>
      <c r="GWH1" s="2"/>
      <c r="GWI1" s="2"/>
      <c r="GWJ1" s="2"/>
      <c r="GWK1" s="2"/>
      <c r="GWL1" s="2"/>
      <c r="GWM1" s="2"/>
      <c r="GWN1" s="2"/>
      <c r="GWO1" s="2"/>
      <c r="GWP1" s="2"/>
      <c r="GWQ1" s="2"/>
      <c r="GWR1" s="2"/>
      <c r="GWS1" s="2"/>
      <c r="GWT1" s="2"/>
      <c r="GWU1" s="2"/>
      <c r="GWV1" s="2"/>
      <c r="GWW1" s="2"/>
      <c r="GWX1" s="2"/>
      <c r="GWY1" s="2"/>
      <c r="GWZ1" s="2"/>
      <c r="GXA1" s="2"/>
      <c r="GXB1" s="2"/>
      <c r="GXC1" s="2"/>
      <c r="GXD1" s="2"/>
      <c r="GXE1" s="2"/>
      <c r="GXF1" s="2"/>
      <c r="GXG1" s="2"/>
      <c r="GXH1" s="2"/>
      <c r="GXI1" s="2"/>
      <c r="GXJ1" s="2"/>
      <c r="GXK1" s="2"/>
      <c r="GXL1" s="2"/>
      <c r="GXM1" s="2"/>
      <c r="GXN1" s="2"/>
      <c r="GXO1" s="2"/>
      <c r="GXP1" s="2"/>
      <c r="GXQ1" s="2"/>
      <c r="GXR1" s="2"/>
      <c r="GXS1" s="2"/>
      <c r="GXT1" s="2"/>
      <c r="GXU1" s="2"/>
      <c r="GXV1" s="2"/>
      <c r="GXW1" s="2"/>
      <c r="GXX1" s="2"/>
      <c r="GXY1" s="2"/>
      <c r="GXZ1" s="2"/>
      <c r="GYA1" s="2"/>
      <c r="GYB1" s="2"/>
      <c r="GYC1" s="2"/>
      <c r="GYD1" s="2"/>
      <c r="GYE1" s="2"/>
      <c r="GYF1" s="2"/>
      <c r="GYG1" s="2"/>
      <c r="GYH1" s="2"/>
      <c r="GYI1" s="2"/>
      <c r="GYJ1" s="2"/>
      <c r="GYK1" s="2"/>
      <c r="GYL1" s="2"/>
      <c r="GYM1" s="2"/>
      <c r="GYN1" s="2"/>
      <c r="GYO1" s="2"/>
      <c r="GYP1" s="2"/>
      <c r="GYQ1" s="2"/>
      <c r="GYR1" s="2"/>
      <c r="GYS1" s="2"/>
      <c r="GYT1" s="2"/>
      <c r="GYU1" s="2"/>
      <c r="GYV1" s="2"/>
      <c r="GYW1" s="2"/>
      <c r="GYX1" s="2"/>
      <c r="GYY1" s="2"/>
      <c r="GYZ1" s="2"/>
      <c r="GZA1" s="2"/>
      <c r="GZB1" s="2"/>
      <c r="GZC1" s="2"/>
      <c r="GZD1" s="2"/>
      <c r="GZE1" s="2"/>
      <c r="GZF1" s="2"/>
      <c r="GZG1" s="2"/>
      <c r="GZH1" s="2"/>
      <c r="GZI1" s="2"/>
      <c r="GZJ1" s="2"/>
      <c r="GZK1" s="2"/>
      <c r="GZL1" s="2"/>
      <c r="GZM1" s="2"/>
      <c r="GZN1" s="2"/>
      <c r="GZO1" s="2"/>
      <c r="GZP1" s="2"/>
      <c r="GZQ1" s="2"/>
      <c r="GZR1" s="2"/>
      <c r="GZS1" s="2"/>
      <c r="GZT1" s="2"/>
      <c r="GZU1" s="2"/>
      <c r="GZV1" s="2"/>
      <c r="GZW1" s="2"/>
      <c r="GZX1" s="2"/>
      <c r="GZY1" s="2"/>
      <c r="GZZ1" s="2"/>
      <c r="HAA1" s="2"/>
      <c r="HAB1" s="2"/>
      <c r="HAC1" s="2"/>
      <c r="HAD1" s="2"/>
      <c r="HAE1" s="2"/>
      <c r="HAF1" s="2"/>
      <c r="HAG1" s="2"/>
      <c r="HAH1" s="2"/>
      <c r="HAI1" s="2"/>
      <c r="HAJ1" s="2"/>
      <c r="HAK1" s="2"/>
      <c r="HAL1" s="2"/>
      <c r="HAM1" s="2"/>
      <c r="HAN1" s="2"/>
      <c r="HAO1" s="2"/>
      <c r="HAP1" s="2"/>
      <c r="HAQ1" s="2"/>
      <c r="HAR1" s="2"/>
      <c r="HAS1" s="2"/>
      <c r="HAT1" s="2"/>
      <c r="HAU1" s="2"/>
      <c r="HAV1" s="2"/>
      <c r="HAW1" s="2"/>
      <c r="HAX1" s="2"/>
      <c r="HAY1" s="2"/>
      <c r="HAZ1" s="2"/>
      <c r="HBA1" s="2"/>
      <c r="HBB1" s="2"/>
      <c r="HBC1" s="2"/>
      <c r="HBD1" s="2"/>
      <c r="HBE1" s="2"/>
      <c r="HBF1" s="2"/>
      <c r="HBG1" s="2"/>
      <c r="HBH1" s="2"/>
      <c r="HBI1" s="2"/>
      <c r="HBJ1" s="2"/>
      <c r="HBK1" s="2"/>
      <c r="HBL1" s="2"/>
      <c r="HBM1" s="2"/>
      <c r="HBN1" s="2"/>
      <c r="HBO1" s="2"/>
      <c r="HBP1" s="2"/>
      <c r="HBQ1" s="2"/>
      <c r="HBR1" s="2"/>
      <c r="HBS1" s="2"/>
      <c r="HBT1" s="2"/>
      <c r="HBU1" s="2"/>
      <c r="HBV1" s="2"/>
      <c r="HBW1" s="2"/>
      <c r="HBX1" s="2"/>
      <c r="HBY1" s="2"/>
      <c r="HBZ1" s="2"/>
      <c r="HCA1" s="2"/>
      <c r="HCB1" s="2"/>
      <c r="HCC1" s="2"/>
      <c r="HCD1" s="2"/>
      <c r="HCE1" s="2"/>
      <c r="HCF1" s="2"/>
      <c r="HCG1" s="2"/>
      <c r="HCH1" s="2"/>
      <c r="HCI1" s="2"/>
      <c r="HCJ1" s="2"/>
      <c r="HCK1" s="2"/>
      <c r="HCL1" s="2"/>
      <c r="HCM1" s="2"/>
      <c r="HCN1" s="2"/>
      <c r="HCO1" s="2"/>
      <c r="HCP1" s="2"/>
      <c r="HCQ1" s="2"/>
      <c r="HCR1" s="2"/>
      <c r="HCS1" s="2"/>
      <c r="HCT1" s="2"/>
      <c r="HCU1" s="2"/>
      <c r="HCV1" s="2"/>
      <c r="HCW1" s="2"/>
      <c r="HCX1" s="2"/>
      <c r="HCY1" s="2"/>
      <c r="HCZ1" s="2"/>
      <c r="HDA1" s="2"/>
      <c r="HDB1" s="2"/>
      <c r="HDC1" s="2"/>
      <c r="HDD1" s="2"/>
      <c r="HDE1" s="2"/>
      <c r="HDF1" s="2"/>
      <c r="HDG1" s="2"/>
      <c r="HDH1" s="2"/>
      <c r="HDI1" s="2"/>
      <c r="HDJ1" s="2"/>
      <c r="HDK1" s="2"/>
      <c r="HDL1" s="2"/>
      <c r="HDM1" s="2"/>
      <c r="HDN1" s="2"/>
      <c r="HDO1" s="2"/>
      <c r="HDP1" s="2"/>
      <c r="HDQ1" s="2"/>
      <c r="HDR1" s="2"/>
      <c r="HDS1" s="2"/>
      <c r="HDT1" s="2"/>
      <c r="HDU1" s="2"/>
      <c r="HDV1" s="2"/>
      <c r="HDW1" s="2"/>
      <c r="HDX1" s="2"/>
      <c r="HDY1" s="2"/>
      <c r="HDZ1" s="2"/>
      <c r="HEA1" s="2"/>
      <c r="HEB1" s="2"/>
      <c r="HEC1" s="2"/>
      <c r="HED1" s="2"/>
      <c r="HEE1" s="2"/>
      <c r="HEF1" s="2"/>
      <c r="HEG1" s="2"/>
      <c r="HEH1" s="2"/>
      <c r="HEI1" s="2"/>
      <c r="HEJ1" s="2"/>
      <c r="HEK1" s="2"/>
      <c r="HEL1" s="2"/>
      <c r="HEM1" s="2"/>
      <c r="HEN1" s="2"/>
      <c r="HEO1" s="2"/>
      <c r="HEP1" s="2"/>
      <c r="HEQ1" s="2"/>
      <c r="HER1" s="2"/>
      <c r="HES1" s="2"/>
      <c r="HET1" s="2"/>
      <c r="HEU1" s="2"/>
      <c r="HEV1" s="2"/>
      <c r="HEW1" s="2"/>
      <c r="HEX1" s="2"/>
      <c r="HEY1" s="2"/>
      <c r="HEZ1" s="2"/>
      <c r="HFA1" s="2"/>
      <c r="HFB1" s="2"/>
      <c r="HFC1" s="2"/>
      <c r="HFD1" s="2"/>
      <c r="HFE1" s="2"/>
      <c r="HFF1" s="2"/>
      <c r="HFG1" s="2"/>
      <c r="HFH1" s="2"/>
      <c r="HFI1" s="2"/>
      <c r="HFJ1" s="2"/>
      <c r="HFK1" s="2"/>
      <c r="HFL1" s="2"/>
      <c r="HFM1" s="2"/>
      <c r="HFN1" s="2"/>
      <c r="HFO1" s="2"/>
      <c r="HFP1" s="2"/>
      <c r="HFQ1" s="2"/>
      <c r="HFR1" s="2"/>
      <c r="HFS1" s="2"/>
      <c r="HFT1" s="2"/>
      <c r="HFU1" s="2"/>
      <c r="HFV1" s="2"/>
      <c r="HFW1" s="2"/>
      <c r="HFX1" s="2"/>
      <c r="HFY1" s="2"/>
      <c r="HFZ1" s="2"/>
      <c r="HGA1" s="2"/>
      <c r="HGB1" s="2"/>
      <c r="HGC1" s="2"/>
      <c r="HGD1" s="2"/>
      <c r="HGE1" s="2"/>
      <c r="HGF1" s="2"/>
      <c r="HGG1" s="2"/>
      <c r="HGH1" s="2"/>
      <c r="HGI1" s="2"/>
      <c r="HGJ1" s="2"/>
      <c r="HGK1" s="2"/>
      <c r="HGL1" s="2"/>
      <c r="HGM1" s="2"/>
      <c r="HGN1" s="2"/>
      <c r="HGO1" s="2"/>
      <c r="HGP1" s="2"/>
      <c r="HGQ1" s="2"/>
      <c r="HGR1" s="2"/>
      <c r="HGS1" s="2"/>
      <c r="HGT1" s="2"/>
      <c r="HGU1" s="2"/>
      <c r="HGV1" s="2"/>
      <c r="HGW1" s="2"/>
      <c r="HGX1" s="2"/>
      <c r="HGY1" s="2"/>
      <c r="HGZ1" s="2"/>
      <c r="HHA1" s="2"/>
      <c r="HHB1" s="2"/>
      <c r="HHC1" s="2"/>
      <c r="HHD1" s="2"/>
      <c r="HHE1" s="2"/>
      <c r="HHF1" s="2"/>
      <c r="HHG1" s="2"/>
      <c r="HHH1" s="2"/>
      <c r="HHI1" s="2"/>
      <c r="HHJ1" s="2"/>
      <c r="HHK1" s="2"/>
      <c r="HHL1" s="2"/>
      <c r="HHM1" s="2"/>
      <c r="HHN1" s="2"/>
      <c r="HHO1" s="2"/>
      <c r="HHP1" s="2"/>
      <c r="HHQ1" s="2"/>
      <c r="HHR1" s="2"/>
      <c r="HHS1" s="2"/>
      <c r="HHT1" s="2"/>
      <c r="HHU1" s="2"/>
      <c r="HHV1" s="2"/>
      <c r="HHW1" s="2"/>
      <c r="HHX1" s="2"/>
      <c r="HHY1" s="2"/>
      <c r="HHZ1" s="2"/>
      <c r="HIA1" s="2"/>
      <c r="HIB1" s="2"/>
      <c r="HIC1" s="2"/>
      <c r="HID1" s="2"/>
      <c r="HIE1" s="2"/>
      <c r="HIF1" s="2"/>
      <c r="HIG1" s="2"/>
      <c r="HIH1" s="2"/>
      <c r="HII1" s="2"/>
      <c r="HIJ1" s="2"/>
      <c r="HIK1" s="2"/>
      <c r="HIL1" s="2"/>
      <c r="HIM1" s="2"/>
      <c r="HIN1" s="2"/>
      <c r="HIO1" s="2"/>
      <c r="HIP1" s="2"/>
      <c r="HIQ1" s="2"/>
      <c r="HIR1" s="2"/>
      <c r="HIS1" s="2"/>
      <c r="HIT1" s="2"/>
      <c r="HIU1" s="2"/>
      <c r="HIV1" s="2"/>
      <c r="HIW1" s="2"/>
      <c r="HIX1" s="2"/>
      <c r="HIY1" s="2"/>
      <c r="HIZ1" s="2"/>
      <c r="HJA1" s="2"/>
      <c r="HJB1" s="2"/>
      <c r="HJC1" s="2"/>
      <c r="HJD1" s="2"/>
      <c r="HJE1" s="2"/>
      <c r="HJF1" s="2"/>
      <c r="HJG1" s="2"/>
      <c r="HJH1" s="2"/>
      <c r="HJI1" s="2"/>
      <c r="HJJ1" s="2"/>
      <c r="HJK1" s="2"/>
      <c r="HJL1" s="2"/>
      <c r="HJM1" s="2"/>
      <c r="HJN1" s="2"/>
      <c r="HJO1" s="2"/>
      <c r="HJP1" s="2"/>
      <c r="HJQ1" s="2"/>
      <c r="HJR1" s="2"/>
      <c r="HJS1" s="2"/>
      <c r="HJT1" s="2"/>
      <c r="HJU1" s="2"/>
      <c r="HJV1" s="2"/>
      <c r="HJW1" s="2"/>
      <c r="HJX1" s="2"/>
      <c r="HJY1" s="2"/>
      <c r="HJZ1" s="2"/>
      <c r="HKA1" s="2"/>
      <c r="HKB1" s="2"/>
      <c r="HKC1" s="2"/>
      <c r="HKD1" s="2"/>
      <c r="HKE1" s="2"/>
      <c r="HKF1" s="2"/>
      <c r="HKG1" s="2"/>
      <c r="HKH1" s="2"/>
      <c r="HKI1" s="2"/>
      <c r="HKJ1" s="2"/>
      <c r="HKK1" s="2"/>
      <c r="HKL1" s="2"/>
      <c r="HKM1" s="2"/>
      <c r="HKN1" s="2"/>
      <c r="HKO1" s="2"/>
      <c r="HKP1" s="2"/>
      <c r="HKQ1" s="2"/>
      <c r="HKR1" s="2"/>
      <c r="HKS1" s="2"/>
      <c r="HKT1" s="2"/>
      <c r="HKU1" s="2"/>
      <c r="HKV1" s="2"/>
      <c r="HKW1" s="2"/>
      <c r="HKX1" s="2"/>
      <c r="HKY1" s="2"/>
      <c r="HKZ1" s="2"/>
      <c r="HLA1" s="2"/>
      <c r="HLB1" s="2"/>
      <c r="HLC1" s="2"/>
      <c r="HLD1" s="2"/>
      <c r="HLE1" s="2"/>
      <c r="HLF1" s="2"/>
      <c r="HLG1" s="2"/>
      <c r="HLH1" s="2"/>
      <c r="HLI1" s="2"/>
      <c r="HLJ1" s="2"/>
      <c r="HLK1" s="2"/>
      <c r="HLL1" s="2"/>
      <c r="HLM1" s="2"/>
      <c r="HLN1" s="2"/>
      <c r="HLO1" s="2"/>
      <c r="HLP1" s="2"/>
      <c r="HLQ1" s="2"/>
      <c r="HLR1" s="2"/>
      <c r="HLS1" s="2"/>
      <c r="HLT1" s="2"/>
      <c r="HLU1" s="2"/>
      <c r="HLV1" s="2"/>
      <c r="HLW1" s="2"/>
      <c r="HLX1" s="2"/>
      <c r="HLY1" s="2"/>
      <c r="HLZ1" s="2"/>
      <c r="HMA1" s="2"/>
      <c r="HMB1" s="2"/>
      <c r="HMC1" s="2"/>
      <c r="HMD1" s="2"/>
      <c r="HME1" s="2"/>
      <c r="HMF1" s="2"/>
      <c r="HMG1" s="2"/>
      <c r="HMH1" s="2"/>
      <c r="HMI1" s="2"/>
      <c r="HMJ1" s="2"/>
      <c r="HMK1" s="2"/>
      <c r="HML1" s="2"/>
      <c r="HMM1" s="2"/>
      <c r="HMN1" s="2"/>
      <c r="HMO1" s="2"/>
      <c r="HMP1" s="2"/>
      <c r="HMQ1" s="2"/>
      <c r="HMR1" s="2"/>
      <c r="HMS1" s="2"/>
      <c r="HMT1" s="2"/>
      <c r="HMU1" s="2"/>
      <c r="HMV1" s="2"/>
      <c r="HMW1" s="2"/>
      <c r="HMX1" s="2"/>
      <c r="HMY1" s="2"/>
      <c r="HMZ1" s="2"/>
      <c r="HNA1" s="2"/>
      <c r="HNB1" s="2"/>
      <c r="HNC1" s="2"/>
      <c r="HND1" s="2"/>
      <c r="HNE1" s="2"/>
      <c r="HNF1" s="2"/>
      <c r="HNG1" s="2"/>
      <c r="HNH1" s="2"/>
      <c r="HNI1" s="2"/>
      <c r="HNJ1" s="2"/>
      <c r="HNK1" s="2"/>
      <c r="HNL1" s="2"/>
      <c r="HNM1" s="2"/>
      <c r="HNN1" s="2"/>
      <c r="HNO1" s="2"/>
      <c r="HNP1" s="2"/>
      <c r="HNQ1" s="2"/>
      <c r="HNR1" s="2"/>
      <c r="HNS1" s="2"/>
      <c r="HNT1" s="2"/>
      <c r="HNU1" s="2"/>
      <c r="HNV1" s="2"/>
      <c r="HNW1" s="2"/>
      <c r="HNX1" s="2"/>
      <c r="HNY1" s="2"/>
      <c r="HNZ1" s="2"/>
      <c r="HOA1" s="2"/>
      <c r="HOB1" s="2"/>
      <c r="HOC1" s="2"/>
      <c r="HOD1" s="2"/>
      <c r="HOE1" s="2"/>
      <c r="HOF1" s="2"/>
      <c r="HOG1" s="2"/>
      <c r="HOH1" s="2"/>
      <c r="HOI1" s="2"/>
      <c r="HOJ1" s="2"/>
      <c r="HOK1" s="2"/>
      <c r="HOL1" s="2"/>
      <c r="HOM1" s="2"/>
      <c r="HON1" s="2"/>
      <c r="HOO1" s="2"/>
      <c r="HOP1" s="2"/>
      <c r="HOQ1" s="2"/>
      <c r="HOR1" s="2"/>
      <c r="HOS1" s="2"/>
      <c r="HOT1" s="2"/>
      <c r="HOU1" s="2"/>
      <c r="HOV1" s="2"/>
      <c r="HOW1" s="2"/>
      <c r="HOX1" s="2"/>
      <c r="HOY1" s="2"/>
      <c r="HOZ1" s="2"/>
      <c r="HPA1" s="2"/>
      <c r="HPB1" s="2"/>
      <c r="HPC1" s="2"/>
      <c r="HPD1" s="2"/>
      <c r="HPE1" s="2"/>
      <c r="HPF1" s="2"/>
      <c r="HPG1" s="2"/>
      <c r="HPH1" s="2"/>
      <c r="HPI1" s="2"/>
      <c r="HPJ1" s="2"/>
      <c r="HPK1" s="2"/>
      <c r="HPL1" s="2"/>
      <c r="HPM1" s="2"/>
      <c r="HPN1" s="2"/>
      <c r="HPO1" s="2"/>
      <c r="HPP1" s="2"/>
      <c r="HPQ1" s="2"/>
      <c r="HPR1" s="2"/>
      <c r="HPS1" s="2"/>
      <c r="HPT1" s="2"/>
      <c r="HPU1" s="2"/>
      <c r="HPV1" s="2"/>
      <c r="HPW1" s="2"/>
      <c r="HPX1" s="2"/>
      <c r="HPY1" s="2"/>
      <c r="HPZ1" s="2"/>
      <c r="HQA1" s="2"/>
      <c r="HQB1" s="2"/>
      <c r="HQC1" s="2"/>
      <c r="HQD1" s="2"/>
      <c r="HQE1" s="2"/>
      <c r="HQF1" s="2"/>
      <c r="HQG1" s="2"/>
      <c r="HQH1" s="2"/>
      <c r="HQI1" s="2"/>
      <c r="HQJ1" s="2"/>
      <c r="HQK1" s="2"/>
      <c r="HQL1" s="2"/>
      <c r="HQM1" s="2"/>
      <c r="HQN1" s="2"/>
      <c r="HQO1" s="2"/>
      <c r="HQP1" s="2"/>
      <c r="HQQ1" s="2"/>
      <c r="HQR1" s="2"/>
      <c r="HQS1" s="2"/>
      <c r="HQT1" s="2"/>
      <c r="HQU1" s="2"/>
      <c r="HQV1" s="2"/>
      <c r="HQW1" s="2"/>
      <c r="HQX1" s="2"/>
      <c r="HQY1" s="2"/>
      <c r="HQZ1" s="2"/>
      <c r="HRA1" s="2"/>
      <c r="HRB1" s="2"/>
      <c r="HRC1" s="2"/>
      <c r="HRD1" s="2"/>
      <c r="HRE1" s="2"/>
      <c r="HRF1" s="2"/>
      <c r="HRG1" s="2"/>
      <c r="HRH1" s="2"/>
      <c r="HRI1" s="2"/>
      <c r="HRJ1" s="2"/>
      <c r="HRK1" s="2"/>
      <c r="HRL1" s="2"/>
      <c r="HRM1" s="2"/>
      <c r="HRN1" s="2"/>
      <c r="HRO1" s="2"/>
      <c r="HRP1" s="2"/>
      <c r="HRQ1" s="2"/>
      <c r="HRR1" s="2"/>
      <c r="HRS1" s="2"/>
      <c r="HRT1" s="2"/>
      <c r="HRU1" s="2"/>
      <c r="HRV1" s="2"/>
      <c r="HRW1" s="2"/>
      <c r="HRX1" s="2"/>
      <c r="HRY1" s="2"/>
      <c r="HRZ1" s="2"/>
      <c r="HSA1" s="2"/>
      <c r="HSB1" s="2"/>
      <c r="HSC1" s="2"/>
      <c r="HSD1" s="2"/>
      <c r="HSE1" s="2"/>
      <c r="HSF1" s="2"/>
      <c r="HSG1" s="2"/>
      <c r="HSH1" s="2"/>
      <c r="HSI1" s="2"/>
      <c r="HSJ1" s="2"/>
      <c r="HSK1" s="2"/>
      <c r="HSL1" s="2"/>
      <c r="HSM1" s="2"/>
      <c r="HSN1" s="2"/>
      <c r="HSO1" s="2"/>
      <c r="HSP1" s="2"/>
      <c r="HSQ1" s="2"/>
      <c r="HSR1" s="2"/>
      <c r="HSS1" s="2"/>
      <c r="HST1" s="2"/>
      <c r="HSU1" s="2"/>
      <c r="HSV1" s="2"/>
      <c r="HSW1" s="2"/>
      <c r="HSX1" s="2"/>
      <c r="HSY1" s="2"/>
      <c r="HSZ1" s="2"/>
      <c r="HTA1" s="2"/>
      <c r="HTB1" s="2"/>
      <c r="HTC1" s="2"/>
      <c r="HTD1" s="2"/>
      <c r="HTE1" s="2"/>
      <c r="HTF1" s="2"/>
      <c r="HTG1" s="2"/>
      <c r="HTH1" s="2"/>
      <c r="HTI1" s="2"/>
      <c r="HTJ1" s="2"/>
      <c r="HTK1" s="2"/>
      <c r="HTL1" s="2"/>
      <c r="HTM1" s="2"/>
      <c r="HTN1" s="2"/>
      <c r="HTO1" s="2"/>
      <c r="HTP1" s="2"/>
      <c r="HTQ1" s="2"/>
      <c r="HTR1" s="2"/>
      <c r="HTS1" s="2"/>
      <c r="HTT1" s="2"/>
      <c r="HTU1" s="2"/>
      <c r="HTV1" s="2"/>
      <c r="HTW1" s="2"/>
      <c r="HTX1" s="2"/>
      <c r="HTY1" s="2"/>
      <c r="HTZ1" s="2"/>
      <c r="HUA1" s="2"/>
      <c r="HUB1" s="2"/>
      <c r="HUC1" s="2"/>
      <c r="HUD1" s="2"/>
      <c r="HUE1" s="2"/>
      <c r="HUF1" s="2"/>
      <c r="HUG1" s="2"/>
      <c r="HUH1" s="2"/>
      <c r="HUI1" s="2"/>
      <c r="HUJ1" s="2"/>
      <c r="HUK1" s="2"/>
      <c r="HUL1" s="2"/>
      <c r="HUM1" s="2"/>
      <c r="HUN1" s="2"/>
      <c r="HUO1" s="2"/>
      <c r="HUP1" s="2"/>
      <c r="HUQ1" s="2"/>
      <c r="HUR1" s="2"/>
      <c r="HUS1" s="2"/>
      <c r="HUT1" s="2"/>
      <c r="HUU1" s="2"/>
      <c r="HUV1" s="2"/>
      <c r="HUW1" s="2"/>
      <c r="HUX1" s="2"/>
      <c r="HUY1" s="2"/>
      <c r="HUZ1" s="2"/>
      <c r="HVA1" s="2"/>
      <c r="HVB1" s="2"/>
      <c r="HVC1" s="2"/>
      <c r="HVD1" s="2"/>
      <c r="HVE1" s="2"/>
      <c r="HVF1" s="2"/>
      <c r="HVG1" s="2"/>
      <c r="HVH1" s="2"/>
      <c r="HVI1" s="2"/>
      <c r="HVJ1" s="2"/>
      <c r="HVK1" s="2"/>
      <c r="HVL1" s="2"/>
      <c r="HVM1" s="2"/>
      <c r="HVN1" s="2"/>
      <c r="HVO1" s="2"/>
      <c r="HVP1" s="2"/>
      <c r="HVQ1" s="2"/>
      <c r="HVR1" s="2"/>
      <c r="HVS1" s="2"/>
      <c r="HVT1" s="2"/>
      <c r="HVU1" s="2"/>
      <c r="HVV1" s="2"/>
      <c r="HVW1" s="2"/>
      <c r="HVX1" s="2"/>
      <c r="HVY1" s="2"/>
      <c r="HVZ1" s="2"/>
      <c r="HWA1" s="2"/>
      <c r="HWB1" s="2"/>
      <c r="HWC1" s="2"/>
      <c r="HWD1" s="2"/>
      <c r="HWE1" s="2"/>
      <c r="HWF1" s="2"/>
      <c r="HWG1" s="2"/>
      <c r="HWH1" s="2"/>
      <c r="HWI1" s="2"/>
      <c r="HWJ1" s="2"/>
      <c r="HWK1" s="2"/>
      <c r="HWL1" s="2"/>
      <c r="HWM1" s="2"/>
      <c r="HWN1" s="2"/>
      <c r="HWO1" s="2"/>
      <c r="HWP1" s="2"/>
      <c r="HWQ1" s="2"/>
      <c r="HWR1" s="2"/>
      <c r="HWS1" s="2"/>
      <c r="HWT1" s="2"/>
      <c r="HWU1" s="2"/>
      <c r="HWV1" s="2"/>
      <c r="HWW1" s="2"/>
      <c r="HWX1" s="2"/>
      <c r="HWY1" s="2"/>
      <c r="HWZ1" s="2"/>
      <c r="HXA1" s="2"/>
      <c r="HXB1" s="2"/>
      <c r="HXC1" s="2"/>
      <c r="HXD1" s="2"/>
      <c r="HXE1" s="2"/>
      <c r="HXF1" s="2"/>
      <c r="HXG1" s="2"/>
      <c r="HXH1" s="2"/>
      <c r="HXI1" s="2"/>
      <c r="HXJ1" s="2"/>
      <c r="HXK1" s="2"/>
      <c r="HXL1" s="2"/>
      <c r="HXM1" s="2"/>
      <c r="HXN1" s="2"/>
      <c r="HXO1" s="2"/>
      <c r="HXP1" s="2"/>
      <c r="HXQ1" s="2"/>
      <c r="HXR1" s="2"/>
      <c r="HXS1" s="2"/>
      <c r="HXT1" s="2"/>
      <c r="HXU1" s="2"/>
      <c r="HXV1" s="2"/>
      <c r="HXW1" s="2"/>
      <c r="HXX1" s="2"/>
      <c r="HXY1" s="2"/>
      <c r="HXZ1" s="2"/>
      <c r="HYA1" s="2"/>
      <c r="HYB1" s="2"/>
      <c r="HYC1" s="2"/>
      <c r="HYD1" s="2"/>
      <c r="HYE1" s="2"/>
      <c r="HYF1" s="2"/>
      <c r="HYG1" s="2"/>
      <c r="HYH1" s="2"/>
      <c r="HYI1" s="2"/>
      <c r="HYJ1" s="2"/>
      <c r="HYK1" s="2"/>
      <c r="HYL1" s="2"/>
      <c r="HYM1" s="2"/>
      <c r="HYN1" s="2"/>
      <c r="HYO1" s="2"/>
      <c r="HYP1" s="2"/>
      <c r="HYQ1" s="2"/>
      <c r="HYR1" s="2"/>
      <c r="HYS1" s="2"/>
      <c r="HYT1" s="2"/>
      <c r="HYU1" s="2"/>
      <c r="HYV1" s="2"/>
      <c r="HYW1" s="2"/>
      <c r="HYX1" s="2"/>
      <c r="HYY1" s="2"/>
      <c r="HYZ1" s="2"/>
      <c r="HZA1" s="2"/>
      <c r="HZB1" s="2"/>
      <c r="HZC1" s="2"/>
      <c r="HZD1" s="2"/>
      <c r="HZE1" s="2"/>
      <c r="HZF1" s="2"/>
      <c r="HZG1" s="2"/>
      <c r="HZH1" s="2"/>
      <c r="HZI1" s="2"/>
      <c r="HZJ1" s="2"/>
      <c r="HZK1" s="2"/>
      <c r="HZL1" s="2"/>
      <c r="HZM1" s="2"/>
      <c r="HZN1" s="2"/>
      <c r="HZO1" s="2"/>
      <c r="HZP1" s="2"/>
      <c r="HZQ1" s="2"/>
      <c r="HZR1" s="2"/>
      <c r="HZS1" s="2"/>
      <c r="HZT1" s="2"/>
      <c r="HZU1" s="2"/>
      <c r="HZV1" s="2"/>
      <c r="HZW1" s="2"/>
      <c r="HZX1" s="2"/>
      <c r="HZY1" s="2"/>
      <c r="HZZ1" s="2"/>
      <c r="IAA1" s="2"/>
      <c r="IAB1" s="2"/>
      <c r="IAC1" s="2"/>
      <c r="IAD1" s="2"/>
      <c r="IAE1" s="2"/>
      <c r="IAF1" s="2"/>
      <c r="IAG1" s="2"/>
      <c r="IAH1" s="2"/>
      <c r="IAI1" s="2"/>
      <c r="IAJ1" s="2"/>
      <c r="IAK1" s="2"/>
      <c r="IAL1" s="2"/>
      <c r="IAM1" s="2"/>
      <c r="IAN1" s="2"/>
      <c r="IAO1" s="2"/>
      <c r="IAP1" s="2"/>
      <c r="IAQ1" s="2"/>
      <c r="IAR1" s="2"/>
      <c r="IAS1" s="2"/>
      <c r="IAT1" s="2"/>
      <c r="IAU1" s="2"/>
      <c r="IAV1" s="2"/>
      <c r="IAW1" s="2"/>
      <c r="IAX1" s="2"/>
      <c r="IAY1" s="2"/>
      <c r="IAZ1" s="2"/>
      <c r="IBA1" s="2"/>
      <c r="IBB1" s="2"/>
      <c r="IBC1" s="2"/>
      <c r="IBD1" s="2"/>
      <c r="IBE1" s="2"/>
      <c r="IBF1" s="2"/>
      <c r="IBG1" s="2"/>
      <c r="IBH1" s="2"/>
      <c r="IBI1" s="2"/>
      <c r="IBJ1" s="2"/>
      <c r="IBK1" s="2"/>
      <c r="IBL1" s="2"/>
      <c r="IBM1" s="2"/>
      <c r="IBN1" s="2"/>
      <c r="IBO1" s="2"/>
      <c r="IBP1" s="2"/>
      <c r="IBQ1" s="2"/>
      <c r="IBR1" s="2"/>
      <c r="IBS1" s="2"/>
      <c r="IBT1" s="2"/>
      <c r="IBU1" s="2"/>
      <c r="IBV1" s="2"/>
      <c r="IBW1" s="2"/>
      <c r="IBX1" s="2"/>
      <c r="IBY1" s="2"/>
      <c r="IBZ1" s="2"/>
      <c r="ICA1" s="2"/>
      <c r="ICB1" s="2"/>
      <c r="ICC1" s="2"/>
      <c r="ICD1" s="2"/>
      <c r="ICE1" s="2"/>
      <c r="ICF1" s="2"/>
      <c r="ICG1" s="2"/>
      <c r="ICH1" s="2"/>
      <c r="ICI1" s="2"/>
      <c r="ICJ1" s="2"/>
      <c r="ICK1" s="2"/>
      <c r="ICL1" s="2"/>
      <c r="ICM1" s="2"/>
      <c r="ICN1" s="2"/>
      <c r="ICO1" s="2"/>
      <c r="ICP1" s="2"/>
      <c r="ICQ1" s="2"/>
      <c r="ICR1" s="2"/>
      <c r="ICS1" s="2"/>
      <c r="ICT1" s="2"/>
      <c r="ICU1" s="2"/>
      <c r="ICV1" s="2"/>
      <c r="ICW1" s="2"/>
      <c r="ICX1" s="2"/>
      <c r="ICY1" s="2"/>
      <c r="ICZ1" s="2"/>
      <c r="IDA1" s="2"/>
      <c r="IDB1" s="2"/>
      <c r="IDC1" s="2"/>
      <c r="IDD1" s="2"/>
      <c r="IDE1" s="2"/>
      <c r="IDF1" s="2"/>
      <c r="IDG1" s="2"/>
      <c r="IDH1" s="2"/>
      <c r="IDI1" s="2"/>
      <c r="IDJ1" s="2"/>
      <c r="IDK1" s="2"/>
      <c r="IDL1" s="2"/>
      <c r="IDM1" s="2"/>
      <c r="IDN1" s="2"/>
      <c r="IDO1" s="2"/>
      <c r="IDP1" s="2"/>
      <c r="IDQ1" s="2"/>
      <c r="IDR1" s="2"/>
      <c r="IDS1" s="2"/>
      <c r="IDT1" s="2"/>
      <c r="IDU1" s="2"/>
      <c r="IDV1" s="2"/>
      <c r="IDW1" s="2"/>
      <c r="IDX1" s="2"/>
      <c r="IDY1" s="2"/>
      <c r="IDZ1" s="2"/>
      <c r="IEA1" s="2"/>
      <c r="IEB1" s="2"/>
      <c r="IEC1" s="2"/>
      <c r="IED1" s="2"/>
      <c r="IEE1" s="2"/>
      <c r="IEF1" s="2"/>
      <c r="IEG1" s="2"/>
      <c r="IEH1" s="2"/>
      <c r="IEI1" s="2"/>
      <c r="IEJ1" s="2"/>
      <c r="IEK1" s="2"/>
      <c r="IEL1" s="2"/>
      <c r="IEM1" s="2"/>
      <c r="IEN1" s="2"/>
      <c r="IEO1" s="2"/>
      <c r="IEP1" s="2"/>
      <c r="IEQ1" s="2"/>
      <c r="IER1" s="2"/>
      <c r="IES1" s="2"/>
      <c r="IET1" s="2"/>
      <c r="IEU1" s="2"/>
      <c r="IEV1" s="2"/>
      <c r="IEW1" s="2"/>
      <c r="IEX1" s="2"/>
      <c r="IEY1" s="2"/>
      <c r="IEZ1" s="2"/>
      <c r="IFA1" s="2"/>
      <c r="IFB1" s="2"/>
      <c r="IFC1" s="2"/>
      <c r="IFD1" s="2"/>
      <c r="IFE1" s="2"/>
      <c r="IFF1" s="2"/>
      <c r="IFG1" s="2"/>
      <c r="IFH1" s="2"/>
      <c r="IFI1" s="2"/>
      <c r="IFJ1" s="2"/>
      <c r="IFK1" s="2"/>
      <c r="IFL1" s="2"/>
      <c r="IFM1" s="2"/>
      <c r="IFN1" s="2"/>
      <c r="IFO1" s="2"/>
      <c r="IFP1" s="2"/>
      <c r="IFQ1" s="2"/>
      <c r="IFR1" s="2"/>
      <c r="IFS1" s="2"/>
      <c r="IFT1" s="2"/>
      <c r="IFU1" s="2"/>
      <c r="IFV1" s="2"/>
      <c r="IFW1" s="2"/>
      <c r="IFX1" s="2"/>
      <c r="IFY1" s="2"/>
      <c r="IFZ1" s="2"/>
      <c r="IGA1" s="2"/>
      <c r="IGB1" s="2"/>
      <c r="IGC1" s="2"/>
      <c r="IGD1" s="2"/>
      <c r="IGE1" s="2"/>
      <c r="IGF1" s="2"/>
      <c r="IGG1" s="2"/>
      <c r="IGH1" s="2"/>
      <c r="IGI1" s="2"/>
      <c r="IGJ1" s="2"/>
      <c r="IGK1" s="2"/>
      <c r="IGL1" s="2"/>
      <c r="IGM1" s="2"/>
      <c r="IGN1" s="2"/>
      <c r="IGO1" s="2"/>
      <c r="IGP1" s="2"/>
      <c r="IGQ1" s="2"/>
      <c r="IGR1" s="2"/>
      <c r="IGS1" s="2"/>
      <c r="IGT1" s="2"/>
      <c r="IGU1" s="2"/>
      <c r="IGV1" s="2"/>
      <c r="IGW1" s="2"/>
      <c r="IGX1" s="2"/>
      <c r="IGY1" s="2"/>
      <c r="IGZ1" s="2"/>
      <c r="IHA1" s="2"/>
      <c r="IHB1" s="2"/>
      <c r="IHC1" s="2"/>
      <c r="IHD1" s="2"/>
      <c r="IHE1" s="2"/>
      <c r="IHF1" s="2"/>
      <c r="IHG1" s="2"/>
      <c r="IHH1" s="2"/>
      <c r="IHI1" s="2"/>
      <c r="IHJ1" s="2"/>
      <c r="IHK1" s="2"/>
      <c r="IHL1" s="2"/>
      <c r="IHM1" s="2"/>
      <c r="IHN1" s="2"/>
      <c r="IHO1" s="2"/>
      <c r="IHP1" s="2"/>
      <c r="IHQ1" s="2"/>
      <c r="IHR1" s="2"/>
      <c r="IHS1" s="2"/>
      <c r="IHT1" s="2"/>
      <c r="IHU1" s="2"/>
      <c r="IHV1" s="2"/>
      <c r="IHW1" s="2"/>
      <c r="IHX1" s="2"/>
      <c r="IHY1" s="2"/>
      <c r="IHZ1" s="2"/>
      <c r="IIA1" s="2"/>
      <c r="IIB1" s="2"/>
      <c r="IIC1" s="2"/>
      <c r="IID1" s="2"/>
      <c r="IIE1" s="2"/>
      <c r="IIF1" s="2"/>
      <c r="IIG1" s="2"/>
      <c r="IIH1" s="2"/>
      <c r="III1" s="2"/>
      <c r="IIJ1" s="2"/>
      <c r="IIK1" s="2"/>
      <c r="IIL1" s="2"/>
      <c r="IIM1" s="2"/>
      <c r="IIN1" s="2"/>
      <c r="IIO1" s="2"/>
      <c r="IIP1" s="2"/>
      <c r="IIQ1" s="2"/>
      <c r="IIR1" s="2"/>
      <c r="IIS1" s="2"/>
      <c r="IIT1" s="2"/>
      <c r="IIU1" s="2"/>
      <c r="IIV1" s="2"/>
      <c r="IIW1" s="2"/>
      <c r="IIX1" s="2"/>
      <c r="IIY1" s="2"/>
      <c r="IIZ1" s="2"/>
      <c r="IJA1" s="2"/>
      <c r="IJB1" s="2"/>
      <c r="IJC1" s="2"/>
      <c r="IJD1" s="2"/>
      <c r="IJE1" s="2"/>
      <c r="IJF1" s="2"/>
      <c r="IJG1" s="2"/>
      <c r="IJH1" s="2"/>
      <c r="IJI1" s="2"/>
      <c r="IJJ1" s="2"/>
      <c r="IJK1" s="2"/>
      <c r="IJL1" s="2"/>
      <c r="IJM1" s="2"/>
      <c r="IJN1" s="2"/>
      <c r="IJO1" s="2"/>
      <c r="IJP1" s="2"/>
      <c r="IJQ1" s="2"/>
      <c r="IJR1" s="2"/>
      <c r="IJS1" s="2"/>
      <c r="IJT1" s="2"/>
      <c r="IJU1" s="2"/>
      <c r="IJV1" s="2"/>
      <c r="IJW1" s="2"/>
      <c r="IJX1" s="2"/>
      <c r="IJY1" s="2"/>
      <c r="IJZ1" s="2"/>
      <c r="IKA1" s="2"/>
      <c r="IKB1" s="2"/>
      <c r="IKC1" s="2"/>
      <c r="IKD1" s="2"/>
      <c r="IKE1" s="2"/>
      <c r="IKF1" s="2"/>
      <c r="IKG1" s="2"/>
      <c r="IKH1" s="2"/>
      <c r="IKI1" s="2"/>
      <c r="IKJ1" s="2"/>
      <c r="IKK1" s="2"/>
      <c r="IKL1" s="2"/>
      <c r="IKM1" s="2"/>
      <c r="IKN1" s="2"/>
      <c r="IKO1" s="2"/>
      <c r="IKP1" s="2"/>
      <c r="IKQ1" s="2"/>
      <c r="IKR1" s="2"/>
      <c r="IKS1" s="2"/>
      <c r="IKT1" s="2"/>
      <c r="IKU1" s="2"/>
      <c r="IKV1" s="2"/>
      <c r="IKW1" s="2"/>
      <c r="IKX1" s="2"/>
      <c r="IKY1" s="2"/>
      <c r="IKZ1" s="2"/>
      <c r="ILA1" s="2"/>
      <c r="ILB1" s="2"/>
      <c r="ILC1" s="2"/>
      <c r="ILD1" s="2"/>
      <c r="ILE1" s="2"/>
      <c r="ILF1" s="2"/>
      <c r="ILG1" s="2"/>
      <c r="ILH1" s="2"/>
      <c r="ILI1" s="2"/>
      <c r="ILJ1" s="2"/>
      <c r="ILK1" s="2"/>
      <c r="ILL1" s="2"/>
      <c r="ILM1" s="2"/>
      <c r="ILN1" s="2"/>
      <c r="ILO1" s="2"/>
      <c r="ILP1" s="2"/>
      <c r="ILQ1" s="2"/>
      <c r="ILR1" s="2"/>
      <c r="ILS1" s="2"/>
      <c r="ILT1" s="2"/>
      <c r="ILU1" s="2"/>
      <c r="ILV1" s="2"/>
      <c r="ILW1" s="2"/>
      <c r="ILX1" s="2"/>
      <c r="ILY1" s="2"/>
      <c r="ILZ1" s="2"/>
      <c r="IMA1" s="2"/>
      <c r="IMB1" s="2"/>
      <c r="IMC1" s="2"/>
      <c r="IMD1" s="2"/>
      <c r="IME1" s="2"/>
      <c r="IMF1" s="2"/>
      <c r="IMG1" s="2"/>
      <c r="IMH1" s="2"/>
      <c r="IMI1" s="2"/>
      <c r="IMJ1" s="2"/>
      <c r="IMK1" s="2"/>
      <c r="IML1" s="2"/>
      <c r="IMM1" s="2"/>
      <c r="IMN1" s="2"/>
      <c r="IMO1" s="2"/>
      <c r="IMP1" s="2"/>
      <c r="IMQ1" s="2"/>
      <c r="IMR1" s="2"/>
      <c r="IMS1" s="2"/>
      <c r="IMT1" s="2"/>
      <c r="IMU1" s="2"/>
      <c r="IMV1" s="2"/>
      <c r="IMW1" s="2"/>
      <c r="IMX1" s="2"/>
      <c r="IMY1" s="2"/>
      <c r="IMZ1" s="2"/>
      <c r="INA1" s="2"/>
      <c r="INB1" s="2"/>
      <c r="INC1" s="2"/>
      <c r="IND1" s="2"/>
      <c r="INE1" s="2"/>
      <c r="INF1" s="2"/>
      <c r="ING1" s="2"/>
      <c r="INH1" s="2"/>
      <c r="INI1" s="2"/>
      <c r="INJ1" s="2"/>
      <c r="INK1" s="2"/>
      <c r="INL1" s="2"/>
      <c r="INM1" s="2"/>
      <c r="INN1" s="2"/>
      <c r="INO1" s="2"/>
      <c r="INP1" s="2"/>
      <c r="INQ1" s="2"/>
      <c r="INR1" s="2"/>
      <c r="INS1" s="2"/>
      <c r="INT1" s="2"/>
      <c r="INU1" s="2"/>
      <c r="INV1" s="2"/>
      <c r="INW1" s="2"/>
      <c r="INX1" s="2"/>
      <c r="INY1" s="2"/>
      <c r="INZ1" s="2"/>
      <c r="IOA1" s="2"/>
      <c r="IOB1" s="2"/>
      <c r="IOC1" s="2"/>
      <c r="IOD1" s="2"/>
      <c r="IOE1" s="2"/>
      <c r="IOF1" s="2"/>
      <c r="IOG1" s="2"/>
      <c r="IOH1" s="2"/>
      <c r="IOI1" s="2"/>
      <c r="IOJ1" s="2"/>
      <c r="IOK1" s="2"/>
      <c r="IOL1" s="2"/>
      <c r="IOM1" s="2"/>
      <c r="ION1" s="2"/>
      <c r="IOO1" s="2"/>
      <c r="IOP1" s="2"/>
      <c r="IOQ1" s="2"/>
      <c r="IOR1" s="2"/>
      <c r="IOS1" s="2"/>
      <c r="IOT1" s="2"/>
      <c r="IOU1" s="2"/>
      <c r="IOV1" s="2"/>
      <c r="IOW1" s="2"/>
      <c r="IOX1" s="2"/>
      <c r="IOY1" s="2"/>
      <c r="IOZ1" s="2"/>
      <c r="IPA1" s="2"/>
      <c r="IPB1" s="2"/>
      <c r="IPC1" s="2"/>
      <c r="IPD1" s="2"/>
      <c r="IPE1" s="2"/>
      <c r="IPF1" s="2"/>
      <c r="IPG1" s="2"/>
      <c r="IPH1" s="2"/>
      <c r="IPI1" s="2"/>
      <c r="IPJ1" s="2"/>
      <c r="IPK1" s="2"/>
      <c r="IPL1" s="2"/>
      <c r="IPM1" s="2"/>
      <c r="IPN1" s="2"/>
      <c r="IPO1" s="2"/>
      <c r="IPP1" s="2"/>
      <c r="IPQ1" s="2"/>
      <c r="IPR1" s="2"/>
      <c r="IPS1" s="2"/>
      <c r="IPT1" s="2"/>
      <c r="IPU1" s="2"/>
      <c r="IPV1" s="2"/>
      <c r="IPW1" s="2"/>
      <c r="IPX1" s="2"/>
      <c r="IPY1" s="2"/>
      <c r="IPZ1" s="2"/>
      <c r="IQA1" s="2"/>
      <c r="IQB1" s="2"/>
      <c r="IQC1" s="2"/>
      <c r="IQD1" s="2"/>
      <c r="IQE1" s="2"/>
      <c r="IQF1" s="2"/>
      <c r="IQG1" s="2"/>
      <c r="IQH1" s="2"/>
      <c r="IQI1" s="2"/>
      <c r="IQJ1" s="2"/>
      <c r="IQK1" s="2"/>
      <c r="IQL1" s="2"/>
      <c r="IQM1" s="2"/>
      <c r="IQN1" s="2"/>
      <c r="IQO1" s="2"/>
      <c r="IQP1" s="2"/>
      <c r="IQQ1" s="2"/>
      <c r="IQR1" s="2"/>
      <c r="IQS1" s="2"/>
      <c r="IQT1" s="2"/>
      <c r="IQU1" s="2"/>
      <c r="IQV1" s="2"/>
      <c r="IQW1" s="2"/>
      <c r="IQX1" s="2"/>
      <c r="IQY1" s="2"/>
      <c r="IQZ1" s="2"/>
      <c r="IRA1" s="2"/>
      <c r="IRB1" s="2"/>
      <c r="IRC1" s="2"/>
      <c r="IRD1" s="2"/>
      <c r="IRE1" s="2"/>
      <c r="IRF1" s="2"/>
      <c r="IRG1" s="2"/>
      <c r="IRH1" s="2"/>
      <c r="IRI1" s="2"/>
      <c r="IRJ1" s="2"/>
      <c r="IRK1" s="2"/>
      <c r="IRL1" s="2"/>
      <c r="IRM1" s="2"/>
      <c r="IRN1" s="2"/>
      <c r="IRO1" s="2"/>
      <c r="IRP1" s="2"/>
      <c r="IRQ1" s="2"/>
      <c r="IRR1" s="2"/>
      <c r="IRS1" s="2"/>
      <c r="IRT1" s="2"/>
      <c r="IRU1" s="2"/>
      <c r="IRV1" s="2"/>
      <c r="IRW1" s="2"/>
      <c r="IRX1" s="2"/>
      <c r="IRY1" s="2"/>
      <c r="IRZ1" s="2"/>
      <c r="ISA1" s="2"/>
      <c r="ISB1" s="2"/>
      <c r="ISC1" s="2"/>
      <c r="ISD1" s="2"/>
      <c r="ISE1" s="2"/>
      <c r="ISF1" s="2"/>
      <c r="ISG1" s="2"/>
      <c r="ISH1" s="2"/>
      <c r="ISI1" s="2"/>
      <c r="ISJ1" s="2"/>
      <c r="ISK1" s="2"/>
      <c r="ISL1" s="2"/>
      <c r="ISM1" s="2"/>
      <c r="ISN1" s="2"/>
      <c r="ISO1" s="2"/>
      <c r="ISP1" s="2"/>
      <c r="ISQ1" s="2"/>
      <c r="ISR1" s="2"/>
      <c r="ISS1" s="2"/>
      <c r="IST1" s="2"/>
      <c r="ISU1" s="2"/>
      <c r="ISV1" s="2"/>
      <c r="ISW1" s="2"/>
      <c r="ISX1" s="2"/>
      <c r="ISY1" s="2"/>
      <c r="ISZ1" s="2"/>
      <c r="ITA1" s="2"/>
      <c r="ITB1" s="2"/>
      <c r="ITC1" s="2"/>
      <c r="ITD1" s="2"/>
      <c r="ITE1" s="2"/>
      <c r="ITF1" s="2"/>
      <c r="ITG1" s="2"/>
      <c r="ITH1" s="2"/>
      <c r="ITI1" s="2"/>
      <c r="ITJ1" s="2"/>
      <c r="ITK1" s="2"/>
      <c r="ITL1" s="2"/>
      <c r="ITM1" s="2"/>
      <c r="ITN1" s="2"/>
      <c r="ITO1" s="2"/>
      <c r="ITP1" s="2"/>
      <c r="ITQ1" s="2"/>
      <c r="ITR1" s="2"/>
      <c r="ITS1" s="2"/>
      <c r="ITT1" s="2"/>
      <c r="ITU1" s="2"/>
      <c r="ITV1" s="2"/>
      <c r="ITW1" s="2"/>
      <c r="ITX1" s="2"/>
      <c r="ITY1" s="2"/>
      <c r="ITZ1" s="2"/>
      <c r="IUA1" s="2"/>
      <c r="IUB1" s="2"/>
      <c r="IUC1" s="2"/>
      <c r="IUD1" s="2"/>
      <c r="IUE1" s="2"/>
      <c r="IUF1" s="2"/>
      <c r="IUG1" s="2"/>
      <c r="IUH1" s="2"/>
      <c r="IUI1" s="2"/>
      <c r="IUJ1" s="2"/>
      <c r="IUK1" s="2"/>
      <c r="IUL1" s="2"/>
      <c r="IUM1" s="2"/>
      <c r="IUN1" s="2"/>
      <c r="IUO1" s="2"/>
      <c r="IUP1" s="2"/>
      <c r="IUQ1" s="2"/>
      <c r="IUR1" s="2"/>
      <c r="IUS1" s="2"/>
      <c r="IUT1" s="2"/>
      <c r="IUU1" s="2"/>
      <c r="IUV1" s="2"/>
      <c r="IUW1" s="2"/>
      <c r="IUX1" s="2"/>
      <c r="IUY1" s="2"/>
      <c r="IUZ1" s="2"/>
      <c r="IVA1" s="2"/>
      <c r="IVB1" s="2"/>
      <c r="IVC1" s="2"/>
      <c r="IVD1" s="2"/>
      <c r="IVE1" s="2"/>
      <c r="IVF1" s="2"/>
      <c r="IVG1" s="2"/>
      <c r="IVH1" s="2"/>
      <c r="IVI1" s="2"/>
      <c r="IVJ1" s="2"/>
      <c r="IVK1" s="2"/>
      <c r="IVL1" s="2"/>
      <c r="IVM1" s="2"/>
      <c r="IVN1" s="2"/>
      <c r="IVO1" s="2"/>
      <c r="IVP1" s="2"/>
      <c r="IVQ1" s="2"/>
      <c r="IVR1" s="2"/>
      <c r="IVS1" s="2"/>
      <c r="IVT1" s="2"/>
      <c r="IVU1" s="2"/>
      <c r="IVV1" s="2"/>
      <c r="IVW1" s="2"/>
      <c r="IVX1" s="2"/>
      <c r="IVY1" s="2"/>
      <c r="IVZ1" s="2"/>
      <c r="IWA1" s="2"/>
      <c r="IWB1" s="2"/>
      <c r="IWC1" s="2"/>
      <c r="IWD1" s="2"/>
      <c r="IWE1" s="2"/>
      <c r="IWF1" s="2"/>
      <c r="IWG1" s="2"/>
      <c r="IWH1" s="2"/>
      <c r="IWI1" s="2"/>
      <c r="IWJ1" s="2"/>
      <c r="IWK1" s="2"/>
      <c r="IWL1" s="2"/>
      <c r="IWM1" s="2"/>
      <c r="IWN1" s="2"/>
      <c r="IWO1" s="2"/>
      <c r="IWP1" s="2"/>
      <c r="IWQ1" s="2"/>
      <c r="IWR1" s="2"/>
      <c r="IWS1" s="2"/>
      <c r="IWT1" s="2"/>
      <c r="IWU1" s="2"/>
      <c r="IWV1" s="2"/>
      <c r="IWW1" s="2"/>
      <c r="IWX1" s="2"/>
      <c r="IWY1" s="2"/>
      <c r="IWZ1" s="2"/>
      <c r="IXA1" s="2"/>
      <c r="IXB1" s="2"/>
      <c r="IXC1" s="2"/>
      <c r="IXD1" s="2"/>
      <c r="IXE1" s="2"/>
      <c r="IXF1" s="2"/>
      <c r="IXG1" s="2"/>
      <c r="IXH1" s="2"/>
      <c r="IXI1" s="2"/>
      <c r="IXJ1" s="2"/>
      <c r="IXK1" s="2"/>
      <c r="IXL1" s="2"/>
      <c r="IXM1" s="2"/>
      <c r="IXN1" s="2"/>
      <c r="IXO1" s="2"/>
      <c r="IXP1" s="2"/>
      <c r="IXQ1" s="2"/>
      <c r="IXR1" s="2"/>
      <c r="IXS1" s="2"/>
      <c r="IXT1" s="2"/>
      <c r="IXU1" s="2"/>
      <c r="IXV1" s="2"/>
      <c r="IXW1" s="2"/>
      <c r="IXX1" s="2"/>
      <c r="IXY1" s="2"/>
      <c r="IXZ1" s="2"/>
      <c r="IYA1" s="2"/>
      <c r="IYB1" s="2"/>
      <c r="IYC1" s="2"/>
      <c r="IYD1" s="2"/>
      <c r="IYE1" s="2"/>
      <c r="IYF1" s="2"/>
      <c r="IYG1" s="2"/>
      <c r="IYH1" s="2"/>
      <c r="IYI1" s="2"/>
      <c r="IYJ1" s="2"/>
      <c r="IYK1" s="2"/>
      <c r="IYL1" s="2"/>
      <c r="IYM1" s="2"/>
      <c r="IYN1" s="2"/>
      <c r="IYO1" s="2"/>
      <c r="IYP1" s="2"/>
      <c r="IYQ1" s="2"/>
      <c r="IYR1" s="2"/>
      <c r="IYS1" s="2"/>
      <c r="IYT1" s="2"/>
      <c r="IYU1" s="2"/>
      <c r="IYV1" s="2"/>
      <c r="IYW1" s="2"/>
      <c r="IYX1" s="2"/>
      <c r="IYY1" s="2"/>
      <c r="IYZ1" s="2"/>
      <c r="IZA1" s="2"/>
      <c r="IZB1" s="2"/>
      <c r="IZC1" s="2"/>
      <c r="IZD1" s="2"/>
      <c r="IZE1" s="2"/>
      <c r="IZF1" s="2"/>
      <c r="IZG1" s="2"/>
      <c r="IZH1" s="2"/>
      <c r="IZI1" s="2"/>
      <c r="IZJ1" s="2"/>
      <c r="IZK1" s="2"/>
      <c r="IZL1" s="2"/>
      <c r="IZM1" s="2"/>
      <c r="IZN1" s="2"/>
      <c r="IZO1" s="2"/>
      <c r="IZP1" s="2"/>
      <c r="IZQ1" s="2"/>
      <c r="IZR1" s="2"/>
      <c r="IZS1" s="2"/>
      <c r="IZT1" s="2"/>
      <c r="IZU1" s="2"/>
      <c r="IZV1" s="2"/>
      <c r="IZW1" s="2"/>
      <c r="IZX1" s="2"/>
      <c r="IZY1" s="2"/>
      <c r="IZZ1" s="2"/>
      <c r="JAA1" s="2"/>
      <c r="JAB1" s="2"/>
      <c r="JAC1" s="2"/>
      <c r="JAD1" s="2"/>
      <c r="JAE1" s="2"/>
      <c r="JAF1" s="2"/>
      <c r="JAG1" s="2"/>
      <c r="JAH1" s="2"/>
      <c r="JAI1" s="2"/>
      <c r="JAJ1" s="2"/>
      <c r="JAK1" s="2"/>
      <c r="JAL1" s="2"/>
      <c r="JAM1" s="2"/>
      <c r="JAN1" s="2"/>
      <c r="JAO1" s="2"/>
      <c r="JAP1" s="2"/>
      <c r="JAQ1" s="2"/>
      <c r="JAR1" s="2"/>
      <c r="JAS1" s="2"/>
      <c r="JAT1" s="2"/>
      <c r="JAU1" s="2"/>
      <c r="JAV1" s="2"/>
      <c r="JAW1" s="2"/>
      <c r="JAX1" s="2"/>
      <c r="JAY1" s="2"/>
      <c r="JAZ1" s="2"/>
      <c r="JBA1" s="2"/>
      <c r="JBB1" s="2"/>
      <c r="JBC1" s="2"/>
      <c r="JBD1" s="2"/>
      <c r="JBE1" s="2"/>
      <c r="JBF1" s="2"/>
      <c r="JBG1" s="2"/>
      <c r="JBH1" s="2"/>
      <c r="JBI1" s="2"/>
      <c r="JBJ1" s="2"/>
      <c r="JBK1" s="2"/>
      <c r="JBL1" s="2"/>
      <c r="JBM1" s="2"/>
      <c r="JBN1" s="2"/>
      <c r="JBO1" s="2"/>
      <c r="JBP1" s="2"/>
      <c r="JBQ1" s="2"/>
      <c r="JBR1" s="2"/>
      <c r="JBS1" s="2"/>
      <c r="JBT1" s="2"/>
      <c r="JBU1" s="2"/>
      <c r="JBV1" s="2"/>
      <c r="JBW1" s="2"/>
      <c r="JBX1" s="2"/>
      <c r="JBY1" s="2"/>
      <c r="JBZ1" s="2"/>
      <c r="JCA1" s="2"/>
      <c r="JCB1" s="2"/>
      <c r="JCC1" s="2"/>
      <c r="JCD1" s="2"/>
      <c r="JCE1" s="2"/>
      <c r="JCF1" s="2"/>
      <c r="JCG1" s="2"/>
      <c r="JCH1" s="2"/>
      <c r="JCI1" s="2"/>
      <c r="JCJ1" s="2"/>
      <c r="JCK1" s="2"/>
      <c r="JCL1" s="2"/>
      <c r="JCM1" s="2"/>
      <c r="JCN1" s="2"/>
      <c r="JCO1" s="2"/>
      <c r="JCP1" s="2"/>
      <c r="JCQ1" s="2"/>
      <c r="JCR1" s="2"/>
      <c r="JCS1" s="2"/>
      <c r="JCT1" s="2"/>
      <c r="JCU1" s="2"/>
      <c r="JCV1" s="2"/>
      <c r="JCW1" s="2"/>
      <c r="JCX1" s="2"/>
      <c r="JCY1" s="2"/>
      <c r="JCZ1" s="2"/>
      <c r="JDA1" s="2"/>
      <c r="JDB1" s="2"/>
      <c r="JDC1" s="2"/>
      <c r="JDD1" s="2"/>
      <c r="JDE1" s="2"/>
      <c r="JDF1" s="2"/>
      <c r="JDG1" s="2"/>
      <c r="JDH1" s="2"/>
      <c r="JDI1" s="2"/>
      <c r="JDJ1" s="2"/>
      <c r="JDK1" s="2"/>
      <c r="JDL1" s="2"/>
      <c r="JDM1" s="2"/>
      <c r="JDN1" s="2"/>
      <c r="JDO1" s="2"/>
      <c r="JDP1" s="2"/>
      <c r="JDQ1" s="2"/>
      <c r="JDR1" s="2"/>
      <c r="JDS1" s="2"/>
      <c r="JDT1" s="2"/>
      <c r="JDU1" s="2"/>
      <c r="JDV1" s="2"/>
      <c r="JDW1" s="2"/>
      <c r="JDX1" s="2"/>
      <c r="JDY1" s="2"/>
      <c r="JDZ1" s="2"/>
      <c r="JEA1" s="2"/>
      <c r="JEB1" s="2"/>
      <c r="JEC1" s="2"/>
      <c r="JED1" s="2"/>
      <c r="JEE1" s="2"/>
      <c r="JEF1" s="2"/>
      <c r="JEG1" s="2"/>
      <c r="JEH1" s="2"/>
      <c r="JEI1" s="2"/>
      <c r="JEJ1" s="2"/>
      <c r="JEK1" s="2"/>
      <c r="JEL1" s="2"/>
      <c r="JEM1" s="2"/>
      <c r="JEN1" s="2"/>
      <c r="JEO1" s="2"/>
      <c r="JEP1" s="2"/>
      <c r="JEQ1" s="2"/>
      <c r="JER1" s="2"/>
      <c r="JES1" s="2"/>
      <c r="JET1" s="2"/>
      <c r="JEU1" s="2"/>
      <c r="JEV1" s="2"/>
      <c r="JEW1" s="2"/>
      <c r="JEX1" s="2"/>
      <c r="JEY1" s="2"/>
      <c r="JEZ1" s="2"/>
      <c r="JFA1" s="2"/>
      <c r="JFB1" s="2"/>
      <c r="JFC1" s="2"/>
      <c r="JFD1" s="2"/>
      <c r="JFE1" s="2"/>
      <c r="JFF1" s="2"/>
      <c r="JFG1" s="2"/>
      <c r="JFH1" s="2"/>
      <c r="JFI1" s="2"/>
      <c r="JFJ1" s="2"/>
      <c r="JFK1" s="2"/>
      <c r="JFL1" s="2"/>
      <c r="JFM1" s="2"/>
      <c r="JFN1" s="2"/>
      <c r="JFO1" s="2"/>
      <c r="JFP1" s="2"/>
      <c r="JFQ1" s="2"/>
      <c r="JFR1" s="2"/>
      <c r="JFS1" s="2"/>
      <c r="JFT1" s="2"/>
      <c r="JFU1" s="2"/>
      <c r="JFV1" s="2"/>
      <c r="JFW1" s="2"/>
      <c r="JFX1" s="2"/>
      <c r="JFY1" s="2"/>
      <c r="JFZ1" s="2"/>
      <c r="JGA1" s="2"/>
      <c r="JGB1" s="2"/>
      <c r="JGC1" s="2"/>
      <c r="JGD1" s="2"/>
      <c r="JGE1" s="2"/>
      <c r="JGF1" s="2"/>
      <c r="JGG1" s="2"/>
      <c r="JGH1" s="2"/>
      <c r="JGI1" s="2"/>
      <c r="JGJ1" s="2"/>
      <c r="JGK1" s="2"/>
      <c r="JGL1" s="2"/>
      <c r="JGM1" s="2"/>
      <c r="JGN1" s="2"/>
      <c r="JGO1" s="2"/>
      <c r="JGP1" s="2"/>
      <c r="JGQ1" s="2"/>
      <c r="JGR1" s="2"/>
      <c r="JGS1" s="2"/>
      <c r="JGT1" s="2"/>
      <c r="JGU1" s="2"/>
      <c r="JGV1" s="2"/>
      <c r="JGW1" s="2"/>
      <c r="JGX1" s="2"/>
      <c r="JGY1" s="2"/>
      <c r="JGZ1" s="2"/>
      <c r="JHA1" s="2"/>
      <c r="JHB1" s="2"/>
      <c r="JHC1" s="2"/>
      <c r="JHD1" s="2"/>
      <c r="JHE1" s="2"/>
      <c r="JHF1" s="2"/>
      <c r="JHG1" s="2"/>
      <c r="JHH1" s="2"/>
      <c r="JHI1" s="2"/>
      <c r="JHJ1" s="2"/>
      <c r="JHK1" s="2"/>
      <c r="JHL1" s="2"/>
      <c r="JHM1" s="2"/>
      <c r="JHN1" s="2"/>
      <c r="JHO1" s="2"/>
      <c r="JHP1" s="2"/>
      <c r="JHQ1" s="2"/>
      <c r="JHR1" s="2"/>
      <c r="JHS1" s="2"/>
      <c r="JHT1" s="2"/>
      <c r="JHU1" s="2"/>
      <c r="JHV1" s="2"/>
      <c r="JHW1" s="2"/>
      <c r="JHX1" s="2"/>
      <c r="JHY1" s="2"/>
      <c r="JHZ1" s="2"/>
      <c r="JIA1" s="2"/>
      <c r="JIB1" s="2"/>
      <c r="JIC1" s="2"/>
      <c r="JID1" s="2"/>
      <c r="JIE1" s="2"/>
      <c r="JIF1" s="2"/>
      <c r="JIG1" s="2"/>
      <c r="JIH1" s="2"/>
      <c r="JII1" s="2"/>
      <c r="JIJ1" s="2"/>
      <c r="JIK1" s="2"/>
      <c r="JIL1" s="2"/>
      <c r="JIM1" s="2"/>
      <c r="JIN1" s="2"/>
      <c r="JIO1" s="2"/>
      <c r="JIP1" s="2"/>
      <c r="JIQ1" s="2"/>
      <c r="JIR1" s="2"/>
      <c r="JIS1" s="2"/>
      <c r="JIT1" s="2"/>
      <c r="JIU1" s="2"/>
      <c r="JIV1" s="2"/>
      <c r="JIW1" s="2"/>
      <c r="JIX1" s="2"/>
      <c r="JIY1" s="2"/>
      <c r="JIZ1" s="2"/>
      <c r="JJA1" s="2"/>
      <c r="JJB1" s="2"/>
      <c r="JJC1" s="2"/>
      <c r="JJD1" s="2"/>
      <c r="JJE1" s="2"/>
      <c r="JJF1" s="2"/>
      <c r="JJG1" s="2"/>
      <c r="JJH1" s="2"/>
      <c r="JJI1" s="2"/>
      <c r="JJJ1" s="2"/>
      <c r="JJK1" s="2"/>
      <c r="JJL1" s="2"/>
      <c r="JJM1" s="2"/>
      <c r="JJN1" s="2"/>
      <c r="JJO1" s="2"/>
      <c r="JJP1" s="2"/>
      <c r="JJQ1" s="2"/>
      <c r="JJR1" s="2"/>
      <c r="JJS1" s="2"/>
      <c r="JJT1" s="2"/>
      <c r="JJU1" s="2"/>
      <c r="JJV1" s="2"/>
      <c r="JJW1" s="2"/>
      <c r="JJX1" s="2"/>
      <c r="JJY1" s="2"/>
      <c r="JJZ1" s="2"/>
      <c r="JKA1" s="2"/>
      <c r="JKB1" s="2"/>
      <c r="JKC1" s="2"/>
      <c r="JKD1" s="2"/>
      <c r="JKE1" s="2"/>
      <c r="JKF1" s="2"/>
      <c r="JKG1" s="2"/>
      <c r="JKH1" s="2"/>
      <c r="JKI1" s="2"/>
      <c r="JKJ1" s="2"/>
      <c r="JKK1" s="2"/>
      <c r="JKL1" s="2"/>
      <c r="JKM1" s="2"/>
      <c r="JKN1" s="2"/>
      <c r="JKO1" s="2"/>
      <c r="JKP1" s="2"/>
      <c r="JKQ1" s="2"/>
      <c r="JKR1" s="2"/>
      <c r="JKS1" s="2"/>
      <c r="JKT1" s="2"/>
      <c r="JKU1" s="2"/>
      <c r="JKV1" s="2"/>
      <c r="JKW1" s="2"/>
      <c r="JKX1" s="2"/>
      <c r="JKY1" s="2"/>
      <c r="JKZ1" s="2"/>
      <c r="JLA1" s="2"/>
      <c r="JLB1" s="2"/>
      <c r="JLC1" s="2"/>
      <c r="JLD1" s="2"/>
      <c r="JLE1" s="2"/>
      <c r="JLF1" s="2"/>
      <c r="JLG1" s="2"/>
      <c r="JLH1" s="2"/>
      <c r="JLI1" s="2"/>
      <c r="JLJ1" s="2"/>
      <c r="JLK1" s="2"/>
      <c r="JLL1" s="2"/>
      <c r="JLM1" s="2"/>
      <c r="JLN1" s="2"/>
      <c r="JLO1" s="2"/>
      <c r="JLP1" s="2"/>
      <c r="JLQ1" s="2"/>
      <c r="JLR1" s="2"/>
      <c r="JLS1" s="2"/>
      <c r="JLT1" s="2"/>
      <c r="JLU1" s="2"/>
      <c r="JLV1" s="2"/>
      <c r="JLW1" s="2"/>
      <c r="JLX1" s="2"/>
      <c r="JLY1" s="2"/>
      <c r="JLZ1" s="2"/>
      <c r="JMA1" s="2"/>
      <c r="JMB1" s="2"/>
      <c r="JMC1" s="2"/>
      <c r="JMD1" s="2"/>
      <c r="JME1" s="2"/>
      <c r="JMF1" s="2"/>
      <c r="JMG1" s="2"/>
      <c r="JMH1" s="2"/>
      <c r="JMI1" s="2"/>
      <c r="JMJ1" s="2"/>
      <c r="JMK1" s="2"/>
      <c r="JML1" s="2"/>
      <c r="JMM1" s="2"/>
      <c r="JMN1" s="2"/>
      <c r="JMO1" s="2"/>
      <c r="JMP1" s="2"/>
      <c r="JMQ1" s="2"/>
      <c r="JMR1" s="2"/>
      <c r="JMS1" s="2"/>
      <c r="JMT1" s="2"/>
      <c r="JMU1" s="2"/>
      <c r="JMV1" s="2"/>
      <c r="JMW1" s="2"/>
      <c r="JMX1" s="2"/>
      <c r="JMY1" s="2"/>
      <c r="JMZ1" s="2"/>
      <c r="JNA1" s="2"/>
      <c r="JNB1" s="2"/>
      <c r="JNC1" s="2"/>
      <c r="JND1" s="2"/>
      <c r="JNE1" s="2"/>
      <c r="JNF1" s="2"/>
      <c r="JNG1" s="2"/>
      <c r="JNH1" s="2"/>
      <c r="JNI1" s="2"/>
      <c r="JNJ1" s="2"/>
      <c r="JNK1" s="2"/>
      <c r="JNL1" s="2"/>
      <c r="JNM1" s="2"/>
      <c r="JNN1" s="2"/>
      <c r="JNO1" s="2"/>
      <c r="JNP1" s="2"/>
      <c r="JNQ1" s="2"/>
      <c r="JNR1" s="2"/>
      <c r="JNS1" s="2"/>
      <c r="JNT1" s="2"/>
      <c r="JNU1" s="2"/>
      <c r="JNV1" s="2"/>
      <c r="JNW1" s="2"/>
      <c r="JNX1" s="2"/>
      <c r="JNY1" s="2"/>
      <c r="JNZ1" s="2"/>
      <c r="JOA1" s="2"/>
      <c r="JOB1" s="2"/>
      <c r="JOC1" s="2"/>
      <c r="JOD1" s="2"/>
      <c r="JOE1" s="2"/>
      <c r="JOF1" s="2"/>
      <c r="JOG1" s="2"/>
      <c r="JOH1" s="2"/>
      <c r="JOI1" s="2"/>
      <c r="JOJ1" s="2"/>
      <c r="JOK1" s="2"/>
      <c r="JOL1" s="2"/>
      <c r="JOM1" s="2"/>
      <c r="JON1" s="2"/>
      <c r="JOO1" s="2"/>
      <c r="JOP1" s="2"/>
      <c r="JOQ1" s="2"/>
      <c r="JOR1" s="2"/>
      <c r="JOS1" s="2"/>
      <c r="JOT1" s="2"/>
      <c r="JOU1" s="2"/>
      <c r="JOV1" s="2"/>
      <c r="JOW1" s="2"/>
      <c r="JOX1" s="2"/>
      <c r="JOY1" s="2"/>
      <c r="JOZ1" s="2"/>
      <c r="JPA1" s="2"/>
      <c r="JPB1" s="2"/>
      <c r="JPC1" s="2"/>
      <c r="JPD1" s="2"/>
      <c r="JPE1" s="2"/>
      <c r="JPF1" s="2"/>
      <c r="JPG1" s="2"/>
      <c r="JPH1" s="2"/>
      <c r="JPI1" s="2"/>
      <c r="JPJ1" s="2"/>
      <c r="JPK1" s="2"/>
      <c r="JPL1" s="2"/>
      <c r="JPM1" s="2"/>
      <c r="JPN1" s="2"/>
      <c r="JPO1" s="2"/>
      <c r="JPP1" s="2"/>
      <c r="JPQ1" s="2"/>
      <c r="JPR1" s="2"/>
      <c r="JPS1" s="2"/>
      <c r="JPT1" s="2"/>
      <c r="JPU1" s="2"/>
      <c r="JPV1" s="2"/>
      <c r="JPW1" s="2"/>
      <c r="JPX1" s="2"/>
      <c r="JPY1" s="2"/>
      <c r="JPZ1" s="2"/>
      <c r="JQA1" s="2"/>
      <c r="JQB1" s="2"/>
      <c r="JQC1" s="2"/>
      <c r="JQD1" s="2"/>
      <c r="JQE1" s="2"/>
      <c r="JQF1" s="2"/>
      <c r="JQG1" s="2"/>
      <c r="JQH1" s="2"/>
      <c r="JQI1" s="2"/>
      <c r="JQJ1" s="2"/>
      <c r="JQK1" s="2"/>
      <c r="JQL1" s="2"/>
      <c r="JQM1" s="2"/>
      <c r="JQN1" s="2"/>
      <c r="JQO1" s="2"/>
      <c r="JQP1" s="2"/>
      <c r="JQQ1" s="2"/>
      <c r="JQR1" s="2"/>
      <c r="JQS1" s="2"/>
      <c r="JQT1" s="2"/>
      <c r="JQU1" s="2"/>
      <c r="JQV1" s="2"/>
      <c r="JQW1" s="2"/>
      <c r="JQX1" s="2"/>
      <c r="JQY1" s="2"/>
      <c r="JQZ1" s="2"/>
      <c r="JRA1" s="2"/>
      <c r="JRB1" s="2"/>
      <c r="JRC1" s="2"/>
      <c r="JRD1" s="2"/>
      <c r="JRE1" s="2"/>
      <c r="JRF1" s="2"/>
      <c r="JRG1" s="2"/>
      <c r="JRH1" s="2"/>
      <c r="JRI1" s="2"/>
      <c r="JRJ1" s="2"/>
      <c r="JRK1" s="2"/>
      <c r="JRL1" s="2"/>
      <c r="JRM1" s="2"/>
      <c r="JRN1" s="2"/>
      <c r="JRO1" s="2"/>
      <c r="JRP1" s="2"/>
      <c r="JRQ1" s="2"/>
      <c r="JRR1" s="2"/>
      <c r="JRS1" s="2"/>
      <c r="JRT1" s="2"/>
      <c r="JRU1" s="2"/>
      <c r="JRV1" s="2"/>
      <c r="JRW1" s="2"/>
      <c r="JRX1" s="2"/>
      <c r="JRY1" s="2"/>
      <c r="JRZ1" s="2"/>
      <c r="JSA1" s="2"/>
      <c r="JSB1" s="2"/>
      <c r="JSC1" s="2"/>
      <c r="JSD1" s="2"/>
      <c r="JSE1" s="2"/>
      <c r="JSF1" s="2"/>
      <c r="JSG1" s="2"/>
      <c r="JSH1" s="2"/>
      <c r="JSI1" s="2"/>
      <c r="JSJ1" s="2"/>
      <c r="JSK1" s="2"/>
      <c r="JSL1" s="2"/>
      <c r="JSM1" s="2"/>
      <c r="JSN1" s="2"/>
      <c r="JSO1" s="2"/>
      <c r="JSP1" s="2"/>
      <c r="JSQ1" s="2"/>
      <c r="JSR1" s="2"/>
      <c r="JSS1" s="2"/>
      <c r="JST1" s="2"/>
      <c r="JSU1" s="2"/>
      <c r="JSV1" s="2"/>
      <c r="JSW1" s="2"/>
      <c r="JSX1" s="2"/>
      <c r="JSY1" s="2"/>
      <c r="JSZ1" s="2"/>
      <c r="JTA1" s="2"/>
      <c r="JTB1" s="2"/>
      <c r="JTC1" s="2"/>
      <c r="JTD1" s="2"/>
      <c r="JTE1" s="2"/>
      <c r="JTF1" s="2"/>
      <c r="JTG1" s="2"/>
      <c r="JTH1" s="2"/>
      <c r="JTI1" s="2"/>
      <c r="JTJ1" s="2"/>
      <c r="JTK1" s="2"/>
      <c r="JTL1" s="2"/>
      <c r="JTM1" s="2"/>
      <c r="JTN1" s="2"/>
      <c r="JTO1" s="2"/>
      <c r="JTP1" s="2"/>
      <c r="JTQ1" s="2"/>
      <c r="JTR1" s="2"/>
      <c r="JTS1" s="2"/>
      <c r="JTT1" s="2"/>
      <c r="JTU1" s="2"/>
      <c r="JTV1" s="2"/>
      <c r="JTW1" s="2"/>
      <c r="JTX1" s="2"/>
      <c r="JTY1" s="2"/>
      <c r="JTZ1" s="2"/>
      <c r="JUA1" s="2"/>
      <c r="JUB1" s="2"/>
      <c r="JUC1" s="2"/>
      <c r="JUD1" s="2"/>
      <c r="JUE1" s="2"/>
      <c r="JUF1" s="2"/>
      <c r="JUG1" s="2"/>
      <c r="JUH1" s="2"/>
      <c r="JUI1" s="2"/>
      <c r="JUJ1" s="2"/>
      <c r="JUK1" s="2"/>
      <c r="JUL1" s="2"/>
      <c r="JUM1" s="2"/>
      <c r="JUN1" s="2"/>
      <c r="JUO1" s="2"/>
      <c r="JUP1" s="2"/>
      <c r="JUQ1" s="2"/>
      <c r="JUR1" s="2"/>
      <c r="JUS1" s="2"/>
      <c r="JUT1" s="2"/>
      <c r="JUU1" s="2"/>
      <c r="JUV1" s="2"/>
      <c r="JUW1" s="2"/>
      <c r="JUX1" s="2"/>
      <c r="JUY1" s="2"/>
      <c r="JUZ1" s="2"/>
      <c r="JVA1" s="2"/>
      <c r="JVB1" s="2"/>
      <c r="JVC1" s="2"/>
      <c r="JVD1" s="2"/>
      <c r="JVE1" s="2"/>
      <c r="JVF1" s="2"/>
      <c r="JVG1" s="2"/>
      <c r="JVH1" s="2"/>
      <c r="JVI1" s="2"/>
      <c r="JVJ1" s="2"/>
      <c r="JVK1" s="2"/>
      <c r="JVL1" s="2"/>
      <c r="JVM1" s="2"/>
      <c r="JVN1" s="2"/>
      <c r="JVO1" s="2"/>
      <c r="JVP1" s="2"/>
      <c r="JVQ1" s="2"/>
      <c r="JVR1" s="2"/>
      <c r="JVS1" s="2"/>
      <c r="JVT1" s="2"/>
      <c r="JVU1" s="2"/>
      <c r="JVV1" s="2"/>
      <c r="JVW1" s="2"/>
      <c r="JVX1" s="2"/>
      <c r="JVY1" s="2"/>
      <c r="JVZ1" s="2"/>
      <c r="JWA1" s="2"/>
      <c r="JWB1" s="2"/>
      <c r="JWC1" s="2"/>
      <c r="JWD1" s="2"/>
      <c r="JWE1" s="2"/>
      <c r="JWF1" s="2"/>
      <c r="JWG1" s="2"/>
      <c r="JWH1" s="2"/>
      <c r="JWI1" s="2"/>
      <c r="JWJ1" s="2"/>
      <c r="JWK1" s="2"/>
      <c r="JWL1" s="2"/>
      <c r="JWM1" s="2"/>
      <c r="JWN1" s="2"/>
      <c r="JWO1" s="2"/>
      <c r="JWP1" s="2"/>
      <c r="JWQ1" s="2"/>
      <c r="JWR1" s="2"/>
      <c r="JWS1" s="2"/>
      <c r="JWT1" s="2"/>
      <c r="JWU1" s="2"/>
      <c r="JWV1" s="2"/>
      <c r="JWW1" s="2"/>
      <c r="JWX1" s="2"/>
      <c r="JWY1" s="2"/>
      <c r="JWZ1" s="2"/>
      <c r="JXA1" s="2"/>
      <c r="JXB1" s="2"/>
      <c r="JXC1" s="2"/>
      <c r="JXD1" s="2"/>
      <c r="JXE1" s="2"/>
      <c r="JXF1" s="2"/>
      <c r="JXG1" s="2"/>
      <c r="JXH1" s="2"/>
      <c r="JXI1" s="2"/>
      <c r="JXJ1" s="2"/>
      <c r="JXK1" s="2"/>
      <c r="JXL1" s="2"/>
      <c r="JXM1" s="2"/>
      <c r="JXN1" s="2"/>
      <c r="JXO1" s="2"/>
      <c r="JXP1" s="2"/>
      <c r="JXQ1" s="2"/>
      <c r="JXR1" s="2"/>
      <c r="JXS1" s="2"/>
      <c r="JXT1" s="2"/>
      <c r="JXU1" s="2"/>
      <c r="JXV1" s="2"/>
      <c r="JXW1" s="2"/>
      <c r="JXX1" s="2"/>
      <c r="JXY1" s="2"/>
      <c r="JXZ1" s="2"/>
      <c r="JYA1" s="2"/>
      <c r="JYB1" s="2"/>
      <c r="JYC1" s="2"/>
      <c r="JYD1" s="2"/>
      <c r="JYE1" s="2"/>
      <c r="JYF1" s="2"/>
      <c r="JYG1" s="2"/>
      <c r="JYH1" s="2"/>
      <c r="JYI1" s="2"/>
      <c r="JYJ1" s="2"/>
      <c r="JYK1" s="2"/>
      <c r="JYL1" s="2"/>
      <c r="JYM1" s="2"/>
      <c r="JYN1" s="2"/>
      <c r="JYO1" s="2"/>
      <c r="JYP1" s="2"/>
      <c r="JYQ1" s="2"/>
      <c r="JYR1" s="2"/>
      <c r="JYS1" s="2"/>
      <c r="JYT1" s="2"/>
      <c r="JYU1" s="2"/>
      <c r="JYV1" s="2"/>
      <c r="JYW1" s="2"/>
      <c r="JYX1" s="2"/>
      <c r="JYY1" s="2"/>
      <c r="JYZ1" s="2"/>
      <c r="JZA1" s="2"/>
      <c r="JZB1" s="2"/>
      <c r="JZC1" s="2"/>
      <c r="JZD1" s="2"/>
      <c r="JZE1" s="2"/>
      <c r="JZF1" s="2"/>
      <c r="JZG1" s="2"/>
      <c r="JZH1" s="2"/>
      <c r="JZI1" s="2"/>
      <c r="JZJ1" s="2"/>
      <c r="JZK1" s="2"/>
      <c r="JZL1" s="2"/>
      <c r="JZM1" s="2"/>
      <c r="JZN1" s="2"/>
      <c r="JZO1" s="2"/>
      <c r="JZP1" s="2"/>
      <c r="JZQ1" s="2"/>
      <c r="JZR1" s="2"/>
      <c r="JZS1" s="2"/>
      <c r="JZT1" s="2"/>
      <c r="JZU1" s="2"/>
      <c r="JZV1" s="2"/>
      <c r="JZW1" s="2"/>
      <c r="JZX1" s="2"/>
      <c r="JZY1" s="2"/>
      <c r="JZZ1" s="2"/>
      <c r="KAA1" s="2"/>
      <c r="KAB1" s="2"/>
      <c r="KAC1" s="2"/>
      <c r="KAD1" s="2"/>
      <c r="KAE1" s="2"/>
      <c r="KAF1" s="2"/>
      <c r="KAG1" s="2"/>
      <c r="KAH1" s="2"/>
      <c r="KAI1" s="2"/>
      <c r="KAJ1" s="2"/>
      <c r="KAK1" s="2"/>
      <c r="KAL1" s="2"/>
      <c r="KAM1" s="2"/>
      <c r="KAN1" s="2"/>
      <c r="KAO1" s="2"/>
      <c r="KAP1" s="2"/>
      <c r="KAQ1" s="2"/>
      <c r="KAR1" s="2"/>
      <c r="KAS1" s="2"/>
      <c r="KAT1" s="2"/>
      <c r="KAU1" s="2"/>
      <c r="KAV1" s="2"/>
      <c r="KAW1" s="2"/>
      <c r="KAX1" s="2"/>
      <c r="KAY1" s="2"/>
      <c r="KAZ1" s="2"/>
      <c r="KBA1" s="2"/>
      <c r="KBB1" s="2"/>
      <c r="KBC1" s="2"/>
      <c r="KBD1" s="2"/>
      <c r="KBE1" s="2"/>
      <c r="KBF1" s="2"/>
      <c r="KBG1" s="2"/>
      <c r="KBH1" s="2"/>
      <c r="KBI1" s="2"/>
      <c r="KBJ1" s="2"/>
      <c r="KBK1" s="2"/>
      <c r="KBL1" s="2"/>
      <c r="KBM1" s="2"/>
      <c r="KBN1" s="2"/>
      <c r="KBO1" s="2"/>
      <c r="KBP1" s="2"/>
      <c r="KBQ1" s="2"/>
      <c r="KBR1" s="2"/>
      <c r="KBS1" s="2"/>
      <c r="KBT1" s="2"/>
      <c r="KBU1" s="2"/>
      <c r="KBV1" s="2"/>
      <c r="KBW1" s="2"/>
      <c r="KBX1" s="2"/>
      <c r="KBY1" s="2"/>
      <c r="KBZ1" s="2"/>
      <c r="KCA1" s="2"/>
      <c r="KCB1" s="2"/>
      <c r="KCC1" s="2"/>
      <c r="KCD1" s="2"/>
      <c r="KCE1" s="2"/>
      <c r="KCF1" s="2"/>
      <c r="KCG1" s="2"/>
      <c r="KCH1" s="2"/>
      <c r="KCI1" s="2"/>
      <c r="KCJ1" s="2"/>
      <c r="KCK1" s="2"/>
      <c r="KCL1" s="2"/>
      <c r="KCM1" s="2"/>
      <c r="KCN1" s="2"/>
      <c r="KCO1" s="2"/>
      <c r="KCP1" s="2"/>
      <c r="KCQ1" s="2"/>
      <c r="KCR1" s="2"/>
      <c r="KCS1" s="2"/>
      <c r="KCT1" s="2"/>
      <c r="KCU1" s="2"/>
      <c r="KCV1" s="2"/>
      <c r="KCW1" s="2"/>
      <c r="KCX1" s="2"/>
      <c r="KCY1" s="2"/>
      <c r="KCZ1" s="2"/>
      <c r="KDA1" s="2"/>
      <c r="KDB1" s="2"/>
      <c r="KDC1" s="2"/>
      <c r="KDD1" s="2"/>
      <c r="KDE1" s="2"/>
      <c r="KDF1" s="2"/>
      <c r="KDG1" s="2"/>
      <c r="KDH1" s="2"/>
      <c r="KDI1" s="2"/>
      <c r="KDJ1" s="2"/>
      <c r="KDK1" s="2"/>
      <c r="KDL1" s="2"/>
      <c r="KDM1" s="2"/>
      <c r="KDN1" s="2"/>
      <c r="KDO1" s="2"/>
      <c r="KDP1" s="2"/>
      <c r="KDQ1" s="2"/>
      <c r="KDR1" s="2"/>
      <c r="KDS1" s="2"/>
      <c r="KDT1" s="2"/>
      <c r="KDU1" s="2"/>
      <c r="KDV1" s="2"/>
      <c r="KDW1" s="2"/>
      <c r="KDX1" s="2"/>
      <c r="KDY1" s="2"/>
      <c r="KDZ1" s="2"/>
      <c r="KEA1" s="2"/>
      <c r="KEB1" s="2"/>
      <c r="KEC1" s="2"/>
      <c r="KED1" s="2"/>
      <c r="KEE1" s="2"/>
      <c r="KEF1" s="2"/>
      <c r="KEG1" s="2"/>
      <c r="KEH1" s="2"/>
      <c r="KEI1" s="2"/>
      <c r="KEJ1" s="2"/>
      <c r="KEK1" s="2"/>
      <c r="KEL1" s="2"/>
      <c r="KEM1" s="2"/>
      <c r="KEN1" s="2"/>
      <c r="KEO1" s="2"/>
      <c r="KEP1" s="2"/>
      <c r="KEQ1" s="2"/>
      <c r="KER1" s="2"/>
      <c r="KES1" s="2"/>
      <c r="KET1" s="2"/>
      <c r="KEU1" s="2"/>
      <c r="KEV1" s="2"/>
      <c r="KEW1" s="2"/>
      <c r="KEX1" s="2"/>
      <c r="KEY1" s="2"/>
      <c r="KEZ1" s="2"/>
      <c r="KFA1" s="2"/>
      <c r="KFB1" s="2"/>
      <c r="KFC1" s="2"/>
      <c r="KFD1" s="2"/>
      <c r="KFE1" s="2"/>
      <c r="KFF1" s="2"/>
      <c r="KFG1" s="2"/>
      <c r="KFH1" s="2"/>
      <c r="KFI1" s="2"/>
      <c r="KFJ1" s="2"/>
      <c r="KFK1" s="2"/>
      <c r="KFL1" s="2"/>
      <c r="KFM1" s="2"/>
      <c r="KFN1" s="2"/>
      <c r="KFO1" s="2"/>
      <c r="KFP1" s="2"/>
      <c r="KFQ1" s="2"/>
      <c r="KFR1" s="2"/>
      <c r="KFS1" s="2"/>
      <c r="KFT1" s="2"/>
      <c r="KFU1" s="2"/>
      <c r="KFV1" s="2"/>
      <c r="KFW1" s="2"/>
      <c r="KFX1" s="2"/>
      <c r="KFY1" s="2"/>
      <c r="KFZ1" s="2"/>
      <c r="KGA1" s="2"/>
      <c r="KGB1" s="2"/>
      <c r="KGC1" s="2"/>
      <c r="KGD1" s="2"/>
      <c r="KGE1" s="2"/>
      <c r="KGF1" s="2"/>
      <c r="KGG1" s="2"/>
      <c r="KGH1" s="2"/>
      <c r="KGI1" s="2"/>
      <c r="KGJ1" s="2"/>
      <c r="KGK1" s="2"/>
      <c r="KGL1" s="2"/>
      <c r="KGM1" s="2"/>
      <c r="KGN1" s="2"/>
      <c r="KGO1" s="2"/>
      <c r="KGP1" s="2"/>
      <c r="KGQ1" s="2"/>
      <c r="KGR1" s="2"/>
      <c r="KGS1" s="2"/>
      <c r="KGT1" s="2"/>
      <c r="KGU1" s="2"/>
      <c r="KGV1" s="2"/>
      <c r="KGW1" s="2"/>
      <c r="KGX1" s="2"/>
      <c r="KGY1" s="2"/>
      <c r="KGZ1" s="2"/>
      <c r="KHA1" s="2"/>
      <c r="KHB1" s="2"/>
      <c r="KHC1" s="2"/>
      <c r="KHD1" s="2"/>
      <c r="KHE1" s="2"/>
      <c r="KHF1" s="2"/>
      <c r="KHG1" s="2"/>
      <c r="KHH1" s="2"/>
      <c r="KHI1" s="2"/>
      <c r="KHJ1" s="2"/>
      <c r="KHK1" s="2"/>
      <c r="KHL1" s="2"/>
      <c r="KHM1" s="2"/>
      <c r="KHN1" s="2"/>
      <c r="KHO1" s="2"/>
      <c r="KHP1" s="2"/>
      <c r="KHQ1" s="2"/>
      <c r="KHR1" s="2"/>
      <c r="KHS1" s="2"/>
      <c r="KHT1" s="2"/>
      <c r="KHU1" s="2"/>
      <c r="KHV1" s="2"/>
      <c r="KHW1" s="2"/>
      <c r="KHX1" s="2"/>
      <c r="KHY1" s="2"/>
      <c r="KHZ1" s="2"/>
      <c r="KIA1" s="2"/>
      <c r="KIB1" s="2"/>
      <c r="KIC1" s="2"/>
      <c r="KID1" s="2"/>
      <c r="KIE1" s="2"/>
      <c r="KIF1" s="2"/>
      <c r="KIG1" s="2"/>
      <c r="KIH1" s="2"/>
      <c r="KII1" s="2"/>
      <c r="KIJ1" s="2"/>
      <c r="KIK1" s="2"/>
      <c r="KIL1" s="2"/>
      <c r="KIM1" s="2"/>
      <c r="KIN1" s="2"/>
      <c r="KIO1" s="2"/>
      <c r="KIP1" s="2"/>
      <c r="KIQ1" s="2"/>
      <c r="KIR1" s="2"/>
      <c r="KIS1" s="2"/>
      <c r="KIT1" s="2"/>
      <c r="KIU1" s="2"/>
      <c r="KIV1" s="2"/>
      <c r="KIW1" s="2"/>
      <c r="KIX1" s="2"/>
      <c r="KIY1" s="2"/>
      <c r="KIZ1" s="2"/>
      <c r="KJA1" s="2"/>
      <c r="KJB1" s="2"/>
      <c r="KJC1" s="2"/>
      <c r="KJD1" s="2"/>
      <c r="KJE1" s="2"/>
      <c r="KJF1" s="2"/>
      <c r="KJG1" s="2"/>
      <c r="KJH1" s="2"/>
      <c r="KJI1" s="2"/>
      <c r="KJJ1" s="2"/>
      <c r="KJK1" s="2"/>
      <c r="KJL1" s="2"/>
      <c r="KJM1" s="2"/>
      <c r="KJN1" s="2"/>
      <c r="KJO1" s="2"/>
      <c r="KJP1" s="2"/>
      <c r="KJQ1" s="2"/>
      <c r="KJR1" s="2"/>
      <c r="KJS1" s="2"/>
      <c r="KJT1" s="2"/>
      <c r="KJU1" s="2"/>
      <c r="KJV1" s="2"/>
      <c r="KJW1" s="2"/>
      <c r="KJX1" s="2"/>
      <c r="KJY1" s="2"/>
      <c r="KJZ1" s="2"/>
      <c r="KKA1" s="2"/>
      <c r="KKB1" s="2"/>
      <c r="KKC1" s="2"/>
      <c r="KKD1" s="2"/>
      <c r="KKE1" s="2"/>
      <c r="KKF1" s="2"/>
      <c r="KKG1" s="2"/>
      <c r="KKH1" s="2"/>
      <c r="KKI1" s="2"/>
      <c r="KKJ1" s="2"/>
      <c r="KKK1" s="2"/>
      <c r="KKL1" s="2"/>
      <c r="KKM1" s="2"/>
      <c r="KKN1" s="2"/>
      <c r="KKO1" s="2"/>
      <c r="KKP1" s="2"/>
      <c r="KKQ1" s="2"/>
      <c r="KKR1" s="2"/>
      <c r="KKS1" s="2"/>
      <c r="KKT1" s="2"/>
      <c r="KKU1" s="2"/>
      <c r="KKV1" s="2"/>
      <c r="KKW1" s="2"/>
      <c r="KKX1" s="2"/>
      <c r="KKY1" s="2"/>
      <c r="KKZ1" s="2"/>
      <c r="KLA1" s="2"/>
      <c r="KLB1" s="2"/>
      <c r="KLC1" s="2"/>
      <c r="KLD1" s="2"/>
      <c r="KLE1" s="2"/>
      <c r="KLF1" s="2"/>
      <c r="KLG1" s="2"/>
      <c r="KLH1" s="2"/>
      <c r="KLI1" s="2"/>
      <c r="KLJ1" s="2"/>
      <c r="KLK1" s="2"/>
      <c r="KLL1" s="2"/>
      <c r="KLM1" s="2"/>
      <c r="KLN1" s="2"/>
      <c r="KLO1" s="2"/>
      <c r="KLP1" s="2"/>
      <c r="KLQ1" s="2"/>
      <c r="KLR1" s="2"/>
      <c r="KLS1" s="2"/>
      <c r="KLT1" s="2"/>
      <c r="KLU1" s="2"/>
      <c r="KLV1" s="2"/>
      <c r="KLW1" s="2"/>
      <c r="KLX1" s="2"/>
      <c r="KLY1" s="2"/>
      <c r="KLZ1" s="2"/>
      <c r="KMA1" s="2"/>
      <c r="KMB1" s="2"/>
      <c r="KMC1" s="2"/>
      <c r="KMD1" s="2"/>
      <c r="KME1" s="2"/>
      <c r="KMF1" s="2"/>
      <c r="KMG1" s="2"/>
      <c r="KMH1" s="2"/>
      <c r="KMI1" s="2"/>
      <c r="KMJ1" s="2"/>
      <c r="KMK1" s="2"/>
      <c r="KML1" s="2"/>
      <c r="KMM1" s="2"/>
      <c r="KMN1" s="2"/>
      <c r="KMO1" s="2"/>
      <c r="KMP1" s="2"/>
      <c r="KMQ1" s="2"/>
      <c r="KMR1" s="2"/>
      <c r="KMS1" s="2"/>
      <c r="KMT1" s="2"/>
      <c r="KMU1" s="2"/>
      <c r="KMV1" s="2"/>
      <c r="KMW1" s="2"/>
      <c r="KMX1" s="2"/>
      <c r="KMY1" s="2"/>
      <c r="KMZ1" s="2"/>
      <c r="KNA1" s="2"/>
      <c r="KNB1" s="2"/>
      <c r="KNC1" s="2"/>
      <c r="KND1" s="2"/>
      <c r="KNE1" s="2"/>
      <c r="KNF1" s="2"/>
      <c r="KNG1" s="2"/>
      <c r="KNH1" s="2"/>
      <c r="KNI1" s="2"/>
      <c r="KNJ1" s="2"/>
      <c r="KNK1" s="2"/>
      <c r="KNL1" s="2"/>
      <c r="KNM1" s="2"/>
      <c r="KNN1" s="2"/>
      <c r="KNO1" s="2"/>
      <c r="KNP1" s="2"/>
      <c r="KNQ1" s="2"/>
      <c r="KNR1" s="2"/>
      <c r="KNS1" s="2"/>
      <c r="KNT1" s="2"/>
      <c r="KNU1" s="2"/>
      <c r="KNV1" s="2"/>
      <c r="KNW1" s="2"/>
      <c r="KNX1" s="2"/>
      <c r="KNY1" s="2"/>
      <c r="KNZ1" s="2"/>
      <c r="KOA1" s="2"/>
      <c r="KOB1" s="2"/>
      <c r="KOC1" s="2"/>
      <c r="KOD1" s="2"/>
      <c r="KOE1" s="2"/>
      <c r="KOF1" s="2"/>
      <c r="KOG1" s="2"/>
      <c r="KOH1" s="2"/>
      <c r="KOI1" s="2"/>
      <c r="KOJ1" s="2"/>
      <c r="KOK1" s="2"/>
      <c r="KOL1" s="2"/>
      <c r="KOM1" s="2"/>
      <c r="KON1" s="2"/>
      <c r="KOO1" s="2"/>
      <c r="KOP1" s="2"/>
      <c r="KOQ1" s="2"/>
      <c r="KOR1" s="2"/>
      <c r="KOS1" s="2"/>
      <c r="KOT1" s="2"/>
      <c r="KOU1" s="2"/>
      <c r="KOV1" s="2"/>
      <c r="KOW1" s="2"/>
      <c r="KOX1" s="2"/>
      <c r="KOY1" s="2"/>
      <c r="KOZ1" s="2"/>
      <c r="KPA1" s="2"/>
      <c r="KPB1" s="2"/>
      <c r="KPC1" s="2"/>
      <c r="KPD1" s="2"/>
      <c r="KPE1" s="2"/>
      <c r="KPF1" s="2"/>
      <c r="KPG1" s="2"/>
      <c r="KPH1" s="2"/>
      <c r="KPI1" s="2"/>
      <c r="KPJ1" s="2"/>
      <c r="KPK1" s="2"/>
      <c r="KPL1" s="2"/>
      <c r="KPM1" s="2"/>
      <c r="KPN1" s="2"/>
      <c r="KPO1" s="2"/>
      <c r="KPP1" s="2"/>
      <c r="KPQ1" s="2"/>
      <c r="KPR1" s="2"/>
      <c r="KPS1" s="2"/>
      <c r="KPT1" s="2"/>
      <c r="KPU1" s="2"/>
      <c r="KPV1" s="2"/>
      <c r="KPW1" s="2"/>
      <c r="KPX1" s="2"/>
      <c r="KPY1" s="2"/>
      <c r="KPZ1" s="2"/>
      <c r="KQA1" s="2"/>
      <c r="KQB1" s="2"/>
      <c r="KQC1" s="2"/>
      <c r="KQD1" s="2"/>
      <c r="KQE1" s="2"/>
      <c r="KQF1" s="2"/>
      <c r="KQG1" s="2"/>
      <c r="KQH1" s="2"/>
      <c r="KQI1" s="2"/>
      <c r="KQJ1" s="2"/>
      <c r="KQK1" s="2"/>
      <c r="KQL1" s="2"/>
      <c r="KQM1" s="2"/>
      <c r="KQN1" s="2"/>
      <c r="KQO1" s="2"/>
      <c r="KQP1" s="2"/>
      <c r="KQQ1" s="2"/>
      <c r="KQR1" s="2"/>
      <c r="KQS1" s="2"/>
      <c r="KQT1" s="2"/>
      <c r="KQU1" s="2"/>
      <c r="KQV1" s="2"/>
      <c r="KQW1" s="2"/>
      <c r="KQX1" s="2"/>
      <c r="KQY1" s="2"/>
      <c r="KQZ1" s="2"/>
      <c r="KRA1" s="2"/>
      <c r="KRB1" s="2"/>
      <c r="KRC1" s="2"/>
      <c r="KRD1" s="2"/>
      <c r="KRE1" s="2"/>
      <c r="KRF1" s="2"/>
      <c r="KRG1" s="2"/>
      <c r="KRH1" s="2"/>
      <c r="KRI1" s="2"/>
      <c r="KRJ1" s="2"/>
      <c r="KRK1" s="2"/>
      <c r="KRL1" s="2"/>
      <c r="KRM1" s="2"/>
      <c r="KRN1" s="2"/>
      <c r="KRO1" s="2"/>
      <c r="KRP1" s="2"/>
      <c r="KRQ1" s="2"/>
      <c r="KRR1" s="2"/>
      <c r="KRS1" s="2"/>
      <c r="KRT1" s="2"/>
      <c r="KRU1" s="2"/>
      <c r="KRV1" s="2"/>
      <c r="KRW1" s="2"/>
      <c r="KRX1" s="2"/>
      <c r="KRY1" s="2"/>
      <c r="KRZ1" s="2"/>
      <c r="KSA1" s="2"/>
      <c r="KSB1" s="2"/>
      <c r="KSC1" s="2"/>
      <c r="KSD1" s="2"/>
      <c r="KSE1" s="2"/>
      <c r="KSF1" s="2"/>
      <c r="KSG1" s="2"/>
      <c r="KSH1" s="2"/>
      <c r="KSI1" s="2"/>
      <c r="KSJ1" s="2"/>
      <c r="KSK1" s="2"/>
      <c r="KSL1" s="2"/>
      <c r="KSM1" s="2"/>
      <c r="KSN1" s="2"/>
      <c r="KSO1" s="2"/>
      <c r="KSP1" s="2"/>
      <c r="KSQ1" s="2"/>
      <c r="KSR1" s="2"/>
      <c r="KSS1" s="2"/>
      <c r="KST1" s="2"/>
      <c r="KSU1" s="2"/>
      <c r="KSV1" s="2"/>
      <c r="KSW1" s="2"/>
      <c r="KSX1" s="2"/>
      <c r="KSY1" s="2"/>
      <c r="KSZ1" s="2"/>
      <c r="KTA1" s="2"/>
      <c r="KTB1" s="2"/>
      <c r="KTC1" s="2"/>
      <c r="KTD1" s="2"/>
      <c r="KTE1" s="2"/>
      <c r="KTF1" s="2"/>
      <c r="KTG1" s="2"/>
      <c r="KTH1" s="2"/>
      <c r="KTI1" s="2"/>
      <c r="KTJ1" s="2"/>
      <c r="KTK1" s="2"/>
      <c r="KTL1" s="2"/>
      <c r="KTM1" s="2"/>
      <c r="KTN1" s="2"/>
      <c r="KTO1" s="2"/>
      <c r="KTP1" s="2"/>
      <c r="KTQ1" s="2"/>
      <c r="KTR1" s="2"/>
      <c r="KTS1" s="2"/>
      <c r="KTT1" s="2"/>
      <c r="KTU1" s="2"/>
      <c r="KTV1" s="2"/>
      <c r="KTW1" s="2"/>
      <c r="KTX1" s="2"/>
      <c r="KTY1" s="2"/>
      <c r="KTZ1" s="2"/>
      <c r="KUA1" s="2"/>
      <c r="KUB1" s="2"/>
      <c r="KUC1" s="2"/>
      <c r="KUD1" s="2"/>
      <c r="KUE1" s="2"/>
      <c r="KUF1" s="2"/>
      <c r="KUG1" s="2"/>
      <c r="KUH1" s="2"/>
      <c r="KUI1" s="2"/>
      <c r="KUJ1" s="2"/>
      <c r="KUK1" s="2"/>
      <c r="KUL1" s="2"/>
      <c r="KUM1" s="2"/>
      <c r="KUN1" s="2"/>
      <c r="KUO1" s="2"/>
      <c r="KUP1" s="2"/>
      <c r="KUQ1" s="2"/>
      <c r="KUR1" s="2"/>
      <c r="KUS1" s="2"/>
      <c r="KUT1" s="2"/>
      <c r="KUU1" s="2"/>
      <c r="KUV1" s="2"/>
      <c r="KUW1" s="2"/>
      <c r="KUX1" s="2"/>
      <c r="KUY1" s="2"/>
      <c r="KUZ1" s="2"/>
      <c r="KVA1" s="2"/>
      <c r="KVB1" s="2"/>
      <c r="KVC1" s="2"/>
      <c r="KVD1" s="2"/>
      <c r="KVE1" s="2"/>
      <c r="KVF1" s="2"/>
      <c r="KVG1" s="2"/>
      <c r="KVH1" s="2"/>
      <c r="KVI1" s="2"/>
      <c r="KVJ1" s="2"/>
      <c r="KVK1" s="2"/>
      <c r="KVL1" s="2"/>
      <c r="KVM1" s="2"/>
      <c r="KVN1" s="2"/>
      <c r="KVO1" s="2"/>
      <c r="KVP1" s="2"/>
      <c r="KVQ1" s="2"/>
      <c r="KVR1" s="2"/>
      <c r="KVS1" s="2"/>
      <c r="KVT1" s="2"/>
      <c r="KVU1" s="2"/>
      <c r="KVV1" s="2"/>
      <c r="KVW1" s="2"/>
      <c r="KVX1" s="2"/>
      <c r="KVY1" s="2"/>
      <c r="KVZ1" s="2"/>
      <c r="KWA1" s="2"/>
      <c r="KWB1" s="2"/>
      <c r="KWC1" s="2"/>
      <c r="KWD1" s="2"/>
      <c r="KWE1" s="2"/>
      <c r="KWF1" s="2"/>
      <c r="KWG1" s="2"/>
      <c r="KWH1" s="2"/>
      <c r="KWI1" s="2"/>
      <c r="KWJ1" s="2"/>
      <c r="KWK1" s="2"/>
      <c r="KWL1" s="2"/>
      <c r="KWM1" s="2"/>
      <c r="KWN1" s="2"/>
      <c r="KWO1" s="2"/>
      <c r="KWP1" s="2"/>
      <c r="KWQ1" s="2"/>
      <c r="KWR1" s="2"/>
      <c r="KWS1" s="2"/>
      <c r="KWT1" s="2"/>
      <c r="KWU1" s="2"/>
      <c r="KWV1" s="2"/>
      <c r="KWW1" s="2"/>
      <c r="KWX1" s="2"/>
      <c r="KWY1" s="2"/>
      <c r="KWZ1" s="2"/>
      <c r="KXA1" s="2"/>
      <c r="KXB1" s="2"/>
      <c r="KXC1" s="2"/>
      <c r="KXD1" s="2"/>
      <c r="KXE1" s="2"/>
      <c r="KXF1" s="2"/>
      <c r="KXG1" s="2"/>
      <c r="KXH1" s="2"/>
      <c r="KXI1" s="2"/>
      <c r="KXJ1" s="2"/>
      <c r="KXK1" s="2"/>
      <c r="KXL1" s="2"/>
      <c r="KXM1" s="2"/>
      <c r="KXN1" s="2"/>
      <c r="KXO1" s="2"/>
      <c r="KXP1" s="2"/>
      <c r="KXQ1" s="2"/>
      <c r="KXR1" s="2"/>
      <c r="KXS1" s="2"/>
      <c r="KXT1" s="2"/>
      <c r="KXU1" s="2"/>
      <c r="KXV1" s="2"/>
      <c r="KXW1" s="2"/>
      <c r="KXX1" s="2"/>
      <c r="KXY1" s="2"/>
      <c r="KXZ1" s="2"/>
      <c r="KYA1" s="2"/>
      <c r="KYB1" s="2"/>
      <c r="KYC1" s="2"/>
      <c r="KYD1" s="2"/>
      <c r="KYE1" s="2"/>
      <c r="KYF1" s="2"/>
      <c r="KYG1" s="2"/>
      <c r="KYH1" s="2"/>
      <c r="KYI1" s="2"/>
      <c r="KYJ1" s="2"/>
      <c r="KYK1" s="2"/>
      <c r="KYL1" s="2"/>
      <c r="KYM1" s="2"/>
      <c r="KYN1" s="2"/>
      <c r="KYO1" s="2"/>
      <c r="KYP1" s="2"/>
      <c r="KYQ1" s="2"/>
      <c r="KYR1" s="2"/>
      <c r="KYS1" s="2"/>
      <c r="KYT1" s="2"/>
      <c r="KYU1" s="2"/>
      <c r="KYV1" s="2"/>
      <c r="KYW1" s="2"/>
      <c r="KYX1" s="2"/>
      <c r="KYY1" s="2"/>
      <c r="KYZ1" s="2"/>
      <c r="KZA1" s="2"/>
      <c r="KZB1" s="2"/>
      <c r="KZC1" s="2"/>
      <c r="KZD1" s="2"/>
      <c r="KZE1" s="2"/>
      <c r="KZF1" s="2"/>
      <c r="KZG1" s="2"/>
      <c r="KZH1" s="2"/>
      <c r="KZI1" s="2"/>
      <c r="KZJ1" s="2"/>
      <c r="KZK1" s="2"/>
      <c r="KZL1" s="2"/>
      <c r="KZM1" s="2"/>
      <c r="KZN1" s="2"/>
      <c r="KZO1" s="2"/>
      <c r="KZP1" s="2"/>
      <c r="KZQ1" s="2"/>
      <c r="KZR1" s="2"/>
      <c r="KZS1" s="2"/>
      <c r="KZT1" s="2"/>
      <c r="KZU1" s="2"/>
      <c r="KZV1" s="2"/>
      <c r="KZW1" s="2"/>
      <c r="KZX1" s="2"/>
      <c r="KZY1" s="2"/>
      <c r="KZZ1" s="2"/>
      <c r="LAA1" s="2"/>
      <c r="LAB1" s="2"/>
      <c r="LAC1" s="2"/>
      <c r="LAD1" s="2"/>
      <c r="LAE1" s="2"/>
      <c r="LAF1" s="2"/>
      <c r="LAG1" s="2"/>
      <c r="LAH1" s="2"/>
      <c r="LAI1" s="2"/>
      <c r="LAJ1" s="2"/>
      <c r="LAK1" s="2"/>
      <c r="LAL1" s="2"/>
      <c r="LAM1" s="2"/>
      <c r="LAN1" s="2"/>
      <c r="LAO1" s="2"/>
      <c r="LAP1" s="2"/>
      <c r="LAQ1" s="2"/>
      <c r="LAR1" s="2"/>
      <c r="LAS1" s="2"/>
      <c r="LAT1" s="2"/>
      <c r="LAU1" s="2"/>
      <c r="LAV1" s="2"/>
      <c r="LAW1" s="2"/>
      <c r="LAX1" s="2"/>
      <c r="LAY1" s="2"/>
      <c r="LAZ1" s="2"/>
      <c r="LBA1" s="2"/>
      <c r="LBB1" s="2"/>
      <c r="LBC1" s="2"/>
      <c r="LBD1" s="2"/>
      <c r="LBE1" s="2"/>
      <c r="LBF1" s="2"/>
      <c r="LBG1" s="2"/>
      <c r="LBH1" s="2"/>
      <c r="LBI1" s="2"/>
      <c r="LBJ1" s="2"/>
      <c r="LBK1" s="2"/>
      <c r="LBL1" s="2"/>
      <c r="LBM1" s="2"/>
      <c r="LBN1" s="2"/>
      <c r="LBO1" s="2"/>
      <c r="LBP1" s="2"/>
      <c r="LBQ1" s="2"/>
      <c r="LBR1" s="2"/>
      <c r="LBS1" s="2"/>
      <c r="LBT1" s="2"/>
      <c r="LBU1" s="2"/>
      <c r="LBV1" s="2"/>
      <c r="LBW1" s="2"/>
      <c r="LBX1" s="2"/>
      <c r="LBY1" s="2"/>
      <c r="LBZ1" s="2"/>
      <c r="LCA1" s="2"/>
      <c r="LCB1" s="2"/>
      <c r="LCC1" s="2"/>
      <c r="LCD1" s="2"/>
      <c r="LCE1" s="2"/>
      <c r="LCF1" s="2"/>
      <c r="LCG1" s="2"/>
      <c r="LCH1" s="2"/>
      <c r="LCI1" s="2"/>
      <c r="LCJ1" s="2"/>
      <c r="LCK1" s="2"/>
      <c r="LCL1" s="2"/>
      <c r="LCM1" s="2"/>
      <c r="LCN1" s="2"/>
      <c r="LCO1" s="2"/>
      <c r="LCP1" s="2"/>
      <c r="LCQ1" s="2"/>
      <c r="LCR1" s="2"/>
      <c r="LCS1" s="2"/>
      <c r="LCT1" s="2"/>
      <c r="LCU1" s="2"/>
      <c r="LCV1" s="2"/>
      <c r="LCW1" s="2"/>
      <c r="LCX1" s="2"/>
      <c r="LCY1" s="2"/>
      <c r="LCZ1" s="2"/>
      <c r="LDA1" s="2"/>
      <c r="LDB1" s="2"/>
      <c r="LDC1" s="2"/>
      <c r="LDD1" s="2"/>
      <c r="LDE1" s="2"/>
      <c r="LDF1" s="2"/>
      <c r="LDG1" s="2"/>
      <c r="LDH1" s="2"/>
      <c r="LDI1" s="2"/>
      <c r="LDJ1" s="2"/>
      <c r="LDK1" s="2"/>
      <c r="LDL1" s="2"/>
      <c r="LDM1" s="2"/>
      <c r="LDN1" s="2"/>
      <c r="LDO1" s="2"/>
      <c r="LDP1" s="2"/>
      <c r="LDQ1" s="2"/>
      <c r="LDR1" s="2"/>
      <c r="LDS1" s="2"/>
      <c r="LDT1" s="2"/>
      <c r="LDU1" s="2"/>
      <c r="LDV1" s="2"/>
      <c r="LDW1" s="2"/>
      <c r="LDX1" s="2"/>
      <c r="LDY1" s="2"/>
      <c r="LDZ1" s="2"/>
      <c r="LEA1" s="2"/>
      <c r="LEB1" s="2"/>
      <c r="LEC1" s="2"/>
      <c r="LED1" s="2"/>
      <c r="LEE1" s="2"/>
      <c r="LEF1" s="2"/>
      <c r="LEG1" s="2"/>
      <c r="LEH1" s="2"/>
      <c r="LEI1" s="2"/>
      <c r="LEJ1" s="2"/>
      <c r="LEK1" s="2"/>
      <c r="LEL1" s="2"/>
      <c r="LEM1" s="2"/>
      <c r="LEN1" s="2"/>
      <c r="LEO1" s="2"/>
      <c r="LEP1" s="2"/>
      <c r="LEQ1" s="2"/>
      <c r="LER1" s="2"/>
      <c r="LES1" s="2"/>
      <c r="LET1" s="2"/>
      <c r="LEU1" s="2"/>
      <c r="LEV1" s="2"/>
      <c r="LEW1" s="2"/>
      <c r="LEX1" s="2"/>
      <c r="LEY1" s="2"/>
      <c r="LEZ1" s="2"/>
      <c r="LFA1" s="2"/>
      <c r="LFB1" s="2"/>
      <c r="LFC1" s="2"/>
      <c r="LFD1" s="2"/>
      <c r="LFE1" s="2"/>
      <c r="LFF1" s="2"/>
      <c r="LFG1" s="2"/>
      <c r="LFH1" s="2"/>
      <c r="LFI1" s="2"/>
      <c r="LFJ1" s="2"/>
      <c r="LFK1" s="2"/>
      <c r="LFL1" s="2"/>
      <c r="LFM1" s="2"/>
      <c r="LFN1" s="2"/>
      <c r="LFO1" s="2"/>
      <c r="LFP1" s="2"/>
      <c r="LFQ1" s="2"/>
      <c r="LFR1" s="2"/>
      <c r="LFS1" s="2"/>
      <c r="LFT1" s="2"/>
      <c r="LFU1" s="2"/>
      <c r="LFV1" s="2"/>
      <c r="LFW1" s="2"/>
      <c r="LFX1" s="2"/>
      <c r="LFY1" s="2"/>
      <c r="LFZ1" s="2"/>
      <c r="LGA1" s="2"/>
      <c r="LGB1" s="2"/>
      <c r="LGC1" s="2"/>
      <c r="LGD1" s="2"/>
      <c r="LGE1" s="2"/>
      <c r="LGF1" s="2"/>
      <c r="LGG1" s="2"/>
      <c r="LGH1" s="2"/>
      <c r="LGI1" s="2"/>
      <c r="LGJ1" s="2"/>
      <c r="LGK1" s="2"/>
      <c r="LGL1" s="2"/>
      <c r="LGM1" s="2"/>
      <c r="LGN1" s="2"/>
      <c r="LGO1" s="2"/>
      <c r="LGP1" s="2"/>
      <c r="LGQ1" s="2"/>
      <c r="LGR1" s="2"/>
      <c r="LGS1" s="2"/>
      <c r="LGT1" s="2"/>
      <c r="LGU1" s="2"/>
      <c r="LGV1" s="2"/>
      <c r="LGW1" s="2"/>
      <c r="LGX1" s="2"/>
      <c r="LGY1" s="2"/>
      <c r="LGZ1" s="2"/>
      <c r="LHA1" s="2"/>
      <c r="LHB1" s="2"/>
      <c r="LHC1" s="2"/>
      <c r="LHD1" s="2"/>
      <c r="LHE1" s="2"/>
      <c r="LHF1" s="2"/>
      <c r="LHG1" s="2"/>
      <c r="LHH1" s="2"/>
      <c r="LHI1" s="2"/>
      <c r="LHJ1" s="2"/>
      <c r="LHK1" s="2"/>
      <c r="LHL1" s="2"/>
      <c r="LHM1" s="2"/>
      <c r="LHN1" s="2"/>
      <c r="LHO1" s="2"/>
      <c r="LHP1" s="2"/>
      <c r="LHQ1" s="2"/>
      <c r="LHR1" s="2"/>
      <c r="LHS1" s="2"/>
      <c r="LHT1" s="2"/>
      <c r="LHU1" s="2"/>
      <c r="LHV1" s="2"/>
      <c r="LHW1" s="2"/>
      <c r="LHX1" s="2"/>
      <c r="LHY1" s="2"/>
      <c r="LHZ1" s="2"/>
      <c r="LIA1" s="2"/>
      <c r="LIB1" s="2"/>
      <c r="LIC1" s="2"/>
      <c r="LID1" s="2"/>
      <c r="LIE1" s="2"/>
      <c r="LIF1" s="2"/>
      <c r="LIG1" s="2"/>
      <c r="LIH1" s="2"/>
      <c r="LII1" s="2"/>
      <c r="LIJ1" s="2"/>
      <c r="LIK1" s="2"/>
      <c r="LIL1" s="2"/>
      <c r="LIM1" s="2"/>
      <c r="LIN1" s="2"/>
      <c r="LIO1" s="2"/>
      <c r="LIP1" s="2"/>
      <c r="LIQ1" s="2"/>
      <c r="LIR1" s="2"/>
      <c r="LIS1" s="2"/>
      <c r="LIT1" s="2"/>
      <c r="LIU1" s="2"/>
      <c r="LIV1" s="2"/>
      <c r="LIW1" s="2"/>
      <c r="LIX1" s="2"/>
      <c r="LIY1" s="2"/>
      <c r="LIZ1" s="2"/>
      <c r="LJA1" s="2"/>
      <c r="LJB1" s="2"/>
      <c r="LJC1" s="2"/>
      <c r="LJD1" s="2"/>
      <c r="LJE1" s="2"/>
      <c r="LJF1" s="2"/>
      <c r="LJG1" s="2"/>
      <c r="LJH1" s="2"/>
      <c r="LJI1" s="2"/>
      <c r="LJJ1" s="2"/>
      <c r="LJK1" s="2"/>
      <c r="LJL1" s="2"/>
      <c r="LJM1" s="2"/>
      <c r="LJN1" s="2"/>
      <c r="LJO1" s="2"/>
      <c r="LJP1" s="2"/>
      <c r="LJQ1" s="2"/>
      <c r="LJR1" s="2"/>
      <c r="LJS1" s="2"/>
      <c r="LJT1" s="2"/>
      <c r="LJU1" s="2"/>
      <c r="LJV1" s="2"/>
      <c r="LJW1" s="2"/>
      <c r="LJX1" s="2"/>
      <c r="LJY1" s="2"/>
      <c r="LJZ1" s="2"/>
      <c r="LKA1" s="2"/>
      <c r="LKB1" s="2"/>
      <c r="LKC1" s="2"/>
      <c r="LKD1" s="2"/>
      <c r="LKE1" s="2"/>
      <c r="LKF1" s="2"/>
      <c r="LKG1" s="2"/>
      <c r="LKH1" s="2"/>
      <c r="LKI1" s="2"/>
      <c r="LKJ1" s="2"/>
      <c r="LKK1" s="2"/>
      <c r="LKL1" s="2"/>
      <c r="LKM1" s="2"/>
      <c r="LKN1" s="2"/>
      <c r="LKO1" s="2"/>
      <c r="LKP1" s="2"/>
      <c r="LKQ1" s="2"/>
      <c r="LKR1" s="2"/>
      <c r="LKS1" s="2"/>
      <c r="LKT1" s="2"/>
      <c r="LKU1" s="2"/>
      <c r="LKV1" s="2"/>
      <c r="LKW1" s="2"/>
      <c r="LKX1" s="2"/>
      <c r="LKY1" s="2"/>
      <c r="LKZ1" s="2"/>
      <c r="LLA1" s="2"/>
      <c r="LLB1" s="2"/>
      <c r="LLC1" s="2"/>
      <c r="LLD1" s="2"/>
      <c r="LLE1" s="2"/>
      <c r="LLF1" s="2"/>
      <c r="LLG1" s="2"/>
      <c r="LLH1" s="2"/>
      <c r="LLI1" s="2"/>
      <c r="LLJ1" s="2"/>
      <c r="LLK1" s="2"/>
      <c r="LLL1" s="2"/>
      <c r="LLM1" s="2"/>
      <c r="LLN1" s="2"/>
      <c r="LLO1" s="2"/>
      <c r="LLP1" s="2"/>
      <c r="LLQ1" s="2"/>
      <c r="LLR1" s="2"/>
      <c r="LLS1" s="2"/>
      <c r="LLT1" s="2"/>
      <c r="LLU1" s="2"/>
      <c r="LLV1" s="2"/>
      <c r="LLW1" s="2"/>
      <c r="LLX1" s="2"/>
      <c r="LLY1" s="2"/>
      <c r="LLZ1" s="2"/>
      <c r="LMA1" s="2"/>
      <c r="LMB1" s="2"/>
      <c r="LMC1" s="2"/>
      <c r="LMD1" s="2"/>
      <c r="LME1" s="2"/>
      <c r="LMF1" s="2"/>
      <c r="LMG1" s="2"/>
      <c r="LMH1" s="2"/>
      <c r="LMI1" s="2"/>
      <c r="LMJ1" s="2"/>
      <c r="LMK1" s="2"/>
      <c r="LML1" s="2"/>
      <c r="LMM1" s="2"/>
      <c r="LMN1" s="2"/>
      <c r="LMO1" s="2"/>
      <c r="LMP1" s="2"/>
      <c r="LMQ1" s="2"/>
      <c r="LMR1" s="2"/>
      <c r="LMS1" s="2"/>
      <c r="LMT1" s="2"/>
      <c r="LMU1" s="2"/>
      <c r="LMV1" s="2"/>
      <c r="LMW1" s="2"/>
      <c r="LMX1" s="2"/>
      <c r="LMY1" s="2"/>
      <c r="LMZ1" s="2"/>
      <c r="LNA1" s="2"/>
      <c r="LNB1" s="2"/>
      <c r="LNC1" s="2"/>
      <c r="LND1" s="2"/>
      <c r="LNE1" s="2"/>
      <c r="LNF1" s="2"/>
      <c r="LNG1" s="2"/>
      <c r="LNH1" s="2"/>
      <c r="LNI1" s="2"/>
      <c r="LNJ1" s="2"/>
      <c r="LNK1" s="2"/>
      <c r="LNL1" s="2"/>
      <c r="LNM1" s="2"/>
      <c r="LNN1" s="2"/>
      <c r="LNO1" s="2"/>
      <c r="LNP1" s="2"/>
      <c r="LNQ1" s="2"/>
      <c r="LNR1" s="2"/>
      <c r="LNS1" s="2"/>
      <c r="LNT1" s="2"/>
      <c r="LNU1" s="2"/>
      <c r="LNV1" s="2"/>
      <c r="LNW1" s="2"/>
      <c r="LNX1" s="2"/>
      <c r="LNY1" s="2"/>
      <c r="LNZ1" s="2"/>
      <c r="LOA1" s="2"/>
      <c r="LOB1" s="2"/>
      <c r="LOC1" s="2"/>
      <c r="LOD1" s="2"/>
      <c r="LOE1" s="2"/>
      <c r="LOF1" s="2"/>
      <c r="LOG1" s="2"/>
      <c r="LOH1" s="2"/>
      <c r="LOI1" s="2"/>
      <c r="LOJ1" s="2"/>
      <c r="LOK1" s="2"/>
      <c r="LOL1" s="2"/>
      <c r="LOM1" s="2"/>
      <c r="LON1" s="2"/>
      <c r="LOO1" s="2"/>
      <c r="LOP1" s="2"/>
      <c r="LOQ1" s="2"/>
      <c r="LOR1" s="2"/>
      <c r="LOS1" s="2"/>
      <c r="LOT1" s="2"/>
      <c r="LOU1" s="2"/>
      <c r="LOV1" s="2"/>
      <c r="LOW1" s="2"/>
      <c r="LOX1" s="2"/>
      <c r="LOY1" s="2"/>
      <c r="LOZ1" s="2"/>
      <c r="LPA1" s="2"/>
      <c r="LPB1" s="2"/>
      <c r="LPC1" s="2"/>
      <c r="LPD1" s="2"/>
      <c r="LPE1" s="2"/>
      <c r="LPF1" s="2"/>
      <c r="LPG1" s="2"/>
      <c r="LPH1" s="2"/>
      <c r="LPI1" s="2"/>
      <c r="LPJ1" s="2"/>
      <c r="LPK1" s="2"/>
      <c r="LPL1" s="2"/>
      <c r="LPM1" s="2"/>
      <c r="LPN1" s="2"/>
      <c r="LPO1" s="2"/>
      <c r="LPP1" s="2"/>
      <c r="LPQ1" s="2"/>
      <c r="LPR1" s="2"/>
      <c r="LPS1" s="2"/>
      <c r="LPT1" s="2"/>
      <c r="LPU1" s="2"/>
      <c r="LPV1" s="2"/>
      <c r="LPW1" s="2"/>
      <c r="LPX1" s="2"/>
      <c r="LPY1" s="2"/>
      <c r="LPZ1" s="2"/>
      <c r="LQA1" s="2"/>
      <c r="LQB1" s="2"/>
      <c r="LQC1" s="2"/>
      <c r="LQD1" s="2"/>
      <c r="LQE1" s="2"/>
      <c r="LQF1" s="2"/>
      <c r="LQG1" s="2"/>
      <c r="LQH1" s="2"/>
      <c r="LQI1" s="2"/>
      <c r="LQJ1" s="2"/>
      <c r="LQK1" s="2"/>
      <c r="LQL1" s="2"/>
      <c r="LQM1" s="2"/>
      <c r="LQN1" s="2"/>
      <c r="LQO1" s="2"/>
      <c r="LQP1" s="2"/>
      <c r="LQQ1" s="2"/>
      <c r="LQR1" s="2"/>
      <c r="LQS1" s="2"/>
      <c r="LQT1" s="2"/>
      <c r="LQU1" s="2"/>
      <c r="LQV1" s="2"/>
      <c r="LQW1" s="2"/>
      <c r="LQX1" s="2"/>
      <c r="LQY1" s="2"/>
      <c r="LQZ1" s="2"/>
      <c r="LRA1" s="2"/>
      <c r="LRB1" s="2"/>
      <c r="LRC1" s="2"/>
      <c r="LRD1" s="2"/>
      <c r="LRE1" s="2"/>
      <c r="LRF1" s="2"/>
      <c r="LRG1" s="2"/>
      <c r="LRH1" s="2"/>
      <c r="LRI1" s="2"/>
      <c r="LRJ1" s="2"/>
      <c r="LRK1" s="2"/>
      <c r="LRL1" s="2"/>
      <c r="LRM1" s="2"/>
      <c r="LRN1" s="2"/>
      <c r="LRO1" s="2"/>
      <c r="LRP1" s="2"/>
      <c r="LRQ1" s="2"/>
      <c r="LRR1" s="2"/>
      <c r="LRS1" s="2"/>
      <c r="LRT1" s="2"/>
      <c r="LRU1" s="2"/>
      <c r="LRV1" s="2"/>
      <c r="LRW1" s="2"/>
      <c r="LRX1" s="2"/>
      <c r="LRY1" s="2"/>
      <c r="LRZ1" s="2"/>
      <c r="LSA1" s="2"/>
      <c r="LSB1" s="2"/>
      <c r="LSC1" s="2"/>
      <c r="LSD1" s="2"/>
      <c r="LSE1" s="2"/>
      <c r="LSF1" s="2"/>
      <c r="LSG1" s="2"/>
      <c r="LSH1" s="2"/>
      <c r="LSI1" s="2"/>
      <c r="LSJ1" s="2"/>
      <c r="LSK1" s="2"/>
      <c r="LSL1" s="2"/>
      <c r="LSM1" s="2"/>
      <c r="LSN1" s="2"/>
      <c r="LSO1" s="2"/>
      <c r="LSP1" s="2"/>
      <c r="LSQ1" s="2"/>
      <c r="LSR1" s="2"/>
      <c r="LSS1" s="2"/>
      <c r="LST1" s="2"/>
      <c r="LSU1" s="2"/>
      <c r="LSV1" s="2"/>
      <c r="LSW1" s="2"/>
      <c r="LSX1" s="2"/>
      <c r="LSY1" s="2"/>
      <c r="LSZ1" s="2"/>
      <c r="LTA1" s="2"/>
      <c r="LTB1" s="2"/>
      <c r="LTC1" s="2"/>
      <c r="LTD1" s="2"/>
      <c r="LTE1" s="2"/>
      <c r="LTF1" s="2"/>
      <c r="LTG1" s="2"/>
      <c r="LTH1" s="2"/>
      <c r="LTI1" s="2"/>
      <c r="LTJ1" s="2"/>
      <c r="LTK1" s="2"/>
      <c r="LTL1" s="2"/>
      <c r="LTM1" s="2"/>
      <c r="LTN1" s="2"/>
      <c r="LTO1" s="2"/>
      <c r="LTP1" s="2"/>
      <c r="LTQ1" s="2"/>
      <c r="LTR1" s="2"/>
      <c r="LTS1" s="2"/>
      <c r="LTT1" s="2"/>
      <c r="LTU1" s="2"/>
      <c r="LTV1" s="2"/>
      <c r="LTW1" s="2"/>
      <c r="LTX1" s="2"/>
      <c r="LTY1" s="2"/>
      <c r="LTZ1" s="2"/>
      <c r="LUA1" s="2"/>
      <c r="LUB1" s="2"/>
      <c r="LUC1" s="2"/>
      <c r="LUD1" s="2"/>
      <c r="LUE1" s="2"/>
      <c r="LUF1" s="2"/>
      <c r="LUG1" s="2"/>
      <c r="LUH1" s="2"/>
      <c r="LUI1" s="2"/>
      <c r="LUJ1" s="2"/>
      <c r="LUK1" s="2"/>
      <c r="LUL1" s="2"/>
      <c r="LUM1" s="2"/>
      <c r="LUN1" s="2"/>
      <c r="LUO1" s="2"/>
      <c r="LUP1" s="2"/>
      <c r="LUQ1" s="2"/>
      <c r="LUR1" s="2"/>
      <c r="LUS1" s="2"/>
      <c r="LUT1" s="2"/>
      <c r="LUU1" s="2"/>
      <c r="LUV1" s="2"/>
      <c r="LUW1" s="2"/>
      <c r="LUX1" s="2"/>
      <c r="LUY1" s="2"/>
      <c r="LUZ1" s="2"/>
      <c r="LVA1" s="2"/>
      <c r="LVB1" s="2"/>
      <c r="LVC1" s="2"/>
      <c r="LVD1" s="2"/>
      <c r="LVE1" s="2"/>
      <c r="LVF1" s="2"/>
      <c r="LVG1" s="2"/>
      <c r="LVH1" s="2"/>
      <c r="LVI1" s="2"/>
      <c r="LVJ1" s="2"/>
      <c r="LVK1" s="2"/>
      <c r="LVL1" s="2"/>
      <c r="LVM1" s="2"/>
      <c r="LVN1" s="2"/>
      <c r="LVO1" s="2"/>
      <c r="LVP1" s="2"/>
      <c r="LVQ1" s="2"/>
      <c r="LVR1" s="2"/>
      <c r="LVS1" s="2"/>
      <c r="LVT1" s="2"/>
      <c r="LVU1" s="2"/>
      <c r="LVV1" s="2"/>
      <c r="LVW1" s="2"/>
      <c r="LVX1" s="2"/>
      <c r="LVY1" s="2"/>
      <c r="LVZ1" s="2"/>
      <c r="LWA1" s="2"/>
      <c r="LWB1" s="2"/>
      <c r="LWC1" s="2"/>
      <c r="LWD1" s="2"/>
      <c r="LWE1" s="2"/>
      <c r="LWF1" s="2"/>
      <c r="LWG1" s="2"/>
      <c r="LWH1" s="2"/>
      <c r="LWI1" s="2"/>
      <c r="LWJ1" s="2"/>
      <c r="LWK1" s="2"/>
      <c r="LWL1" s="2"/>
      <c r="LWM1" s="2"/>
      <c r="LWN1" s="2"/>
      <c r="LWO1" s="2"/>
      <c r="LWP1" s="2"/>
      <c r="LWQ1" s="2"/>
      <c r="LWR1" s="2"/>
      <c r="LWS1" s="2"/>
      <c r="LWT1" s="2"/>
      <c r="LWU1" s="2"/>
      <c r="LWV1" s="2"/>
      <c r="LWW1" s="2"/>
      <c r="LWX1" s="2"/>
      <c r="LWY1" s="2"/>
      <c r="LWZ1" s="2"/>
      <c r="LXA1" s="2"/>
      <c r="LXB1" s="2"/>
      <c r="LXC1" s="2"/>
      <c r="LXD1" s="2"/>
      <c r="LXE1" s="2"/>
      <c r="LXF1" s="2"/>
      <c r="LXG1" s="2"/>
      <c r="LXH1" s="2"/>
      <c r="LXI1" s="2"/>
      <c r="LXJ1" s="2"/>
      <c r="LXK1" s="2"/>
      <c r="LXL1" s="2"/>
      <c r="LXM1" s="2"/>
      <c r="LXN1" s="2"/>
      <c r="LXO1" s="2"/>
      <c r="LXP1" s="2"/>
      <c r="LXQ1" s="2"/>
      <c r="LXR1" s="2"/>
      <c r="LXS1" s="2"/>
      <c r="LXT1" s="2"/>
      <c r="LXU1" s="2"/>
      <c r="LXV1" s="2"/>
      <c r="LXW1" s="2"/>
      <c r="LXX1" s="2"/>
      <c r="LXY1" s="2"/>
      <c r="LXZ1" s="2"/>
      <c r="LYA1" s="2"/>
      <c r="LYB1" s="2"/>
      <c r="LYC1" s="2"/>
      <c r="LYD1" s="2"/>
      <c r="LYE1" s="2"/>
      <c r="LYF1" s="2"/>
      <c r="LYG1" s="2"/>
      <c r="LYH1" s="2"/>
      <c r="LYI1" s="2"/>
      <c r="LYJ1" s="2"/>
      <c r="LYK1" s="2"/>
      <c r="LYL1" s="2"/>
      <c r="LYM1" s="2"/>
      <c r="LYN1" s="2"/>
      <c r="LYO1" s="2"/>
      <c r="LYP1" s="2"/>
      <c r="LYQ1" s="2"/>
      <c r="LYR1" s="2"/>
      <c r="LYS1" s="2"/>
      <c r="LYT1" s="2"/>
      <c r="LYU1" s="2"/>
      <c r="LYV1" s="2"/>
      <c r="LYW1" s="2"/>
      <c r="LYX1" s="2"/>
      <c r="LYY1" s="2"/>
      <c r="LYZ1" s="2"/>
      <c r="LZA1" s="2"/>
      <c r="LZB1" s="2"/>
      <c r="LZC1" s="2"/>
      <c r="LZD1" s="2"/>
      <c r="LZE1" s="2"/>
      <c r="LZF1" s="2"/>
      <c r="LZG1" s="2"/>
      <c r="LZH1" s="2"/>
      <c r="LZI1" s="2"/>
      <c r="LZJ1" s="2"/>
      <c r="LZK1" s="2"/>
      <c r="LZL1" s="2"/>
      <c r="LZM1" s="2"/>
      <c r="LZN1" s="2"/>
      <c r="LZO1" s="2"/>
      <c r="LZP1" s="2"/>
      <c r="LZQ1" s="2"/>
      <c r="LZR1" s="2"/>
      <c r="LZS1" s="2"/>
      <c r="LZT1" s="2"/>
      <c r="LZU1" s="2"/>
      <c r="LZV1" s="2"/>
      <c r="LZW1" s="2"/>
      <c r="LZX1" s="2"/>
      <c r="LZY1" s="2"/>
      <c r="LZZ1" s="2"/>
      <c r="MAA1" s="2"/>
      <c r="MAB1" s="2"/>
      <c r="MAC1" s="2"/>
      <c r="MAD1" s="2"/>
      <c r="MAE1" s="2"/>
      <c r="MAF1" s="2"/>
      <c r="MAG1" s="2"/>
      <c r="MAH1" s="2"/>
      <c r="MAI1" s="2"/>
      <c r="MAJ1" s="2"/>
      <c r="MAK1" s="2"/>
      <c r="MAL1" s="2"/>
      <c r="MAM1" s="2"/>
      <c r="MAN1" s="2"/>
      <c r="MAO1" s="2"/>
      <c r="MAP1" s="2"/>
      <c r="MAQ1" s="2"/>
      <c r="MAR1" s="2"/>
      <c r="MAS1" s="2"/>
      <c r="MAT1" s="2"/>
      <c r="MAU1" s="2"/>
      <c r="MAV1" s="2"/>
      <c r="MAW1" s="2"/>
      <c r="MAX1" s="2"/>
      <c r="MAY1" s="2"/>
      <c r="MAZ1" s="2"/>
      <c r="MBA1" s="2"/>
      <c r="MBB1" s="2"/>
      <c r="MBC1" s="2"/>
      <c r="MBD1" s="2"/>
      <c r="MBE1" s="2"/>
      <c r="MBF1" s="2"/>
      <c r="MBG1" s="2"/>
      <c r="MBH1" s="2"/>
      <c r="MBI1" s="2"/>
      <c r="MBJ1" s="2"/>
      <c r="MBK1" s="2"/>
      <c r="MBL1" s="2"/>
      <c r="MBM1" s="2"/>
      <c r="MBN1" s="2"/>
      <c r="MBO1" s="2"/>
      <c r="MBP1" s="2"/>
      <c r="MBQ1" s="2"/>
      <c r="MBR1" s="2"/>
      <c r="MBS1" s="2"/>
      <c r="MBT1" s="2"/>
      <c r="MBU1" s="2"/>
      <c r="MBV1" s="2"/>
      <c r="MBW1" s="2"/>
      <c r="MBX1" s="2"/>
      <c r="MBY1" s="2"/>
      <c r="MBZ1" s="2"/>
      <c r="MCA1" s="2"/>
      <c r="MCB1" s="2"/>
      <c r="MCC1" s="2"/>
      <c r="MCD1" s="2"/>
      <c r="MCE1" s="2"/>
      <c r="MCF1" s="2"/>
      <c r="MCG1" s="2"/>
      <c r="MCH1" s="2"/>
      <c r="MCI1" s="2"/>
      <c r="MCJ1" s="2"/>
      <c r="MCK1" s="2"/>
      <c r="MCL1" s="2"/>
      <c r="MCM1" s="2"/>
      <c r="MCN1" s="2"/>
      <c r="MCO1" s="2"/>
      <c r="MCP1" s="2"/>
      <c r="MCQ1" s="2"/>
      <c r="MCR1" s="2"/>
      <c r="MCS1" s="2"/>
      <c r="MCT1" s="2"/>
      <c r="MCU1" s="2"/>
      <c r="MCV1" s="2"/>
      <c r="MCW1" s="2"/>
      <c r="MCX1" s="2"/>
      <c r="MCY1" s="2"/>
      <c r="MCZ1" s="2"/>
      <c r="MDA1" s="2"/>
      <c r="MDB1" s="2"/>
      <c r="MDC1" s="2"/>
      <c r="MDD1" s="2"/>
      <c r="MDE1" s="2"/>
      <c r="MDF1" s="2"/>
      <c r="MDG1" s="2"/>
      <c r="MDH1" s="2"/>
      <c r="MDI1" s="2"/>
      <c r="MDJ1" s="2"/>
      <c r="MDK1" s="2"/>
      <c r="MDL1" s="2"/>
      <c r="MDM1" s="2"/>
      <c r="MDN1" s="2"/>
      <c r="MDO1" s="2"/>
      <c r="MDP1" s="2"/>
      <c r="MDQ1" s="2"/>
      <c r="MDR1" s="2"/>
      <c r="MDS1" s="2"/>
      <c r="MDT1" s="2"/>
      <c r="MDU1" s="2"/>
      <c r="MDV1" s="2"/>
      <c r="MDW1" s="2"/>
      <c r="MDX1" s="2"/>
      <c r="MDY1" s="2"/>
      <c r="MDZ1" s="2"/>
      <c r="MEA1" s="2"/>
      <c r="MEB1" s="2"/>
      <c r="MEC1" s="2"/>
      <c r="MED1" s="2"/>
      <c r="MEE1" s="2"/>
      <c r="MEF1" s="2"/>
      <c r="MEG1" s="2"/>
      <c r="MEH1" s="2"/>
      <c r="MEI1" s="2"/>
      <c r="MEJ1" s="2"/>
      <c r="MEK1" s="2"/>
      <c r="MEL1" s="2"/>
      <c r="MEM1" s="2"/>
      <c r="MEN1" s="2"/>
      <c r="MEO1" s="2"/>
      <c r="MEP1" s="2"/>
      <c r="MEQ1" s="2"/>
      <c r="MER1" s="2"/>
      <c r="MES1" s="2"/>
      <c r="MET1" s="2"/>
      <c r="MEU1" s="2"/>
      <c r="MEV1" s="2"/>
      <c r="MEW1" s="2"/>
      <c r="MEX1" s="2"/>
      <c r="MEY1" s="2"/>
      <c r="MEZ1" s="2"/>
      <c r="MFA1" s="2"/>
      <c r="MFB1" s="2"/>
      <c r="MFC1" s="2"/>
      <c r="MFD1" s="2"/>
      <c r="MFE1" s="2"/>
      <c r="MFF1" s="2"/>
      <c r="MFG1" s="2"/>
      <c r="MFH1" s="2"/>
      <c r="MFI1" s="2"/>
      <c r="MFJ1" s="2"/>
      <c r="MFK1" s="2"/>
      <c r="MFL1" s="2"/>
      <c r="MFM1" s="2"/>
      <c r="MFN1" s="2"/>
      <c r="MFO1" s="2"/>
      <c r="MFP1" s="2"/>
      <c r="MFQ1" s="2"/>
      <c r="MFR1" s="2"/>
      <c r="MFS1" s="2"/>
      <c r="MFT1" s="2"/>
      <c r="MFU1" s="2"/>
      <c r="MFV1" s="2"/>
      <c r="MFW1" s="2"/>
      <c r="MFX1" s="2"/>
      <c r="MFY1" s="2"/>
      <c r="MFZ1" s="2"/>
      <c r="MGA1" s="2"/>
      <c r="MGB1" s="2"/>
      <c r="MGC1" s="2"/>
      <c r="MGD1" s="2"/>
      <c r="MGE1" s="2"/>
      <c r="MGF1" s="2"/>
      <c r="MGG1" s="2"/>
      <c r="MGH1" s="2"/>
      <c r="MGI1" s="2"/>
      <c r="MGJ1" s="2"/>
      <c r="MGK1" s="2"/>
      <c r="MGL1" s="2"/>
      <c r="MGM1" s="2"/>
      <c r="MGN1" s="2"/>
      <c r="MGO1" s="2"/>
      <c r="MGP1" s="2"/>
      <c r="MGQ1" s="2"/>
      <c r="MGR1" s="2"/>
      <c r="MGS1" s="2"/>
      <c r="MGT1" s="2"/>
      <c r="MGU1" s="2"/>
      <c r="MGV1" s="2"/>
      <c r="MGW1" s="2"/>
      <c r="MGX1" s="2"/>
      <c r="MGY1" s="2"/>
      <c r="MGZ1" s="2"/>
      <c r="MHA1" s="2"/>
      <c r="MHB1" s="2"/>
      <c r="MHC1" s="2"/>
      <c r="MHD1" s="2"/>
      <c r="MHE1" s="2"/>
      <c r="MHF1" s="2"/>
      <c r="MHG1" s="2"/>
      <c r="MHH1" s="2"/>
      <c r="MHI1" s="2"/>
      <c r="MHJ1" s="2"/>
      <c r="MHK1" s="2"/>
      <c r="MHL1" s="2"/>
      <c r="MHM1" s="2"/>
      <c r="MHN1" s="2"/>
      <c r="MHO1" s="2"/>
      <c r="MHP1" s="2"/>
      <c r="MHQ1" s="2"/>
      <c r="MHR1" s="2"/>
      <c r="MHS1" s="2"/>
      <c r="MHT1" s="2"/>
      <c r="MHU1" s="2"/>
      <c r="MHV1" s="2"/>
      <c r="MHW1" s="2"/>
      <c r="MHX1" s="2"/>
      <c r="MHY1" s="2"/>
      <c r="MHZ1" s="2"/>
      <c r="MIA1" s="2"/>
      <c r="MIB1" s="2"/>
      <c r="MIC1" s="2"/>
      <c r="MID1" s="2"/>
      <c r="MIE1" s="2"/>
      <c r="MIF1" s="2"/>
      <c r="MIG1" s="2"/>
      <c r="MIH1" s="2"/>
      <c r="MII1" s="2"/>
      <c r="MIJ1" s="2"/>
      <c r="MIK1" s="2"/>
      <c r="MIL1" s="2"/>
      <c r="MIM1" s="2"/>
      <c r="MIN1" s="2"/>
      <c r="MIO1" s="2"/>
      <c r="MIP1" s="2"/>
      <c r="MIQ1" s="2"/>
      <c r="MIR1" s="2"/>
      <c r="MIS1" s="2"/>
      <c r="MIT1" s="2"/>
      <c r="MIU1" s="2"/>
      <c r="MIV1" s="2"/>
      <c r="MIW1" s="2"/>
      <c r="MIX1" s="2"/>
      <c r="MIY1" s="2"/>
      <c r="MIZ1" s="2"/>
      <c r="MJA1" s="2"/>
      <c r="MJB1" s="2"/>
      <c r="MJC1" s="2"/>
      <c r="MJD1" s="2"/>
      <c r="MJE1" s="2"/>
      <c r="MJF1" s="2"/>
      <c r="MJG1" s="2"/>
      <c r="MJH1" s="2"/>
      <c r="MJI1" s="2"/>
      <c r="MJJ1" s="2"/>
      <c r="MJK1" s="2"/>
      <c r="MJL1" s="2"/>
      <c r="MJM1" s="2"/>
      <c r="MJN1" s="2"/>
      <c r="MJO1" s="2"/>
      <c r="MJP1" s="2"/>
      <c r="MJQ1" s="2"/>
      <c r="MJR1" s="2"/>
      <c r="MJS1" s="2"/>
      <c r="MJT1" s="2"/>
      <c r="MJU1" s="2"/>
      <c r="MJV1" s="2"/>
      <c r="MJW1" s="2"/>
      <c r="MJX1" s="2"/>
      <c r="MJY1" s="2"/>
      <c r="MJZ1" s="2"/>
      <c r="MKA1" s="2"/>
      <c r="MKB1" s="2"/>
      <c r="MKC1" s="2"/>
      <c r="MKD1" s="2"/>
      <c r="MKE1" s="2"/>
      <c r="MKF1" s="2"/>
      <c r="MKG1" s="2"/>
      <c r="MKH1" s="2"/>
      <c r="MKI1" s="2"/>
      <c r="MKJ1" s="2"/>
      <c r="MKK1" s="2"/>
      <c r="MKL1" s="2"/>
      <c r="MKM1" s="2"/>
      <c r="MKN1" s="2"/>
      <c r="MKO1" s="2"/>
      <c r="MKP1" s="2"/>
      <c r="MKQ1" s="2"/>
      <c r="MKR1" s="2"/>
      <c r="MKS1" s="2"/>
      <c r="MKT1" s="2"/>
      <c r="MKU1" s="2"/>
      <c r="MKV1" s="2"/>
      <c r="MKW1" s="2"/>
      <c r="MKX1" s="2"/>
      <c r="MKY1" s="2"/>
      <c r="MKZ1" s="2"/>
      <c r="MLA1" s="2"/>
      <c r="MLB1" s="2"/>
      <c r="MLC1" s="2"/>
      <c r="MLD1" s="2"/>
      <c r="MLE1" s="2"/>
      <c r="MLF1" s="2"/>
      <c r="MLG1" s="2"/>
      <c r="MLH1" s="2"/>
      <c r="MLI1" s="2"/>
      <c r="MLJ1" s="2"/>
      <c r="MLK1" s="2"/>
      <c r="MLL1" s="2"/>
      <c r="MLM1" s="2"/>
      <c r="MLN1" s="2"/>
      <c r="MLO1" s="2"/>
      <c r="MLP1" s="2"/>
      <c r="MLQ1" s="2"/>
      <c r="MLR1" s="2"/>
      <c r="MLS1" s="2"/>
      <c r="MLT1" s="2"/>
      <c r="MLU1" s="2"/>
      <c r="MLV1" s="2"/>
      <c r="MLW1" s="2"/>
      <c r="MLX1" s="2"/>
      <c r="MLY1" s="2"/>
      <c r="MLZ1" s="2"/>
      <c r="MMA1" s="2"/>
      <c r="MMB1" s="2"/>
      <c r="MMC1" s="2"/>
      <c r="MMD1" s="2"/>
      <c r="MME1" s="2"/>
      <c r="MMF1" s="2"/>
      <c r="MMG1" s="2"/>
      <c r="MMH1" s="2"/>
      <c r="MMI1" s="2"/>
      <c r="MMJ1" s="2"/>
      <c r="MMK1" s="2"/>
      <c r="MML1" s="2"/>
      <c r="MMM1" s="2"/>
      <c r="MMN1" s="2"/>
      <c r="MMO1" s="2"/>
      <c r="MMP1" s="2"/>
      <c r="MMQ1" s="2"/>
      <c r="MMR1" s="2"/>
      <c r="MMS1" s="2"/>
      <c r="MMT1" s="2"/>
      <c r="MMU1" s="2"/>
      <c r="MMV1" s="2"/>
      <c r="MMW1" s="2"/>
      <c r="MMX1" s="2"/>
      <c r="MMY1" s="2"/>
      <c r="MMZ1" s="2"/>
      <c r="MNA1" s="2"/>
      <c r="MNB1" s="2"/>
      <c r="MNC1" s="2"/>
      <c r="MND1" s="2"/>
      <c r="MNE1" s="2"/>
      <c r="MNF1" s="2"/>
      <c r="MNG1" s="2"/>
      <c r="MNH1" s="2"/>
      <c r="MNI1" s="2"/>
      <c r="MNJ1" s="2"/>
      <c r="MNK1" s="2"/>
      <c r="MNL1" s="2"/>
      <c r="MNM1" s="2"/>
      <c r="MNN1" s="2"/>
      <c r="MNO1" s="2"/>
      <c r="MNP1" s="2"/>
      <c r="MNQ1" s="2"/>
      <c r="MNR1" s="2"/>
      <c r="MNS1" s="2"/>
      <c r="MNT1" s="2"/>
      <c r="MNU1" s="2"/>
      <c r="MNV1" s="2"/>
      <c r="MNW1" s="2"/>
      <c r="MNX1" s="2"/>
      <c r="MNY1" s="2"/>
      <c r="MNZ1" s="2"/>
      <c r="MOA1" s="2"/>
      <c r="MOB1" s="2"/>
      <c r="MOC1" s="2"/>
      <c r="MOD1" s="2"/>
      <c r="MOE1" s="2"/>
      <c r="MOF1" s="2"/>
      <c r="MOG1" s="2"/>
      <c r="MOH1" s="2"/>
      <c r="MOI1" s="2"/>
      <c r="MOJ1" s="2"/>
      <c r="MOK1" s="2"/>
      <c r="MOL1" s="2"/>
      <c r="MOM1" s="2"/>
      <c r="MON1" s="2"/>
      <c r="MOO1" s="2"/>
      <c r="MOP1" s="2"/>
      <c r="MOQ1" s="2"/>
      <c r="MOR1" s="2"/>
      <c r="MOS1" s="2"/>
      <c r="MOT1" s="2"/>
      <c r="MOU1" s="2"/>
      <c r="MOV1" s="2"/>
      <c r="MOW1" s="2"/>
      <c r="MOX1" s="2"/>
      <c r="MOY1" s="2"/>
      <c r="MOZ1" s="2"/>
      <c r="MPA1" s="2"/>
      <c r="MPB1" s="2"/>
      <c r="MPC1" s="2"/>
      <c r="MPD1" s="2"/>
      <c r="MPE1" s="2"/>
      <c r="MPF1" s="2"/>
      <c r="MPG1" s="2"/>
      <c r="MPH1" s="2"/>
      <c r="MPI1" s="2"/>
      <c r="MPJ1" s="2"/>
      <c r="MPK1" s="2"/>
      <c r="MPL1" s="2"/>
      <c r="MPM1" s="2"/>
      <c r="MPN1" s="2"/>
      <c r="MPO1" s="2"/>
      <c r="MPP1" s="2"/>
      <c r="MPQ1" s="2"/>
      <c r="MPR1" s="2"/>
      <c r="MPS1" s="2"/>
      <c r="MPT1" s="2"/>
      <c r="MPU1" s="2"/>
      <c r="MPV1" s="2"/>
      <c r="MPW1" s="2"/>
      <c r="MPX1" s="2"/>
      <c r="MPY1" s="2"/>
      <c r="MPZ1" s="2"/>
      <c r="MQA1" s="2"/>
      <c r="MQB1" s="2"/>
      <c r="MQC1" s="2"/>
      <c r="MQD1" s="2"/>
      <c r="MQE1" s="2"/>
      <c r="MQF1" s="2"/>
      <c r="MQG1" s="2"/>
      <c r="MQH1" s="2"/>
      <c r="MQI1" s="2"/>
      <c r="MQJ1" s="2"/>
      <c r="MQK1" s="2"/>
      <c r="MQL1" s="2"/>
      <c r="MQM1" s="2"/>
      <c r="MQN1" s="2"/>
      <c r="MQO1" s="2"/>
      <c r="MQP1" s="2"/>
      <c r="MQQ1" s="2"/>
      <c r="MQR1" s="2"/>
      <c r="MQS1" s="2"/>
      <c r="MQT1" s="2"/>
      <c r="MQU1" s="2"/>
      <c r="MQV1" s="2"/>
      <c r="MQW1" s="2"/>
      <c r="MQX1" s="2"/>
      <c r="MQY1" s="2"/>
      <c r="MQZ1" s="2"/>
      <c r="MRA1" s="2"/>
      <c r="MRB1" s="2"/>
      <c r="MRC1" s="2"/>
      <c r="MRD1" s="2"/>
      <c r="MRE1" s="2"/>
      <c r="MRF1" s="2"/>
      <c r="MRG1" s="2"/>
      <c r="MRH1" s="2"/>
      <c r="MRI1" s="2"/>
      <c r="MRJ1" s="2"/>
      <c r="MRK1" s="2"/>
      <c r="MRL1" s="2"/>
      <c r="MRM1" s="2"/>
      <c r="MRN1" s="2"/>
      <c r="MRO1" s="2"/>
      <c r="MRP1" s="2"/>
      <c r="MRQ1" s="2"/>
      <c r="MRR1" s="2"/>
      <c r="MRS1" s="2"/>
      <c r="MRT1" s="2"/>
      <c r="MRU1" s="2"/>
      <c r="MRV1" s="2"/>
      <c r="MRW1" s="2"/>
      <c r="MRX1" s="2"/>
      <c r="MRY1" s="2"/>
      <c r="MRZ1" s="2"/>
      <c r="MSA1" s="2"/>
      <c r="MSB1" s="2"/>
      <c r="MSC1" s="2"/>
      <c r="MSD1" s="2"/>
      <c r="MSE1" s="2"/>
      <c r="MSF1" s="2"/>
      <c r="MSG1" s="2"/>
      <c r="MSH1" s="2"/>
      <c r="MSI1" s="2"/>
      <c r="MSJ1" s="2"/>
      <c r="MSK1" s="2"/>
      <c r="MSL1" s="2"/>
      <c r="MSM1" s="2"/>
      <c r="MSN1" s="2"/>
      <c r="MSO1" s="2"/>
      <c r="MSP1" s="2"/>
      <c r="MSQ1" s="2"/>
      <c r="MSR1" s="2"/>
      <c r="MSS1" s="2"/>
      <c r="MST1" s="2"/>
      <c r="MSU1" s="2"/>
      <c r="MSV1" s="2"/>
      <c r="MSW1" s="2"/>
      <c r="MSX1" s="2"/>
      <c r="MSY1" s="2"/>
      <c r="MSZ1" s="2"/>
      <c r="MTA1" s="2"/>
      <c r="MTB1" s="2"/>
      <c r="MTC1" s="2"/>
      <c r="MTD1" s="2"/>
      <c r="MTE1" s="2"/>
      <c r="MTF1" s="2"/>
      <c r="MTG1" s="2"/>
      <c r="MTH1" s="2"/>
      <c r="MTI1" s="2"/>
      <c r="MTJ1" s="2"/>
      <c r="MTK1" s="2"/>
      <c r="MTL1" s="2"/>
      <c r="MTM1" s="2"/>
      <c r="MTN1" s="2"/>
      <c r="MTO1" s="2"/>
      <c r="MTP1" s="2"/>
      <c r="MTQ1" s="2"/>
      <c r="MTR1" s="2"/>
      <c r="MTS1" s="2"/>
      <c r="MTT1" s="2"/>
      <c r="MTU1" s="2"/>
      <c r="MTV1" s="2"/>
      <c r="MTW1" s="2"/>
      <c r="MTX1" s="2"/>
      <c r="MTY1" s="2"/>
      <c r="MTZ1" s="2"/>
      <c r="MUA1" s="2"/>
      <c r="MUB1" s="2"/>
      <c r="MUC1" s="2"/>
      <c r="MUD1" s="2"/>
      <c r="MUE1" s="2"/>
      <c r="MUF1" s="2"/>
      <c r="MUG1" s="2"/>
      <c r="MUH1" s="2"/>
      <c r="MUI1" s="2"/>
      <c r="MUJ1" s="2"/>
      <c r="MUK1" s="2"/>
      <c r="MUL1" s="2"/>
      <c r="MUM1" s="2"/>
      <c r="MUN1" s="2"/>
      <c r="MUO1" s="2"/>
      <c r="MUP1" s="2"/>
      <c r="MUQ1" s="2"/>
      <c r="MUR1" s="2"/>
      <c r="MUS1" s="2"/>
      <c r="MUT1" s="2"/>
      <c r="MUU1" s="2"/>
      <c r="MUV1" s="2"/>
      <c r="MUW1" s="2"/>
      <c r="MUX1" s="2"/>
      <c r="MUY1" s="2"/>
      <c r="MUZ1" s="2"/>
      <c r="MVA1" s="2"/>
      <c r="MVB1" s="2"/>
      <c r="MVC1" s="2"/>
      <c r="MVD1" s="2"/>
      <c r="MVE1" s="2"/>
      <c r="MVF1" s="2"/>
      <c r="MVG1" s="2"/>
      <c r="MVH1" s="2"/>
      <c r="MVI1" s="2"/>
      <c r="MVJ1" s="2"/>
      <c r="MVK1" s="2"/>
      <c r="MVL1" s="2"/>
      <c r="MVM1" s="2"/>
      <c r="MVN1" s="2"/>
      <c r="MVO1" s="2"/>
      <c r="MVP1" s="2"/>
      <c r="MVQ1" s="2"/>
      <c r="MVR1" s="2"/>
      <c r="MVS1" s="2"/>
      <c r="MVT1" s="2"/>
      <c r="MVU1" s="2"/>
      <c r="MVV1" s="2"/>
      <c r="MVW1" s="2"/>
      <c r="MVX1" s="2"/>
      <c r="MVY1" s="2"/>
      <c r="MVZ1" s="2"/>
      <c r="MWA1" s="2"/>
      <c r="MWB1" s="2"/>
      <c r="MWC1" s="2"/>
      <c r="MWD1" s="2"/>
      <c r="MWE1" s="2"/>
      <c r="MWF1" s="2"/>
      <c r="MWG1" s="2"/>
      <c r="MWH1" s="2"/>
      <c r="MWI1" s="2"/>
      <c r="MWJ1" s="2"/>
      <c r="MWK1" s="2"/>
      <c r="MWL1" s="2"/>
      <c r="MWM1" s="2"/>
      <c r="MWN1" s="2"/>
      <c r="MWO1" s="2"/>
      <c r="MWP1" s="2"/>
      <c r="MWQ1" s="2"/>
      <c r="MWR1" s="2"/>
      <c r="MWS1" s="2"/>
      <c r="MWT1" s="2"/>
      <c r="MWU1" s="2"/>
      <c r="MWV1" s="2"/>
      <c r="MWW1" s="2"/>
      <c r="MWX1" s="2"/>
      <c r="MWY1" s="2"/>
      <c r="MWZ1" s="2"/>
      <c r="MXA1" s="2"/>
      <c r="MXB1" s="2"/>
      <c r="MXC1" s="2"/>
      <c r="MXD1" s="2"/>
      <c r="MXE1" s="2"/>
      <c r="MXF1" s="2"/>
      <c r="MXG1" s="2"/>
      <c r="MXH1" s="2"/>
      <c r="MXI1" s="2"/>
      <c r="MXJ1" s="2"/>
      <c r="MXK1" s="2"/>
      <c r="MXL1" s="2"/>
      <c r="MXM1" s="2"/>
      <c r="MXN1" s="2"/>
      <c r="MXO1" s="2"/>
      <c r="MXP1" s="2"/>
      <c r="MXQ1" s="2"/>
      <c r="MXR1" s="2"/>
      <c r="MXS1" s="2"/>
      <c r="MXT1" s="2"/>
      <c r="MXU1" s="2"/>
      <c r="MXV1" s="2"/>
      <c r="MXW1" s="2"/>
      <c r="MXX1" s="2"/>
      <c r="MXY1" s="2"/>
      <c r="MXZ1" s="2"/>
      <c r="MYA1" s="2"/>
      <c r="MYB1" s="2"/>
      <c r="MYC1" s="2"/>
      <c r="MYD1" s="2"/>
      <c r="MYE1" s="2"/>
      <c r="MYF1" s="2"/>
      <c r="MYG1" s="2"/>
      <c r="MYH1" s="2"/>
      <c r="MYI1" s="2"/>
      <c r="MYJ1" s="2"/>
      <c r="MYK1" s="2"/>
      <c r="MYL1" s="2"/>
      <c r="MYM1" s="2"/>
      <c r="MYN1" s="2"/>
      <c r="MYO1" s="2"/>
      <c r="MYP1" s="2"/>
      <c r="MYQ1" s="2"/>
      <c r="MYR1" s="2"/>
      <c r="MYS1" s="2"/>
      <c r="MYT1" s="2"/>
      <c r="MYU1" s="2"/>
      <c r="MYV1" s="2"/>
      <c r="MYW1" s="2"/>
      <c r="MYX1" s="2"/>
      <c r="MYY1" s="2"/>
      <c r="MYZ1" s="2"/>
      <c r="MZA1" s="2"/>
      <c r="MZB1" s="2"/>
      <c r="MZC1" s="2"/>
      <c r="MZD1" s="2"/>
      <c r="MZE1" s="2"/>
      <c r="MZF1" s="2"/>
      <c r="MZG1" s="2"/>
      <c r="MZH1" s="2"/>
      <c r="MZI1" s="2"/>
      <c r="MZJ1" s="2"/>
      <c r="MZK1" s="2"/>
      <c r="MZL1" s="2"/>
      <c r="MZM1" s="2"/>
      <c r="MZN1" s="2"/>
      <c r="MZO1" s="2"/>
      <c r="MZP1" s="2"/>
      <c r="MZQ1" s="2"/>
      <c r="MZR1" s="2"/>
      <c r="MZS1" s="2"/>
      <c r="MZT1" s="2"/>
      <c r="MZU1" s="2"/>
      <c r="MZV1" s="2"/>
      <c r="MZW1" s="2"/>
      <c r="MZX1" s="2"/>
      <c r="MZY1" s="2"/>
      <c r="MZZ1" s="2"/>
      <c r="NAA1" s="2"/>
      <c r="NAB1" s="2"/>
      <c r="NAC1" s="2"/>
      <c r="NAD1" s="2"/>
      <c r="NAE1" s="2"/>
      <c r="NAF1" s="2"/>
      <c r="NAG1" s="2"/>
      <c r="NAH1" s="2"/>
      <c r="NAI1" s="2"/>
      <c r="NAJ1" s="2"/>
      <c r="NAK1" s="2"/>
      <c r="NAL1" s="2"/>
      <c r="NAM1" s="2"/>
      <c r="NAN1" s="2"/>
      <c r="NAO1" s="2"/>
      <c r="NAP1" s="2"/>
      <c r="NAQ1" s="2"/>
      <c r="NAR1" s="2"/>
      <c r="NAS1" s="2"/>
      <c r="NAT1" s="2"/>
      <c r="NAU1" s="2"/>
      <c r="NAV1" s="2"/>
      <c r="NAW1" s="2"/>
      <c r="NAX1" s="2"/>
      <c r="NAY1" s="2"/>
      <c r="NAZ1" s="2"/>
      <c r="NBA1" s="2"/>
      <c r="NBB1" s="2"/>
      <c r="NBC1" s="2"/>
      <c r="NBD1" s="2"/>
      <c r="NBE1" s="2"/>
      <c r="NBF1" s="2"/>
      <c r="NBG1" s="2"/>
      <c r="NBH1" s="2"/>
      <c r="NBI1" s="2"/>
      <c r="NBJ1" s="2"/>
      <c r="NBK1" s="2"/>
      <c r="NBL1" s="2"/>
      <c r="NBM1" s="2"/>
      <c r="NBN1" s="2"/>
      <c r="NBO1" s="2"/>
      <c r="NBP1" s="2"/>
      <c r="NBQ1" s="2"/>
      <c r="NBR1" s="2"/>
      <c r="NBS1" s="2"/>
      <c r="NBT1" s="2"/>
      <c r="NBU1" s="2"/>
      <c r="NBV1" s="2"/>
      <c r="NBW1" s="2"/>
      <c r="NBX1" s="2"/>
      <c r="NBY1" s="2"/>
      <c r="NBZ1" s="2"/>
      <c r="NCA1" s="2"/>
      <c r="NCB1" s="2"/>
      <c r="NCC1" s="2"/>
      <c r="NCD1" s="2"/>
      <c r="NCE1" s="2"/>
      <c r="NCF1" s="2"/>
      <c r="NCG1" s="2"/>
      <c r="NCH1" s="2"/>
      <c r="NCI1" s="2"/>
      <c r="NCJ1" s="2"/>
      <c r="NCK1" s="2"/>
      <c r="NCL1" s="2"/>
      <c r="NCM1" s="2"/>
      <c r="NCN1" s="2"/>
      <c r="NCO1" s="2"/>
      <c r="NCP1" s="2"/>
      <c r="NCQ1" s="2"/>
      <c r="NCR1" s="2"/>
      <c r="NCS1" s="2"/>
      <c r="NCT1" s="2"/>
      <c r="NCU1" s="2"/>
      <c r="NCV1" s="2"/>
      <c r="NCW1" s="2"/>
      <c r="NCX1" s="2"/>
      <c r="NCY1" s="2"/>
      <c r="NCZ1" s="2"/>
      <c r="NDA1" s="2"/>
      <c r="NDB1" s="2"/>
      <c r="NDC1" s="2"/>
      <c r="NDD1" s="2"/>
      <c r="NDE1" s="2"/>
      <c r="NDF1" s="2"/>
      <c r="NDG1" s="2"/>
      <c r="NDH1" s="2"/>
      <c r="NDI1" s="2"/>
      <c r="NDJ1" s="2"/>
      <c r="NDK1" s="2"/>
      <c r="NDL1" s="2"/>
      <c r="NDM1" s="2"/>
      <c r="NDN1" s="2"/>
      <c r="NDO1" s="2"/>
      <c r="NDP1" s="2"/>
      <c r="NDQ1" s="2"/>
      <c r="NDR1" s="2"/>
      <c r="NDS1" s="2"/>
      <c r="NDT1" s="2"/>
      <c r="NDU1" s="2"/>
      <c r="NDV1" s="2"/>
      <c r="NDW1" s="2"/>
      <c r="NDX1" s="2"/>
      <c r="NDY1" s="2"/>
      <c r="NDZ1" s="2"/>
      <c r="NEA1" s="2"/>
      <c r="NEB1" s="2"/>
      <c r="NEC1" s="2"/>
      <c r="NED1" s="2"/>
      <c r="NEE1" s="2"/>
      <c r="NEF1" s="2"/>
      <c r="NEG1" s="2"/>
      <c r="NEH1" s="2"/>
      <c r="NEI1" s="2"/>
      <c r="NEJ1" s="2"/>
      <c r="NEK1" s="2"/>
      <c r="NEL1" s="2"/>
      <c r="NEM1" s="2"/>
      <c r="NEN1" s="2"/>
      <c r="NEO1" s="2"/>
      <c r="NEP1" s="2"/>
      <c r="NEQ1" s="2"/>
      <c r="NER1" s="2"/>
      <c r="NES1" s="2"/>
      <c r="NET1" s="2"/>
      <c r="NEU1" s="2"/>
      <c r="NEV1" s="2"/>
      <c r="NEW1" s="2"/>
      <c r="NEX1" s="2"/>
      <c r="NEY1" s="2"/>
      <c r="NEZ1" s="2"/>
      <c r="NFA1" s="2"/>
      <c r="NFB1" s="2"/>
      <c r="NFC1" s="2"/>
      <c r="NFD1" s="2"/>
      <c r="NFE1" s="2"/>
      <c r="NFF1" s="2"/>
      <c r="NFG1" s="2"/>
      <c r="NFH1" s="2"/>
      <c r="NFI1" s="2"/>
      <c r="NFJ1" s="2"/>
      <c r="NFK1" s="2"/>
      <c r="NFL1" s="2"/>
      <c r="NFM1" s="2"/>
      <c r="NFN1" s="2"/>
      <c r="NFO1" s="2"/>
      <c r="NFP1" s="2"/>
      <c r="NFQ1" s="2"/>
      <c r="NFR1" s="2"/>
      <c r="NFS1" s="2"/>
      <c r="NFT1" s="2"/>
      <c r="NFU1" s="2"/>
      <c r="NFV1" s="2"/>
      <c r="NFW1" s="2"/>
      <c r="NFX1" s="2"/>
      <c r="NFY1" s="2"/>
      <c r="NFZ1" s="2"/>
      <c r="NGA1" s="2"/>
      <c r="NGB1" s="2"/>
      <c r="NGC1" s="2"/>
      <c r="NGD1" s="2"/>
      <c r="NGE1" s="2"/>
      <c r="NGF1" s="2"/>
      <c r="NGG1" s="2"/>
      <c r="NGH1" s="2"/>
      <c r="NGI1" s="2"/>
      <c r="NGJ1" s="2"/>
      <c r="NGK1" s="2"/>
      <c r="NGL1" s="2"/>
      <c r="NGM1" s="2"/>
      <c r="NGN1" s="2"/>
      <c r="NGO1" s="2"/>
      <c r="NGP1" s="2"/>
      <c r="NGQ1" s="2"/>
      <c r="NGR1" s="2"/>
      <c r="NGS1" s="2"/>
      <c r="NGT1" s="2"/>
      <c r="NGU1" s="2"/>
      <c r="NGV1" s="2"/>
      <c r="NGW1" s="2"/>
      <c r="NGX1" s="2"/>
      <c r="NGY1" s="2"/>
      <c r="NGZ1" s="2"/>
      <c r="NHA1" s="2"/>
      <c r="NHB1" s="2"/>
      <c r="NHC1" s="2"/>
      <c r="NHD1" s="2"/>
      <c r="NHE1" s="2"/>
      <c r="NHF1" s="2"/>
      <c r="NHG1" s="2"/>
      <c r="NHH1" s="2"/>
      <c r="NHI1" s="2"/>
      <c r="NHJ1" s="2"/>
      <c r="NHK1" s="2"/>
      <c r="NHL1" s="2"/>
      <c r="NHM1" s="2"/>
      <c r="NHN1" s="2"/>
      <c r="NHO1" s="2"/>
      <c r="NHP1" s="2"/>
      <c r="NHQ1" s="2"/>
      <c r="NHR1" s="2"/>
      <c r="NHS1" s="2"/>
      <c r="NHT1" s="2"/>
      <c r="NHU1" s="2"/>
      <c r="NHV1" s="2"/>
      <c r="NHW1" s="2"/>
      <c r="NHX1" s="2"/>
      <c r="NHY1" s="2"/>
      <c r="NHZ1" s="2"/>
      <c r="NIA1" s="2"/>
      <c r="NIB1" s="2"/>
      <c r="NIC1" s="2"/>
      <c r="NID1" s="2"/>
      <c r="NIE1" s="2"/>
      <c r="NIF1" s="2"/>
      <c r="NIG1" s="2"/>
      <c r="NIH1" s="2"/>
      <c r="NII1" s="2"/>
      <c r="NIJ1" s="2"/>
      <c r="NIK1" s="2"/>
      <c r="NIL1" s="2"/>
      <c r="NIM1" s="2"/>
      <c r="NIN1" s="2"/>
      <c r="NIO1" s="2"/>
      <c r="NIP1" s="2"/>
      <c r="NIQ1" s="2"/>
      <c r="NIR1" s="2"/>
      <c r="NIS1" s="2"/>
      <c r="NIT1" s="2"/>
      <c r="NIU1" s="2"/>
      <c r="NIV1" s="2"/>
      <c r="NIW1" s="2"/>
      <c r="NIX1" s="2"/>
      <c r="NIY1" s="2"/>
      <c r="NIZ1" s="2"/>
      <c r="NJA1" s="2"/>
      <c r="NJB1" s="2"/>
      <c r="NJC1" s="2"/>
      <c r="NJD1" s="2"/>
      <c r="NJE1" s="2"/>
      <c r="NJF1" s="2"/>
      <c r="NJG1" s="2"/>
      <c r="NJH1" s="2"/>
      <c r="NJI1" s="2"/>
      <c r="NJJ1" s="2"/>
      <c r="NJK1" s="2"/>
      <c r="NJL1" s="2"/>
      <c r="NJM1" s="2"/>
      <c r="NJN1" s="2"/>
      <c r="NJO1" s="2"/>
      <c r="NJP1" s="2"/>
      <c r="NJQ1" s="2"/>
      <c r="NJR1" s="2"/>
      <c r="NJS1" s="2"/>
      <c r="NJT1" s="2"/>
      <c r="NJU1" s="2"/>
      <c r="NJV1" s="2"/>
      <c r="NJW1" s="2"/>
      <c r="NJX1" s="2"/>
      <c r="NJY1" s="2"/>
      <c r="NJZ1" s="2"/>
      <c r="NKA1" s="2"/>
      <c r="NKB1" s="2"/>
      <c r="NKC1" s="2"/>
      <c r="NKD1" s="2"/>
      <c r="NKE1" s="2"/>
      <c r="NKF1" s="2"/>
      <c r="NKG1" s="2"/>
      <c r="NKH1" s="2"/>
      <c r="NKI1" s="2"/>
      <c r="NKJ1" s="2"/>
      <c r="NKK1" s="2"/>
      <c r="NKL1" s="2"/>
      <c r="NKM1" s="2"/>
      <c r="NKN1" s="2"/>
      <c r="NKO1" s="2"/>
      <c r="NKP1" s="2"/>
      <c r="NKQ1" s="2"/>
      <c r="NKR1" s="2"/>
      <c r="NKS1" s="2"/>
      <c r="NKT1" s="2"/>
      <c r="NKU1" s="2"/>
      <c r="NKV1" s="2"/>
      <c r="NKW1" s="2"/>
      <c r="NKX1" s="2"/>
      <c r="NKY1" s="2"/>
      <c r="NKZ1" s="2"/>
      <c r="NLA1" s="2"/>
      <c r="NLB1" s="2"/>
      <c r="NLC1" s="2"/>
      <c r="NLD1" s="2"/>
      <c r="NLE1" s="2"/>
      <c r="NLF1" s="2"/>
      <c r="NLG1" s="2"/>
      <c r="NLH1" s="2"/>
      <c r="NLI1" s="2"/>
      <c r="NLJ1" s="2"/>
      <c r="NLK1" s="2"/>
      <c r="NLL1" s="2"/>
      <c r="NLM1" s="2"/>
      <c r="NLN1" s="2"/>
      <c r="NLO1" s="2"/>
      <c r="NLP1" s="2"/>
      <c r="NLQ1" s="2"/>
      <c r="NLR1" s="2"/>
      <c r="NLS1" s="2"/>
      <c r="NLT1" s="2"/>
      <c r="NLU1" s="2"/>
      <c r="NLV1" s="2"/>
      <c r="NLW1" s="2"/>
      <c r="NLX1" s="2"/>
      <c r="NLY1" s="2"/>
      <c r="NLZ1" s="2"/>
      <c r="NMA1" s="2"/>
      <c r="NMB1" s="2"/>
      <c r="NMC1" s="2"/>
      <c r="NMD1" s="2"/>
      <c r="NME1" s="2"/>
      <c r="NMF1" s="2"/>
      <c r="NMG1" s="2"/>
      <c r="NMH1" s="2"/>
      <c r="NMI1" s="2"/>
      <c r="NMJ1" s="2"/>
      <c r="NMK1" s="2"/>
      <c r="NML1" s="2"/>
      <c r="NMM1" s="2"/>
      <c r="NMN1" s="2"/>
      <c r="NMO1" s="2"/>
      <c r="NMP1" s="2"/>
      <c r="NMQ1" s="2"/>
      <c r="NMR1" s="2"/>
      <c r="NMS1" s="2"/>
      <c r="NMT1" s="2"/>
      <c r="NMU1" s="2"/>
      <c r="NMV1" s="2"/>
      <c r="NMW1" s="2"/>
      <c r="NMX1" s="2"/>
      <c r="NMY1" s="2"/>
      <c r="NMZ1" s="2"/>
      <c r="NNA1" s="2"/>
      <c r="NNB1" s="2"/>
      <c r="NNC1" s="2"/>
      <c r="NND1" s="2"/>
      <c r="NNE1" s="2"/>
      <c r="NNF1" s="2"/>
      <c r="NNG1" s="2"/>
      <c r="NNH1" s="2"/>
      <c r="NNI1" s="2"/>
      <c r="NNJ1" s="2"/>
      <c r="NNK1" s="2"/>
      <c r="NNL1" s="2"/>
      <c r="NNM1" s="2"/>
      <c r="NNN1" s="2"/>
      <c r="NNO1" s="2"/>
      <c r="NNP1" s="2"/>
      <c r="NNQ1" s="2"/>
      <c r="NNR1" s="2"/>
      <c r="NNS1" s="2"/>
      <c r="NNT1" s="2"/>
      <c r="NNU1" s="2"/>
      <c r="NNV1" s="2"/>
      <c r="NNW1" s="2"/>
      <c r="NNX1" s="2"/>
      <c r="NNY1" s="2"/>
      <c r="NNZ1" s="2"/>
      <c r="NOA1" s="2"/>
      <c r="NOB1" s="2"/>
      <c r="NOC1" s="2"/>
      <c r="NOD1" s="2"/>
      <c r="NOE1" s="2"/>
      <c r="NOF1" s="2"/>
      <c r="NOG1" s="2"/>
      <c r="NOH1" s="2"/>
      <c r="NOI1" s="2"/>
      <c r="NOJ1" s="2"/>
      <c r="NOK1" s="2"/>
      <c r="NOL1" s="2"/>
      <c r="NOM1" s="2"/>
      <c r="NON1" s="2"/>
      <c r="NOO1" s="2"/>
      <c r="NOP1" s="2"/>
      <c r="NOQ1" s="2"/>
      <c r="NOR1" s="2"/>
      <c r="NOS1" s="2"/>
      <c r="NOT1" s="2"/>
      <c r="NOU1" s="2"/>
      <c r="NOV1" s="2"/>
      <c r="NOW1" s="2"/>
      <c r="NOX1" s="2"/>
      <c r="NOY1" s="2"/>
      <c r="NOZ1" s="2"/>
      <c r="NPA1" s="2"/>
      <c r="NPB1" s="2"/>
      <c r="NPC1" s="2"/>
      <c r="NPD1" s="2"/>
      <c r="NPE1" s="2"/>
      <c r="NPF1" s="2"/>
      <c r="NPG1" s="2"/>
      <c r="NPH1" s="2"/>
      <c r="NPI1" s="2"/>
      <c r="NPJ1" s="2"/>
      <c r="NPK1" s="2"/>
      <c r="NPL1" s="2"/>
      <c r="NPM1" s="2"/>
      <c r="NPN1" s="2"/>
      <c r="NPO1" s="2"/>
      <c r="NPP1" s="2"/>
      <c r="NPQ1" s="2"/>
      <c r="NPR1" s="2"/>
      <c r="NPS1" s="2"/>
      <c r="NPT1" s="2"/>
      <c r="NPU1" s="2"/>
      <c r="NPV1" s="2"/>
      <c r="NPW1" s="2"/>
      <c r="NPX1" s="2"/>
      <c r="NPY1" s="2"/>
      <c r="NPZ1" s="2"/>
      <c r="NQA1" s="2"/>
      <c r="NQB1" s="2"/>
      <c r="NQC1" s="2"/>
      <c r="NQD1" s="2"/>
      <c r="NQE1" s="2"/>
      <c r="NQF1" s="2"/>
      <c r="NQG1" s="2"/>
      <c r="NQH1" s="2"/>
      <c r="NQI1" s="2"/>
      <c r="NQJ1" s="2"/>
      <c r="NQK1" s="2"/>
      <c r="NQL1" s="2"/>
      <c r="NQM1" s="2"/>
      <c r="NQN1" s="2"/>
      <c r="NQO1" s="2"/>
      <c r="NQP1" s="2"/>
      <c r="NQQ1" s="2"/>
      <c r="NQR1" s="2"/>
      <c r="NQS1" s="2"/>
      <c r="NQT1" s="2"/>
      <c r="NQU1" s="2"/>
      <c r="NQV1" s="2"/>
      <c r="NQW1" s="2"/>
      <c r="NQX1" s="2"/>
      <c r="NQY1" s="2"/>
      <c r="NQZ1" s="2"/>
      <c r="NRA1" s="2"/>
      <c r="NRB1" s="2"/>
      <c r="NRC1" s="2"/>
      <c r="NRD1" s="2"/>
      <c r="NRE1" s="2"/>
      <c r="NRF1" s="2"/>
      <c r="NRG1" s="2"/>
      <c r="NRH1" s="2"/>
      <c r="NRI1" s="2"/>
      <c r="NRJ1" s="2"/>
      <c r="NRK1" s="2"/>
      <c r="NRL1" s="2"/>
      <c r="NRM1" s="2"/>
      <c r="NRN1" s="2"/>
      <c r="NRO1" s="2"/>
      <c r="NRP1" s="2"/>
      <c r="NRQ1" s="2"/>
      <c r="NRR1" s="2"/>
      <c r="NRS1" s="2"/>
      <c r="NRT1" s="2"/>
      <c r="NRU1" s="2"/>
      <c r="NRV1" s="2"/>
      <c r="NRW1" s="2"/>
      <c r="NRX1" s="2"/>
      <c r="NRY1" s="2"/>
      <c r="NRZ1" s="2"/>
      <c r="NSA1" s="2"/>
      <c r="NSB1" s="2"/>
      <c r="NSC1" s="2"/>
      <c r="NSD1" s="2"/>
      <c r="NSE1" s="2"/>
      <c r="NSF1" s="2"/>
      <c r="NSG1" s="2"/>
      <c r="NSH1" s="2"/>
      <c r="NSI1" s="2"/>
      <c r="NSJ1" s="2"/>
      <c r="NSK1" s="2"/>
      <c r="NSL1" s="2"/>
      <c r="NSM1" s="2"/>
      <c r="NSN1" s="2"/>
      <c r="NSO1" s="2"/>
      <c r="NSP1" s="2"/>
      <c r="NSQ1" s="2"/>
      <c r="NSR1" s="2"/>
      <c r="NSS1" s="2"/>
      <c r="NST1" s="2"/>
      <c r="NSU1" s="2"/>
      <c r="NSV1" s="2"/>
      <c r="NSW1" s="2"/>
      <c r="NSX1" s="2"/>
      <c r="NSY1" s="2"/>
      <c r="NSZ1" s="2"/>
      <c r="NTA1" s="2"/>
      <c r="NTB1" s="2"/>
      <c r="NTC1" s="2"/>
      <c r="NTD1" s="2"/>
      <c r="NTE1" s="2"/>
      <c r="NTF1" s="2"/>
      <c r="NTG1" s="2"/>
      <c r="NTH1" s="2"/>
      <c r="NTI1" s="2"/>
      <c r="NTJ1" s="2"/>
      <c r="NTK1" s="2"/>
      <c r="NTL1" s="2"/>
      <c r="NTM1" s="2"/>
      <c r="NTN1" s="2"/>
      <c r="NTO1" s="2"/>
      <c r="NTP1" s="2"/>
      <c r="NTQ1" s="2"/>
      <c r="NTR1" s="2"/>
      <c r="NTS1" s="2"/>
      <c r="NTT1" s="2"/>
      <c r="NTU1" s="2"/>
      <c r="NTV1" s="2"/>
      <c r="NTW1" s="2"/>
      <c r="NTX1" s="2"/>
      <c r="NTY1" s="2"/>
      <c r="NTZ1" s="2"/>
      <c r="NUA1" s="2"/>
      <c r="NUB1" s="2"/>
      <c r="NUC1" s="2"/>
      <c r="NUD1" s="2"/>
      <c r="NUE1" s="2"/>
      <c r="NUF1" s="2"/>
      <c r="NUG1" s="2"/>
      <c r="NUH1" s="2"/>
      <c r="NUI1" s="2"/>
      <c r="NUJ1" s="2"/>
      <c r="NUK1" s="2"/>
      <c r="NUL1" s="2"/>
      <c r="NUM1" s="2"/>
      <c r="NUN1" s="2"/>
      <c r="NUO1" s="2"/>
      <c r="NUP1" s="2"/>
      <c r="NUQ1" s="2"/>
      <c r="NUR1" s="2"/>
      <c r="NUS1" s="2"/>
      <c r="NUT1" s="2"/>
      <c r="NUU1" s="2"/>
      <c r="NUV1" s="2"/>
      <c r="NUW1" s="2"/>
      <c r="NUX1" s="2"/>
      <c r="NUY1" s="2"/>
      <c r="NUZ1" s="2"/>
      <c r="NVA1" s="2"/>
      <c r="NVB1" s="2"/>
      <c r="NVC1" s="2"/>
      <c r="NVD1" s="2"/>
      <c r="NVE1" s="2"/>
      <c r="NVF1" s="2"/>
      <c r="NVG1" s="2"/>
      <c r="NVH1" s="2"/>
      <c r="NVI1" s="2"/>
      <c r="NVJ1" s="2"/>
      <c r="NVK1" s="2"/>
      <c r="NVL1" s="2"/>
      <c r="NVM1" s="2"/>
      <c r="NVN1" s="2"/>
      <c r="NVO1" s="2"/>
      <c r="NVP1" s="2"/>
      <c r="NVQ1" s="2"/>
      <c r="NVR1" s="2"/>
      <c r="NVS1" s="2"/>
      <c r="NVT1" s="2"/>
      <c r="NVU1" s="2"/>
      <c r="NVV1" s="2"/>
      <c r="NVW1" s="2"/>
      <c r="NVX1" s="2"/>
      <c r="NVY1" s="2"/>
      <c r="NVZ1" s="2"/>
      <c r="NWA1" s="2"/>
      <c r="NWB1" s="2"/>
      <c r="NWC1" s="2"/>
      <c r="NWD1" s="2"/>
      <c r="NWE1" s="2"/>
      <c r="NWF1" s="2"/>
      <c r="NWG1" s="2"/>
      <c r="NWH1" s="2"/>
      <c r="NWI1" s="2"/>
      <c r="NWJ1" s="2"/>
      <c r="NWK1" s="2"/>
      <c r="NWL1" s="2"/>
      <c r="NWM1" s="2"/>
      <c r="NWN1" s="2"/>
      <c r="NWO1" s="2"/>
      <c r="NWP1" s="2"/>
      <c r="NWQ1" s="2"/>
      <c r="NWR1" s="2"/>
      <c r="NWS1" s="2"/>
      <c r="NWT1" s="2"/>
      <c r="NWU1" s="2"/>
      <c r="NWV1" s="2"/>
      <c r="NWW1" s="2"/>
      <c r="NWX1" s="2"/>
      <c r="NWY1" s="2"/>
      <c r="NWZ1" s="2"/>
      <c r="NXA1" s="2"/>
      <c r="NXB1" s="2"/>
      <c r="NXC1" s="2"/>
      <c r="NXD1" s="2"/>
      <c r="NXE1" s="2"/>
      <c r="NXF1" s="2"/>
      <c r="NXG1" s="2"/>
      <c r="NXH1" s="2"/>
      <c r="NXI1" s="2"/>
      <c r="NXJ1" s="2"/>
      <c r="NXK1" s="2"/>
      <c r="NXL1" s="2"/>
      <c r="NXM1" s="2"/>
      <c r="NXN1" s="2"/>
      <c r="NXO1" s="2"/>
      <c r="NXP1" s="2"/>
      <c r="NXQ1" s="2"/>
      <c r="NXR1" s="2"/>
      <c r="NXS1" s="2"/>
      <c r="NXT1" s="2"/>
      <c r="NXU1" s="2"/>
      <c r="NXV1" s="2"/>
      <c r="NXW1" s="2"/>
      <c r="NXX1" s="2"/>
      <c r="NXY1" s="2"/>
      <c r="NXZ1" s="2"/>
      <c r="NYA1" s="2"/>
      <c r="NYB1" s="2"/>
      <c r="NYC1" s="2"/>
      <c r="NYD1" s="2"/>
      <c r="NYE1" s="2"/>
      <c r="NYF1" s="2"/>
      <c r="NYG1" s="2"/>
      <c r="NYH1" s="2"/>
      <c r="NYI1" s="2"/>
      <c r="NYJ1" s="2"/>
      <c r="NYK1" s="2"/>
      <c r="NYL1" s="2"/>
      <c r="NYM1" s="2"/>
      <c r="NYN1" s="2"/>
      <c r="NYO1" s="2"/>
      <c r="NYP1" s="2"/>
      <c r="NYQ1" s="2"/>
      <c r="NYR1" s="2"/>
      <c r="NYS1" s="2"/>
      <c r="NYT1" s="2"/>
      <c r="NYU1" s="2"/>
      <c r="NYV1" s="2"/>
      <c r="NYW1" s="2"/>
      <c r="NYX1" s="2"/>
      <c r="NYY1" s="2"/>
      <c r="NYZ1" s="2"/>
      <c r="NZA1" s="2"/>
      <c r="NZB1" s="2"/>
      <c r="NZC1" s="2"/>
      <c r="NZD1" s="2"/>
      <c r="NZE1" s="2"/>
      <c r="NZF1" s="2"/>
      <c r="NZG1" s="2"/>
      <c r="NZH1" s="2"/>
      <c r="NZI1" s="2"/>
      <c r="NZJ1" s="2"/>
      <c r="NZK1" s="2"/>
      <c r="NZL1" s="2"/>
      <c r="NZM1" s="2"/>
      <c r="NZN1" s="2"/>
      <c r="NZO1" s="2"/>
      <c r="NZP1" s="2"/>
      <c r="NZQ1" s="2"/>
      <c r="NZR1" s="2"/>
      <c r="NZS1" s="2"/>
      <c r="NZT1" s="2"/>
      <c r="NZU1" s="2"/>
      <c r="NZV1" s="2"/>
      <c r="NZW1" s="2"/>
      <c r="NZX1" s="2"/>
      <c r="NZY1" s="2"/>
      <c r="NZZ1" s="2"/>
      <c r="OAA1" s="2"/>
      <c r="OAB1" s="2"/>
      <c r="OAC1" s="2"/>
      <c r="OAD1" s="2"/>
      <c r="OAE1" s="2"/>
      <c r="OAF1" s="2"/>
      <c r="OAG1" s="2"/>
      <c r="OAH1" s="2"/>
      <c r="OAI1" s="2"/>
      <c r="OAJ1" s="2"/>
      <c r="OAK1" s="2"/>
      <c r="OAL1" s="2"/>
      <c r="OAM1" s="2"/>
      <c r="OAN1" s="2"/>
      <c r="OAO1" s="2"/>
      <c r="OAP1" s="2"/>
      <c r="OAQ1" s="2"/>
      <c r="OAR1" s="2"/>
      <c r="OAS1" s="2"/>
      <c r="OAT1" s="2"/>
      <c r="OAU1" s="2"/>
      <c r="OAV1" s="2"/>
      <c r="OAW1" s="2"/>
      <c r="OAX1" s="2"/>
      <c r="OAY1" s="2"/>
      <c r="OAZ1" s="2"/>
      <c r="OBA1" s="2"/>
      <c r="OBB1" s="2"/>
      <c r="OBC1" s="2"/>
      <c r="OBD1" s="2"/>
      <c r="OBE1" s="2"/>
      <c r="OBF1" s="2"/>
      <c r="OBG1" s="2"/>
      <c r="OBH1" s="2"/>
      <c r="OBI1" s="2"/>
      <c r="OBJ1" s="2"/>
      <c r="OBK1" s="2"/>
      <c r="OBL1" s="2"/>
      <c r="OBM1" s="2"/>
      <c r="OBN1" s="2"/>
      <c r="OBO1" s="2"/>
      <c r="OBP1" s="2"/>
      <c r="OBQ1" s="2"/>
      <c r="OBR1" s="2"/>
      <c r="OBS1" s="2"/>
      <c r="OBT1" s="2"/>
      <c r="OBU1" s="2"/>
      <c r="OBV1" s="2"/>
      <c r="OBW1" s="2"/>
      <c r="OBX1" s="2"/>
      <c r="OBY1" s="2"/>
      <c r="OBZ1" s="2"/>
      <c r="OCA1" s="2"/>
      <c r="OCB1" s="2"/>
      <c r="OCC1" s="2"/>
      <c r="OCD1" s="2"/>
      <c r="OCE1" s="2"/>
      <c r="OCF1" s="2"/>
      <c r="OCG1" s="2"/>
      <c r="OCH1" s="2"/>
      <c r="OCI1" s="2"/>
      <c r="OCJ1" s="2"/>
      <c r="OCK1" s="2"/>
      <c r="OCL1" s="2"/>
      <c r="OCM1" s="2"/>
      <c r="OCN1" s="2"/>
      <c r="OCO1" s="2"/>
      <c r="OCP1" s="2"/>
      <c r="OCQ1" s="2"/>
      <c r="OCR1" s="2"/>
      <c r="OCS1" s="2"/>
      <c r="OCT1" s="2"/>
      <c r="OCU1" s="2"/>
      <c r="OCV1" s="2"/>
      <c r="OCW1" s="2"/>
      <c r="OCX1" s="2"/>
      <c r="OCY1" s="2"/>
      <c r="OCZ1" s="2"/>
      <c r="ODA1" s="2"/>
      <c r="ODB1" s="2"/>
      <c r="ODC1" s="2"/>
      <c r="ODD1" s="2"/>
      <c r="ODE1" s="2"/>
      <c r="ODF1" s="2"/>
      <c r="ODG1" s="2"/>
      <c r="ODH1" s="2"/>
      <c r="ODI1" s="2"/>
      <c r="ODJ1" s="2"/>
      <c r="ODK1" s="2"/>
      <c r="ODL1" s="2"/>
      <c r="ODM1" s="2"/>
      <c r="ODN1" s="2"/>
      <c r="ODO1" s="2"/>
      <c r="ODP1" s="2"/>
      <c r="ODQ1" s="2"/>
      <c r="ODR1" s="2"/>
      <c r="ODS1" s="2"/>
      <c r="ODT1" s="2"/>
      <c r="ODU1" s="2"/>
      <c r="ODV1" s="2"/>
      <c r="ODW1" s="2"/>
      <c r="ODX1" s="2"/>
      <c r="ODY1" s="2"/>
      <c r="ODZ1" s="2"/>
      <c r="OEA1" s="2"/>
      <c r="OEB1" s="2"/>
      <c r="OEC1" s="2"/>
      <c r="OED1" s="2"/>
      <c r="OEE1" s="2"/>
      <c r="OEF1" s="2"/>
      <c r="OEG1" s="2"/>
      <c r="OEH1" s="2"/>
      <c r="OEI1" s="2"/>
      <c r="OEJ1" s="2"/>
      <c r="OEK1" s="2"/>
      <c r="OEL1" s="2"/>
      <c r="OEM1" s="2"/>
      <c r="OEN1" s="2"/>
      <c r="OEO1" s="2"/>
      <c r="OEP1" s="2"/>
      <c r="OEQ1" s="2"/>
      <c r="OER1" s="2"/>
      <c r="OES1" s="2"/>
      <c r="OET1" s="2"/>
      <c r="OEU1" s="2"/>
      <c r="OEV1" s="2"/>
      <c r="OEW1" s="2"/>
      <c r="OEX1" s="2"/>
      <c r="OEY1" s="2"/>
      <c r="OEZ1" s="2"/>
      <c r="OFA1" s="2"/>
      <c r="OFB1" s="2"/>
      <c r="OFC1" s="2"/>
      <c r="OFD1" s="2"/>
      <c r="OFE1" s="2"/>
      <c r="OFF1" s="2"/>
      <c r="OFG1" s="2"/>
      <c r="OFH1" s="2"/>
      <c r="OFI1" s="2"/>
      <c r="OFJ1" s="2"/>
      <c r="OFK1" s="2"/>
      <c r="OFL1" s="2"/>
      <c r="OFM1" s="2"/>
      <c r="OFN1" s="2"/>
      <c r="OFO1" s="2"/>
      <c r="OFP1" s="2"/>
      <c r="OFQ1" s="2"/>
      <c r="OFR1" s="2"/>
      <c r="OFS1" s="2"/>
      <c r="OFT1" s="2"/>
      <c r="OFU1" s="2"/>
      <c r="OFV1" s="2"/>
      <c r="OFW1" s="2"/>
      <c r="OFX1" s="2"/>
      <c r="OFY1" s="2"/>
      <c r="OFZ1" s="2"/>
      <c r="OGA1" s="2"/>
      <c r="OGB1" s="2"/>
      <c r="OGC1" s="2"/>
      <c r="OGD1" s="2"/>
      <c r="OGE1" s="2"/>
      <c r="OGF1" s="2"/>
      <c r="OGG1" s="2"/>
      <c r="OGH1" s="2"/>
      <c r="OGI1" s="2"/>
      <c r="OGJ1" s="2"/>
      <c r="OGK1" s="2"/>
      <c r="OGL1" s="2"/>
      <c r="OGM1" s="2"/>
      <c r="OGN1" s="2"/>
      <c r="OGO1" s="2"/>
      <c r="OGP1" s="2"/>
      <c r="OGQ1" s="2"/>
      <c r="OGR1" s="2"/>
      <c r="OGS1" s="2"/>
      <c r="OGT1" s="2"/>
      <c r="OGU1" s="2"/>
      <c r="OGV1" s="2"/>
      <c r="OGW1" s="2"/>
      <c r="OGX1" s="2"/>
      <c r="OGY1" s="2"/>
      <c r="OGZ1" s="2"/>
      <c r="OHA1" s="2"/>
      <c r="OHB1" s="2"/>
      <c r="OHC1" s="2"/>
      <c r="OHD1" s="2"/>
      <c r="OHE1" s="2"/>
      <c r="OHF1" s="2"/>
      <c r="OHG1" s="2"/>
      <c r="OHH1" s="2"/>
      <c r="OHI1" s="2"/>
      <c r="OHJ1" s="2"/>
      <c r="OHK1" s="2"/>
      <c r="OHL1" s="2"/>
      <c r="OHM1" s="2"/>
      <c r="OHN1" s="2"/>
      <c r="OHO1" s="2"/>
      <c r="OHP1" s="2"/>
      <c r="OHQ1" s="2"/>
      <c r="OHR1" s="2"/>
      <c r="OHS1" s="2"/>
      <c r="OHT1" s="2"/>
      <c r="OHU1" s="2"/>
      <c r="OHV1" s="2"/>
      <c r="OHW1" s="2"/>
      <c r="OHX1" s="2"/>
      <c r="OHY1" s="2"/>
      <c r="OHZ1" s="2"/>
      <c r="OIA1" s="2"/>
      <c r="OIB1" s="2"/>
      <c r="OIC1" s="2"/>
      <c r="OID1" s="2"/>
      <c r="OIE1" s="2"/>
      <c r="OIF1" s="2"/>
      <c r="OIG1" s="2"/>
      <c r="OIH1" s="2"/>
      <c r="OII1" s="2"/>
      <c r="OIJ1" s="2"/>
      <c r="OIK1" s="2"/>
      <c r="OIL1" s="2"/>
      <c r="OIM1" s="2"/>
      <c r="OIN1" s="2"/>
      <c r="OIO1" s="2"/>
      <c r="OIP1" s="2"/>
      <c r="OIQ1" s="2"/>
      <c r="OIR1" s="2"/>
      <c r="OIS1" s="2"/>
      <c r="OIT1" s="2"/>
      <c r="OIU1" s="2"/>
      <c r="OIV1" s="2"/>
      <c r="OIW1" s="2"/>
      <c r="OIX1" s="2"/>
      <c r="OIY1" s="2"/>
      <c r="OIZ1" s="2"/>
      <c r="OJA1" s="2"/>
      <c r="OJB1" s="2"/>
      <c r="OJC1" s="2"/>
      <c r="OJD1" s="2"/>
      <c r="OJE1" s="2"/>
      <c r="OJF1" s="2"/>
      <c r="OJG1" s="2"/>
      <c r="OJH1" s="2"/>
      <c r="OJI1" s="2"/>
      <c r="OJJ1" s="2"/>
      <c r="OJK1" s="2"/>
      <c r="OJL1" s="2"/>
      <c r="OJM1" s="2"/>
      <c r="OJN1" s="2"/>
      <c r="OJO1" s="2"/>
      <c r="OJP1" s="2"/>
      <c r="OJQ1" s="2"/>
      <c r="OJR1" s="2"/>
      <c r="OJS1" s="2"/>
      <c r="OJT1" s="2"/>
      <c r="OJU1" s="2"/>
      <c r="OJV1" s="2"/>
      <c r="OJW1" s="2"/>
      <c r="OJX1" s="2"/>
      <c r="OJY1" s="2"/>
      <c r="OJZ1" s="2"/>
      <c r="OKA1" s="2"/>
      <c r="OKB1" s="2"/>
      <c r="OKC1" s="2"/>
      <c r="OKD1" s="2"/>
      <c r="OKE1" s="2"/>
      <c r="OKF1" s="2"/>
      <c r="OKG1" s="2"/>
      <c r="OKH1" s="2"/>
      <c r="OKI1" s="2"/>
      <c r="OKJ1" s="2"/>
      <c r="OKK1" s="2"/>
      <c r="OKL1" s="2"/>
      <c r="OKM1" s="2"/>
      <c r="OKN1" s="2"/>
      <c r="OKO1" s="2"/>
      <c r="OKP1" s="2"/>
      <c r="OKQ1" s="2"/>
      <c r="OKR1" s="2"/>
      <c r="OKS1" s="2"/>
      <c r="OKT1" s="2"/>
      <c r="OKU1" s="2"/>
      <c r="OKV1" s="2"/>
      <c r="OKW1" s="2"/>
      <c r="OKX1" s="2"/>
      <c r="OKY1" s="2"/>
      <c r="OKZ1" s="2"/>
      <c r="OLA1" s="2"/>
      <c r="OLB1" s="2"/>
      <c r="OLC1" s="2"/>
      <c r="OLD1" s="2"/>
      <c r="OLE1" s="2"/>
      <c r="OLF1" s="2"/>
      <c r="OLG1" s="2"/>
      <c r="OLH1" s="2"/>
      <c r="OLI1" s="2"/>
      <c r="OLJ1" s="2"/>
      <c r="OLK1" s="2"/>
      <c r="OLL1" s="2"/>
      <c r="OLM1" s="2"/>
      <c r="OLN1" s="2"/>
      <c r="OLO1" s="2"/>
      <c r="OLP1" s="2"/>
      <c r="OLQ1" s="2"/>
      <c r="OLR1" s="2"/>
      <c r="OLS1" s="2"/>
      <c r="OLT1" s="2"/>
      <c r="OLU1" s="2"/>
      <c r="OLV1" s="2"/>
      <c r="OLW1" s="2"/>
      <c r="OLX1" s="2"/>
      <c r="OLY1" s="2"/>
      <c r="OLZ1" s="2"/>
      <c r="OMA1" s="2"/>
      <c r="OMB1" s="2"/>
      <c r="OMC1" s="2"/>
      <c r="OMD1" s="2"/>
      <c r="OME1" s="2"/>
      <c r="OMF1" s="2"/>
      <c r="OMG1" s="2"/>
      <c r="OMH1" s="2"/>
      <c r="OMI1" s="2"/>
      <c r="OMJ1" s="2"/>
      <c r="OMK1" s="2"/>
      <c r="OML1" s="2"/>
      <c r="OMM1" s="2"/>
      <c r="OMN1" s="2"/>
      <c r="OMO1" s="2"/>
      <c r="OMP1" s="2"/>
      <c r="OMQ1" s="2"/>
      <c r="OMR1" s="2"/>
      <c r="OMS1" s="2"/>
      <c r="OMT1" s="2"/>
      <c r="OMU1" s="2"/>
      <c r="OMV1" s="2"/>
      <c r="OMW1" s="2"/>
      <c r="OMX1" s="2"/>
      <c r="OMY1" s="2"/>
      <c r="OMZ1" s="2"/>
      <c r="ONA1" s="2"/>
      <c r="ONB1" s="2"/>
      <c r="ONC1" s="2"/>
      <c r="OND1" s="2"/>
      <c r="ONE1" s="2"/>
      <c r="ONF1" s="2"/>
      <c r="ONG1" s="2"/>
      <c r="ONH1" s="2"/>
      <c r="ONI1" s="2"/>
      <c r="ONJ1" s="2"/>
      <c r="ONK1" s="2"/>
      <c r="ONL1" s="2"/>
      <c r="ONM1" s="2"/>
      <c r="ONN1" s="2"/>
      <c r="ONO1" s="2"/>
      <c r="ONP1" s="2"/>
      <c r="ONQ1" s="2"/>
      <c r="ONR1" s="2"/>
      <c r="ONS1" s="2"/>
      <c r="ONT1" s="2"/>
      <c r="ONU1" s="2"/>
      <c r="ONV1" s="2"/>
      <c r="ONW1" s="2"/>
      <c r="ONX1" s="2"/>
      <c r="ONY1" s="2"/>
      <c r="ONZ1" s="2"/>
      <c r="OOA1" s="2"/>
      <c r="OOB1" s="2"/>
      <c r="OOC1" s="2"/>
      <c r="OOD1" s="2"/>
      <c r="OOE1" s="2"/>
      <c r="OOF1" s="2"/>
      <c r="OOG1" s="2"/>
      <c r="OOH1" s="2"/>
      <c r="OOI1" s="2"/>
      <c r="OOJ1" s="2"/>
      <c r="OOK1" s="2"/>
      <c r="OOL1" s="2"/>
      <c r="OOM1" s="2"/>
      <c r="OON1" s="2"/>
      <c r="OOO1" s="2"/>
      <c r="OOP1" s="2"/>
      <c r="OOQ1" s="2"/>
      <c r="OOR1" s="2"/>
      <c r="OOS1" s="2"/>
      <c r="OOT1" s="2"/>
      <c r="OOU1" s="2"/>
      <c r="OOV1" s="2"/>
      <c r="OOW1" s="2"/>
      <c r="OOX1" s="2"/>
      <c r="OOY1" s="2"/>
      <c r="OOZ1" s="2"/>
      <c r="OPA1" s="2"/>
      <c r="OPB1" s="2"/>
      <c r="OPC1" s="2"/>
      <c r="OPD1" s="2"/>
      <c r="OPE1" s="2"/>
      <c r="OPF1" s="2"/>
      <c r="OPG1" s="2"/>
      <c r="OPH1" s="2"/>
      <c r="OPI1" s="2"/>
      <c r="OPJ1" s="2"/>
      <c r="OPK1" s="2"/>
      <c r="OPL1" s="2"/>
      <c r="OPM1" s="2"/>
      <c r="OPN1" s="2"/>
      <c r="OPO1" s="2"/>
      <c r="OPP1" s="2"/>
      <c r="OPQ1" s="2"/>
      <c r="OPR1" s="2"/>
      <c r="OPS1" s="2"/>
      <c r="OPT1" s="2"/>
      <c r="OPU1" s="2"/>
      <c r="OPV1" s="2"/>
      <c r="OPW1" s="2"/>
      <c r="OPX1" s="2"/>
      <c r="OPY1" s="2"/>
      <c r="OPZ1" s="2"/>
      <c r="OQA1" s="2"/>
      <c r="OQB1" s="2"/>
      <c r="OQC1" s="2"/>
      <c r="OQD1" s="2"/>
      <c r="OQE1" s="2"/>
      <c r="OQF1" s="2"/>
      <c r="OQG1" s="2"/>
      <c r="OQH1" s="2"/>
      <c r="OQI1" s="2"/>
      <c r="OQJ1" s="2"/>
      <c r="OQK1" s="2"/>
      <c r="OQL1" s="2"/>
      <c r="OQM1" s="2"/>
      <c r="OQN1" s="2"/>
      <c r="OQO1" s="2"/>
      <c r="OQP1" s="2"/>
      <c r="OQQ1" s="2"/>
      <c r="OQR1" s="2"/>
      <c r="OQS1" s="2"/>
      <c r="OQT1" s="2"/>
      <c r="OQU1" s="2"/>
      <c r="OQV1" s="2"/>
      <c r="OQW1" s="2"/>
      <c r="OQX1" s="2"/>
      <c r="OQY1" s="2"/>
      <c r="OQZ1" s="2"/>
      <c r="ORA1" s="2"/>
      <c r="ORB1" s="2"/>
      <c r="ORC1" s="2"/>
      <c r="ORD1" s="2"/>
      <c r="ORE1" s="2"/>
      <c r="ORF1" s="2"/>
      <c r="ORG1" s="2"/>
      <c r="ORH1" s="2"/>
      <c r="ORI1" s="2"/>
      <c r="ORJ1" s="2"/>
      <c r="ORK1" s="2"/>
      <c r="ORL1" s="2"/>
      <c r="ORM1" s="2"/>
      <c r="ORN1" s="2"/>
      <c r="ORO1" s="2"/>
      <c r="ORP1" s="2"/>
      <c r="ORQ1" s="2"/>
      <c r="ORR1" s="2"/>
      <c r="ORS1" s="2"/>
      <c r="ORT1" s="2"/>
      <c r="ORU1" s="2"/>
      <c r="ORV1" s="2"/>
      <c r="ORW1" s="2"/>
      <c r="ORX1" s="2"/>
      <c r="ORY1" s="2"/>
      <c r="ORZ1" s="2"/>
      <c r="OSA1" s="2"/>
      <c r="OSB1" s="2"/>
      <c r="OSC1" s="2"/>
      <c r="OSD1" s="2"/>
      <c r="OSE1" s="2"/>
      <c r="OSF1" s="2"/>
      <c r="OSG1" s="2"/>
      <c r="OSH1" s="2"/>
      <c r="OSI1" s="2"/>
      <c r="OSJ1" s="2"/>
      <c r="OSK1" s="2"/>
      <c r="OSL1" s="2"/>
      <c r="OSM1" s="2"/>
      <c r="OSN1" s="2"/>
      <c r="OSO1" s="2"/>
      <c r="OSP1" s="2"/>
      <c r="OSQ1" s="2"/>
      <c r="OSR1" s="2"/>
      <c r="OSS1" s="2"/>
      <c r="OST1" s="2"/>
      <c r="OSU1" s="2"/>
      <c r="OSV1" s="2"/>
      <c r="OSW1" s="2"/>
      <c r="OSX1" s="2"/>
      <c r="OSY1" s="2"/>
      <c r="OSZ1" s="2"/>
      <c r="OTA1" s="2"/>
      <c r="OTB1" s="2"/>
      <c r="OTC1" s="2"/>
      <c r="OTD1" s="2"/>
      <c r="OTE1" s="2"/>
      <c r="OTF1" s="2"/>
      <c r="OTG1" s="2"/>
      <c r="OTH1" s="2"/>
      <c r="OTI1" s="2"/>
      <c r="OTJ1" s="2"/>
      <c r="OTK1" s="2"/>
      <c r="OTL1" s="2"/>
      <c r="OTM1" s="2"/>
      <c r="OTN1" s="2"/>
      <c r="OTO1" s="2"/>
      <c r="OTP1" s="2"/>
      <c r="OTQ1" s="2"/>
      <c r="OTR1" s="2"/>
      <c r="OTS1" s="2"/>
      <c r="OTT1" s="2"/>
      <c r="OTU1" s="2"/>
      <c r="OTV1" s="2"/>
      <c r="OTW1" s="2"/>
      <c r="OTX1" s="2"/>
      <c r="OTY1" s="2"/>
      <c r="OTZ1" s="2"/>
      <c r="OUA1" s="2"/>
      <c r="OUB1" s="2"/>
      <c r="OUC1" s="2"/>
      <c r="OUD1" s="2"/>
      <c r="OUE1" s="2"/>
      <c r="OUF1" s="2"/>
      <c r="OUG1" s="2"/>
      <c r="OUH1" s="2"/>
      <c r="OUI1" s="2"/>
      <c r="OUJ1" s="2"/>
      <c r="OUK1" s="2"/>
      <c r="OUL1" s="2"/>
      <c r="OUM1" s="2"/>
      <c r="OUN1" s="2"/>
      <c r="OUO1" s="2"/>
      <c r="OUP1" s="2"/>
      <c r="OUQ1" s="2"/>
      <c r="OUR1" s="2"/>
      <c r="OUS1" s="2"/>
      <c r="OUT1" s="2"/>
      <c r="OUU1" s="2"/>
      <c r="OUV1" s="2"/>
      <c r="OUW1" s="2"/>
      <c r="OUX1" s="2"/>
      <c r="OUY1" s="2"/>
      <c r="OUZ1" s="2"/>
      <c r="OVA1" s="2"/>
      <c r="OVB1" s="2"/>
      <c r="OVC1" s="2"/>
      <c r="OVD1" s="2"/>
      <c r="OVE1" s="2"/>
      <c r="OVF1" s="2"/>
      <c r="OVG1" s="2"/>
      <c r="OVH1" s="2"/>
      <c r="OVI1" s="2"/>
      <c r="OVJ1" s="2"/>
      <c r="OVK1" s="2"/>
      <c r="OVL1" s="2"/>
      <c r="OVM1" s="2"/>
      <c r="OVN1" s="2"/>
      <c r="OVO1" s="2"/>
      <c r="OVP1" s="2"/>
      <c r="OVQ1" s="2"/>
      <c r="OVR1" s="2"/>
      <c r="OVS1" s="2"/>
      <c r="OVT1" s="2"/>
      <c r="OVU1" s="2"/>
      <c r="OVV1" s="2"/>
      <c r="OVW1" s="2"/>
      <c r="OVX1" s="2"/>
      <c r="OVY1" s="2"/>
      <c r="OVZ1" s="2"/>
      <c r="OWA1" s="2"/>
      <c r="OWB1" s="2"/>
      <c r="OWC1" s="2"/>
      <c r="OWD1" s="2"/>
      <c r="OWE1" s="2"/>
      <c r="OWF1" s="2"/>
      <c r="OWG1" s="2"/>
      <c r="OWH1" s="2"/>
      <c r="OWI1" s="2"/>
      <c r="OWJ1" s="2"/>
      <c r="OWK1" s="2"/>
      <c r="OWL1" s="2"/>
      <c r="OWM1" s="2"/>
      <c r="OWN1" s="2"/>
      <c r="OWO1" s="2"/>
      <c r="OWP1" s="2"/>
      <c r="OWQ1" s="2"/>
      <c r="OWR1" s="2"/>
      <c r="OWS1" s="2"/>
      <c r="OWT1" s="2"/>
      <c r="OWU1" s="2"/>
      <c r="OWV1" s="2"/>
      <c r="OWW1" s="2"/>
      <c r="OWX1" s="2"/>
      <c r="OWY1" s="2"/>
      <c r="OWZ1" s="2"/>
      <c r="OXA1" s="2"/>
      <c r="OXB1" s="2"/>
      <c r="OXC1" s="2"/>
      <c r="OXD1" s="2"/>
      <c r="OXE1" s="2"/>
      <c r="OXF1" s="2"/>
      <c r="OXG1" s="2"/>
      <c r="OXH1" s="2"/>
      <c r="OXI1" s="2"/>
      <c r="OXJ1" s="2"/>
      <c r="OXK1" s="2"/>
      <c r="OXL1" s="2"/>
      <c r="OXM1" s="2"/>
      <c r="OXN1" s="2"/>
      <c r="OXO1" s="2"/>
      <c r="OXP1" s="2"/>
      <c r="OXQ1" s="2"/>
      <c r="OXR1" s="2"/>
      <c r="OXS1" s="2"/>
      <c r="OXT1" s="2"/>
      <c r="OXU1" s="2"/>
      <c r="OXV1" s="2"/>
      <c r="OXW1" s="2"/>
      <c r="OXX1" s="2"/>
      <c r="OXY1" s="2"/>
      <c r="OXZ1" s="2"/>
      <c r="OYA1" s="2"/>
      <c r="OYB1" s="2"/>
      <c r="OYC1" s="2"/>
      <c r="OYD1" s="2"/>
      <c r="OYE1" s="2"/>
      <c r="OYF1" s="2"/>
      <c r="OYG1" s="2"/>
      <c r="OYH1" s="2"/>
      <c r="OYI1" s="2"/>
      <c r="OYJ1" s="2"/>
      <c r="OYK1" s="2"/>
      <c r="OYL1" s="2"/>
      <c r="OYM1" s="2"/>
      <c r="OYN1" s="2"/>
      <c r="OYO1" s="2"/>
      <c r="OYP1" s="2"/>
      <c r="OYQ1" s="2"/>
      <c r="OYR1" s="2"/>
      <c r="OYS1" s="2"/>
      <c r="OYT1" s="2"/>
      <c r="OYU1" s="2"/>
      <c r="OYV1" s="2"/>
      <c r="OYW1" s="2"/>
      <c r="OYX1" s="2"/>
      <c r="OYY1" s="2"/>
      <c r="OYZ1" s="2"/>
      <c r="OZA1" s="2"/>
      <c r="OZB1" s="2"/>
      <c r="OZC1" s="2"/>
      <c r="OZD1" s="2"/>
      <c r="OZE1" s="2"/>
      <c r="OZF1" s="2"/>
      <c r="OZG1" s="2"/>
      <c r="OZH1" s="2"/>
      <c r="OZI1" s="2"/>
      <c r="OZJ1" s="2"/>
      <c r="OZK1" s="2"/>
      <c r="OZL1" s="2"/>
      <c r="OZM1" s="2"/>
      <c r="OZN1" s="2"/>
      <c r="OZO1" s="2"/>
      <c r="OZP1" s="2"/>
      <c r="OZQ1" s="2"/>
      <c r="OZR1" s="2"/>
      <c r="OZS1" s="2"/>
      <c r="OZT1" s="2"/>
      <c r="OZU1" s="2"/>
      <c r="OZV1" s="2"/>
      <c r="OZW1" s="2"/>
      <c r="OZX1" s="2"/>
      <c r="OZY1" s="2"/>
      <c r="OZZ1" s="2"/>
      <c r="PAA1" s="2"/>
      <c r="PAB1" s="2"/>
      <c r="PAC1" s="2"/>
      <c r="PAD1" s="2"/>
      <c r="PAE1" s="2"/>
      <c r="PAF1" s="2"/>
      <c r="PAG1" s="2"/>
      <c r="PAH1" s="2"/>
      <c r="PAI1" s="2"/>
      <c r="PAJ1" s="2"/>
      <c r="PAK1" s="2"/>
      <c r="PAL1" s="2"/>
      <c r="PAM1" s="2"/>
      <c r="PAN1" s="2"/>
      <c r="PAO1" s="2"/>
      <c r="PAP1" s="2"/>
      <c r="PAQ1" s="2"/>
      <c r="PAR1" s="2"/>
      <c r="PAS1" s="2"/>
      <c r="PAT1" s="2"/>
      <c r="PAU1" s="2"/>
      <c r="PAV1" s="2"/>
      <c r="PAW1" s="2"/>
      <c r="PAX1" s="2"/>
      <c r="PAY1" s="2"/>
      <c r="PAZ1" s="2"/>
      <c r="PBA1" s="2"/>
      <c r="PBB1" s="2"/>
      <c r="PBC1" s="2"/>
      <c r="PBD1" s="2"/>
      <c r="PBE1" s="2"/>
      <c r="PBF1" s="2"/>
      <c r="PBG1" s="2"/>
      <c r="PBH1" s="2"/>
      <c r="PBI1" s="2"/>
      <c r="PBJ1" s="2"/>
      <c r="PBK1" s="2"/>
      <c r="PBL1" s="2"/>
      <c r="PBM1" s="2"/>
      <c r="PBN1" s="2"/>
      <c r="PBO1" s="2"/>
      <c r="PBP1" s="2"/>
      <c r="PBQ1" s="2"/>
      <c r="PBR1" s="2"/>
      <c r="PBS1" s="2"/>
      <c r="PBT1" s="2"/>
      <c r="PBU1" s="2"/>
      <c r="PBV1" s="2"/>
      <c r="PBW1" s="2"/>
      <c r="PBX1" s="2"/>
      <c r="PBY1" s="2"/>
      <c r="PBZ1" s="2"/>
      <c r="PCA1" s="2"/>
      <c r="PCB1" s="2"/>
      <c r="PCC1" s="2"/>
      <c r="PCD1" s="2"/>
      <c r="PCE1" s="2"/>
      <c r="PCF1" s="2"/>
      <c r="PCG1" s="2"/>
      <c r="PCH1" s="2"/>
      <c r="PCI1" s="2"/>
      <c r="PCJ1" s="2"/>
      <c r="PCK1" s="2"/>
      <c r="PCL1" s="2"/>
      <c r="PCM1" s="2"/>
      <c r="PCN1" s="2"/>
      <c r="PCO1" s="2"/>
      <c r="PCP1" s="2"/>
      <c r="PCQ1" s="2"/>
      <c r="PCR1" s="2"/>
      <c r="PCS1" s="2"/>
      <c r="PCT1" s="2"/>
      <c r="PCU1" s="2"/>
      <c r="PCV1" s="2"/>
      <c r="PCW1" s="2"/>
      <c r="PCX1" s="2"/>
      <c r="PCY1" s="2"/>
      <c r="PCZ1" s="2"/>
      <c r="PDA1" s="2"/>
      <c r="PDB1" s="2"/>
      <c r="PDC1" s="2"/>
      <c r="PDD1" s="2"/>
      <c r="PDE1" s="2"/>
      <c r="PDF1" s="2"/>
      <c r="PDG1" s="2"/>
      <c r="PDH1" s="2"/>
      <c r="PDI1" s="2"/>
      <c r="PDJ1" s="2"/>
      <c r="PDK1" s="2"/>
      <c r="PDL1" s="2"/>
      <c r="PDM1" s="2"/>
      <c r="PDN1" s="2"/>
      <c r="PDO1" s="2"/>
      <c r="PDP1" s="2"/>
      <c r="PDQ1" s="2"/>
      <c r="PDR1" s="2"/>
      <c r="PDS1" s="2"/>
      <c r="PDT1" s="2"/>
      <c r="PDU1" s="2"/>
      <c r="PDV1" s="2"/>
      <c r="PDW1" s="2"/>
      <c r="PDX1" s="2"/>
      <c r="PDY1" s="2"/>
      <c r="PDZ1" s="2"/>
      <c r="PEA1" s="2"/>
      <c r="PEB1" s="2"/>
      <c r="PEC1" s="2"/>
      <c r="PED1" s="2"/>
      <c r="PEE1" s="2"/>
      <c r="PEF1" s="2"/>
      <c r="PEG1" s="2"/>
      <c r="PEH1" s="2"/>
      <c r="PEI1" s="2"/>
      <c r="PEJ1" s="2"/>
      <c r="PEK1" s="2"/>
      <c r="PEL1" s="2"/>
      <c r="PEM1" s="2"/>
      <c r="PEN1" s="2"/>
      <c r="PEO1" s="2"/>
      <c r="PEP1" s="2"/>
      <c r="PEQ1" s="2"/>
      <c r="PER1" s="2"/>
      <c r="PES1" s="2"/>
      <c r="PET1" s="2"/>
      <c r="PEU1" s="2"/>
      <c r="PEV1" s="2"/>
      <c r="PEW1" s="2"/>
      <c r="PEX1" s="2"/>
      <c r="PEY1" s="2"/>
      <c r="PEZ1" s="2"/>
      <c r="PFA1" s="2"/>
      <c r="PFB1" s="2"/>
      <c r="PFC1" s="2"/>
      <c r="PFD1" s="2"/>
      <c r="PFE1" s="2"/>
      <c r="PFF1" s="2"/>
      <c r="PFG1" s="2"/>
      <c r="PFH1" s="2"/>
      <c r="PFI1" s="2"/>
      <c r="PFJ1" s="2"/>
      <c r="PFK1" s="2"/>
      <c r="PFL1" s="2"/>
      <c r="PFM1" s="2"/>
      <c r="PFN1" s="2"/>
      <c r="PFO1" s="2"/>
      <c r="PFP1" s="2"/>
      <c r="PFQ1" s="2"/>
      <c r="PFR1" s="2"/>
      <c r="PFS1" s="2"/>
      <c r="PFT1" s="2"/>
      <c r="PFU1" s="2"/>
      <c r="PFV1" s="2"/>
      <c r="PFW1" s="2"/>
      <c r="PFX1" s="2"/>
      <c r="PFY1" s="2"/>
      <c r="PFZ1" s="2"/>
      <c r="PGA1" s="2"/>
      <c r="PGB1" s="2"/>
      <c r="PGC1" s="2"/>
      <c r="PGD1" s="2"/>
      <c r="PGE1" s="2"/>
      <c r="PGF1" s="2"/>
      <c r="PGG1" s="2"/>
      <c r="PGH1" s="2"/>
      <c r="PGI1" s="2"/>
      <c r="PGJ1" s="2"/>
      <c r="PGK1" s="2"/>
      <c r="PGL1" s="2"/>
      <c r="PGM1" s="2"/>
      <c r="PGN1" s="2"/>
      <c r="PGO1" s="2"/>
      <c r="PGP1" s="2"/>
      <c r="PGQ1" s="2"/>
      <c r="PGR1" s="2"/>
      <c r="PGS1" s="2"/>
      <c r="PGT1" s="2"/>
      <c r="PGU1" s="2"/>
      <c r="PGV1" s="2"/>
      <c r="PGW1" s="2"/>
      <c r="PGX1" s="2"/>
      <c r="PGY1" s="2"/>
      <c r="PGZ1" s="2"/>
      <c r="PHA1" s="2"/>
      <c r="PHB1" s="2"/>
      <c r="PHC1" s="2"/>
      <c r="PHD1" s="2"/>
      <c r="PHE1" s="2"/>
      <c r="PHF1" s="2"/>
      <c r="PHG1" s="2"/>
      <c r="PHH1" s="2"/>
      <c r="PHI1" s="2"/>
      <c r="PHJ1" s="2"/>
      <c r="PHK1" s="2"/>
      <c r="PHL1" s="2"/>
      <c r="PHM1" s="2"/>
      <c r="PHN1" s="2"/>
      <c r="PHO1" s="2"/>
      <c r="PHP1" s="2"/>
      <c r="PHQ1" s="2"/>
      <c r="PHR1" s="2"/>
      <c r="PHS1" s="2"/>
      <c r="PHT1" s="2"/>
      <c r="PHU1" s="2"/>
      <c r="PHV1" s="2"/>
      <c r="PHW1" s="2"/>
      <c r="PHX1" s="2"/>
      <c r="PHY1" s="2"/>
      <c r="PHZ1" s="2"/>
      <c r="PIA1" s="2"/>
      <c r="PIB1" s="2"/>
      <c r="PIC1" s="2"/>
      <c r="PID1" s="2"/>
      <c r="PIE1" s="2"/>
      <c r="PIF1" s="2"/>
      <c r="PIG1" s="2"/>
      <c r="PIH1" s="2"/>
      <c r="PII1" s="2"/>
      <c r="PIJ1" s="2"/>
      <c r="PIK1" s="2"/>
      <c r="PIL1" s="2"/>
      <c r="PIM1" s="2"/>
      <c r="PIN1" s="2"/>
      <c r="PIO1" s="2"/>
      <c r="PIP1" s="2"/>
      <c r="PIQ1" s="2"/>
      <c r="PIR1" s="2"/>
      <c r="PIS1" s="2"/>
      <c r="PIT1" s="2"/>
      <c r="PIU1" s="2"/>
      <c r="PIV1" s="2"/>
      <c r="PIW1" s="2"/>
      <c r="PIX1" s="2"/>
      <c r="PIY1" s="2"/>
      <c r="PIZ1" s="2"/>
      <c r="PJA1" s="2"/>
      <c r="PJB1" s="2"/>
      <c r="PJC1" s="2"/>
      <c r="PJD1" s="2"/>
      <c r="PJE1" s="2"/>
      <c r="PJF1" s="2"/>
      <c r="PJG1" s="2"/>
      <c r="PJH1" s="2"/>
      <c r="PJI1" s="2"/>
      <c r="PJJ1" s="2"/>
      <c r="PJK1" s="2"/>
      <c r="PJL1" s="2"/>
      <c r="PJM1" s="2"/>
      <c r="PJN1" s="2"/>
      <c r="PJO1" s="2"/>
      <c r="PJP1" s="2"/>
      <c r="PJQ1" s="2"/>
      <c r="PJR1" s="2"/>
      <c r="PJS1" s="2"/>
      <c r="PJT1" s="2"/>
      <c r="PJU1" s="2"/>
      <c r="PJV1" s="2"/>
      <c r="PJW1" s="2"/>
      <c r="PJX1" s="2"/>
      <c r="PJY1" s="2"/>
      <c r="PJZ1" s="2"/>
      <c r="PKA1" s="2"/>
      <c r="PKB1" s="2"/>
      <c r="PKC1" s="2"/>
      <c r="PKD1" s="2"/>
      <c r="PKE1" s="2"/>
      <c r="PKF1" s="2"/>
      <c r="PKG1" s="2"/>
      <c r="PKH1" s="2"/>
      <c r="PKI1" s="2"/>
      <c r="PKJ1" s="2"/>
      <c r="PKK1" s="2"/>
      <c r="PKL1" s="2"/>
      <c r="PKM1" s="2"/>
      <c r="PKN1" s="2"/>
      <c r="PKO1" s="2"/>
      <c r="PKP1" s="2"/>
      <c r="PKQ1" s="2"/>
      <c r="PKR1" s="2"/>
      <c r="PKS1" s="2"/>
      <c r="PKT1" s="2"/>
      <c r="PKU1" s="2"/>
      <c r="PKV1" s="2"/>
      <c r="PKW1" s="2"/>
      <c r="PKX1" s="2"/>
      <c r="PKY1" s="2"/>
      <c r="PKZ1" s="2"/>
      <c r="PLA1" s="2"/>
      <c r="PLB1" s="2"/>
      <c r="PLC1" s="2"/>
      <c r="PLD1" s="2"/>
      <c r="PLE1" s="2"/>
      <c r="PLF1" s="2"/>
      <c r="PLG1" s="2"/>
      <c r="PLH1" s="2"/>
      <c r="PLI1" s="2"/>
      <c r="PLJ1" s="2"/>
      <c r="PLK1" s="2"/>
      <c r="PLL1" s="2"/>
      <c r="PLM1" s="2"/>
      <c r="PLN1" s="2"/>
      <c r="PLO1" s="2"/>
      <c r="PLP1" s="2"/>
      <c r="PLQ1" s="2"/>
      <c r="PLR1" s="2"/>
      <c r="PLS1" s="2"/>
      <c r="PLT1" s="2"/>
      <c r="PLU1" s="2"/>
      <c r="PLV1" s="2"/>
      <c r="PLW1" s="2"/>
      <c r="PLX1" s="2"/>
      <c r="PLY1" s="2"/>
      <c r="PLZ1" s="2"/>
      <c r="PMA1" s="2"/>
      <c r="PMB1" s="2"/>
      <c r="PMC1" s="2"/>
      <c r="PMD1" s="2"/>
      <c r="PME1" s="2"/>
      <c r="PMF1" s="2"/>
      <c r="PMG1" s="2"/>
      <c r="PMH1" s="2"/>
      <c r="PMI1" s="2"/>
      <c r="PMJ1" s="2"/>
      <c r="PMK1" s="2"/>
      <c r="PML1" s="2"/>
      <c r="PMM1" s="2"/>
      <c r="PMN1" s="2"/>
      <c r="PMO1" s="2"/>
      <c r="PMP1" s="2"/>
      <c r="PMQ1" s="2"/>
      <c r="PMR1" s="2"/>
      <c r="PMS1" s="2"/>
      <c r="PMT1" s="2"/>
      <c r="PMU1" s="2"/>
      <c r="PMV1" s="2"/>
      <c r="PMW1" s="2"/>
      <c r="PMX1" s="2"/>
      <c r="PMY1" s="2"/>
      <c r="PMZ1" s="2"/>
      <c r="PNA1" s="2"/>
      <c r="PNB1" s="2"/>
      <c r="PNC1" s="2"/>
      <c r="PND1" s="2"/>
      <c r="PNE1" s="2"/>
      <c r="PNF1" s="2"/>
      <c r="PNG1" s="2"/>
      <c r="PNH1" s="2"/>
      <c r="PNI1" s="2"/>
      <c r="PNJ1" s="2"/>
      <c r="PNK1" s="2"/>
      <c r="PNL1" s="2"/>
      <c r="PNM1" s="2"/>
      <c r="PNN1" s="2"/>
      <c r="PNO1" s="2"/>
      <c r="PNP1" s="2"/>
      <c r="PNQ1" s="2"/>
      <c r="PNR1" s="2"/>
      <c r="PNS1" s="2"/>
      <c r="PNT1" s="2"/>
      <c r="PNU1" s="2"/>
      <c r="PNV1" s="2"/>
      <c r="PNW1" s="2"/>
      <c r="PNX1" s="2"/>
      <c r="PNY1" s="2"/>
      <c r="PNZ1" s="2"/>
      <c r="POA1" s="2"/>
      <c r="POB1" s="2"/>
      <c r="POC1" s="2"/>
      <c r="POD1" s="2"/>
      <c r="POE1" s="2"/>
      <c r="POF1" s="2"/>
      <c r="POG1" s="2"/>
      <c r="POH1" s="2"/>
      <c r="POI1" s="2"/>
      <c r="POJ1" s="2"/>
      <c r="POK1" s="2"/>
      <c r="POL1" s="2"/>
      <c r="POM1" s="2"/>
      <c r="PON1" s="2"/>
      <c r="POO1" s="2"/>
      <c r="POP1" s="2"/>
      <c r="POQ1" s="2"/>
      <c r="POR1" s="2"/>
      <c r="POS1" s="2"/>
      <c r="POT1" s="2"/>
      <c r="POU1" s="2"/>
      <c r="POV1" s="2"/>
      <c r="POW1" s="2"/>
      <c r="POX1" s="2"/>
      <c r="POY1" s="2"/>
      <c r="POZ1" s="2"/>
      <c r="PPA1" s="2"/>
      <c r="PPB1" s="2"/>
      <c r="PPC1" s="2"/>
      <c r="PPD1" s="2"/>
      <c r="PPE1" s="2"/>
      <c r="PPF1" s="2"/>
      <c r="PPG1" s="2"/>
      <c r="PPH1" s="2"/>
      <c r="PPI1" s="2"/>
      <c r="PPJ1" s="2"/>
      <c r="PPK1" s="2"/>
      <c r="PPL1" s="2"/>
      <c r="PPM1" s="2"/>
      <c r="PPN1" s="2"/>
      <c r="PPO1" s="2"/>
      <c r="PPP1" s="2"/>
      <c r="PPQ1" s="2"/>
      <c r="PPR1" s="2"/>
      <c r="PPS1" s="2"/>
      <c r="PPT1" s="2"/>
      <c r="PPU1" s="2"/>
      <c r="PPV1" s="2"/>
      <c r="PPW1" s="2"/>
      <c r="PPX1" s="2"/>
      <c r="PPY1" s="2"/>
      <c r="PPZ1" s="2"/>
      <c r="PQA1" s="2"/>
      <c r="PQB1" s="2"/>
      <c r="PQC1" s="2"/>
      <c r="PQD1" s="2"/>
      <c r="PQE1" s="2"/>
      <c r="PQF1" s="2"/>
      <c r="PQG1" s="2"/>
      <c r="PQH1" s="2"/>
      <c r="PQI1" s="2"/>
      <c r="PQJ1" s="2"/>
      <c r="PQK1" s="2"/>
      <c r="PQL1" s="2"/>
      <c r="PQM1" s="2"/>
      <c r="PQN1" s="2"/>
      <c r="PQO1" s="2"/>
      <c r="PQP1" s="2"/>
      <c r="PQQ1" s="2"/>
      <c r="PQR1" s="2"/>
      <c r="PQS1" s="2"/>
      <c r="PQT1" s="2"/>
      <c r="PQU1" s="2"/>
      <c r="PQV1" s="2"/>
      <c r="PQW1" s="2"/>
      <c r="PQX1" s="2"/>
      <c r="PQY1" s="2"/>
      <c r="PQZ1" s="2"/>
      <c r="PRA1" s="2"/>
      <c r="PRB1" s="2"/>
      <c r="PRC1" s="2"/>
      <c r="PRD1" s="2"/>
      <c r="PRE1" s="2"/>
      <c r="PRF1" s="2"/>
      <c r="PRG1" s="2"/>
      <c r="PRH1" s="2"/>
      <c r="PRI1" s="2"/>
      <c r="PRJ1" s="2"/>
      <c r="PRK1" s="2"/>
      <c r="PRL1" s="2"/>
      <c r="PRM1" s="2"/>
      <c r="PRN1" s="2"/>
      <c r="PRO1" s="2"/>
      <c r="PRP1" s="2"/>
      <c r="PRQ1" s="2"/>
      <c r="PRR1" s="2"/>
      <c r="PRS1" s="2"/>
      <c r="PRT1" s="2"/>
      <c r="PRU1" s="2"/>
      <c r="PRV1" s="2"/>
      <c r="PRW1" s="2"/>
      <c r="PRX1" s="2"/>
      <c r="PRY1" s="2"/>
      <c r="PRZ1" s="2"/>
      <c r="PSA1" s="2"/>
      <c r="PSB1" s="2"/>
      <c r="PSC1" s="2"/>
      <c r="PSD1" s="2"/>
      <c r="PSE1" s="2"/>
      <c r="PSF1" s="2"/>
      <c r="PSG1" s="2"/>
      <c r="PSH1" s="2"/>
      <c r="PSI1" s="2"/>
      <c r="PSJ1" s="2"/>
      <c r="PSK1" s="2"/>
      <c r="PSL1" s="2"/>
      <c r="PSM1" s="2"/>
      <c r="PSN1" s="2"/>
      <c r="PSO1" s="2"/>
      <c r="PSP1" s="2"/>
      <c r="PSQ1" s="2"/>
      <c r="PSR1" s="2"/>
      <c r="PSS1" s="2"/>
      <c r="PST1" s="2"/>
      <c r="PSU1" s="2"/>
      <c r="PSV1" s="2"/>
      <c r="PSW1" s="2"/>
      <c r="PSX1" s="2"/>
      <c r="PSY1" s="2"/>
      <c r="PSZ1" s="2"/>
      <c r="PTA1" s="2"/>
      <c r="PTB1" s="2"/>
      <c r="PTC1" s="2"/>
      <c r="PTD1" s="2"/>
      <c r="PTE1" s="2"/>
      <c r="PTF1" s="2"/>
      <c r="PTG1" s="2"/>
      <c r="PTH1" s="2"/>
      <c r="PTI1" s="2"/>
      <c r="PTJ1" s="2"/>
      <c r="PTK1" s="2"/>
      <c r="PTL1" s="2"/>
      <c r="PTM1" s="2"/>
      <c r="PTN1" s="2"/>
      <c r="PTO1" s="2"/>
      <c r="PTP1" s="2"/>
      <c r="PTQ1" s="2"/>
      <c r="PTR1" s="2"/>
      <c r="PTS1" s="2"/>
      <c r="PTT1" s="2"/>
      <c r="PTU1" s="2"/>
      <c r="PTV1" s="2"/>
      <c r="PTW1" s="2"/>
      <c r="PTX1" s="2"/>
      <c r="PTY1" s="2"/>
      <c r="PTZ1" s="2"/>
      <c r="PUA1" s="2"/>
      <c r="PUB1" s="2"/>
      <c r="PUC1" s="2"/>
      <c r="PUD1" s="2"/>
      <c r="PUE1" s="2"/>
      <c r="PUF1" s="2"/>
      <c r="PUG1" s="2"/>
      <c r="PUH1" s="2"/>
      <c r="PUI1" s="2"/>
      <c r="PUJ1" s="2"/>
      <c r="PUK1" s="2"/>
      <c r="PUL1" s="2"/>
      <c r="PUM1" s="2"/>
      <c r="PUN1" s="2"/>
      <c r="PUO1" s="2"/>
      <c r="PUP1" s="2"/>
      <c r="PUQ1" s="2"/>
      <c r="PUR1" s="2"/>
      <c r="PUS1" s="2"/>
      <c r="PUT1" s="2"/>
      <c r="PUU1" s="2"/>
      <c r="PUV1" s="2"/>
      <c r="PUW1" s="2"/>
      <c r="PUX1" s="2"/>
      <c r="PUY1" s="2"/>
      <c r="PUZ1" s="2"/>
      <c r="PVA1" s="2"/>
      <c r="PVB1" s="2"/>
      <c r="PVC1" s="2"/>
      <c r="PVD1" s="2"/>
      <c r="PVE1" s="2"/>
      <c r="PVF1" s="2"/>
      <c r="PVG1" s="2"/>
      <c r="PVH1" s="2"/>
      <c r="PVI1" s="2"/>
      <c r="PVJ1" s="2"/>
      <c r="PVK1" s="2"/>
      <c r="PVL1" s="2"/>
      <c r="PVM1" s="2"/>
      <c r="PVN1" s="2"/>
      <c r="PVO1" s="2"/>
      <c r="PVP1" s="2"/>
      <c r="PVQ1" s="2"/>
      <c r="PVR1" s="2"/>
      <c r="PVS1" s="2"/>
      <c r="PVT1" s="2"/>
      <c r="PVU1" s="2"/>
      <c r="PVV1" s="2"/>
      <c r="PVW1" s="2"/>
      <c r="PVX1" s="2"/>
      <c r="PVY1" s="2"/>
      <c r="PVZ1" s="2"/>
      <c r="PWA1" s="2"/>
      <c r="PWB1" s="2"/>
      <c r="PWC1" s="2"/>
      <c r="PWD1" s="2"/>
      <c r="PWE1" s="2"/>
      <c r="PWF1" s="2"/>
      <c r="PWG1" s="2"/>
      <c r="PWH1" s="2"/>
      <c r="PWI1" s="2"/>
      <c r="PWJ1" s="2"/>
      <c r="PWK1" s="2"/>
      <c r="PWL1" s="2"/>
      <c r="PWM1" s="2"/>
      <c r="PWN1" s="2"/>
      <c r="PWO1" s="2"/>
      <c r="PWP1" s="2"/>
      <c r="PWQ1" s="2"/>
      <c r="PWR1" s="2"/>
      <c r="PWS1" s="2"/>
      <c r="PWT1" s="2"/>
      <c r="PWU1" s="2"/>
      <c r="PWV1" s="2"/>
      <c r="PWW1" s="2"/>
      <c r="PWX1" s="2"/>
      <c r="PWY1" s="2"/>
      <c r="PWZ1" s="2"/>
      <c r="PXA1" s="2"/>
      <c r="PXB1" s="2"/>
      <c r="PXC1" s="2"/>
      <c r="PXD1" s="2"/>
      <c r="PXE1" s="2"/>
      <c r="PXF1" s="2"/>
      <c r="PXG1" s="2"/>
      <c r="PXH1" s="2"/>
      <c r="PXI1" s="2"/>
      <c r="PXJ1" s="2"/>
      <c r="PXK1" s="2"/>
      <c r="PXL1" s="2"/>
      <c r="PXM1" s="2"/>
      <c r="PXN1" s="2"/>
      <c r="PXO1" s="2"/>
      <c r="PXP1" s="2"/>
      <c r="PXQ1" s="2"/>
      <c r="PXR1" s="2"/>
      <c r="PXS1" s="2"/>
      <c r="PXT1" s="2"/>
      <c r="PXU1" s="2"/>
      <c r="PXV1" s="2"/>
      <c r="PXW1" s="2"/>
      <c r="PXX1" s="2"/>
      <c r="PXY1" s="2"/>
      <c r="PXZ1" s="2"/>
      <c r="PYA1" s="2"/>
      <c r="PYB1" s="2"/>
      <c r="PYC1" s="2"/>
      <c r="PYD1" s="2"/>
      <c r="PYE1" s="2"/>
      <c r="PYF1" s="2"/>
      <c r="PYG1" s="2"/>
      <c r="PYH1" s="2"/>
      <c r="PYI1" s="2"/>
      <c r="PYJ1" s="2"/>
      <c r="PYK1" s="2"/>
      <c r="PYL1" s="2"/>
      <c r="PYM1" s="2"/>
      <c r="PYN1" s="2"/>
      <c r="PYO1" s="2"/>
      <c r="PYP1" s="2"/>
      <c r="PYQ1" s="2"/>
      <c r="PYR1" s="2"/>
      <c r="PYS1" s="2"/>
      <c r="PYT1" s="2"/>
      <c r="PYU1" s="2"/>
      <c r="PYV1" s="2"/>
      <c r="PYW1" s="2"/>
      <c r="PYX1" s="2"/>
      <c r="PYY1" s="2"/>
      <c r="PYZ1" s="2"/>
      <c r="PZA1" s="2"/>
      <c r="PZB1" s="2"/>
      <c r="PZC1" s="2"/>
      <c r="PZD1" s="2"/>
      <c r="PZE1" s="2"/>
      <c r="PZF1" s="2"/>
      <c r="PZG1" s="2"/>
      <c r="PZH1" s="2"/>
      <c r="PZI1" s="2"/>
      <c r="PZJ1" s="2"/>
      <c r="PZK1" s="2"/>
      <c r="PZL1" s="2"/>
      <c r="PZM1" s="2"/>
      <c r="PZN1" s="2"/>
      <c r="PZO1" s="2"/>
      <c r="PZP1" s="2"/>
      <c r="PZQ1" s="2"/>
      <c r="PZR1" s="2"/>
      <c r="PZS1" s="2"/>
      <c r="PZT1" s="2"/>
      <c r="PZU1" s="2"/>
      <c r="PZV1" s="2"/>
      <c r="PZW1" s="2"/>
      <c r="PZX1" s="2"/>
      <c r="PZY1" s="2"/>
      <c r="PZZ1" s="2"/>
      <c r="QAA1" s="2"/>
      <c r="QAB1" s="2"/>
      <c r="QAC1" s="2"/>
      <c r="QAD1" s="2"/>
      <c r="QAE1" s="2"/>
      <c r="QAF1" s="2"/>
      <c r="QAG1" s="2"/>
      <c r="QAH1" s="2"/>
      <c r="QAI1" s="2"/>
      <c r="QAJ1" s="2"/>
      <c r="QAK1" s="2"/>
      <c r="QAL1" s="2"/>
      <c r="QAM1" s="2"/>
      <c r="QAN1" s="2"/>
      <c r="QAO1" s="2"/>
      <c r="QAP1" s="2"/>
      <c r="QAQ1" s="2"/>
      <c r="QAR1" s="2"/>
      <c r="QAS1" s="2"/>
      <c r="QAT1" s="2"/>
      <c r="QAU1" s="2"/>
      <c r="QAV1" s="2"/>
      <c r="QAW1" s="2"/>
      <c r="QAX1" s="2"/>
      <c r="QAY1" s="2"/>
      <c r="QAZ1" s="2"/>
      <c r="QBA1" s="2"/>
      <c r="QBB1" s="2"/>
      <c r="QBC1" s="2"/>
      <c r="QBD1" s="2"/>
      <c r="QBE1" s="2"/>
      <c r="QBF1" s="2"/>
      <c r="QBG1" s="2"/>
      <c r="QBH1" s="2"/>
      <c r="QBI1" s="2"/>
      <c r="QBJ1" s="2"/>
      <c r="QBK1" s="2"/>
      <c r="QBL1" s="2"/>
      <c r="QBM1" s="2"/>
      <c r="QBN1" s="2"/>
      <c r="QBO1" s="2"/>
      <c r="QBP1" s="2"/>
      <c r="QBQ1" s="2"/>
      <c r="QBR1" s="2"/>
      <c r="QBS1" s="2"/>
      <c r="QBT1" s="2"/>
      <c r="QBU1" s="2"/>
      <c r="QBV1" s="2"/>
      <c r="QBW1" s="2"/>
      <c r="QBX1" s="2"/>
      <c r="QBY1" s="2"/>
      <c r="QBZ1" s="2"/>
      <c r="QCA1" s="2"/>
      <c r="QCB1" s="2"/>
      <c r="QCC1" s="2"/>
      <c r="QCD1" s="2"/>
      <c r="QCE1" s="2"/>
      <c r="QCF1" s="2"/>
      <c r="QCG1" s="2"/>
      <c r="QCH1" s="2"/>
      <c r="QCI1" s="2"/>
      <c r="QCJ1" s="2"/>
      <c r="QCK1" s="2"/>
      <c r="QCL1" s="2"/>
      <c r="QCM1" s="2"/>
      <c r="QCN1" s="2"/>
      <c r="QCO1" s="2"/>
      <c r="QCP1" s="2"/>
      <c r="QCQ1" s="2"/>
      <c r="QCR1" s="2"/>
      <c r="QCS1" s="2"/>
      <c r="QCT1" s="2"/>
      <c r="QCU1" s="2"/>
      <c r="QCV1" s="2"/>
      <c r="QCW1" s="2"/>
      <c r="QCX1" s="2"/>
      <c r="QCY1" s="2"/>
      <c r="QCZ1" s="2"/>
      <c r="QDA1" s="2"/>
      <c r="QDB1" s="2"/>
      <c r="QDC1" s="2"/>
      <c r="QDD1" s="2"/>
      <c r="QDE1" s="2"/>
      <c r="QDF1" s="2"/>
      <c r="QDG1" s="2"/>
      <c r="QDH1" s="2"/>
      <c r="QDI1" s="2"/>
      <c r="QDJ1" s="2"/>
      <c r="QDK1" s="2"/>
      <c r="QDL1" s="2"/>
      <c r="QDM1" s="2"/>
      <c r="QDN1" s="2"/>
      <c r="QDO1" s="2"/>
      <c r="QDP1" s="2"/>
      <c r="QDQ1" s="2"/>
      <c r="QDR1" s="2"/>
      <c r="QDS1" s="2"/>
      <c r="QDT1" s="2"/>
      <c r="QDU1" s="2"/>
      <c r="QDV1" s="2"/>
      <c r="QDW1" s="2"/>
      <c r="QDX1" s="2"/>
      <c r="QDY1" s="2"/>
      <c r="QDZ1" s="2"/>
      <c r="QEA1" s="2"/>
      <c r="QEB1" s="2"/>
      <c r="QEC1" s="2"/>
      <c r="QED1" s="2"/>
      <c r="QEE1" s="2"/>
      <c r="QEF1" s="2"/>
      <c r="QEG1" s="2"/>
      <c r="QEH1" s="2"/>
      <c r="QEI1" s="2"/>
      <c r="QEJ1" s="2"/>
      <c r="QEK1" s="2"/>
      <c r="QEL1" s="2"/>
      <c r="QEM1" s="2"/>
      <c r="QEN1" s="2"/>
      <c r="QEO1" s="2"/>
      <c r="QEP1" s="2"/>
      <c r="QEQ1" s="2"/>
      <c r="QER1" s="2"/>
      <c r="QES1" s="2"/>
      <c r="QET1" s="2"/>
      <c r="QEU1" s="2"/>
      <c r="QEV1" s="2"/>
      <c r="QEW1" s="2"/>
      <c r="QEX1" s="2"/>
      <c r="QEY1" s="2"/>
      <c r="QEZ1" s="2"/>
      <c r="QFA1" s="2"/>
      <c r="QFB1" s="2"/>
      <c r="QFC1" s="2"/>
      <c r="QFD1" s="2"/>
      <c r="QFE1" s="2"/>
      <c r="QFF1" s="2"/>
      <c r="QFG1" s="2"/>
      <c r="QFH1" s="2"/>
      <c r="QFI1" s="2"/>
      <c r="QFJ1" s="2"/>
      <c r="QFK1" s="2"/>
      <c r="QFL1" s="2"/>
      <c r="QFM1" s="2"/>
      <c r="QFN1" s="2"/>
      <c r="QFO1" s="2"/>
      <c r="QFP1" s="2"/>
      <c r="QFQ1" s="2"/>
      <c r="QFR1" s="2"/>
      <c r="QFS1" s="2"/>
      <c r="QFT1" s="2"/>
      <c r="QFU1" s="2"/>
      <c r="QFV1" s="2"/>
      <c r="QFW1" s="2"/>
      <c r="QFX1" s="2"/>
      <c r="QFY1" s="2"/>
      <c r="QFZ1" s="2"/>
      <c r="QGA1" s="2"/>
      <c r="QGB1" s="2"/>
      <c r="QGC1" s="2"/>
      <c r="QGD1" s="2"/>
      <c r="QGE1" s="2"/>
      <c r="QGF1" s="2"/>
      <c r="QGG1" s="2"/>
      <c r="QGH1" s="2"/>
      <c r="QGI1" s="2"/>
      <c r="QGJ1" s="2"/>
      <c r="QGK1" s="2"/>
      <c r="QGL1" s="2"/>
      <c r="QGM1" s="2"/>
      <c r="QGN1" s="2"/>
      <c r="QGO1" s="2"/>
      <c r="QGP1" s="2"/>
      <c r="QGQ1" s="2"/>
      <c r="QGR1" s="2"/>
      <c r="QGS1" s="2"/>
      <c r="QGT1" s="2"/>
      <c r="QGU1" s="2"/>
      <c r="QGV1" s="2"/>
      <c r="QGW1" s="2"/>
      <c r="QGX1" s="2"/>
      <c r="QGY1" s="2"/>
      <c r="QGZ1" s="2"/>
      <c r="QHA1" s="2"/>
      <c r="QHB1" s="2"/>
      <c r="QHC1" s="2"/>
      <c r="QHD1" s="2"/>
      <c r="QHE1" s="2"/>
      <c r="QHF1" s="2"/>
      <c r="QHG1" s="2"/>
      <c r="QHH1" s="2"/>
      <c r="QHI1" s="2"/>
      <c r="QHJ1" s="2"/>
      <c r="QHK1" s="2"/>
      <c r="QHL1" s="2"/>
      <c r="QHM1" s="2"/>
      <c r="QHN1" s="2"/>
      <c r="QHO1" s="2"/>
      <c r="QHP1" s="2"/>
      <c r="QHQ1" s="2"/>
      <c r="QHR1" s="2"/>
      <c r="QHS1" s="2"/>
      <c r="QHT1" s="2"/>
      <c r="QHU1" s="2"/>
      <c r="QHV1" s="2"/>
      <c r="QHW1" s="2"/>
      <c r="QHX1" s="2"/>
      <c r="QHY1" s="2"/>
      <c r="QHZ1" s="2"/>
      <c r="QIA1" s="2"/>
      <c r="QIB1" s="2"/>
      <c r="QIC1" s="2"/>
      <c r="QID1" s="2"/>
      <c r="QIE1" s="2"/>
      <c r="QIF1" s="2"/>
      <c r="QIG1" s="2"/>
      <c r="QIH1" s="2"/>
      <c r="QII1" s="2"/>
      <c r="QIJ1" s="2"/>
      <c r="QIK1" s="2"/>
      <c r="QIL1" s="2"/>
      <c r="QIM1" s="2"/>
      <c r="QIN1" s="2"/>
      <c r="QIO1" s="2"/>
      <c r="QIP1" s="2"/>
      <c r="QIQ1" s="2"/>
      <c r="QIR1" s="2"/>
      <c r="QIS1" s="2"/>
      <c r="QIT1" s="2"/>
      <c r="QIU1" s="2"/>
      <c r="QIV1" s="2"/>
      <c r="QIW1" s="2"/>
      <c r="QIX1" s="2"/>
      <c r="QIY1" s="2"/>
      <c r="QIZ1" s="2"/>
      <c r="QJA1" s="2"/>
      <c r="QJB1" s="2"/>
      <c r="QJC1" s="2"/>
      <c r="QJD1" s="2"/>
      <c r="QJE1" s="2"/>
      <c r="QJF1" s="2"/>
      <c r="QJG1" s="2"/>
      <c r="QJH1" s="2"/>
      <c r="QJI1" s="2"/>
      <c r="QJJ1" s="2"/>
      <c r="QJK1" s="2"/>
      <c r="QJL1" s="2"/>
      <c r="QJM1" s="2"/>
      <c r="QJN1" s="2"/>
      <c r="QJO1" s="2"/>
      <c r="QJP1" s="2"/>
      <c r="QJQ1" s="2"/>
      <c r="QJR1" s="2"/>
      <c r="QJS1" s="2"/>
      <c r="QJT1" s="2"/>
      <c r="QJU1" s="2"/>
      <c r="QJV1" s="2"/>
      <c r="QJW1" s="2"/>
      <c r="QJX1" s="2"/>
      <c r="QJY1" s="2"/>
      <c r="QJZ1" s="2"/>
      <c r="QKA1" s="2"/>
      <c r="QKB1" s="2"/>
      <c r="QKC1" s="2"/>
      <c r="QKD1" s="2"/>
      <c r="QKE1" s="2"/>
      <c r="QKF1" s="2"/>
      <c r="QKG1" s="2"/>
      <c r="QKH1" s="2"/>
      <c r="QKI1" s="2"/>
      <c r="QKJ1" s="2"/>
      <c r="QKK1" s="2"/>
      <c r="QKL1" s="2"/>
      <c r="QKM1" s="2"/>
      <c r="QKN1" s="2"/>
      <c r="QKO1" s="2"/>
      <c r="QKP1" s="2"/>
      <c r="QKQ1" s="2"/>
      <c r="QKR1" s="2"/>
      <c r="QKS1" s="2"/>
      <c r="QKT1" s="2"/>
      <c r="QKU1" s="2"/>
      <c r="QKV1" s="2"/>
      <c r="QKW1" s="2"/>
      <c r="QKX1" s="2"/>
      <c r="QKY1" s="2"/>
      <c r="QKZ1" s="2"/>
      <c r="QLA1" s="2"/>
      <c r="QLB1" s="2"/>
      <c r="QLC1" s="2"/>
      <c r="QLD1" s="2"/>
      <c r="QLE1" s="2"/>
      <c r="QLF1" s="2"/>
      <c r="QLG1" s="2"/>
      <c r="QLH1" s="2"/>
      <c r="QLI1" s="2"/>
      <c r="QLJ1" s="2"/>
      <c r="QLK1" s="2"/>
      <c r="QLL1" s="2"/>
      <c r="QLM1" s="2"/>
      <c r="QLN1" s="2"/>
      <c r="QLO1" s="2"/>
      <c r="QLP1" s="2"/>
      <c r="QLQ1" s="2"/>
      <c r="QLR1" s="2"/>
      <c r="QLS1" s="2"/>
      <c r="QLT1" s="2"/>
      <c r="QLU1" s="2"/>
      <c r="QLV1" s="2"/>
      <c r="QLW1" s="2"/>
      <c r="QLX1" s="2"/>
      <c r="QLY1" s="2"/>
      <c r="QLZ1" s="2"/>
      <c r="QMA1" s="2"/>
      <c r="QMB1" s="2"/>
      <c r="QMC1" s="2"/>
      <c r="QMD1" s="2"/>
      <c r="QME1" s="2"/>
      <c r="QMF1" s="2"/>
      <c r="QMG1" s="2"/>
      <c r="QMH1" s="2"/>
      <c r="QMI1" s="2"/>
      <c r="QMJ1" s="2"/>
      <c r="QMK1" s="2"/>
      <c r="QML1" s="2"/>
      <c r="QMM1" s="2"/>
      <c r="QMN1" s="2"/>
      <c r="QMO1" s="2"/>
      <c r="QMP1" s="2"/>
      <c r="QMQ1" s="2"/>
      <c r="QMR1" s="2"/>
      <c r="QMS1" s="2"/>
      <c r="QMT1" s="2"/>
      <c r="QMU1" s="2"/>
      <c r="QMV1" s="2"/>
      <c r="QMW1" s="2"/>
      <c r="QMX1" s="2"/>
      <c r="QMY1" s="2"/>
      <c r="QMZ1" s="2"/>
      <c r="QNA1" s="2"/>
      <c r="QNB1" s="2"/>
      <c r="QNC1" s="2"/>
      <c r="QND1" s="2"/>
      <c r="QNE1" s="2"/>
      <c r="QNF1" s="2"/>
      <c r="QNG1" s="2"/>
      <c r="QNH1" s="2"/>
      <c r="QNI1" s="2"/>
      <c r="QNJ1" s="2"/>
      <c r="QNK1" s="2"/>
      <c r="QNL1" s="2"/>
      <c r="QNM1" s="2"/>
      <c r="QNN1" s="2"/>
      <c r="QNO1" s="2"/>
      <c r="QNP1" s="2"/>
      <c r="QNQ1" s="2"/>
      <c r="QNR1" s="2"/>
      <c r="QNS1" s="2"/>
      <c r="QNT1" s="2"/>
      <c r="QNU1" s="2"/>
      <c r="QNV1" s="2"/>
      <c r="QNW1" s="2"/>
      <c r="QNX1" s="2"/>
      <c r="QNY1" s="2"/>
      <c r="QNZ1" s="2"/>
      <c r="QOA1" s="2"/>
      <c r="QOB1" s="2"/>
      <c r="QOC1" s="2"/>
      <c r="QOD1" s="2"/>
      <c r="QOE1" s="2"/>
      <c r="QOF1" s="2"/>
      <c r="QOG1" s="2"/>
      <c r="QOH1" s="2"/>
      <c r="QOI1" s="2"/>
      <c r="QOJ1" s="2"/>
      <c r="QOK1" s="2"/>
      <c r="QOL1" s="2"/>
      <c r="QOM1" s="2"/>
      <c r="QON1" s="2"/>
      <c r="QOO1" s="2"/>
      <c r="QOP1" s="2"/>
      <c r="QOQ1" s="2"/>
      <c r="QOR1" s="2"/>
      <c r="QOS1" s="2"/>
      <c r="QOT1" s="2"/>
      <c r="QOU1" s="2"/>
      <c r="QOV1" s="2"/>
      <c r="QOW1" s="2"/>
      <c r="QOX1" s="2"/>
      <c r="QOY1" s="2"/>
      <c r="QOZ1" s="2"/>
      <c r="QPA1" s="2"/>
      <c r="QPB1" s="2"/>
      <c r="QPC1" s="2"/>
      <c r="QPD1" s="2"/>
      <c r="QPE1" s="2"/>
      <c r="QPF1" s="2"/>
      <c r="QPG1" s="2"/>
      <c r="QPH1" s="2"/>
      <c r="QPI1" s="2"/>
      <c r="QPJ1" s="2"/>
      <c r="QPK1" s="2"/>
      <c r="QPL1" s="2"/>
      <c r="QPM1" s="2"/>
      <c r="QPN1" s="2"/>
      <c r="QPO1" s="2"/>
      <c r="QPP1" s="2"/>
      <c r="QPQ1" s="2"/>
      <c r="QPR1" s="2"/>
      <c r="QPS1" s="2"/>
      <c r="QPT1" s="2"/>
      <c r="QPU1" s="2"/>
      <c r="QPV1" s="2"/>
      <c r="QPW1" s="2"/>
      <c r="QPX1" s="2"/>
      <c r="QPY1" s="2"/>
      <c r="QPZ1" s="2"/>
      <c r="QQA1" s="2"/>
      <c r="QQB1" s="2"/>
      <c r="QQC1" s="2"/>
      <c r="QQD1" s="2"/>
      <c r="QQE1" s="2"/>
      <c r="QQF1" s="2"/>
      <c r="QQG1" s="2"/>
      <c r="QQH1" s="2"/>
      <c r="QQI1" s="2"/>
      <c r="QQJ1" s="2"/>
      <c r="QQK1" s="2"/>
      <c r="QQL1" s="2"/>
      <c r="QQM1" s="2"/>
      <c r="QQN1" s="2"/>
      <c r="QQO1" s="2"/>
      <c r="QQP1" s="2"/>
      <c r="QQQ1" s="2"/>
      <c r="QQR1" s="2"/>
      <c r="QQS1" s="2"/>
      <c r="QQT1" s="2"/>
      <c r="QQU1" s="2"/>
      <c r="QQV1" s="2"/>
      <c r="QQW1" s="2"/>
      <c r="QQX1" s="2"/>
      <c r="QQY1" s="2"/>
      <c r="QQZ1" s="2"/>
      <c r="QRA1" s="2"/>
      <c r="QRB1" s="2"/>
      <c r="QRC1" s="2"/>
      <c r="QRD1" s="2"/>
      <c r="QRE1" s="2"/>
      <c r="QRF1" s="2"/>
      <c r="QRG1" s="2"/>
      <c r="QRH1" s="2"/>
      <c r="QRI1" s="2"/>
      <c r="QRJ1" s="2"/>
      <c r="QRK1" s="2"/>
      <c r="QRL1" s="2"/>
      <c r="QRM1" s="2"/>
      <c r="QRN1" s="2"/>
      <c r="QRO1" s="2"/>
      <c r="QRP1" s="2"/>
      <c r="QRQ1" s="2"/>
      <c r="QRR1" s="2"/>
      <c r="QRS1" s="2"/>
      <c r="QRT1" s="2"/>
      <c r="QRU1" s="2"/>
      <c r="QRV1" s="2"/>
      <c r="QRW1" s="2"/>
      <c r="QRX1" s="2"/>
      <c r="QRY1" s="2"/>
      <c r="QRZ1" s="2"/>
      <c r="QSA1" s="2"/>
      <c r="QSB1" s="2"/>
      <c r="QSC1" s="2"/>
      <c r="QSD1" s="2"/>
      <c r="QSE1" s="2"/>
      <c r="QSF1" s="2"/>
      <c r="QSG1" s="2"/>
      <c r="QSH1" s="2"/>
      <c r="QSI1" s="2"/>
      <c r="QSJ1" s="2"/>
      <c r="QSK1" s="2"/>
      <c r="QSL1" s="2"/>
      <c r="QSM1" s="2"/>
      <c r="QSN1" s="2"/>
      <c r="QSO1" s="2"/>
      <c r="QSP1" s="2"/>
      <c r="QSQ1" s="2"/>
      <c r="QSR1" s="2"/>
      <c r="QSS1" s="2"/>
      <c r="QST1" s="2"/>
      <c r="QSU1" s="2"/>
      <c r="QSV1" s="2"/>
      <c r="QSW1" s="2"/>
      <c r="QSX1" s="2"/>
      <c r="QSY1" s="2"/>
      <c r="QSZ1" s="2"/>
      <c r="QTA1" s="2"/>
      <c r="QTB1" s="2"/>
      <c r="QTC1" s="2"/>
      <c r="QTD1" s="2"/>
      <c r="QTE1" s="2"/>
      <c r="QTF1" s="2"/>
      <c r="QTG1" s="2"/>
      <c r="QTH1" s="2"/>
      <c r="QTI1" s="2"/>
      <c r="QTJ1" s="2"/>
      <c r="QTK1" s="2"/>
      <c r="QTL1" s="2"/>
      <c r="QTM1" s="2"/>
      <c r="QTN1" s="2"/>
      <c r="QTO1" s="2"/>
      <c r="QTP1" s="2"/>
      <c r="QTQ1" s="2"/>
      <c r="QTR1" s="2"/>
      <c r="QTS1" s="2"/>
      <c r="QTT1" s="2"/>
      <c r="QTU1" s="2"/>
      <c r="QTV1" s="2"/>
      <c r="QTW1" s="2"/>
      <c r="QTX1" s="2"/>
      <c r="QTY1" s="2"/>
      <c r="QTZ1" s="2"/>
      <c r="QUA1" s="2"/>
      <c r="QUB1" s="2"/>
      <c r="QUC1" s="2"/>
      <c r="QUD1" s="2"/>
      <c r="QUE1" s="2"/>
      <c r="QUF1" s="2"/>
      <c r="QUG1" s="2"/>
      <c r="QUH1" s="2"/>
      <c r="QUI1" s="2"/>
      <c r="QUJ1" s="2"/>
      <c r="QUK1" s="2"/>
      <c r="QUL1" s="2"/>
      <c r="QUM1" s="2"/>
      <c r="QUN1" s="2"/>
      <c r="QUO1" s="2"/>
      <c r="QUP1" s="2"/>
      <c r="QUQ1" s="2"/>
      <c r="QUR1" s="2"/>
      <c r="QUS1" s="2"/>
      <c r="QUT1" s="2"/>
      <c r="QUU1" s="2"/>
      <c r="QUV1" s="2"/>
      <c r="QUW1" s="2"/>
      <c r="QUX1" s="2"/>
      <c r="QUY1" s="2"/>
      <c r="QUZ1" s="2"/>
      <c r="QVA1" s="2"/>
      <c r="QVB1" s="2"/>
      <c r="QVC1" s="2"/>
      <c r="QVD1" s="2"/>
      <c r="QVE1" s="2"/>
      <c r="QVF1" s="2"/>
      <c r="QVG1" s="2"/>
      <c r="QVH1" s="2"/>
      <c r="QVI1" s="2"/>
      <c r="QVJ1" s="2"/>
      <c r="QVK1" s="2"/>
      <c r="QVL1" s="2"/>
      <c r="QVM1" s="2"/>
      <c r="QVN1" s="2"/>
      <c r="QVO1" s="2"/>
      <c r="QVP1" s="2"/>
      <c r="QVQ1" s="2"/>
      <c r="QVR1" s="2"/>
      <c r="QVS1" s="2"/>
      <c r="QVT1" s="2"/>
      <c r="QVU1" s="2"/>
      <c r="QVV1" s="2"/>
      <c r="QVW1" s="2"/>
      <c r="QVX1" s="2"/>
      <c r="QVY1" s="2"/>
      <c r="QVZ1" s="2"/>
      <c r="QWA1" s="2"/>
      <c r="QWB1" s="2"/>
      <c r="QWC1" s="2"/>
      <c r="QWD1" s="2"/>
      <c r="QWE1" s="2"/>
      <c r="QWF1" s="2"/>
      <c r="QWG1" s="2"/>
      <c r="QWH1" s="2"/>
      <c r="QWI1" s="2"/>
      <c r="QWJ1" s="2"/>
      <c r="QWK1" s="2"/>
      <c r="QWL1" s="2"/>
      <c r="QWM1" s="2"/>
      <c r="QWN1" s="2"/>
      <c r="QWO1" s="2"/>
      <c r="QWP1" s="2"/>
      <c r="QWQ1" s="2"/>
      <c r="QWR1" s="2"/>
      <c r="QWS1" s="2"/>
      <c r="QWT1" s="2"/>
      <c r="QWU1" s="2"/>
      <c r="QWV1" s="2"/>
      <c r="QWW1" s="2"/>
      <c r="QWX1" s="2"/>
      <c r="QWY1" s="2"/>
      <c r="QWZ1" s="2"/>
      <c r="QXA1" s="2"/>
      <c r="QXB1" s="2"/>
      <c r="QXC1" s="2"/>
      <c r="QXD1" s="2"/>
      <c r="QXE1" s="2"/>
      <c r="QXF1" s="2"/>
      <c r="QXG1" s="2"/>
      <c r="QXH1" s="2"/>
      <c r="QXI1" s="2"/>
      <c r="QXJ1" s="2"/>
      <c r="QXK1" s="2"/>
      <c r="QXL1" s="2"/>
      <c r="QXM1" s="2"/>
      <c r="QXN1" s="2"/>
      <c r="QXO1" s="2"/>
      <c r="QXP1" s="2"/>
      <c r="QXQ1" s="2"/>
      <c r="QXR1" s="2"/>
      <c r="QXS1" s="2"/>
      <c r="QXT1" s="2"/>
      <c r="QXU1" s="2"/>
      <c r="QXV1" s="2"/>
      <c r="QXW1" s="2"/>
      <c r="QXX1" s="2"/>
      <c r="QXY1" s="2"/>
      <c r="QXZ1" s="2"/>
      <c r="QYA1" s="2"/>
      <c r="QYB1" s="2"/>
      <c r="QYC1" s="2"/>
      <c r="QYD1" s="2"/>
      <c r="QYE1" s="2"/>
      <c r="QYF1" s="2"/>
      <c r="QYG1" s="2"/>
      <c r="QYH1" s="2"/>
      <c r="QYI1" s="2"/>
      <c r="QYJ1" s="2"/>
      <c r="QYK1" s="2"/>
      <c r="QYL1" s="2"/>
      <c r="QYM1" s="2"/>
      <c r="QYN1" s="2"/>
      <c r="QYO1" s="2"/>
      <c r="QYP1" s="2"/>
      <c r="QYQ1" s="2"/>
      <c r="QYR1" s="2"/>
      <c r="QYS1" s="2"/>
      <c r="QYT1" s="2"/>
      <c r="QYU1" s="2"/>
      <c r="QYV1" s="2"/>
      <c r="QYW1" s="2"/>
      <c r="QYX1" s="2"/>
      <c r="QYY1" s="2"/>
      <c r="QYZ1" s="2"/>
      <c r="QZA1" s="2"/>
      <c r="QZB1" s="2"/>
      <c r="QZC1" s="2"/>
      <c r="QZD1" s="2"/>
      <c r="QZE1" s="2"/>
      <c r="QZF1" s="2"/>
      <c r="QZG1" s="2"/>
      <c r="QZH1" s="2"/>
      <c r="QZI1" s="2"/>
      <c r="QZJ1" s="2"/>
      <c r="QZK1" s="2"/>
      <c r="QZL1" s="2"/>
      <c r="QZM1" s="2"/>
      <c r="QZN1" s="2"/>
      <c r="QZO1" s="2"/>
      <c r="QZP1" s="2"/>
      <c r="QZQ1" s="2"/>
      <c r="QZR1" s="2"/>
      <c r="QZS1" s="2"/>
      <c r="QZT1" s="2"/>
      <c r="QZU1" s="2"/>
      <c r="QZV1" s="2"/>
      <c r="QZW1" s="2"/>
      <c r="QZX1" s="2"/>
      <c r="QZY1" s="2"/>
      <c r="QZZ1" s="2"/>
      <c r="RAA1" s="2"/>
      <c r="RAB1" s="2"/>
      <c r="RAC1" s="2"/>
      <c r="RAD1" s="2"/>
      <c r="RAE1" s="2"/>
      <c r="RAF1" s="2"/>
      <c r="RAG1" s="2"/>
      <c r="RAH1" s="2"/>
      <c r="RAI1" s="2"/>
      <c r="RAJ1" s="2"/>
      <c r="RAK1" s="2"/>
      <c r="RAL1" s="2"/>
      <c r="RAM1" s="2"/>
      <c r="RAN1" s="2"/>
      <c r="RAO1" s="2"/>
      <c r="RAP1" s="2"/>
      <c r="RAQ1" s="2"/>
      <c r="RAR1" s="2"/>
      <c r="RAS1" s="2"/>
      <c r="RAT1" s="2"/>
      <c r="RAU1" s="2"/>
      <c r="RAV1" s="2"/>
      <c r="RAW1" s="2"/>
      <c r="RAX1" s="2"/>
      <c r="RAY1" s="2"/>
      <c r="RAZ1" s="2"/>
      <c r="RBA1" s="2"/>
      <c r="RBB1" s="2"/>
      <c r="RBC1" s="2"/>
      <c r="RBD1" s="2"/>
      <c r="RBE1" s="2"/>
      <c r="RBF1" s="2"/>
      <c r="RBG1" s="2"/>
      <c r="RBH1" s="2"/>
      <c r="RBI1" s="2"/>
      <c r="RBJ1" s="2"/>
      <c r="RBK1" s="2"/>
      <c r="RBL1" s="2"/>
      <c r="RBM1" s="2"/>
      <c r="RBN1" s="2"/>
      <c r="RBO1" s="2"/>
      <c r="RBP1" s="2"/>
      <c r="RBQ1" s="2"/>
      <c r="RBR1" s="2"/>
      <c r="RBS1" s="2"/>
      <c r="RBT1" s="2"/>
      <c r="RBU1" s="2"/>
      <c r="RBV1" s="2"/>
      <c r="RBW1" s="2"/>
      <c r="RBX1" s="2"/>
      <c r="RBY1" s="2"/>
      <c r="RBZ1" s="2"/>
      <c r="RCA1" s="2"/>
      <c r="RCB1" s="2"/>
      <c r="RCC1" s="2"/>
      <c r="RCD1" s="2"/>
      <c r="RCE1" s="2"/>
      <c r="RCF1" s="2"/>
      <c r="RCG1" s="2"/>
      <c r="RCH1" s="2"/>
      <c r="RCI1" s="2"/>
      <c r="RCJ1" s="2"/>
      <c r="RCK1" s="2"/>
      <c r="RCL1" s="2"/>
      <c r="RCM1" s="2"/>
      <c r="RCN1" s="2"/>
      <c r="RCO1" s="2"/>
      <c r="RCP1" s="2"/>
      <c r="RCQ1" s="2"/>
      <c r="RCR1" s="2"/>
      <c r="RCS1" s="2"/>
      <c r="RCT1" s="2"/>
      <c r="RCU1" s="2"/>
      <c r="RCV1" s="2"/>
      <c r="RCW1" s="2"/>
      <c r="RCX1" s="2"/>
      <c r="RCY1" s="2"/>
      <c r="RCZ1" s="2"/>
      <c r="RDA1" s="2"/>
      <c r="RDB1" s="2"/>
      <c r="RDC1" s="2"/>
      <c r="RDD1" s="2"/>
      <c r="RDE1" s="2"/>
      <c r="RDF1" s="2"/>
      <c r="RDG1" s="2"/>
      <c r="RDH1" s="2"/>
      <c r="RDI1" s="2"/>
      <c r="RDJ1" s="2"/>
      <c r="RDK1" s="2"/>
      <c r="RDL1" s="2"/>
      <c r="RDM1" s="2"/>
      <c r="RDN1" s="2"/>
      <c r="RDO1" s="2"/>
      <c r="RDP1" s="2"/>
      <c r="RDQ1" s="2"/>
      <c r="RDR1" s="2"/>
      <c r="RDS1" s="2"/>
      <c r="RDT1" s="2"/>
      <c r="RDU1" s="2"/>
      <c r="RDV1" s="2"/>
      <c r="RDW1" s="2"/>
      <c r="RDX1" s="2"/>
      <c r="RDY1" s="2"/>
      <c r="RDZ1" s="2"/>
      <c r="REA1" s="2"/>
      <c r="REB1" s="2"/>
      <c r="REC1" s="2"/>
      <c r="RED1" s="2"/>
      <c r="REE1" s="2"/>
      <c r="REF1" s="2"/>
      <c r="REG1" s="2"/>
      <c r="REH1" s="2"/>
      <c r="REI1" s="2"/>
      <c r="REJ1" s="2"/>
      <c r="REK1" s="2"/>
      <c r="REL1" s="2"/>
      <c r="REM1" s="2"/>
      <c r="REN1" s="2"/>
      <c r="REO1" s="2"/>
      <c r="REP1" s="2"/>
      <c r="REQ1" s="2"/>
      <c r="RER1" s="2"/>
      <c r="RES1" s="2"/>
      <c r="RET1" s="2"/>
      <c r="REU1" s="2"/>
      <c r="REV1" s="2"/>
      <c r="REW1" s="2"/>
      <c r="REX1" s="2"/>
      <c r="REY1" s="2"/>
      <c r="REZ1" s="2"/>
      <c r="RFA1" s="2"/>
      <c r="RFB1" s="2"/>
      <c r="RFC1" s="2"/>
      <c r="RFD1" s="2"/>
      <c r="RFE1" s="2"/>
      <c r="RFF1" s="2"/>
      <c r="RFG1" s="2"/>
      <c r="RFH1" s="2"/>
      <c r="RFI1" s="2"/>
      <c r="RFJ1" s="2"/>
      <c r="RFK1" s="2"/>
      <c r="RFL1" s="2"/>
      <c r="RFM1" s="2"/>
      <c r="RFN1" s="2"/>
      <c r="RFO1" s="2"/>
      <c r="RFP1" s="2"/>
      <c r="RFQ1" s="2"/>
      <c r="RFR1" s="2"/>
      <c r="RFS1" s="2"/>
      <c r="RFT1" s="2"/>
      <c r="RFU1" s="2"/>
      <c r="RFV1" s="2"/>
      <c r="RFW1" s="2"/>
      <c r="RFX1" s="2"/>
      <c r="RFY1" s="2"/>
      <c r="RFZ1" s="2"/>
      <c r="RGA1" s="2"/>
      <c r="RGB1" s="2"/>
      <c r="RGC1" s="2"/>
      <c r="RGD1" s="2"/>
      <c r="RGE1" s="2"/>
      <c r="RGF1" s="2"/>
      <c r="RGG1" s="2"/>
      <c r="RGH1" s="2"/>
      <c r="RGI1" s="2"/>
      <c r="RGJ1" s="2"/>
      <c r="RGK1" s="2"/>
      <c r="RGL1" s="2"/>
      <c r="RGM1" s="2"/>
      <c r="RGN1" s="2"/>
      <c r="RGO1" s="2"/>
      <c r="RGP1" s="2"/>
      <c r="RGQ1" s="2"/>
      <c r="RGR1" s="2"/>
      <c r="RGS1" s="2"/>
      <c r="RGT1" s="2"/>
      <c r="RGU1" s="2"/>
      <c r="RGV1" s="2"/>
      <c r="RGW1" s="2"/>
      <c r="RGX1" s="2"/>
      <c r="RGY1" s="2"/>
      <c r="RGZ1" s="2"/>
      <c r="RHA1" s="2"/>
      <c r="RHB1" s="2"/>
      <c r="RHC1" s="2"/>
      <c r="RHD1" s="2"/>
      <c r="RHE1" s="2"/>
      <c r="RHF1" s="2"/>
      <c r="RHG1" s="2"/>
      <c r="RHH1" s="2"/>
      <c r="RHI1" s="2"/>
      <c r="RHJ1" s="2"/>
      <c r="RHK1" s="2"/>
      <c r="RHL1" s="2"/>
      <c r="RHM1" s="2"/>
      <c r="RHN1" s="2"/>
      <c r="RHO1" s="2"/>
      <c r="RHP1" s="2"/>
      <c r="RHQ1" s="2"/>
      <c r="RHR1" s="2"/>
      <c r="RHS1" s="2"/>
      <c r="RHT1" s="2"/>
      <c r="RHU1" s="2"/>
      <c r="RHV1" s="2"/>
      <c r="RHW1" s="2"/>
      <c r="RHX1" s="2"/>
      <c r="RHY1" s="2"/>
      <c r="RHZ1" s="2"/>
      <c r="RIA1" s="2"/>
      <c r="RIB1" s="2"/>
      <c r="RIC1" s="2"/>
      <c r="RID1" s="2"/>
      <c r="RIE1" s="2"/>
      <c r="RIF1" s="2"/>
      <c r="RIG1" s="2"/>
      <c r="RIH1" s="2"/>
      <c r="RII1" s="2"/>
      <c r="RIJ1" s="2"/>
      <c r="RIK1" s="2"/>
      <c r="RIL1" s="2"/>
      <c r="RIM1" s="2"/>
      <c r="RIN1" s="2"/>
      <c r="RIO1" s="2"/>
      <c r="RIP1" s="2"/>
      <c r="RIQ1" s="2"/>
      <c r="RIR1" s="2"/>
      <c r="RIS1" s="2"/>
      <c r="RIT1" s="2"/>
      <c r="RIU1" s="2"/>
      <c r="RIV1" s="2"/>
      <c r="RIW1" s="2"/>
      <c r="RIX1" s="2"/>
      <c r="RIY1" s="2"/>
      <c r="RIZ1" s="2"/>
      <c r="RJA1" s="2"/>
      <c r="RJB1" s="2"/>
      <c r="RJC1" s="2"/>
      <c r="RJD1" s="2"/>
      <c r="RJE1" s="2"/>
      <c r="RJF1" s="2"/>
      <c r="RJG1" s="2"/>
      <c r="RJH1" s="2"/>
      <c r="RJI1" s="2"/>
      <c r="RJJ1" s="2"/>
      <c r="RJK1" s="2"/>
      <c r="RJL1" s="2"/>
      <c r="RJM1" s="2"/>
      <c r="RJN1" s="2"/>
      <c r="RJO1" s="2"/>
      <c r="RJP1" s="2"/>
      <c r="RJQ1" s="2"/>
      <c r="RJR1" s="2"/>
      <c r="RJS1" s="2"/>
      <c r="RJT1" s="2"/>
      <c r="RJU1" s="2"/>
      <c r="RJV1" s="2"/>
      <c r="RJW1" s="2"/>
      <c r="RJX1" s="2"/>
      <c r="RJY1" s="2"/>
      <c r="RJZ1" s="2"/>
      <c r="RKA1" s="2"/>
      <c r="RKB1" s="2"/>
      <c r="RKC1" s="2"/>
      <c r="RKD1" s="2"/>
      <c r="RKE1" s="2"/>
      <c r="RKF1" s="2"/>
      <c r="RKG1" s="2"/>
      <c r="RKH1" s="2"/>
      <c r="RKI1" s="2"/>
      <c r="RKJ1" s="2"/>
      <c r="RKK1" s="2"/>
      <c r="RKL1" s="2"/>
      <c r="RKM1" s="2"/>
      <c r="RKN1" s="2"/>
      <c r="RKO1" s="2"/>
      <c r="RKP1" s="2"/>
      <c r="RKQ1" s="2"/>
      <c r="RKR1" s="2"/>
      <c r="RKS1" s="2"/>
      <c r="RKT1" s="2"/>
      <c r="RKU1" s="2"/>
      <c r="RKV1" s="2"/>
      <c r="RKW1" s="2"/>
      <c r="RKX1" s="2"/>
      <c r="RKY1" s="2"/>
      <c r="RKZ1" s="2"/>
      <c r="RLA1" s="2"/>
      <c r="RLB1" s="2"/>
      <c r="RLC1" s="2"/>
      <c r="RLD1" s="2"/>
      <c r="RLE1" s="2"/>
      <c r="RLF1" s="2"/>
      <c r="RLG1" s="2"/>
      <c r="RLH1" s="2"/>
      <c r="RLI1" s="2"/>
      <c r="RLJ1" s="2"/>
      <c r="RLK1" s="2"/>
      <c r="RLL1" s="2"/>
      <c r="RLM1" s="2"/>
      <c r="RLN1" s="2"/>
      <c r="RLO1" s="2"/>
      <c r="RLP1" s="2"/>
      <c r="RLQ1" s="2"/>
      <c r="RLR1" s="2"/>
      <c r="RLS1" s="2"/>
      <c r="RLT1" s="2"/>
      <c r="RLU1" s="2"/>
      <c r="RLV1" s="2"/>
      <c r="RLW1" s="2"/>
      <c r="RLX1" s="2"/>
      <c r="RLY1" s="2"/>
      <c r="RLZ1" s="2"/>
      <c r="RMA1" s="2"/>
      <c r="RMB1" s="2"/>
      <c r="RMC1" s="2"/>
      <c r="RMD1" s="2"/>
      <c r="RME1" s="2"/>
      <c r="RMF1" s="2"/>
      <c r="RMG1" s="2"/>
      <c r="RMH1" s="2"/>
      <c r="RMI1" s="2"/>
      <c r="RMJ1" s="2"/>
      <c r="RMK1" s="2"/>
      <c r="RML1" s="2"/>
      <c r="RMM1" s="2"/>
      <c r="RMN1" s="2"/>
      <c r="RMO1" s="2"/>
      <c r="RMP1" s="2"/>
      <c r="RMQ1" s="2"/>
      <c r="RMR1" s="2"/>
      <c r="RMS1" s="2"/>
      <c r="RMT1" s="2"/>
      <c r="RMU1" s="2"/>
      <c r="RMV1" s="2"/>
      <c r="RMW1" s="2"/>
      <c r="RMX1" s="2"/>
      <c r="RMY1" s="2"/>
      <c r="RMZ1" s="2"/>
      <c r="RNA1" s="2"/>
      <c r="RNB1" s="2"/>
      <c r="RNC1" s="2"/>
      <c r="RND1" s="2"/>
      <c r="RNE1" s="2"/>
      <c r="RNF1" s="2"/>
      <c r="RNG1" s="2"/>
      <c r="RNH1" s="2"/>
      <c r="RNI1" s="2"/>
      <c r="RNJ1" s="2"/>
      <c r="RNK1" s="2"/>
      <c r="RNL1" s="2"/>
      <c r="RNM1" s="2"/>
      <c r="RNN1" s="2"/>
      <c r="RNO1" s="2"/>
      <c r="RNP1" s="2"/>
      <c r="RNQ1" s="2"/>
      <c r="RNR1" s="2"/>
      <c r="RNS1" s="2"/>
      <c r="RNT1" s="2"/>
      <c r="RNU1" s="2"/>
      <c r="RNV1" s="2"/>
      <c r="RNW1" s="2"/>
      <c r="RNX1" s="2"/>
      <c r="RNY1" s="2"/>
      <c r="RNZ1" s="2"/>
      <c r="ROA1" s="2"/>
      <c r="ROB1" s="2"/>
      <c r="ROC1" s="2"/>
      <c r="ROD1" s="2"/>
      <c r="ROE1" s="2"/>
      <c r="ROF1" s="2"/>
      <c r="ROG1" s="2"/>
      <c r="ROH1" s="2"/>
      <c r="ROI1" s="2"/>
      <c r="ROJ1" s="2"/>
      <c r="ROK1" s="2"/>
      <c r="ROL1" s="2"/>
      <c r="ROM1" s="2"/>
      <c r="RON1" s="2"/>
      <c r="ROO1" s="2"/>
      <c r="ROP1" s="2"/>
      <c r="ROQ1" s="2"/>
      <c r="ROR1" s="2"/>
      <c r="ROS1" s="2"/>
      <c r="ROT1" s="2"/>
      <c r="ROU1" s="2"/>
      <c r="ROV1" s="2"/>
      <c r="ROW1" s="2"/>
      <c r="ROX1" s="2"/>
      <c r="ROY1" s="2"/>
      <c r="ROZ1" s="2"/>
      <c r="RPA1" s="2"/>
      <c r="RPB1" s="2"/>
      <c r="RPC1" s="2"/>
      <c r="RPD1" s="2"/>
      <c r="RPE1" s="2"/>
      <c r="RPF1" s="2"/>
      <c r="RPG1" s="2"/>
      <c r="RPH1" s="2"/>
      <c r="RPI1" s="2"/>
      <c r="RPJ1" s="2"/>
      <c r="RPK1" s="2"/>
      <c r="RPL1" s="2"/>
      <c r="RPM1" s="2"/>
      <c r="RPN1" s="2"/>
      <c r="RPO1" s="2"/>
      <c r="RPP1" s="2"/>
      <c r="RPQ1" s="2"/>
      <c r="RPR1" s="2"/>
      <c r="RPS1" s="2"/>
      <c r="RPT1" s="2"/>
      <c r="RPU1" s="2"/>
      <c r="RPV1" s="2"/>
      <c r="RPW1" s="2"/>
      <c r="RPX1" s="2"/>
      <c r="RPY1" s="2"/>
      <c r="RPZ1" s="2"/>
      <c r="RQA1" s="2"/>
      <c r="RQB1" s="2"/>
      <c r="RQC1" s="2"/>
      <c r="RQD1" s="2"/>
      <c r="RQE1" s="2"/>
      <c r="RQF1" s="2"/>
      <c r="RQG1" s="2"/>
      <c r="RQH1" s="2"/>
      <c r="RQI1" s="2"/>
      <c r="RQJ1" s="2"/>
      <c r="RQK1" s="2"/>
      <c r="RQL1" s="2"/>
      <c r="RQM1" s="2"/>
      <c r="RQN1" s="2"/>
      <c r="RQO1" s="2"/>
      <c r="RQP1" s="2"/>
      <c r="RQQ1" s="2"/>
      <c r="RQR1" s="2"/>
      <c r="RQS1" s="2"/>
      <c r="RQT1" s="2"/>
      <c r="RQU1" s="2"/>
      <c r="RQV1" s="2"/>
      <c r="RQW1" s="2"/>
      <c r="RQX1" s="2"/>
      <c r="RQY1" s="2"/>
      <c r="RQZ1" s="2"/>
      <c r="RRA1" s="2"/>
      <c r="RRB1" s="2"/>
      <c r="RRC1" s="2"/>
      <c r="RRD1" s="2"/>
      <c r="RRE1" s="2"/>
      <c r="RRF1" s="2"/>
      <c r="RRG1" s="2"/>
      <c r="RRH1" s="2"/>
      <c r="RRI1" s="2"/>
      <c r="RRJ1" s="2"/>
      <c r="RRK1" s="2"/>
      <c r="RRL1" s="2"/>
      <c r="RRM1" s="2"/>
      <c r="RRN1" s="2"/>
      <c r="RRO1" s="2"/>
      <c r="RRP1" s="2"/>
      <c r="RRQ1" s="2"/>
      <c r="RRR1" s="2"/>
      <c r="RRS1" s="2"/>
      <c r="RRT1" s="2"/>
      <c r="RRU1" s="2"/>
      <c r="RRV1" s="2"/>
      <c r="RRW1" s="2"/>
      <c r="RRX1" s="2"/>
      <c r="RRY1" s="2"/>
      <c r="RRZ1" s="2"/>
      <c r="RSA1" s="2"/>
      <c r="RSB1" s="2"/>
      <c r="RSC1" s="2"/>
      <c r="RSD1" s="2"/>
      <c r="RSE1" s="2"/>
      <c r="RSF1" s="2"/>
      <c r="RSG1" s="2"/>
      <c r="RSH1" s="2"/>
      <c r="RSI1" s="2"/>
      <c r="RSJ1" s="2"/>
      <c r="RSK1" s="2"/>
      <c r="RSL1" s="2"/>
      <c r="RSM1" s="2"/>
      <c r="RSN1" s="2"/>
      <c r="RSO1" s="2"/>
      <c r="RSP1" s="2"/>
      <c r="RSQ1" s="2"/>
      <c r="RSR1" s="2"/>
      <c r="RSS1" s="2"/>
      <c r="RST1" s="2"/>
      <c r="RSU1" s="2"/>
      <c r="RSV1" s="2"/>
      <c r="RSW1" s="2"/>
      <c r="RSX1" s="2"/>
      <c r="RSY1" s="2"/>
      <c r="RSZ1" s="2"/>
      <c r="RTA1" s="2"/>
      <c r="RTB1" s="2"/>
      <c r="RTC1" s="2"/>
      <c r="RTD1" s="2"/>
      <c r="RTE1" s="2"/>
      <c r="RTF1" s="2"/>
      <c r="RTG1" s="2"/>
      <c r="RTH1" s="2"/>
      <c r="RTI1" s="2"/>
      <c r="RTJ1" s="2"/>
      <c r="RTK1" s="2"/>
      <c r="RTL1" s="2"/>
      <c r="RTM1" s="2"/>
      <c r="RTN1" s="2"/>
      <c r="RTO1" s="2"/>
      <c r="RTP1" s="2"/>
      <c r="RTQ1" s="2"/>
      <c r="RTR1" s="2"/>
      <c r="RTS1" s="2"/>
      <c r="RTT1" s="2"/>
      <c r="RTU1" s="2"/>
      <c r="RTV1" s="2"/>
      <c r="RTW1" s="2"/>
      <c r="RTX1" s="2"/>
      <c r="RTY1" s="2"/>
      <c r="RTZ1" s="2"/>
      <c r="RUA1" s="2"/>
      <c r="RUB1" s="2"/>
      <c r="RUC1" s="2"/>
      <c r="RUD1" s="2"/>
      <c r="RUE1" s="2"/>
      <c r="RUF1" s="2"/>
      <c r="RUG1" s="2"/>
      <c r="RUH1" s="2"/>
      <c r="RUI1" s="2"/>
      <c r="RUJ1" s="2"/>
      <c r="RUK1" s="2"/>
      <c r="RUL1" s="2"/>
      <c r="RUM1" s="2"/>
      <c r="RUN1" s="2"/>
      <c r="RUO1" s="2"/>
      <c r="RUP1" s="2"/>
      <c r="RUQ1" s="2"/>
      <c r="RUR1" s="2"/>
      <c r="RUS1" s="2"/>
      <c r="RUT1" s="2"/>
      <c r="RUU1" s="2"/>
      <c r="RUV1" s="2"/>
      <c r="RUW1" s="2"/>
      <c r="RUX1" s="2"/>
      <c r="RUY1" s="2"/>
      <c r="RUZ1" s="2"/>
      <c r="RVA1" s="2"/>
      <c r="RVB1" s="2"/>
      <c r="RVC1" s="2"/>
      <c r="RVD1" s="2"/>
      <c r="RVE1" s="2"/>
      <c r="RVF1" s="2"/>
      <c r="RVG1" s="2"/>
      <c r="RVH1" s="2"/>
      <c r="RVI1" s="2"/>
      <c r="RVJ1" s="2"/>
      <c r="RVK1" s="2"/>
      <c r="RVL1" s="2"/>
      <c r="RVM1" s="2"/>
      <c r="RVN1" s="2"/>
      <c r="RVO1" s="2"/>
      <c r="RVP1" s="2"/>
      <c r="RVQ1" s="2"/>
      <c r="RVR1" s="2"/>
      <c r="RVS1" s="2"/>
      <c r="RVT1" s="2"/>
      <c r="RVU1" s="2"/>
      <c r="RVV1" s="2"/>
      <c r="RVW1" s="2"/>
      <c r="RVX1" s="2"/>
      <c r="RVY1" s="2"/>
      <c r="RVZ1" s="2"/>
      <c r="RWA1" s="2"/>
      <c r="RWB1" s="2"/>
      <c r="RWC1" s="2"/>
      <c r="RWD1" s="2"/>
      <c r="RWE1" s="2"/>
      <c r="RWF1" s="2"/>
      <c r="RWG1" s="2"/>
      <c r="RWH1" s="2"/>
      <c r="RWI1" s="2"/>
      <c r="RWJ1" s="2"/>
      <c r="RWK1" s="2"/>
      <c r="RWL1" s="2"/>
      <c r="RWM1" s="2"/>
      <c r="RWN1" s="2"/>
      <c r="RWO1" s="2"/>
      <c r="RWP1" s="2"/>
      <c r="RWQ1" s="2"/>
      <c r="RWR1" s="2"/>
      <c r="RWS1" s="2"/>
      <c r="RWT1" s="2"/>
      <c r="RWU1" s="2"/>
      <c r="RWV1" s="2"/>
      <c r="RWW1" s="2"/>
      <c r="RWX1" s="2"/>
      <c r="RWY1" s="2"/>
      <c r="RWZ1" s="2"/>
      <c r="RXA1" s="2"/>
      <c r="RXB1" s="2"/>
      <c r="RXC1" s="2"/>
      <c r="RXD1" s="2"/>
      <c r="RXE1" s="2"/>
      <c r="RXF1" s="2"/>
      <c r="RXG1" s="2"/>
      <c r="RXH1" s="2"/>
      <c r="RXI1" s="2"/>
      <c r="RXJ1" s="2"/>
      <c r="RXK1" s="2"/>
      <c r="RXL1" s="2"/>
      <c r="RXM1" s="2"/>
      <c r="RXN1" s="2"/>
      <c r="RXO1" s="2"/>
      <c r="RXP1" s="2"/>
      <c r="RXQ1" s="2"/>
      <c r="RXR1" s="2"/>
      <c r="RXS1" s="2"/>
      <c r="RXT1" s="2"/>
      <c r="RXU1" s="2"/>
      <c r="RXV1" s="2"/>
      <c r="RXW1" s="2"/>
      <c r="RXX1" s="2"/>
      <c r="RXY1" s="2"/>
      <c r="RXZ1" s="2"/>
      <c r="RYA1" s="2"/>
      <c r="RYB1" s="2"/>
      <c r="RYC1" s="2"/>
      <c r="RYD1" s="2"/>
      <c r="RYE1" s="2"/>
      <c r="RYF1" s="2"/>
      <c r="RYG1" s="2"/>
      <c r="RYH1" s="2"/>
      <c r="RYI1" s="2"/>
      <c r="RYJ1" s="2"/>
      <c r="RYK1" s="2"/>
      <c r="RYL1" s="2"/>
      <c r="RYM1" s="2"/>
      <c r="RYN1" s="2"/>
      <c r="RYO1" s="2"/>
      <c r="RYP1" s="2"/>
      <c r="RYQ1" s="2"/>
      <c r="RYR1" s="2"/>
      <c r="RYS1" s="2"/>
      <c r="RYT1" s="2"/>
      <c r="RYU1" s="2"/>
      <c r="RYV1" s="2"/>
      <c r="RYW1" s="2"/>
      <c r="RYX1" s="2"/>
      <c r="RYY1" s="2"/>
      <c r="RYZ1" s="2"/>
      <c r="RZA1" s="2"/>
      <c r="RZB1" s="2"/>
      <c r="RZC1" s="2"/>
      <c r="RZD1" s="2"/>
      <c r="RZE1" s="2"/>
      <c r="RZF1" s="2"/>
      <c r="RZG1" s="2"/>
      <c r="RZH1" s="2"/>
      <c r="RZI1" s="2"/>
      <c r="RZJ1" s="2"/>
      <c r="RZK1" s="2"/>
      <c r="RZL1" s="2"/>
      <c r="RZM1" s="2"/>
      <c r="RZN1" s="2"/>
      <c r="RZO1" s="2"/>
      <c r="RZP1" s="2"/>
      <c r="RZQ1" s="2"/>
      <c r="RZR1" s="2"/>
      <c r="RZS1" s="2"/>
      <c r="RZT1" s="2"/>
      <c r="RZU1" s="2"/>
      <c r="RZV1" s="2"/>
      <c r="RZW1" s="2"/>
      <c r="RZX1" s="2"/>
      <c r="RZY1" s="2"/>
      <c r="RZZ1" s="2"/>
      <c r="SAA1" s="2"/>
      <c r="SAB1" s="2"/>
      <c r="SAC1" s="2"/>
      <c r="SAD1" s="2"/>
      <c r="SAE1" s="2"/>
      <c r="SAF1" s="2"/>
      <c r="SAG1" s="2"/>
      <c r="SAH1" s="2"/>
      <c r="SAI1" s="2"/>
      <c r="SAJ1" s="2"/>
      <c r="SAK1" s="2"/>
      <c r="SAL1" s="2"/>
      <c r="SAM1" s="2"/>
      <c r="SAN1" s="2"/>
      <c r="SAO1" s="2"/>
      <c r="SAP1" s="2"/>
      <c r="SAQ1" s="2"/>
      <c r="SAR1" s="2"/>
      <c r="SAS1" s="2"/>
      <c r="SAT1" s="2"/>
      <c r="SAU1" s="2"/>
      <c r="SAV1" s="2"/>
      <c r="SAW1" s="2"/>
      <c r="SAX1" s="2"/>
      <c r="SAY1" s="2"/>
      <c r="SAZ1" s="2"/>
      <c r="SBA1" s="2"/>
      <c r="SBB1" s="2"/>
      <c r="SBC1" s="2"/>
      <c r="SBD1" s="2"/>
      <c r="SBE1" s="2"/>
      <c r="SBF1" s="2"/>
      <c r="SBG1" s="2"/>
      <c r="SBH1" s="2"/>
      <c r="SBI1" s="2"/>
      <c r="SBJ1" s="2"/>
      <c r="SBK1" s="2"/>
      <c r="SBL1" s="2"/>
      <c r="SBM1" s="2"/>
      <c r="SBN1" s="2"/>
      <c r="SBO1" s="2"/>
      <c r="SBP1" s="2"/>
      <c r="SBQ1" s="2"/>
      <c r="SBR1" s="2"/>
      <c r="SBS1" s="2"/>
      <c r="SBT1" s="2"/>
      <c r="SBU1" s="2"/>
      <c r="SBV1" s="2"/>
      <c r="SBW1" s="2"/>
      <c r="SBX1" s="2"/>
      <c r="SBY1" s="2"/>
      <c r="SBZ1" s="2"/>
      <c r="SCA1" s="2"/>
      <c r="SCB1" s="2"/>
      <c r="SCC1" s="2"/>
      <c r="SCD1" s="2"/>
      <c r="SCE1" s="2"/>
      <c r="SCF1" s="2"/>
      <c r="SCG1" s="2"/>
      <c r="SCH1" s="2"/>
      <c r="SCI1" s="2"/>
      <c r="SCJ1" s="2"/>
      <c r="SCK1" s="2"/>
      <c r="SCL1" s="2"/>
      <c r="SCM1" s="2"/>
      <c r="SCN1" s="2"/>
      <c r="SCO1" s="2"/>
      <c r="SCP1" s="2"/>
      <c r="SCQ1" s="2"/>
      <c r="SCR1" s="2"/>
      <c r="SCS1" s="2"/>
      <c r="SCT1" s="2"/>
      <c r="SCU1" s="2"/>
      <c r="SCV1" s="2"/>
      <c r="SCW1" s="2"/>
      <c r="SCX1" s="2"/>
      <c r="SCY1" s="2"/>
      <c r="SCZ1" s="2"/>
      <c r="SDA1" s="2"/>
      <c r="SDB1" s="2"/>
      <c r="SDC1" s="2"/>
      <c r="SDD1" s="2"/>
      <c r="SDE1" s="2"/>
      <c r="SDF1" s="2"/>
      <c r="SDG1" s="2"/>
      <c r="SDH1" s="2"/>
      <c r="SDI1" s="2"/>
      <c r="SDJ1" s="2"/>
      <c r="SDK1" s="2"/>
      <c r="SDL1" s="2"/>
      <c r="SDM1" s="2"/>
      <c r="SDN1" s="2"/>
      <c r="SDO1" s="2"/>
      <c r="SDP1" s="2"/>
      <c r="SDQ1" s="2"/>
      <c r="SDR1" s="2"/>
      <c r="SDS1" s="2"/>
      <c r="SDT1" s="2"/>
      <c r="SDU1" s="2"/>
      <c r="SDV1" s="2"/>
      <c r="SDW1" s="2"/>
      <c r="SDX1" s="2"/>
      <c r="SDY1" s="2"/>
      <c r="SDZ1" s="2"/>
      <c r="SEA1" s="2"/>
      <c r="SEB1" s="2"/>
      <c r="SEC1" s="2"/>
      <c r="SED1" s="2"/>
      <c r="SEE1" s="2"/>
      <c r="SEF1" s="2"/>
      <c r="SEG1" s="2"/>
      <c r="SEH1" s="2"/>
      <c r="SEI1" s="2"/>
      <c r="SEJ1" s="2"/>
      <c r="SEK1" s="2"/>
      <c r="SEL1" s="2"/>
      <c r="SEM1" s="2"/>
      <c r="SEN1" s="2"/>
      <c r="SEO1" s="2"/>
      <c r="SEP1" s="2"/>
      <c r="SEQ1" s="2"/>
      <c r="SER1" s="2"/>
      <c r="SES1" s="2"/>
      <c r="SET1" s="2"/>
      <c r="SEU1" s="2"/>
      <c r="SEV1" s="2"/>
      <c r="SEW1" s="2"/>
      <c r="SEX1" s="2"/>
      <c r="SEY1" s="2"/>
      <c r="SEZ1" s="2"/>
      <c r="SFA1" s="2"/>
      <c r="SFB1" s="2"/>
      <c r="SFC1" s="2"/>
      <c r="SFD1" s="2"/>
      <c r="SFE1" s="2"/>
      <c r="SFF1" s="2"/>
      <c r="SFG1" s="2"/>
      <c r="SFH1" s="2"/>
      <c r="SFI1" s="2"/>
      <c r="SFJ1" s="2"/>
      <c r="SFK1" s="2"/>
      <c r="SFL1" s="2"/>
      <c r="SFM1" s="2"/>
      <c r="SFN1" s="2"/>
      <c r="SFO1" s="2"/>
      <c r="SFP1" s="2"/>
      <c r="SFQ1" s="2"/>
      <c r="SFR1" s="2"/>
      <c r="SFS1" s="2"/>
      <c r="SFT1" s="2"/>
      <c r="SFU1" s="2"/>
      <c r="SFV1" s="2"/>
      <c r="SFW1" s="2"/>
      <c r="SFX1" s="2"/>
      <c r="SFY1" s="2"/>
      <c r="SFZ1" s="2"/>
      <c r="SGA1" s="2"/>
      <c r="SGB1" s="2"/>
      <c r="SGC1" s="2"/>
      <c r="SGD1" s="2"/>
      <c r="SGE1" s="2"/>
      <c r="SGF1" s="2"/>
      <c r="SGG1" s="2"/>
      <c r="SGH1" s="2"/>
      <c r="SGI1" s="2"/>
      <c r="SGJ1" s="2"/>
      <c r="SGK1" s="2"/>
      <c r="SGL1" s="2"/>
      <c r="SGM1" s="2"/>
      <c r="SGN1" s="2"/>
      <c r="SGO1" s="2"/>
      <c r="SGP1" s="2"/>
      <c r="SGQ1" s="2"/>
      <c r="SGR1" s="2"/>
      <c r="SGS1" s="2"/>
      <c r="SGT1" s="2"/>
      <c r="SGU1" s="2"/>
      <c r="SGV1" s="2"/>
      <c r="SGW1" s="2"/>
      <c r="SGX1" s="2"/>
      <c r="SGY1" s="2"/>
      <c r="SGZ1" s="2"/>
      <c r="SHA1" s="2"/>
      <c r="SHB1" s="2"/>
      <c r="SHC1" s="2"/>
      <c r="SHD1" s="2"/>
      <c r="SHE1" s="2"/>
      <c r="SHF1" s="2"/>
      <c r="SHG1" s="2"/>
      <c r="SHH1" s="2"/>
      <c r="SHI1" s="2"/>
      <c r="SHJ1" s="2"/>
      <c r="SHK1" s="2"/>
      <c r="SHL1" s="2"/>
      <c r="SHM1" s="2"/>
      <c r="SHN1" s="2"/>
      <c r="SHO1" s="2"/>
      <c r="SHP1" s="2"/>
      <c r="SHQ1" s="2"/>
      <c r="SHR1" s="2"/>
      <c r="SHS1" s="2"/>
      <c r="SHT1" s="2"/>
      <c r="SHU1" s="2"/>
      <c r="SHV1" s="2"/>
      <c r="SHW1" s="2"/>
      <c r="SHX1" s="2"/>
      <c r="SHY1" s="2"/>
      <c r="SHZ1" s="2"/>
      <c r="SIA1" s="2"/>
      <c r="SIB1" s="2"/>
      <c r="SIC1" s="2"/>
      <c r="SID1" s="2"/>
      <c r="SIE1" s="2"/>
      <c r="SIF1" s="2"/>
      <c r="SIG1" s="2"/>
      <c r="SIH1" s="2"/>
      <c r="SII1" s="2"/>
      <c r="SIJ1" s="2"/>
      <c r="SIK1" s="2"/>
      <c r="SIL1" s="2"/>
      <c r="SIM1" s="2"/>
      <c r="SIN1" s="2"/>
      <c r="SIO1" s="2"/>
      <c r="SIP1" s="2"/>
      <c r="SIQ1" s="2"/>
      <c r="SIR1" s="2"/>
      <c r="SIS1" s="2"/>
      <c r="SIT1" s="2"/>
      <c r="SIU1" s="2"/>
      <c r="SIV1" s="2"/>
      <c r="SIW1" s="2"/>
      <c r="SIX1" s="2"/>
      <c r="SIY1" s="2"/>
      <c r="SIZ1" s="2"/>
      <c r="SJA1" s="2"/>
      <c r="SJB1" s="2"/>
      <c r="SJC1" s="2"/>
      <c r="SJD1" s="2"/>
      <c r="SJE1" s="2"/>
      <c r="SJF1" s="2"/>
      <c r="SJG1" s="2"/>
      <c r="SJH1" s="2"/>
      <c r="SJI1" s="2"/>
      <c r="SJJ1" s="2"/>
      <c r="SJK1" s="2"/>
      <c r="SJL1" s="2"/>
      <c r="SJM1" s="2"/>
      <c r="SJN1" s="2"/>
      <c r="SJO1" s="2"/>
      <c r="SJP1" s="2"/>
      <c r="SJQ1" s="2"/>
      <c r="SJR1" s="2"/>
      <c r="SJS1" s="2"/>
      <c r="SJT1" s="2"/>
      <c r="SJU1" s="2"/>
      <c r="SJV1" s="2"/>
      <c r="SJW1" s="2"/>
      <c r="SJX1" s="2"/>
      <c r="SJY1" s="2"/>
      <c r="SJZ1" s="2"/>
      <c r="SKA1" s="2"/>
      <c r="SKB1" s="2"/>
      <c r="SKC1" s="2"/>
      <c r="SKD1" s="2"/>
      <c r="SKE1" s="2"/>
      <c r="SKF1" s="2"/>
      <c r="SKG1" s="2"/>
      <c r="SKH1" s="2"/>
      <c r="SKI1" s="2"/>
      <c r="SKJ1" s="2"/>
      <c r="SKK1" s="2"/>
      <c r="SKL1" s="2"/>
      <c r="SKM1" s="2"/>
      <c r="SKN1" s="2"/>
      <c r="SKO1" s="2"/>
      <c r="SKP1" s="2"/>
      <c r="SKQ1" s="2"/>
      <c r="SKR1" s="2"/>
      <c r="SKS1" s="2"/>
      <c r="SKT1" s="2"/>
      <c r="SKU1" s="2"/>
      <c r="SKV1" s="2"/>
      <c r="SKW1" s="2"/>
      <c r="SKX1" s="2"/>
      <c r="SKY1" s="2"/>
      <c r="SKZ1" s="2"/>
      <c r="SLA1" s="2"/>
      <c r="SLB1" s="2"/>
      <c r="SLC1" s="2"/>
      <c r="SLD1" s="2"/>
      <c r="SLE1" s="2"/>
      <c r="SLF1" s="2"/>
      <c r="SLG1" s="2"/>
      <c r="SLH1" s="2"/>
      <c r="SLI1" s="2"/>
      <c r="SLJ1" s="2"/>
      <c r="SLK1" s="2"/>
      <c r="SLL1" s="2"/>
      <c r="SLM1" s="2"/>
      <c r="SLN1" s="2"/>
      <c r="SLO1" s="2"/>
      <c r="SLP1" s="2"/>
      <c r="SLQ1" s="2"/>
      <c r="SLR1" s="2"/>
      <c r="SLS1" s="2"/>
      <c r="SLT1" s="2"/>
      <c r="SLU1" s="2"/>
      <c r="SLV1" s="2"/>
      <c r="SLW1" s="2"/>
      <c r="SLX1" s="2"/>
      <c r="SLY1" s="2"/>
      <c r="SLZ1" s="2"/>
      <c r="SMA1" s="2"/>
      <c r="SMB1" s="2"/>
      <c r="SMC1" s="2"/>
      <c r="SMD1" s="2"/>
      <c r="SME1" s="2"/>
      <c r="SMF1" s="2"/>
      <c r="SMG1" s="2"/>
      <c r="SMH1" s="2"/>
      <c r="SMI1" s="2"/>
      <c r="SMJ1" s="2"/>
      <c r="SMK1" s="2"/>
      <c r="SML1" s="2"/>
      <c r="SMM1" s="2"/>
      <c r="SMN1" s="2"/>
      <c r="SMO1" s="2"/>
      <c r="SMP1" s="2"/>
      <c r="SMQ1" s="2"/>
      <c r="SMR1" s="2"/>
      <c r="SMS1" s="2"/>
      <c r="SMT1" s="2"/>
      <c r="SMU1" s="2"/>
      <c r="SMV1" s="2"/>
      <c r="SMW1" s="2"/>
      <c r="SMX1" s="2"/>
      <c r="SMY1" s="2"/>
      <c r="SMZ1" s="2"/>
      <c r="SNA1" s="2"/>
      <c r="SNB1" s="2"/>
      <c r="SNC1" s="2"/>
      <c r="SND1" s="2"/>
      <c r="SNE1" s="2"/>
      <c r="SNF1" s="2"/>
      <c r="SNG1" s="2"/>
      <c r="SNH1" s="2"/>
      <c r="SNI1" s="2"/>
      <c r="SNJ1" s="2"/>
      <c r="SNK1" s="2"/>
      <c r="SNL1" s="2"/>
      <c r="SNM1" s="2"/>
      <c r="SNN1" s="2"/>
      <c r="SNO1" s="2"/>
      <c r="SNP1" s="2"/>
      <c r="SNQ1" s="2"/>
      <c r="SNR1" s="2"/>
      <c r="SNS1" s="2"/>
      <c r="SNT1" s="2"/>
      <c r="SNU1" s="2"/>
      <c r="SNV1" s="2"/>
      <c r="SNW1" s="2"/>
      <c r="SNX1" s="2"/>
      <c r="SNY1" s="2"/>
      <c r="SNZ1" s="2"/>
      <c r="SOA1" s="2"/>
      <c r="SOB1" s="2"/>
      <c r="SOC1" s="2"/>
      <c r="SOD1" s="2"/>
      <c r="SOE1" s="2"/>
      <c r="SOF1" s="2"/>
      <c r="SOG1" s="2"/>
      <c r="SOH1" s="2"/>
      <c r="SOI1" s="2"/>
      <c r="SOJ1" s="2"/>
      <c r="SOK1" s="2"/>
      <c r="SOL1" s="2"/>
      <c r="SOM1" s="2"/>
      <c r="SON1" s="2"/>
      <c r="SOO1" s="2"/>
      <c r="SOP1" s="2"/>
      <c r="SOQ1" s="2"/>
      <c r="SOR1" s="2"/>
      <c r="SOS1" s="2"/>
      <c r="SOT1" s="2"/>
      <c r="SOU1" s="2"/>
      <c r="SOV1" s="2"/>
      <c r="SOW1" s="2"/>
      <c r="SOX1" s="2"/>
      <c r="SOY1" s="2"/>
      <c r="SOZ1" s="2"/>
      <c r="SPA1" s="2"/>
      <c r="SPB1" s="2"/>
      <c r="SPC1" s="2"/>
      <c r="SPD1" s="2"/>
      <c r="SPE1" s="2"/>
      <c r="SPF1" s="2"/>
      <c r="SPG1" s="2"/>
      <c r="SPH1" s="2"/>
      <c r="SPI1" s="2"/>
      <c r="SPJ1" s="2"/>
      <c r="SPK1" s="2"/>
      <c r="SPL1" s="2"/>
      <c r="SPM1" s="2"/>
      <c r="SPN1" s="2"/>
      <c r="SPO1" s="2"/>
      <c r="SPP1" s="2"/>
      <c r="SPQ1" s="2"/>
      <c r="SPR1" s="2"/>
      <c r="SPS1" s="2"/>
      <c r="SPT1" s="2"/>
      <c r="SPU1" s="2"/>
      <c r="SPV1" s="2"/>
      <c r="SPW1" s="2"/>
      <c r="SPX1" s="2"/>
      <c r="SPY1" s="2"/>
      <c r="SPZ1" s="2"/>
      <c r="SQA1" s="2"/>
      <c r="SQB1" s="2"/>
      <c r="SQC1" s="2"/>
      <c r="SQD1" s="2"/>
      <c r="SQE1" s="2"/>
      <c r="SQF1" s="2"/>
      <c r="SQG1" s="2"/>
      <c r="SQH1" s="2"/>
      <c r="SQI1" s="2"/>
      <c r="SQJ1" s="2"/>
      <c r="SQK1" s="2"/>
      <c r="SQL1" s="2"/>
      <c r="SQM1" s="2"/>
      <c r="SQN1" s="2"/>
      <c r="SQO1" s="2"/>
      <c r="SQP1" s="2"/>
      <c r="SQQ1" s="2"/>
      <c r="SQR1" s="2"/>
      <c r="SQS1" s="2"/>
      <c r="SQT1" s="2"/>
      <c r="SQU1" s="2"/>
      <c r="SQV1" s="2"/>
      <c r="SQW1" s="2"/>
      <c r="SQX1" s="2"/>
      <c r="SQY1" s="2"/>
      <c r="SQZ1" s="2"/>
      <c r="SRA1" s="2"/>
      <c r="SRB1" s="2"/>
      <c r="SRC1" s="2"/>
      <c r="SRD1" s="2"/>
      <c r="SRE1" s="2"/>
      <c r="SRF1" s="2"/>
      <c r="SRG1" s="2"/>
      <c r="SRH1" s="2"/>
      <c r="SRI1" s="2"/>
      <c r="SRJ1" s="2"/>
      <c r="SRK1" s="2"/>
      <c r="SRL1" s="2"/>
      <c r="SRM1" s="2"/>
      <c r="SRN1" s="2"/>
      <c r="SRO1" s="2"/>
      <c r="SRP1" s="2"/>
      <c r="SRQ1" s="2"/>
      <c r="SRR1" s="2"/>
      <c r="SRS1" s="2"/>
      <c r="SRT1" s="2"/>
      <c r="SRU1" s="2"/>
      <c r="SRV1" s="2"/>
      <c r="SRW1" s="2"/>
      <c r="SRX1" s="2"/>
      <c r="SRY1" s="2"/>
      <c r="SRZ1" s="2"/>
      <c r="SSA1" s="2"/>
      <c r="SSB1" s="2"/>
      <c r="SSC1" s="2"/>
      <c r="SSD1" s="2"/>
      <c r="SSE1" s="2"/>
      <c r="SSF1" s="2"/>
      <c r="SSG1" s="2"/>
      <c r="SSH1" s="2"/>
      <c r="SSI1" s="2"/>
      <c r="SSJ1" s="2"/>
      <c r="SSK1" s="2"/>
      <c r="SSL1" s="2"/>
      <c r="SSM1" s="2"/>
      <c r="SSN1" s="2"/>
      <c r="SSO1" s="2"/>
      <c r="SSP1" s="2"/>
      <c r="SSQ1" s="2"/>
      <c r="SSR1" s="2"/>
      <c r="SSS1" s="2"/>
      <c r="SST1" s="2"/>
      <c r="SSU1" s="2"/>
      <c r="SSV1" s="2"/>
      <c r="SSW1" s="2"/>
      <c r="SSX1" s="2"/>
      <c r="SSY1" s="2"/>
      <c r="SSZ1" s="2"/>
      <c r="STA1" s="2"/>
      <c r="STB1" s="2"/>
      <c r="STC1" s="2"/>
      <c r="STD1" s="2"/>
      <c r="STE1" s="2"/>
      <c r="STF1" s="2"/>
      <c r="STG1" s="2"/>
      <c r="STH1" s="2"/>
      <c r="STI1" s="2"/>
      <c r="STJ1" s="2"/>
      <c r="STK1" s="2"/>
      <c r="STL1" s="2"/>
      <c r="STM1" s="2"/>
      <c r="STN1" s="2"/>
      <c r="STO1" s="2"/>
      <c r="STP1" s="2"/>
      <c r="STQ1" s="2"/>
      <c r="STR1" s="2"/>
      <c r="STS1" s="2"/>
      <c r="STT1" s="2"/>
      <c r="STU1" s="2"/>
      <c r="STV1" s="2"/>
      <c r="STW1" s="2"/>
      <c r="STX1" s="2"/>
      <c r="STY1" s="2"/>
      <c r="STZ1" s="2"/>
      <c r="SUA1" s="2"/>
      <c r="SUB1" s="2"/>
      <c r="SUC1" s="2"/>
      <c r="SUD1" s="2"/>
      <c r="SUE1" s="2"/>
      <c r="SUF1" s="2"/>
      <c r="SUG1" s="2"/>
      <c r="SUH1" s="2"/>
      <c r="SUI1" s="2"/>
      <c r="SUJ1" s="2"/>
      <c r="SUK1" s="2"/>
      <c r="SUL1" s="2"/>
      <c r="SUM1" s="2"/>
      <c r="SUN1" s="2"/>
      <c r="SUO1" s="2"/>
      <c r="SUP1" s="2"/>
      <c r="SUQ1" s="2"/>
      <c r="SUR1" s="2"/>
      <c r="SUS1" s="2"/>
      <c r="SUT1" s="2"/>
      <c r="SUU1" s="2"/>
      <c r="SUV1" s="2"/>
      <c r="SUW1" s="2"/>
      <c r="SUX1" s="2"/>
      <c r="SUY1" s="2"/>
      <c r="SUZ1" s="2"/>
      <c r="SVA1" s="2"/>
      <c r="SVB1" s="2"/>
      <c r="SVC1" s="2"/>
      <c r="SVD1" s="2"/>
      <c r="SVE1" s="2"/>
      <c r="SVF1" s="2"/>
      <c r="SVG1" s="2"/>
      <c r="SVH1" s="2"/>
      <c r="SVI1" s="2"/>
      <c r="SVJ1" s="2"/>
      <c r="SVK1" s="2"/>
      <c r="SVL1" s="2"/>
      <c r="SVM1" s="2"/>
      <c r="SVN1" s="2"/>
      <c r="SVO1" s="2"/>
      <c r="SVP1" s="2"/>
      <c r="SVQ1" s="2"/>
      <c r="SVR1" s="2"/>
      <c r="SVS1" s="2"/>
      <c r="SVT1" s="2"/>
      <c r="SVU1" s="2"/>
      <c r="SVV1" s="2"/>
      <c r="SVW1" s="2"/>
      <c r="SVX1" s="2"/>
      <c r="SVY1" s="2"/>
      <c r="SVZ1" s="2"/>
      <c r="SWA1" s="2"/>
      <c r="SWB1" s="2"/>
      <c r="SWC1" s="2"/>
      <c r="SWD1" s="2"/>
      <c r="SWE1" s="2"/>
      <c r="SWF1" s="2"/>
      <c r="SWG1" s="2"/>
      <c r="SWH1" s="2"/>
      <c r="SWI1" s="2"/>
      <c r="SWJ1" s="2"/>
      <c r="SWK1" s="2"/>
      <c r="SWL1" s="2"/>
      <c r="SWM1" s="2"/>
      <c r="SWN1" s="2"/>
      <c r="SWO1" s="2"/>
      <c r="SWP1" s="2"/>
      <c r="SWQ1" s="2"/>
      <c r="SWR1" s="2"/>
      <c r="SWS1" s="2"/>
      <c r="SWT1" s="2"/>
      <c r="SWU1" s="2"/>
      <c r="SWV1" s="2"/>
      <c r="SWW1" s="2"/>
      <c r="SWX1" s="2"/>
      <c r="SWY1" s="2"/>
      <c r="SWZ1" s="2"/>
      <c r="SXA1" s="2"/>
      <c r="SXB1" s="2"/>
      <c r="SXC1" s="2"/>
      <c r="SXD1" s="2"/>
      <c r="SXE1" s="2"/>
      <c r="SXF1" s="2"/>
      <c r="SXG1" s="2"/>
      <c r="SXH1" s="2"/>
      <c r="SXI1" s="2"/>
      <c r="SXJ1" s="2"/>
      <c r="SXK1" s="2"/>
      <c r="SXL1" s="2"/>
      <c r="SXM1" s="2"/>
      <c r="SXN1" s="2"/>
      <c r="SXO1" s="2"/>
      <c r="SXP1" s="2"/>
      <c r="SXQ1" s="2"/>
      <c r="SXR1" s="2"/>
      <c r="SXS1" s="2"/>
      <c r="SXT1" s="2"/>
      <c r="SXU1" s="2"/>
      <c r="SXV1" s="2"/>
      <c r="SXW1" s="2"/>
      <c r="SXX1" s="2"/>
      <c r="SXY1" s="2"/>
      <c r="SXZ1" s="2"/>
      <c r="SYA1" s="2"/>
      <c r="SYB1" s="2"/>
      <c r="SYC1" s="2"/>
      <c r="SYD1" s="2"/>
      <c r="SYE1" s="2"/>
      <c r="SYF1" s="2"/>
      <c r="SYG1" s="2"/>
      <c r="SYH1" s="2"/>
      <c r="SYI1" s="2"/>
      <c r="SYJ1" s="2"/>
      <c r="SYK1" s="2"/>
      <c r="SYL1" s="2"/>
      <c r="SYM1" s="2"/>
      <c r="SYN1" s="2"/>
      <c r="SYO1" s="2"/>
      <c r="SYP1" s="2"/>
      <c r="SYQ1" s="2"/>
      <c r="SYR1" s="2"/>
      <c r="SYS1" s="2"/>
      <c r="SYT1" s="2"/>
      <c r="SYU1" s="2"/>
      <c r="SYV1" s="2"/>
      <c r="SYW1" s="2"/>
      <c r="SYX1" s="2"/>
      <c r="SYY1" s="2"/>
      <c r="SYZ1" s="2"/>
      <c r="SZA1" s="2"/>
      <c r="SZB1" s="2"/>
      <c r="SZC1" s="2"/>
      <c r="SZD1" s="2"/>
      <c r="SZE1" s="2"/>
      <c r="SZF1" s="2"/>
      <c r="SZG1" s="2"/>
      <c r="SZH1" s="2"/>
      <c r="SZI1" s="2"/>
      <c r="SZJ1" s="2"/>
      <c r="SZK1" s="2"/>
      <c r="SZL1" s="2"/>
      <c r="SZM1" s="2"/>
      <c r="SZN1" s="2"/>
      <c r="SZO1" s="2"/>
      <c r="SZP1" s="2"/>
      <c r="SZQ1" s="2"/>
      <c r="SZR1" s="2"/>
      <c r="SZS1" s="2"/>
      <c r="SZT1" s="2"/>
      <c r="SZU1" s="2"/>
      <c r="SZV1" s="2"/>
      <c r="SZW1" s="2"/>
      <c r="SZX1" s="2"/>
      <c r="SZY1" s="2"/>
      <c r="SZZ1" s="2"/>
      <c r="TAA1" s="2"/>
      <c r="TAB1" s="2"/>
      <c r="TAC1" s="2"/>
      <c r="TAD1" s="2"/>
      <c r="TAE1" s="2"/>
      <c r="TAF1" s="2"/>
      <c r="TAG1" s="2"/>
      <c r="TAH1" s="2"/>
      <c r="TAI1" s="2"/>
      <c r="TAJ1" s="2"/>
      <c r="TAK1" s="2"/>
      <c r="TAL1" s="2"/>
      <c r="TAM1" s="2"/>
      <c r="TAN1" s="2"/>
      <c r="TAO1" s="2"/>
      <c r="TAP1" s="2"/>
      <c r="TAQ1" s="2"/>
      <c r="TAR1" s="2"/>
      <c r="TAS1" s="2"/>
      <c r="TAT1" s="2"/>
      <c r="TAU1" s="2"/>
      <c r="TAV1" s="2"/>
      <c r="TAW1" s="2"/>
      <c r="TAX1" s="2"/>
      <c r="TAY1" s="2"/>
      <c r="TAZ1" s="2"/>
      <c r="TBA1" s="2"/>
      <c r="TBB1" s="2"/>
      <c r="TBC1" s="2"/>
      <c r="TBD1" s="2"/>
      <c r="TBE1" s="2"/>
      <c r="TBF1" s="2"/>
      <c r="TBG1" s="2"/>
      <c r="TBH1" s="2"/>
      <c r="TBI1" s="2"/>
      <c r="TBJ1" s="2"/>
      <c r="TBK1" s="2"/>
      <c r="TBL1" s="2"/>
      <c r="TBM1" s="2"/>
      <c r="TBN1" s="2"/>
      <c r="TBO1" s="2"/>
      <c r="TBP1" s="2"/>
      <c r="TBQ1" s="2"/>
      <c r="TBR1" s="2"/>
      <c r="TBS1" s="2"/>
      <c r="TBT1" s="2"/>
      <c r="TBU1" s="2"/>
      <c r="TBV1" s="2"/>
      <c r="TBW1" s="2"/>
      <c r="TBX1" s="2"/>
      <c r="TBY1" s="2"/>
      <c r="TBZ1" s="2"/>
      <c r="TCA1" s="2"/>
      <c r="TCB1" s="2"/>
      <c r="TCC1" s="2"/>
      <c r="TCD1" s="2"/>
      <c r="TCE1" s="2"/>
      <c r="TCF1" s="2"/>
      <c r="TCG1" s="2"/>
      <c r="TCH1" s="2"/>
      <c r="TCI1" s="2"/>
      <c r="TCJ1" s="2"/>
      <c r="TCK1" s="2"/>
      <c r="TCL1" s="2"/>
      <c r="TCM1" s="2"/>
      <c r="TCN1" s="2"/>
      <c r="TCO1" s="2"/>
      <c r="TCP1" s="2"/>
      <c r="TCQ1" s="2"/>
      <c r="TCR1" s="2"/>
      <c r="TCS1" s="2"/>
      <c r="TCT1" s="2"/>
      <c r="TCU1" s="2"/>
      <c r="TCV1" s="2"/>
      <c r="TCW1" s="2"/>
      <c r="TCX1" s="2"/>
      <c r="TCY1" s="2"/>
      <c r="TCZ1" s="2"/>
      <c r="TDA1" s="2"/>
      <c r="TDB1" s="2"/>
      <c r="TDC1" s="2"/>
      <c r="TDD1" s="2"/>
      <c r="TDE1" s="2"/>
      <c r="TDF1" s="2"/>
      <c r="TDG1" s="2"/>
      <c r="TDH1" s="2"/>
      <c r="TDI1" s="2"/>
      <c r="TDJ1" s="2"/>
      <c r="TDK1" s="2"/>
      <c r="TDL1" s="2"/>
      <c r="TDM1" s="2"/>
      <c r="TDN1" s="2"/>
      <c r="TDO1" s="2"/>
      <c r="TDP1" s="2"/>
      <c r="TDQ1" s="2"/>
      <c r="TDR1" s="2"/>
      <c r="TDS1" s="2"/>
      <c r="TDT1" s="2"/>
      <c r="TDU1" s="2"/>
      <c r="TDV1" s="2"/>
      <c r="TDW1" s="2"/>
      <c r="TDX1" s="2"/>
      <c r="TDY1" s="2"/>
      <c r="TDZ1" s="2"/>
      <c r="TEA1" s="2"/>
      <c r="TEB1" s="2"/>
      <c r="TEC1" s="2"/>
      <c r="TED1" s="2"/>
      <c r="TEE1" s="2"/>
      <c r="TEF1" s="2"/>
      <c r="TEG1" s="2"/>
      <c r="TEH1" s="2"/>
      <c r="TEI1" s="2"/>
      <c r="TEJ1" s="2"/>
      <c r="TEK1" s="2"/>
      <c r="TEL1" s="2"/>
      <c r="TEM1" s="2"/>
      <c r="TEN1" s="2"/>
      <c r="TEO1" s="2"/>
      <c r="TEP1" s="2"/>
      <c r="TEQ1" s="2"/>
      <c r="TER1" s="2"/>
      <c r="TES1" s="2"/>
      <c r="TET1" s="2"/>
      <c r="TEU1" s="2"/>
      <c r="TEV1" s="2"/>
      <c r="TEW1" s="2"/>
      <c r="TEX1" s="2"/>
      <c r="TEY1" s="2"/>
      <c r="TEZ1" s="2"/>
      <c r="TFA1" s="2"/>
      <c r="TFB1" s="2"/>
      <c r="TFC1" s="2"/>
      <c r="TFD1" s="2"/>
      <c r="TFE1" s="2"/>
      <c r="TFF1" s="2"/>
      <c r="TFG1" s="2"/>
      <c r="TFH1" s="2"/>
      <c r="TFI1" s="2"/>
      <c r="TFJ1" s="2"/>
      <c r="TFK1" s="2"/>
      <c r="TFL1" s="2"/>
      <c r="TFM1" s="2"/>
      <c r="TFN1" s="2"/>
      <c r="TFO1" s="2"/>
      <c r="TFP1" s="2"/>
      <c r="TFQ1" s="2"/>
      <c r="TFR1" s="2"/>
      <c r="TFS1" s="2"/>
      <c r="TFT1" s="2"/>
      <c r="TFU1" s="2"/>
      <c r="TFV1" s="2"/>
      <c r="TFW1" s="2"/>
      <c r="TFX1" s="2"/>
      <c r="TFY1" s="2"/>
      <c r="TFZ1" s="2"/>
      <c r="TGA1" s="2"/>
      <c r="TGB1" s="2"/>
      <c r="TGC1" s="2"/>
      <c r="TGD1" s="2"/>
      <c r="TGE1" s="2"/>
      <c r="TGF1" s="2"/>
      <c r="TGG1" s="2"/>
      <c r="TGH1" s="2"/>
      <c r="TGI1" s="2"/>
      <c r="TGJ1" s="2"/>
      <c r="TGK1" s="2"/>
      <c r="TGL1" s="2"/>
      <c r="TGM1" s="2"/>
      <c r="TGN1" s="2"/>
      <c r="TGO1" s="2"/>
      <c r="TGP1" s="2"/>
      <c r="TGQ1" s="2"/>
      <c r="TGR1" s="2"/>
      <c r="TGS1" s="2"/>
      <c r="TGT1" s="2"/>
      <c r="TGU1" s="2"/>
      <c r="TGV1" s="2"/>
      <c r="TGW1" s="2"/>
      <c r="TGX1" s="2"/>
      <c r="TGY1" s="2"/>
      <c r="TGZ1" s="2"/>
      <c r="THA1" s="2"/>
      <c r="THB1" s="2"/>
      <c r="THC1" s="2"/>
      <c r="THD1" s="2"/>
      <c r="THE1" s="2"/>
      <c r="THF1" s="2"/>
      <c r="THG1" s="2"/>
      <c r="THH1" s="2"/>
      <c r="THI1" s="2"/>
      <c r="THJ1" s="2"/>
      <c r="THK1" s="2"/>
      <c r="THL1" s="2"/>
      <c r="THM1" s="2"/>
      <c r="THN1" s="2"/>
      <c r="THO1" s="2"/>
      <c r="THP1" s="2"/>
      <c r="THQ1" s="2"/>
      <c r="THR1" s="2"/>
      <c r="THS1" s="2"/>
      <c r="THT1" s="2"/>
      <c r="THU1" s="2"/>
      <c r="THV1" s="2"/>
      <c r="THW1" s="2"/>
      <c r="THX1" s="2"/>
      <c r="THY1" s="2"/>
      <c r="THZ1" s="2"/>
      <c r="TIA1" s="2"/>
      <c r="TIB1" s="2"/>
      <c r="TIC1" s="2"/>
      <c r="TID1" s="2"/>
      <c r="TIE1" s="2"/>
      <c r="TIF1" s="2"/>
      <c r="TIG1" s="2"/>
      <c r="TIH1" s="2"/>
      <c r="TII1" s="2"/>
      <c r="TIJ1" s="2"/>
      <c r="TIK1" s="2"/>
      <c r="TIL1" s="2"/>
      <c r="TIM1" s="2"/>
      <c r="TIN1" s="2"/>
      <c r="TIO1" s="2"/>
      <c r="TIP1" s="2"/>
      <c r="TIQ1" s="2"/>
      <c r="TIR1" s="2"/>
      <c r="TIS1" s="2"/>
      <c r="TIT1" s="2"/>
      <c r="TIU1" s="2"/>
      <c r="TIV1" s="2"/>
      <c r="TIW1" s="2"/>
      <c r="TIX1" s="2"/>
      <c r="TIY1" s="2"/>
      <c r="TIZ1" s="2"/>
      <c r="TJA1" s="2"/>
      <c r="TJB1" s="2"/>
      <c r="TJC1" s="2"/>
      <c r="TJD1" s="2"/>
      <c r="TJE1" s="2"/>
      <c r="TJF1" s="2"/>
      <c r="TJG1" s="2"/>
      <c r="TJH1" s="2"/>
      <c r="TJI1" s="2"/>
      <c r="TJJ1" s="2"/>
      <c r="TJK1" s="2"/>
      <c r="TJL1" s="2"/>
      <c r="TJM1" s="2"/>
      <c r="TJN1" s="2"/>
      <c r="TJO1" s="2"/>
      <c r="TJP1" s="2"/>
      <c r="TJQ1" s="2"/>
      <c r="TJR1" s="2"/>
      <c r="TJS1" s="2"/>
      <c r="TJT1" s="2"/>
      <c r="TJU1" s="2"/>
      <c r="TJV1" s="2"/>
      <c r="TJW1" s="2"/>
      <c r="TJX1" s="2"/>
      <c r="TJY1" s="2"/>
      <c r="TJZ1" s="2"/>
      <c r="TKA1" s="2"/>
      <c r="TKB1" s="2"/>
      <c r="TKC1" s="2"/>
      <c r="TKD1" s="2"/>
      <c r="TKE1" s="2"/>
      <c r="TKF1" s="2"/>
      <c r="TKG1" s="2"/>
      <c r="TKH1" s="2"/>
      <c r="TKI1" s="2"/>
      <c r="TKJ1" s="2"/>
      <c r="TKK1" s="2"/>
      <c r="TKL1" s="2"/>
      <c r="TKM1" s="2"/>
      <c r="TKN1" s="2"/>
      <c r="TKO1" s="2"/>
      <c r="TKP1" s="2"/>
      <c r="TKQ1" s="2"/>
      <c r="TKR1" s="2"/>
      <c r="TKS1" s="2"/>
      <c r="TKT1" s="2"/>
      <c r="TKU1" s="2"/>
      <c r="TKV1" s="2"/>
      <c r="TKW1" s="2"/>
      <c r="TKX1" s="2"/>
      <c r="TKY1" s="2"/>
      <c r="TKZ1" s="2"/>
      <c r="TLA1" s="2"/>
      <c r="TLB1" s="2"/>
      <c r="TLC1" s="2"/>
      <c r="TLD1" s="2"/>
      <c r="TLE1" s="2"/>
      <c r="TLF1" s="2"/>
      <c r="TLG1" s="2"/>
      <c r="TLH1" s="2"/>
      <c r="TLI1" s="2"/>
      <c r="TLJ1" s="2"/>
      <c r="TLK1" s="2"/>
      <c r="TLL1" s="2"/>
      <c r="TLM1" s="2"/>
      <c r="TLN1" s="2"/>
      <c r="TLO1" s="2"/>
      <c r="TLP1" s="2"/>
      <c r="TLQ1" s="2"/>
      <c r="TLR1" s="2"/>
      <c r="TLS1" s="2"/>
      <c r="TLT1" s="2"/>
      <c r="TLU1" s="2"/>
      <c r="TLV1" s="2"/>
      <c r="TLW1" s="2"/>
      <c r="TLX1" s="2"/>
      <c r="TLY1" s="2"/>
      <c r="TLZ1" s="2"/>
      <c r="TMA1" s="2"/>
      <c r="TMB1" s="2"/>
      <c r="TMC1" s="2"/>
      <c r="TMD1" s="2"/>
      <c r="TME1" s="2"/>
      <c r="TMF1" s="2"/>
      <c r="TMG1" s="2"/>
      <c r="TMH1" s="2"/>
      <c r="TMI1" s="2"/>
      <c r="TMJ1" s="2"/>
      <c r="TMK1" s="2"/>
      <c r="TML1" s="2"/>
      <c r="TMM1" s="2"/>
      <c r="TMN1" s="2"/>
      <c r="TMO1" s="2"/>
      <c r="TMP1" s="2"/>
      <c r="TMQ1" s="2"/>
      <c r="TMR1" s="2"/>
      <c r="TMS1" s="2"/>
      <c r="TMT1" s="2"/>
      <c r="TMU1" s="2"/>
      <c r="TMV1" s="2"/>
      <c r="TMW1" s="2"/>
      <c r="TMX1" s="2"/>
      <c r="TMY1" s="2"/>
      <c r="TMZ1" s="2"/>
      <c r="TNA1" s="2"/>
      <c r="TNB1" s="2"/>
      <c r="TNC1" s="2"/>
      <c r="TND1" s="2"/>
      <c r="TNE1" s="2"/>
      <c r="TNF1" s="2"/>
      <c r="TNG1" s="2"/>
      <c r="TNH1" s="2"/>
      <c r="TNI1" s="2"/>
      <c r="TNJ1" s="2"/>
      <c r="TNK1" s="2"/>
      <c r="TNL1" s="2"/>
      <c r="TNM1" s="2"/>
      <c r="TNN1" s="2"/>
      <c r="TNO1" s="2"/>
      <c r="TNP1" s="2"/>
      <c r="TNQ1" s="2"/>
      <c r="TNR1" s="2"/>
      <c r="TNS1" s="2"/>
      <c r="TNT1" s="2"/>
      <c r="TNU1" s="2"/>
      <c r="TNV1" s="2"/>
      <c r="TNW1" s="2"/>
      <c r="TNX1" s="2"/>
      <c r="TNY1" s="2"/>
      <c r="TNZ1" s="2"/>
      <c r="TOA1" s="2"/>
      <c r="TOB1" s="2"/>
      <c r="TOC1" s="2"/>
      <c r="TOD1" s="2"/>
      <c r="TOE1" s="2"/>
      <c r="TOF1" s="2"/>
      <c r="TOG1" s="2"/>
      <c r="TOH1" s="2"/>
      <c r="TOI1" s="2"/>
      <c r="TOJ1" s="2"/>
      <c r="TOK1" s="2"/>
      <c r="TOL1" s="2"/>
      <c r="TOM1" s="2"/>
      <c r="TON1" s="2"/>
      <c r="TOO1" s="2"/>
      <c r="TOP1" s="2"/>
      <c r="TOQ1" s="2"/>
      <c r="TOR1" s="2"/>
      <c r="TOS1" s="2"/>
      <c r="TOT1" s="2"/>
      <c r="TOU1" s="2"/>
      <c r="TOV1" s="2"/>
      <c r="TOW1" s="2"/>
      <c r="TOX1" s="2"/>
      <c r="TOY1" s="2"/>
      <c r="TOZ1" s="2"/>
      <c r="TPA1" s="2"/>
      <c r="TPB1" s="2"/>
      <c r="TPC1" s="2"/>
      <c r="TPD1" s="2"/>
      <c r="TPE1" s="2"/>
      <c r="TPF1" s="2"/>
      <c r="TPG1" s="2"/>
      <c r="TPH1" s="2"/>
      <c r="TPI1" s="2"/>
      <c r="TPJ1" s="2"/>
      <c r="TPK1" s="2"/>
      <c r="TPL1" s="2"/>
      <c r="TPM1" s="2"/>
      <c r="TPN1" s="2"/>
      <c r="TPO1" s="2"/>
      <c r="TPP1" s="2"/>
      <c r="TPQ1" s="2"/>
      <c r="TPR1" s="2"/>
      <c r="TPS1" s="2"/>
      <c r="TPT1" s="2"/>
      <c r="TPU1" s="2"/>
      <c r="TPV1" s="2"/>
      <c r="TPW1" s="2"/>
      <c r="TPX1" s="2"/>
      <c r="TPY1" s="2"/>
      <c r="TPZ1" s="2"/>
      <c r="TQA1" s="2"/>
      <c r="TQB1" s="2"/>
      <c r="TQC1" s="2"/>
      <c r="TQD1" s="2"/>
      <c r="TQE1" s="2"/>
      <c r="TQF1" s="2"/>
      <c r="TQG1" s="2"/>
      <c r="TQH1" s="2"/>
      <c r="TQI1" s="2"/>
      <c r="TQJ1" s="2"/>
      <c r="TQK1" s="2"/>
      <c r="TQL1" s="2"/>
      <c r="TQM1" s="2"/>
      <c r="TQN1" s="2"/>
      <c r="TQO1" s="2"/>
      <c r="TQP1" s="2"/>
      <c r="TQQ1" s="2"/>
      <c r="TQR1" s="2"/>
      <c r="TQS1" s="2"/>
      <c r="TQT1" s="2"/>
      <c r="TQU1" s="2"/>
      <c r="TQV1" s="2"/>
      <c r="TQW1" s="2"/>
      <c r="TQX1" s="2"/>
      <c r="TQY1" s="2"/>
      <c r="TQZ1" s="2"/>
      <c r="TRA1" s="2"/>
      <c r="TRB1" s="2"/>
      <c r="TRC1" s="2"/>
      <c r="TRD1" s="2"/>
      <c r="TRE1" s="2"/>
      <c r="TRF1" s="2"/>
      <c r="TRG1" s="2"/>
      <c r="TRH1" s="2"/>
      <c r="TRI1" s="2"/>
      <c r="TRJ1" s="2"/>
      <c r="TRK1" s="2"/>
      <c r="TRL1" s="2"/>
      <c r="TRM1" s="2"/>
      <c r="TRN1" s="2"/>
      <c r="TRO1" s="2"/>
      <c r="TRP1" s="2"/>
      <c r="TRQ1" s="2"/>
      <c r="TRR1" s="2"/>
      <c r="TRS1" s="2"/>
      <c r="TRT1" s="2"/>
      <c r="TRU1" s="2"/>
      <c r="TRV1" s="2"/>
      <c r="TRW1" s="2"/>
      <c r="TRX1" s="2"/>
      <c r="TRY1" s="2"/>
      <c r="TRZ1" s="2"/>
      <c r="TSA1" s="2"/>
      <c r="TSB1" s="2"/>
      <c r="TSC1" s="2"/>
      <c r="TSD1" s="2"/>
      <c r="TSE1" s="2"/>
      <c r="TSF1" s="2"/>
      <c r="TSG1" s="2"/>
      <c r="TSH1" s="2"/>
      <c r="TSI1" s="2"/>
      <c r="TSJ1" s="2"/>
      <c r="TSK1" s="2"/>
      <c r="TSL1" s="2"/>
      <c r="TSM1" s="2"/>
      <c r="TSN1" s="2"/>
      <c r="TSO1" s="2"/>
      <c r="TSP1" s="2"/>
      <c r="TSQ1" s="2"/>
      <c r="TSR1" s="2"/>
      <c r="TSS1" s="2"/>
      <c r="TST1" s="2"/>
      <c r="TSU1" s="2"/>
      <c r="TSV1" s="2"/>
      <c r="TSW1" s="2"/>
      <c r="TSX1" s="2"/>
      <c r="TSY1" s="2"/>
      <c r="TSZ1" s="2"/>
      <c r="TTA1" s="2"/>
      <c r="TTB1" s="2"/>
      <c r="TTC1" s="2"/>
      <c r="TTD1" s="2"/>
      <c r="TTE1" s="2"/>
      <c r="TTF1" s="2"/>
      <c r="TTG1" s="2"/>
      <c r="TTH1" s="2"/>
      <c r="TTI1" s="2"/>
      <c r="TTJ1" s="2"/>
      <c r="TTK1" s="2"/>
      <c r="TTL1" s="2"/>
      <c r="TTM1" s="2"/>
      <c r="TTN1" s="2"/>
      <c r="TTO1" s="2"/>
      <c r="TTP1" s="2"/>
      <c r="TTQ1" s="2"/>
      <c r="TTR1" s="2"/>
      <c r="TTS1" s="2"/>
      <c r="TTT1" s="2"/>
      <c r="TTU1" s="2"/>
      <c r="TTV1" s="2"/>
      <c r="TTW1" s="2"/>
      <c r="TTX1" s="2"/>
      <c r="TTY1" s="2"/>
      <c r="TTZ1" s="2"/>
      <c r="TUA1" s="2"/>
      <c r="TUB1" s="2"/>
      <c r="TUC1" s="2"/>
      <c r="TUD1" s="2"/>
      <c r="TUE1" s="2"/>
      <c r="TUF1" s="2"/>
      <c r="TUG1" s="2"/>
      <c r="TUH1" s="2"/>
      <c r="TUI1" s="2"/>
      <c r="TUJ1" s="2"/>
      <c r="TUK1" s="2"/>
      <c r="TUL1" s="2"/>
      <c r="TUM1" s="2"/>
      <c r="TUN1" s="2"/>
      <c r="TUO1" s="2"/>
      <c r="TUP1" s="2"/>
      <c r="TUQ1" s="2"/>
      <c r="TUR1" s="2"/>
      <c r="TUS1" s="2"/>
      <c r="TUT1" s="2"/>
      <c r="TUU1" s="2"/>
      <c r="TUV1" s="2"/>
      <c r="TUW1" s="2"/>
      <c r="TUX1" s="2"/>
      <c r="TUY1" s="2"/>
      <c r="TUZ1" s="2"/>
      <c r="TVA1" s="2"/>
      <c r="TVB1" s="2"/>
      <c r="TVC1" s="2"/>
      <c r="TVD1" s="2"/>
      <c r="TVE1" s="2"/>
      <c r="TVF1" s="2"/>
      <c r="TVG1" s="2"/>
      <c r="TVH1" s="2"/>
      <c r="TVI1" s="2"/>
      <c r="TVJ1" s="2"/>
      <c r="TVK1" s="2"/>
      <c r="TVL1" s="2"/>
      <c r="TVM1" s="2"/>
      <c r="TVN1" s="2"/>
      <c r="TVO1" s="2"/>
      <c r="TVP1" s="2"/>
      <c r="TVQ1" s="2"/>
      <c r="TVR1" s="2"/>
      <c r="TVS1" s="2"/>
      <c r="TVT1" s="2"/>
      <c r="TVU1" s="2"/>
      <c r="TVV1" s="2"/>
      <c r="TVW1" s="2"/>
      <c r="TVX1" s="2"/>
      <c r="TVY1" s="2"/>
      <c r="TVZ1" s="2"/>
      <c r="TWA1" s="2"/>
      <c r="TWB1" s="2"/>
      <c r="TWC1" s="2"/>
      <c r="TWD1" s="2"/>
      <c r="TWE1" s="2"/>
      <c r="TWF1" s="2"/>
      <c r="TWG1" s="2"/>
      <c r="TWH1" s="2"/>
      <c r="TWI1" s="2"/>
      <c r="TWJ1" s="2"/>
      <c r="TWK1" s="2"/>
      <c r="TWL1" s="2"/>
      <c r="TWM1" s="2"/>
      <c r="TWN1" s="2"/>
      <c r="TWO1" s="2"/>
      <c r="TWP1" s="2"/>
      <c r="TWQ1" s="2"/>
      <c r="TWR1" s="2"/>
      <c r="TWS1" s="2"/>
      <c r="TWT1" s="2"/>
      <c r="TWU1" s="2"/>
      <c r="TWV1" s="2"/>
      <c r="TWW1" s="2"/>
      <c r="TWX1" s="2"/>
      <c r="TWY1" s="2"/>
      <c r="TWZ1" s="2"/>
      <c r="TXA1" s="2"/>
      <c r="TXB1" s="2"/>
      <c r="TXC1" s="2"/>
      <c r="TXD1" s="2"/>
      <c r="TXE1" s="2"/>
      <c r="TXF1" s="2"/>
      <c r="TXG1" s="2"/>
      <c r="TXH1" s="2"/>
      <c r="TXI1" s="2"/>
      <c r="TXJ1" s="2"/>
      <c r="TXK1" s="2"/>
      <c r="TXL1" s="2"/>
      <c r="TXM1" s="2"/>
      <c r="TXN1" s="2"/>
      <c r="TXO1" s="2"/>
      <c r="TXP1" s="2"/>
      <c r="TXQ1" s="2"/>
      <c r="TXR1" s="2"/>
      <c r="TXS1" s="2"/>
      <c r="TXT1" s="2"/>
      <c r="TXU1" s="2"/>
      <c r="TXV1" s="2"/>
      <c r="TXW1" s="2"/>
      <c r="TXX1" s="2"/>
      <c r="TXY1" s="2"/>
      <c r="TXZ1" s="2"/>
      <c r="TYA1" s="2"/>
      <c r="TYB1" s="2"/>
      <c r="TYC1" s="2"/>
      <c r="TYD1" s="2"/>
      <c r="TYE1" s="2"/>
      <c r="TYF1" s="2"/>
      <c r="TYG1" s="2"/>
      <c r="TYH1" s="2"/>
      <c r="TYI1" s="2"/>
      <c r="TYJ1" s="2"/>
      <c r="TYK1" s="2"/>
      <c r="TYL1" s="2"/>
      <c r="TYM1" s="2"/>
      <c r="TYN1" s="2"/>
      <c r="TYO1" s="2"/>
      <c r="TYP1" s="2"/>
      <c r="TYQ1" s="2"/>
      <c r="TYR1" s="2"/>
      <c r="TYS1" s="2"/>
      <c r="TYT1" s="2"/>
      <c r="TYU1" s="2"/>
      <c r="TYV1" s="2"/>
      <c r="TYW1" s="2"/>
      <c r="TYX1" s="2"/>
      <c r="TYY1" s="2"/>
      <c r="TYZ1" s="2"/>
      <c r="TZA1" s="2"/>
      <c r="TZB1" s="2"/>
      <c r="TZC1" s="2"/>
      <c r="TZD1" s="2"/>
      <c r="TZE1" s="2"/>
      <c r="TZF1" s="2"/>
      <c r="TZG1" s="2"/>
      <c r="TZH1" s="2"/>
      <c r="TZI1" s="2"/>
      <c r="TZJ1" s="2"/>
      <c r="TZK1" s="2"/>
      <c r="TZL1" s="2"/>
      <c r="TZM1" s="2"/>
      <c r="TZN1" s="2"/>
      <c r="TZO1" s="2"/>
      <c r="TZP1" s="2"/>
      <c r="TZQ1" s="2"/>
      <c r="TZR1" s="2"/>
      <c r="TZS1" s="2"/>
      <c r="TZT1" s="2"/>
      <c r="TZU1" s="2"/>
      <c r="TZV1" s="2"/>
      <c r="TZW1" s="2"/>
      <c r="TZX1" s="2"/>
      <c r="TZY1" s="2"/>
      <c r="TZZ1" s="2"/>
      <c r="UAA1" s="2"/>
      <c r="UAB1" s="2"/>
      <c r="UAC1" s="2"/>
      <c r="UAD1" s="2"/>
      <c r="UAE1" s="2"/>
      <c r="UAF1" s="2"/>
      <c r="UAG1" s="2"/>
      <c r="UAH1" s="2"/>
      <c r="UAI1" s="2"/>
      <c r="UAJ1" s="2"/>
      <c r="UAK1" s="2"/>
      <c r="UAL1" s="2"/>
      <c r="UAM1" s="2"/>
      <c r="UAN1" s="2"/>
      <c r="UAO1" s="2"/>
      <c r="UAP1" s="2"/>
      <c r="UAQ1" s="2"/>
      <c r="UAR1" s="2"/>
      <c r="UAS1" s="2"/>
      <c r="UAT1" s="2"/>
      <c r="UAU1" s="2"/>
      <c r="UAV1" s="2"/>
      <c r="UAW1" s="2"/>
      <c r="UAX1" s="2"/>
      <c r="UAY1" s="2"/>
      <c r="UAZ1" s="2"/>
      <c r="UBA1" s="2"/>
      <c r="UBB1" s="2"/>
      <c r="UBC1" s="2"/>
      <c r="UBD1" s="2"/>
      <c r="UBE1" s="2"/>
      <c r="UBF1" s="2"/>
      <c r="UBG1" s="2"/>
      <c r="UBH1" s="2"/>
      <c r="UBI1" s="2"/>
      <c r="UBJ1" s="2"/>
      <c r="UBK1" s="2"/>
      <c r="UBL1" s="2"/>
      <c r="UBM1" s="2"/>
      <c r="UBN1" s="2"/>
      <c r="UBO1" s="2"/>
      <c r="UBP1" s="2"/>
      <c r="UBQ1" s="2"/>
      <c r="UBR1" s="2"/>
      <c r="UBS1" s="2"/>
      <c r="UBT1" s="2"/>
      <c r="UBU1" s="2"/>
      <c r="UBV1" s="2"/>
      <c r="UBW1" s="2"/>
      <c r="UBX1" s="2"/>
      <c r="UBY1" s="2"/>
      <c r="UBZ1" s="2"/>
      <c r="UCA1" s="2"/>
      <c r="UCB1" s="2"/>
      <c r="UCC1" s="2"/>
      <c r="UCD1" s="2"/>
      <c r="UCE1" s="2"/>
      <c r="UCF1" s="2"/>
      <c r="UCG1" s="2"/>
      <c r="UCH1" s="2"/>
      <c r="UCI1" s="2"/>
      <c r="UCJ1" s="2"/>
      <c r="UCK1" s="2"/>
      <c r="UCL1" s="2"/>
      <c r="UCM1" s="2"/>
      <c r="UCN1" s="2"/>
      <c r="UCO1" s="2"/>
      <c r="UCP1" s="2"/>
      <c r="UCQ1" s="2"/>
      <c r="UCR1" s="2"/>
      <c r="UCS1" s="2"/>
      <c r="UCT1" s="2"/>
      <c r="UCU1" s="2"/>
      <c r="UCV1" s="2"/>
      <c r="UCW1" s="2"/>
      <c r="UCX1" s="2"/>
      <c r="UCY1" s="2"/>
      <c r="UCZ1" s="2"/>
      <c r="UDA1" s="2"/>
      <c r="UDB1" s="2"/>
      <c r="UDC1" s="2"/>
      <c r="UDD1" s="2"/>
      <c r="UDE1" s="2"/>
      <c r="UDF1" s="2"/>
      <c r="UDG1" s="2"/>
      <c r="UDH1" s="2"/>
      <c r="UDI1" s="2"/>
      <c r="UDJ1" s="2"/>
      <c r="UDK1" s="2"/>
      <c r="UDL1" s="2"/>
      <c r="UDM1" s="2"/>
      <c r="UDN1" s="2"/>
      <c r="UDO1" s="2"/>
      <c r="UDP1" s="2"/>
      <c r="UDQ1" s="2"/>
      <c r="UDR1" s="2"/>
      <c r="UDS1" s="2"/>
      <c r="UDT1" s="2"/>
      <c r="UDU1" s="2"/>
      <c r="UDV1" s="2"/>
      <c r="UDW1" s="2"/>
      <c r="UDX1" s="2"/>
      <c r="UDY1" s="2"/>
      <c r="UDZ1" s="2"/>
      <c r="UEA1" s="2"/>
      <c r="UEB1" s="2"/>
      <c r="UEC1" s="2"/>
      <c r="UED1" s="2"/>
      <c r="UEE1" s="2"/>
      <c r="UEF1" s="2"/>
      <c r="UEG1" s="2"/>
      <c r="UEH1" s="2"/>
      <c r="UEI1" s="2"/>
      <c r="UEJ1" s="2"/>
      <c r="UEK1" s="2"/>
      <c r="UEL1" s="2"/>
      <c r="UEM1" s="2"/>
      <c r="UEN1" s="2"/>
      <c r="UEO1" s="2"/>
      <c r="UEP1" s="2"/>
      <c r="UEQ1" s="2"/>
      <c r="UER1" s="2"/>
      <c r="UES1" s="2"/>
      <c r="UET1" s="2"/>
      <c r="UEU1" s="2"/>
      <c r="UEV1" s="2"/>
      <c r="UEW1" s="2"/>
      <c r="UEX1" s="2"/>
      <c r="UEY1" s="2"/>
      <c r="UEZ1" s="2"/>
      <c r="UFA1" s="2"/>
      <c r="UFB1" s="2"/>
      <c r="UFC1" s="2"/>
      <c r="UFD1" s="2"/>
      <c r="UFE1" s="2"/>
      <c r="UFF1" s="2"/>
      <c r="UFG1" s="2"/>
      <c r="UFH1" s="2"/>
      <c r="UFI1" s="2"/>
      <c r="UFJ1" s="2"/>
      <c r="UFK1" s="2"/>
      <c r="UFL1" s="2"/>
      <c r="UFM1" s="2"/>
      <c r="UFN1" s="2"/>
      <c r="UFO1" s="2"/>
      <c r="UFP1" s="2"/>
      <c r="UFQ1" s="2"/>
      <c r="UFR1" s="2"/>
      <c r="UFS1" s="2"/>
      <c r="UFT1" s="2"/>
      <c r="UFU1" s="2"/>
      <c r="UFV1" s="2"/>
      <c r="UFW1" s="2"/>
      <c r="UFX1" s="2"/>
      <c r="UFY1" s="2"/>
      <c r="UFZ1" s="2"/>
      <c r="UGA1" s="2"/>
      <c r="UGB1" s="2"/>
      <c r="UGC1" s="2"/>
      <c r="UGD1" s="2"/>
      <c r="UGE1" s="2"/>
      <c r="UGF1" s="2"/>
      <c r="UGG1" s="2"/>
      <c r="UGH1" s="2"/>
      <c r="UGI1" s="2"/>
      <c r="UGJ1" s="2"/>
      <c r="UGK1" s="2"/>
      <c r="UGL1" s="2"/>
      <c r="UGM1" s="2"/>
      <c r="UGN1" s="2"/>
      <c r="UGO1" s="2"/>
      <c r="UGP1" s="2"/>
      <c r="UGQ1" s="2"/>
      <c r="UGR1" s="2"/>
      <c r="UGS1" s="2"/>
      <c r="UGT1" s="2"/>
      <c r="UGU1" s="2"/>
      <c r="UGV1" s="2"/>
      <c r="UGW1" s="2"/>
      <c r="UGX1" s="2"/>
      <c r="UGY1" s="2"/>
      <c r="UGZ1" s="2"/>
      <c r="UHA1" s="2"/>
      <c r="UHB1" s="2"/>
      <c r="UHC1" s="2"/>
      <c r="UHD1" s="2"/>
      <c r="UHE1" s="2"/>
      <c r="UHF1" s="2"/>
      <c r="UHG1" s="2"/>
      <c r="UHH1" s="2"/>
      <c r="UHI1" s="2"/>
      <c r="UHJ1" s="2"/>
      <c r="UHK1" s="2"/>
      <c r="UHL1" s="2"/>
      <c r="UHM1" s="2"/>
      <c r="UHN1" s="2"/>
      <c r="UHO1" s="2"/>
      <c r="UHP1" s="2"/>
      <c r="UHQ1" s="2"/>
      <c r="UHR1" s="2"/>
      <c r="UHS1" s="2"/>
      <c r="UHT1" s="2"/>
      <c r="UHU1" s="2"/>
      <c r="UHV1" s="2"/>
      <c r="UHW1" s="2"/>
      <c r="UHX1" s="2"/>
      <c r="UHY1" s="2"/>
      <c r="UHZ1" s="2"/>
      <c r="UIA1" s="2"/>
      <c r="UIB1" s="2"/>
      <c r="UIC1" s="2"/>
      <c r="UID1" s="2"/>
      <c r="UIE1" s="2"/>
      <c r="UIF1" s="2"/>
      <c r="UIG1" s="2"/>
      <c r="UIH1" s="2"/>
      <c r="UII1" s="2"/>
      <c r="UIJ1" s="2"/>
      <c r="UIK1" s="2"/>
      <c r="UIL1" s="2"/>
      <c r="UIM1" s="2"/>
      <c r="UIN1" s="2"/>
      <c r="UIO1" s="2"/>
      <c r="UIP1" s="2"/>
      <c r="UIQ1" s="2"/>
      <c r="UIR1" s="2"/>
      <c r="UIS1" s="2"/>
      <c r="UIT1" s="2"/>
      <c r="UIU1" s="2"/>
      <c r="UIV1" s="2"/>
      <c r="UIW1" s="2"/>
      <c r="UIX1" s="2"/>
      <c r="UIY1" s="2"/>
      <c r="UIZ1" s="2"/>
      <c r="UJA1" s="2"/>
      <c r="UJB1" s="2"/>
      <c r="UJC1" s="2"/>
      <c r="UJD1" s="2"/>
      <c r="UJE1" s="2"/>
      <c r="UJF1" s="2"/>
      <c r="UJG1" s="2"/>
      <c r="UJH1" s="2"/>
      <c r="UJI1" s="2"/>
      <c r="UJJ1" s="2"/>
      <c r="UJK1" s="2"/>
      <c r="UJL1" s="2"/>
      <c r="UJM1" s="2"/>
      <c r="UJN1" s="2"/>
      <c r="UJO1" s="2"/>
      <c r="UJP1" s="2"/>
      <c r="UJQ1" s="2"/>
      <c r="UJR1" s="2"/>
      <c r="UJS1" s="2"/>
      <c r="UJT1" s="2"/>
      <c r="UJU1" s="2"/>
      <c r="UJV1" s="2"/>
      <c r="UJW1" s="2"/>
      <c r="UJX1" s="2"/>
      <c r="UJY1" s="2"/>
      <c r="UJZ1" s="2"/>
      <c r="UKA1" s="2"/>
      <c r="UKB1" s="2"/>
      <c r="UKC1" s="2"/>
      <c r="UKD1" s="2"/>
      <c r="UKE1" s="2"/>
      <c r="UKF1" s="2"/>
      <c r="UKG1" s="2"/>
      <c r="UKH1" s="2"/>
      <c r="UKI1" s="2"/>
      <c r="UKJ1" s="2"/>
      <c r="UKK1" s="2"/>
      <c r="UKL1" s="2"/>
      <c r="UKM1" s="2"/>
      <c r="UKN1" s="2"/>
      <c r="UKO1" s="2"/>
      <c r="UKP1" s="2"/>
      <c r="UKQ1" s="2"/>
      <c r="UKR1" s="2"/>
      <c r="UKS1" s="2"/>
      <c r="UKT1" s="2"/>
      <c r="UKU1" s="2"/>
      <c r="UKV1" s="2"/>
      <c r="UKW1" s="2"/>
      <c r="UKX1" s="2"/>
      <c r="UKY1" s="2"/>
      <c r="UKZ1" s="2"/>
      <c r="ULA1" s="2"/>
      <c r="ULB1" s="2"/>
      <c r="ULC1" s="2"/>
      <c r="ULD1" s="2"/>
      <c r="ULE1" s="2"/>
      <c r="ULF1" s="2"/>
      <c r="ULG1" s="2"/>
      <c r="ULH1" s="2"/>
      <c r="ULI1" s="2"/>
      <c r="ULJ1" s="2"/>
      <c r="ULK1" s="2"/>
      <c r="ULL1" s="2"/>
      <c r="ULM1" s="2"/>
      <c r="ULN1" s="2"/>
      <c r="ULO1" s="2"/>
      <c r="ULP1" s="2"/>
      <c r="ULQ1" s="2"/>
      <c r="ULR1" s="2"/>
      <c r="ULS1" s="2"/>
      <c r="ULT1" s="2"/>
      <c r="ULU1" s="2"/>
      <c r="ULV1" s="2"/>
      <c r="ULW1" s="2"/>
      <c r="ULX1" s="2"/>
      <c r="ULY1" s="2"/>
      <c r="ULZ1" s="2"/>
      <c r="UMA1" s="2"/>
      <c r="UMB1" s="2"/>
      <c r="UMC1" s="2"/>
      <c r="UMD1" s="2"/>
      <c r="UME1" s="2"/>
      <c r="UMF1" s="2"/>
      <c r="UMG1" s="2"/>
      <c r="UMH1" s="2"/>
      <c r="UMI1" s="2"/>
      <c r="UMJ1" s="2"/>
      <c r="UMK1" s="2"/>
      <c r="UML1" s="2"/>
      <c r="UMM1" s="2"/>
      <c r="UMN1" s="2"/>
      <c r="UMO1" s="2"/>
      <c r="UMP1" s="2"/>
      <c r="UMQ1" s="2"/>
      <c r="UMR1" s="2"/>
      <c r="UMS1" s="2"/>
      <c r="UMT1" s="2"/>
      <c r="UMU1" s="2"/>
      <c r="UMV1" s="2"/>
      <c r="UMW1" s="2"/>
      <c r="UMX1" s="2"/>
      <c r="UMY1" s="2"/>
      <c r="UMZ1" s="2"/>
      <c r="UNA1" s="2"/>
      <c r="UNB1" s="2"/>
      <c r="UNC1" s="2"/>
      <c r="UND1" s="2"/>
      <c r="UNE1" s="2"/>
      <c r="UNF1" s="2"/>
      <c r="UNG1" s="2"/>
      <c r="UNH1" s="2"/>
      <c r="UNI1" s="2"/>
      <c r="UNJ1" s="2"/>
      <c r="UNK1" s="2"/>
      <c r="UNL1" s="2"/>
      <c r="UNM1" s="2"/>
      <c r="UNN1" s="2"/>
      <c r="UNO1" s="2"/>
      <c r="UNP1" s="2"/>
      <c r="UNQ1" s="2"/>
      <c r="UNR1" s="2"/>
      <c r="UNS1" s="2"/>
      <c r="UNT1" s="2"/>
      <c r="UNU1" s="2"/>
      <c r="UNV1" s="2"/>
      <c r="UNW1" s="2"/>
      <c r="UNX1" s="2"/>
      <c r="UNY1" s="2"/>
      <c r="UNZ1" s="2"/>
      <c r="UOA1" s="2"/>
      <c r="UOB1" s="2"/>
      <c r="UOC1" s="2"/>
      <c r="UOD1" s="2"/>
      <c r="UOE1" s="2"/>
      <c r="UOF1" s="2"/>
      <c r="UOG1" s="2"/>
      <c r="UOH1" s="2"/>
      <c r="UOI1" s="2"/>
      <c r="UOJ1" s="2"/>
      <c r="UOK1" s="2"/>
      <c r="UOL1" s="2"/>
      <c r="UOM1" s="2"/>
      <c r="UON1" s="2"/>
      <c r="UOO1" s="2"/>
      <c r="UOP1" s="2"/>
      <c r="UOQ1" s="2"/>
      <c r="UOR1" s="2"/>
      <c r="UOS1" s="2"/>
      <c r="UOT1" s="2"/>
      <c r="UOU1" s="2"/>
      <c r="UOV1" s="2"/>
      <c r="UOW1" s="2"/>
      <c r="UOX1" s="2"/>
      <c r="UOY1" s="2"/>
      <c r="UOZ1" s="2"/>
      <c r="UPA1" s="2"/>
      <c r="UPB1" s="2"/>
      <c r="UPC1" s="2"/>
      <c r="UPD1" s="2"/>
      <c r="UPE1" s="2"/>
      <c r="UPF1" s="2"/>
      <c r="UPG1" s="2"/>
      <c r="UPH1" s="2"/>
      <c r="UPI1" s="2"/>
      <c r="UPJ1" s="2"/>
      <c r="UPK1" s="2"/>
      <c r="UPL1" s="2"/>
      <c r="UPM1" s="2"/>
      <c r="UPN1" s="2"/>
      <c r="UPO1" s="2"/>
      <c r="UPP1" s="2"/>
      <c r="UPQ1" s="2"/>
      <c r="UPR1" s="2"/>
      <c r="UPS1" s="2"/>
      <c r="UPT1" s="2"/>
      <c r="UPU1" s="2"/>
      <c r="UPV1" s="2"/>
      <c r="UPW1" s="2"/>
      <c r="UPX1" s="2"/>
      <c r="UPY1" s="2"/>
      <c r="UPZ1" s="2"/>
      <c r="UQA1" s="2"/>
      <c r="UQB1" s="2"/>
      <c r="UQC1" s="2"/>
      <c r="UQD1" s="2"/>
      <c r="UQE1" s="2"/>
      <c r="UQF1" s="2"/>
      <c r="UQG1" s="2"/>
      <c r="UQH1" s="2"/>
      <c r="UQI1" s="2"/>
      <c r="UQJ1" s="2"/>
      <c r="UQK1" s="2"/>
      <c r="UQL1" s="2"/>
      <c r="UQM1" s="2"/>
      <c r="UQN1" s="2"/>
      <c r="UQO1" s="2"/>
      <c r="UQP1" s="2"/>
      <c r="UQQ1" s="2"/>
      <c r="UQR1" s="2"/>
      <c r="UQS1" s="2"/>
      <c r="UQT1" s="2"/>
      <c r="UQU1" s="2"/>
      <c r="UQV1" s="2"/>
      <c r="UQW1" s="2"/>
      <c r="UQX1" s="2"/>
      <c r="UQY1" s="2"/>
      <c r="UQZ1" s="2"/>
      <c r="URA1" s="2"/>
      <c r="URB1" s="2"/>
      <c r="URC1" s="2"/>
      <c r="URD1" s="2"/>
      <c r="URE1" s="2"/>
      <c r="URF1" s="2"/>
      <c r="URG1" s="2"/>
      <c r="URH1" s="2"/>
      <c r="URI1" s="2"/>
      <c r="URJ1" s="2"/>
      <c r="URK1" s="2"/>
      <c r="URL1" s="2"/>
      <c r="URM1" s="2"/>
      <c r="URN1" s="2"/>
      <c r="URO1" s="2"/>
      <c r="URP1" s="2"/>
      <c r="URQ1" s="2"/>
      <c r="URR1" s="2"/>
      <c r="URS1" s="2"/>
      <c r="URT1" s="2"/>
      <c r="URU1" s="2"/>
      <c r="URV1" s="2"/>
      <c r="URW1" s="2"/>
      <c r="URX1" s="2"/>
      <c r="URY1" s="2"/>
      <c r="URZ1" s="2"/>
      <c r="USA1" s="2"/>
      <c r="USB1" s="2"/>
      <c r="USC1" s="2"/>
      <c r="USD1" s="2"/>
      <c r="USE1" s="2"/>
      <c r="USF1" s="2"/>
      <c r="USG1" s="2"/>
      <c r="USH1" s="2"/>
      <c r="USI1" s="2"/>
      <c r="USJ1" s="2"/>
      <c r="USK1" s="2"/>
      <c r="USL1" s="2"/>
      <c r="USM1" s="2"/>
      <c r="USN1" s="2"/>
      <c r="USO1" s="2"/>
      <c r="USP1" s="2"/>
      <c r="USQ1" s="2"/>
      <c r="USR1" s="2"/>
      <c r="USS1" s="2"/>
      <c r="UST1" s="2"/>
      <c r="USU1" s="2"/>
      <c r="USV1" s="2"/>
      <c r="USW1" s="2"/>
      <c r="USX1" s="2"/>
      <c r="USY1" s="2"/>
      <c r="USZ1" s="2"/>
      <c r="UTA1" s="2"/>
      <c r="UTB1" s="2"/>
      <c r="UTC1" s="2"/>
      <c r="UTD1" s="2"/>
      <c r="UTE1" s="2"/>
      <c r="UTF1" s="2"/>
      <c r="UTG1" s="2"/>
      <c r="UTH1" s="2"/>
      <c r="UTI1" s="2"/>
      <c r="UTJ1" s="2"/>
      <c r="UTK1" s="2"/>
      <c r="UTL1" s="2"/>
      <c r="UTM1" s="2"/>
      <c r="UTN1" s="2"/>
      <c r="UTO1" s="2"/>
      <c r="UTP1" s="2"/>
      <c r="UTQ1" s="2"/>
      <c r="UTR1" s="2"/>
      <c r="UTS1" s="2"/>
      <c r="UTT1" s="2"/>
      <c r="UTU1" s="2"/>
      <c r="UTV1" s="2"/>
      <c r="UTW1" s="2"/>
      <c r="UTX1" s="2"/>
      <c r="UTY1" s="2"/>
      <c r="UTZ1" s="2"/>
      <c r="UUA1" s="2"/>
      <c r="UUB1" s="2"/>
      <c r="UUC1" s="2"/>
      <c r="UUD1" s="2"/>
      <c r="UUE1" s="2"/>
      <c r="UUF1" s="2"/>
      <c r="UUG1" s="2"/>
      <c r="UUH1" s="2"/>
      <c r="UUI1" s="2"/>
      <c r="UUJ1" s="2"/>
      <c r="UUK1" s="2"/>
      <c r="UUL1" s="2"/>
      <c r="UUM1" s="2"/>
      <c r="UUN1" s="2"/>
      <c r="UUO1" s="2"/>
      <c r="UUP1" s="2"/>
      <c r="UUQ1" s="2"/>
      <c r="UUR1" s="2"/>
      <c r="UUS1" s="2"/>
      <c r="UUT1" s="2"/>
      <c r="UUU1" s="2"/>
      <c r="UUV1" s="2"/>
      <c r="UUW1" s="2"/>
      <c r="UUX1" s="2"/>
      <c r="UUY1" s="2"/>
      <c r="UUZ1" s="2"/>
      <c r="UVA1" s="2"/>
      <c r="UVB1" s="2"/>
      <c r="UVC1" s="2"/>
      <c r="UVD1" s="2"/>
      <c r="UVE1" s="2"/>
      <c r="UVF1" s="2"/>
      <c r="UVG1" s="2"/>
      <c r="UVH1" s="2"/>
      <c r="UVI1" s="2"/>
      <c r="UVJ1" s="2"/>
      <c r="UVK1" s="2"/>
      <c r="UVL1" s="2"/>
      <c r="UVM1" s="2"/>
      <c r="UVN1" s="2"/>
      <c r="UVO1" s="2"/>
      <c r="UVP1" s="2"/>
      <c r="UVQ1" s="2"/>
      <c r="UVR1" s="2"/>
      <c r="UVS1" s="2"/>
      <c r="UVT1" s="2"/>
      <c r="UVU1" s="2"/>
      <c r="UVV1" s="2"/>
      <c r="UVW1" s="2"/>
      <c r="UVX1" s="2"/>
      <c r="UVY1" s="2"/>
      <c r="UVZ1" s="2"/>
      <c r="UWA1" s="2"/>
      <c r="UWB1" s="2"/>
      <c r="UWC1" s="2"/>
      <c r="UWD1" s="2"/>
      <c r="UWE1" s="2"/>
      <c r="UWF1" s="2"/>
      <c r="UWG1" s="2"/>
      <c r="UWH1" s="2"/>
      <c r="UWI1" s="2"/>
      <c r="UWJ1" s="2"/>
      <c r="UWK1" s="2"/>
      <c r="UWL1" s="2"/>
      <c r="UWM1" s="2"/>
      <c r="UWN1" s="2"/>
      <c r="UWO1" s="2"/>
      <c r="UWP1" s="2"/>
      <c r="UWQ1" s="2"/>
      <c r="UWR1" s="2"/>
      <c r="UWS1" s="2"/>
      <c r="UWT1" s="2"/>
      <c r="UWU1" s="2"/>
      <c r="UWV1" s="2"/>
      <c r="UWW1" s="2"/>
      <c r="UWX1" s="2"/>
      <c r="UWY1" s="2"/>
      <c r="UWZ1" s="2"/>
      <c r="UXA1" s="2"/>
      <c r="UXB1" s="2"/>
      <c r="UXC1" s="2"/>
      <c r="UXD1" s="2"/>
      <c r="UXE1" s="2"/>
      <c r="UXF1" s="2"/>
      <c r="UXG1" s="2"/>
      <c r="UXH1" s="2"/>
      <c r="UXI1" s="2"/>
      <c r="UXJ1" s="2"/>
      <c r="UXK1" s="2"/>
      <c r="UXL1" s="2"/>
      <c r="UXM1" s="2"/>
      <c r="UXN1" s="2"/>
      <c r="UXO1" s="2"/>
      <c r="UXP1" s="2"/>
      <c r="UXQ1" s="2"/>
      <c r="UXR1" s="2"/>
      <c r="UXS1" s="2"/>
      <c r="UXT1" s="2"/>
      <c r="UXU1" s="2"/>
      <c r="UXV1" s="2"/>
      <c r="UXW1" s="2"/>
      <c r="UXX1" s="2"/>
      <c r="UXY1" s="2"/>
      <c r="UXZ1" s="2"/>
      <c r="UYA1" s="2"/>
      <c r="UYB1" s="2"/>
      <c r="UYC1" s="2"/>
      <c r="UYD1" s="2"/>
      <c r="UYE1" s="2"/>
      <c r="UYF1" s="2"/>
      <c r="UYG1" s="2"/>
      <c r="UYH1" s="2"/>
      <c r="UYI1" s="2"/>
      <c r="UYJ1" s="2"/>
      <c r="UYK1" s="2"/>
      <c r="UYL1" s="2"/>
      <c r="UYM1" s="2"/>
      <c r="UYN1" s="2"/>
      <c r="UYO1" s="2"/>
      <c r="UYP1" s="2"/>
      <c r="UYQ1" s="2"/>
      <c r="UYR1" s="2"/>
      <c r="UYS1" s="2"/>
      <c r="UYT1" s="2"/>
      <c r="UYU1" s="2"/>
      <c r="UYV1" s="2"/>
      <c r="UYW1" s="2"/>
      <c r="UYX1" s="2"/>
      <c r="UYY1" s="2"/>
      <c r="UYZ1" s="2"/>
      <c r="UZA1" s="2"/>
      <c r="UZB1" s="2"/>
      <c r="UZC1" s="2"/>
      <c r="UZD1" s="2"/>
      <c r="UZE1" s="2"/>
      <c r="UZF1" s="2"/>
      <c r="UZG1" s="2"/>
      <c r="UZH1" s="2"/>
      <c r="UZI1" s="2"/>
      <c r="UZJ1" s="2"/>
      <c r="UZK1" s="2"/>
      <c r="UZL1" s="2"/>
      <c r="UZM1" s="2"/>
      <c r="UZN1" s="2"/>
      <c r="UZO1" s="2"/>
      <c r="UZP1" s="2"/>
      <c r="UZQ1" s="2"/>
      <c r="UZR1" s="2"/>
      <c r="UZS1" s="2"/>
      <c r="UZT1" s="2"/>
      <c r="UZU1" s="2"/>
      <c r="UZV1" s="2"/>
      <c r="UZW1" s="2"/>
      <c r="UZX1" s="2"/>
      <c r="UZY1" s="2"/>
      <c r="UZZ1" s="2"/>
      <c r="VAA1" s="2"/>
      <c r="VAB1" s="2"/>
      <c r="VAC1" s="2"/>
      <c r="VAD1" s="2"/>
      <c r="VAE1" s="2"/>
      <c r="VAF1" s="2"/>
      <c r="VAG1" s="2"/>
      <c r="VAH1" s="2"/>
      <c r="VAI1" s="2"/>
      <c r="VAJ1" s="2"/>
      <c r="VAK1" s="2"/>
      <c r="VAL1" s="2"/>
      <c r="VAM1" s="2"/>
      <c r="VAN1" s="2"/>
      <c r="VAO1" s="2"/>
      <c r="VAP1" s="2"/>
      <c r="VAQ1" s="2"/>
      <c r="VAR1" s="2"/>
      <c r="VAS1" s="2"/>
      <c r="VAT1" s="2"/>
      <c r="VAU1" s="2"/>
      <c r="VAV1" s="2"/>
      <c r="VAW1" s="2"/>
      <c r="VAX1" s="2"/>
      <c r="VAY1" s="2"/>
      <c r="VAZ1" s="2"/>
      <c r="VBA1" s="2"/>
      <c r="VBB1" s="2"/>
      <c r="VBC1" s="2"/>
      <c r="VBD1" s="2"/>
      <c r="VBE1" s="2"/>
      <c r="VBF1" s="2"/>
      <c r="VBG1" s="2"/>
      <c r="VBH1" s="2"/>
      <c r="VBI1" s="2"/>
      <c r="VBJ1" s="2"/>
      <c r="VBK1" s="2"/>
      <c r="VBL1" s="2"/>
      <c r="VBM1" s="2"/>
      <c r="VBN1" s="2"/>
      <c r="VBO1" s="2"/>
      <c r="VBP1" s="2"/>
      <c r="VBQ1" s="2"/>
      <c r="VBR1" s="2"/>
      <c r="VBS1" s="2"/>
      <c r="VBT1" s="2"/>
      <c r="VBU1" s="2"/>
      <c r="VBV1" s="2"/>
      <c r="VBW1" s="2"/>
      <c r="VBX1" s="2"/>
      <c r="VBY1" s="2"/>
      <c r="VBZ1" s="2"/>
      <c r="VCA1" s="2"/>
      <c r="VCB1" s="2"/>
      <c r="VCC1" s="2"/>
      <c r="VCD1" s="2"/>
      <c r="VCE1" s="2"/>
      <c r="VCF1" s="2"/>
      <c r="VCG1" s="2"/>
      <c r="VCH1" s="2"/>
      <c r="VCI1" s="2"/>
      <c r="VCJ1" s="2"/>
      <c r="VCK1" s="2"/>
      <c r="VCL1" s="2"/>
      <c r="VCM1" s="2"/>
      <c r="VCN1" s="2"/>
      <c r="VCO1" s="2"/>
      <c r="VCP1" s="2"/>
      <c r="VCQ1" s="2"/>
      <c r="VCR1" s="2"/>
      <c r="VCS1" s="2"/>
      <c r="VCT1" s="2"/>
      <c r="VCU1" s="2"/>
      <c r="VCV1" s="2"/>
      <c r="VCW1" s="2"/>
      <c r="VCX1" s="2"/>
      <c r="VCY1" s="2"/>
      <c r="VCZ1" s="2"/>
      <c r="VDA1" s="2"/>
      <c r="VDB1" s="2"/>
      <c r="VDC1" s="2"/>
      <c r="VDD1" s="2"/>
      <c r="VDE1" s="2"/>
      <c r="VDF1" s="2"/>
      <c r="VDG1" s="2"/>
      <c r="VDH1" s="2"/>
      <c r="VDI1" s="2"/>
      <c r="VDJ1" s="2"/>
      <c r="VDK1" s="2"/>
      <c r="VDL1" s="2"/>
      <c r="VDM1" s="2"/>
      <c r="VDN1" s="2"/>
      <c r="VDO1" s="2"/>
      <c r="VDP1" s="2"/>
      <c r="VDQ1" s="2"/>
      <c r="VDR1" s="2"/>
      <c r="VDS1" s="2"/>
      <c r="VDT1" s="2"/>
      <c r="VDU1" s="2"/>
      <c r="VDV1" s="2"/>
      <c r="VDW1" s="2"/>
      <c r="VDX1" s="2"/>
      <c r="VDY1" s="2"/>
      <c r="VDZ1" s="2"/>
      <c r="VEA1" s="2"/>
      <c r="VEB1" s="2"/>
      <c r="VEC1" s="2"/>
      <c r="VED1" s="2"/>
      <c r="VEE1" s="2"/>
      <c r="VEF1" s="2"/>
      <c r="VEG1" s="2"/>
      <c r="VEH1" s="2"/>
      <c r="VEI1" s="2"/>
      <c r="VEJ1" s="2"/>
      <c r="VEK1" s="2"/>
      <c r="VEL1" s="2"/>
      <c r="VEM1" s="2"/>
      <c r="VEN1" s="2"/>
      <c r="VEO1" s="2"/>
      <c r="VEP1" s="2"/>
      <c r="VEQ1" s="2"/>
      <c r="VER1" s="2"/>
      <c r="VES1" s="2"/>
      <c r="VET1" s="2"/>
      <c r="VEU1" s="2"/>
      <c r="VEV1" s="2"/>
      <c r="VEW1" s="2"/>
      <c r="VEX1" s="2"/>
      <c r="VEY1" s="2"/>
      <c r="VEZ1" s="2"/>
      <c r="VFA1" s="2"/>
      <c r="VFB1" s="2"/>
      <c r="VFC1" s="2"/>
      <c r="VFD1" s="2"/>
      <c r="VFE1" s="2"/>
      <c r="VFF1" s="2"/>
      <c r="VFG1" s="2"/>
      <c r="VFH1" s="2"/>
      <c r="VFI1" s="2"/>
      <c r="VFJ1" s="2"/>
      <c r="VFK1" s="2"/>
      <c r="VFL1" s="2"/>
      <c r="VFM1" s="2"/>
      <c r="VFN1" s="2"/>
      <c r="VFO1" s="2"/>
      <c r="VFP1" s="2"/>
      <c r="VFQ1" s="2"/>
      <c r="VFR1" s="2"/>
      <c r="VFS1" s="2"/>
      <c r="VFT1" s="2"/>
      <c r="VFU1" s="2"/>
      <c r="VFV1" s="2"/>
      <c r="VFW1" s="2"/>
      <c r="VFX1" s="2"/>
      <c r="VFY1" s="2"/>
      <c r="VFZ1" s="2"/>
      <c r="VGA1" s="2"/>
      <c r="VGB1" s="2"/>
      <c r="VGC1" s="2"/>
      <c r="VGD1" s="2"/>
      <c r="VGE1" s="2"/>
      <c r="VGF1" s="2"/>
      <c r="VGG1" s="2"/>
      <c r="VGH1" s="2"/>
      <c r="VGI1" s="2"/>
      <c r="VGJ1" s="2"/>
      <c r="VGK1" s="2"/>
      <c r="VGL1" s="2"/>
      <c r="VGM1" s="2"/>
      <c r="VGN1" s="2"/>
      <c r="VGO1" s="2"/>
      <c r="VGP1" s="2"/>
      <c r="VGQ1" s="2"/>
      <c r="VGR1" s="2"/>
      <c r="VGS1" s="2"/>
      <c r="VGT1" s="2"/>
      <c r="VGU1" s="2"/>
      <c r="VGV1" s="2"/>
      <c r="VGW1" s="2"/>
      <c r="VGX1" s="2"/>
      <c r="VGY1" s="2"/>
      <c r="VGZ1" s="2"/>
      <c r="VHA1" s="2"/>
      <c r="VHB1" s="2"/>
      <c r="VHC1" s="2"/>
      <c r="VHD1" s="2"/>
      <c r="VHE1" s="2"/>
      <c r="VHF1" s="2"/>
      <c r="VHG1" s="2"/>
      <c r="VHH1" s="2"/>
      <c r="VHI1" s="2"/>
      <c r="VHJ1" s="2"/>
      <c r="VHK1" s="2"/>
      <c r="VHL1" s="2"/>
      <c r="VHM1" s="2"/>
      <c r="VHN1" s="2"/>
      <c r="VHO1" s="2"/>
      <c r="VHP1" s="2"/>
      <c r="VHQ1" s="2"/>
      <c r="VHR1" s="2"/>
      <c r="VHS1" s="2"/>
      <c r="VHT1" s="2"/>
      <c r="VHU1" s="2"/>
      <c r="VHV1" s="2"/>
      <c r="VHW1" s="2"/>
      <c r="VHX1" s="2"/>
      <c r="VHY1" s="2"/>
      <c r="VHZ1" s="2"/>
      <c r="VIA1" s="2"/>
      <c r="VIB1" s="2"/>
      <c r="VIC1" s="2"/>
      <c r="VID1" s="2"/>
      <c r="VIE1" s="2"/>
      <c r="VIF1" s="2"/>
      <c r="VIG1" s="2"/>
      <c r="VIH1" s="2"/>
      <c r="VII1" s="2"/>
      <c r="VIJ1" s="2"/>
      <c r="VIK1" s="2"/>
      <c r="VIL1" s="2"/>
      <c r="VIM1" s="2"/>
      <c r="VIN1" s="2"/>
      <c r="VIO1" s="2"/>
      <c r="VIP1" s="2"/>
      <c r="VIQ1" s="2"/>
      <c r="VIR1" s="2"/>
      <c r="VIS1" s="2"/>
      <c r="VIT1" s="2"/>
      <c r="VIU1" s="2"/>
      <c r="VIV1" s="2"/>
      <c r="VIW1" s="2"/>
      <c r="VIX1" s="2"/>
      <c r="VIY1" s="2"/>
      <c r="VIZ1" s="2"/>
      <c r="VJA1" s="2"/>
      <c r="VJB1" s="2"/>
      <c r="VJC1" s="2"/>
      <c r="VJD1" s="2"/>
      <c r="VJE1" s="2"/>
      <c r="VJF1" s="2"/>
      <c r="VJG1" s="2"/>
      <c r="VJH1" s="2"/>
      <c r="VJI1" s="2"/>
      <c r="VJJ1" s="2"/>
      <c r="VJK1" s="2"/>
      <c r="VJL1" s="2"/>
      <c r="VJM1" s="2"/>
      <c r="VJN1" s="2"/>
      <c r="VJO1" s="2"/>
      <c r="VJP1" s="2"/>
      <c r="VJQ1" s="2"/>
      <c r="VJR1" s="2"/>
      <c r="VJS1" s="2"/>
      <c r="VJT1" s="2"/>
      <c r="VJU1" s="2"/>
      <c r="VJV1" s="2"/>
      <c r="VJW1" s="2"/>
      <c r="VJX1" s="2"/>
      <c r="VJY1" s="2"/>
      <c r="VJZ1" s="2"/>
      <c r="VKA1" s="2"/>
      <c r="VKB1" s="2"/>
      <c r="VKC1" s="2"/>
      <c r="VKD1" s="2"/>
      <c r="VKE1" s="2"/>
      <c r="VKF1" s="2"/>
      <c r="VKG1" s="2"/>
      <c r="VKH1" s="2"/>
      <c r="VKI1" s="2"/>
      <c r="VKJ1" s="2"/>
      <c r="VKK1" s="2"/>
      <c r="VKL1" s="2"/>
      <c r="VKM1" s="2"/>
      <c r="VKN1" s="2"/>
      <c r="VKO1" s="2"/>
      <c r="VKP1" s="2"/>
      <c r="VKQ1" s="2"/>
      <c r="VKR1" s="2"/>
      <c r="VKS1" s="2"/>
      <c r="VKT1" s="2"/>
      <c r="VKU1" s="2"/>
      <c r="VKV1" s="2"/>
      <c r="VKW1" s="2"/>
      <c r="VKX1" s="2"/>
      <c r="VKY1" s="2"/>
      <c r="VKZ1" s="2"/>
      <c r="VLA1" s="2"/>
      <c r="VLB1" s="2"/>
      <c r="VLC1" s="2"/>
      <c r="VLD1" s="2"/>
      <c r="VLE1" s="2"/>
      <c r="VLF1" s="2"/>
      <c r="VLG1" s="2"/>
      <c r="VLH1" s="2"/>
      <c r="VLI1" s="2"/>
      <c r="VLJ1" s="2"/>
      <c r="VLK1" s="2"/>
      <c r="VLL1" s="2"/>
      <c r="VLM1" s="2"/>
      <c r="VLN1" s="2"/>
      <c r="VLO1" s="2"/>
      <c r="VLP1" s="2"/>
      <c r="VLQ1" s="2"/>
      <c r="VLR1" s="2"/>
      <c r="VLS1" s="2"/>
      <c r="VLT1" s="2"/>
      <c r="VLU1" s="2"/>
      <c r="VLV1" s="2"/>
      <c r="VLW1" s="2"/>
      <c r="VLX1" s="2"/>
      <c r="VLY1" s="2"/>
      <c r="VLZ1" s="2"/>
      <c r="VMA1" s="2"/>
      <c r="VMB1" s="2"/>
      <c r="VMC1" s="2"/>
      <c r="VMD1" s="2"/>
      <c r="VME1" s="2"/>
      <c r="VMF1" s="2"/>
      <c r="VMG1" s="2"/>
      <c r="VMH1" s="2"/>
      <c r="VMI1" s="2"/>
      <c r="VMJ1" s="2"/>
      <c r="VMK1" s="2"/>
      <c r="VML1" s="2"/>
      <c r="VMM1" s="2"/>
      <c r="VMN1" s="2"/>
      <c r="VMO1" s="2"/>
      <c r="VMP1" s="2"/>
      <c r="VMQ1" s="2"/>
      <c r="VMR1" s="2"/>
      <c r="VMS1" s="2"/>
      <c r="VMT1" s="2"/>
      <c r="VMU1" s="2"/>
      <c r="VMV1" s="2"/>
      <c r="VMW1" s="2"/>
      <c r="VMX1" s="2"/>
      <c r="VMY1" s="2"/>
      <c r="VMZ1" s="2"/>
      <c r="VNA1" s="2"/>
      <c r="VNB1" s="2"/>
      <c r="VNC1" s="2"/>
      <c r="VND1" s="2"/>
      <c r="VNE1" s="2"/>
      <c r="VNF1" s="2"/>
      <c r="VNG1" s="2"/>
      <c r="VNH1" s="2"/>
      <c r="VNI1" s="2"/>
      <c r="VNJ1" s="2"/>
      <c r="VNK1" s="2"/>
      <c r="VNL1" s="2"/>
      <c r="VNM1" s="2"/>
      <c r="VNN1" s="2"/>
      <c r="VNO1" s="2"/>
      <c r="VNP1" s="2"/>
      <c r="VNQ1" s="2"/>
      <c r="VNR1" s="2"/>
      <c r="VNS1" s="2"/>
      <c r="VNT1" s="2"/>
      <c r="VNU1" s="2"/>
      <c r="VNV1" s="2"/>
      <c r="VNW1" s="2"/>
      <c r="VNX1" s="2"/>
      <c r="VNY1" s="2"/>
      <c r="VNZ1" s="2"/>
      <c r="VOA1" s="2"/>
      <c r="VOB1" s="2"/>
      <c r="VOC1" s="2"/>
      <c r="VOD1" s="2"/>
      <c r="VOE1" s="2"/>
      <c r="VOF1" s="2"/>
      <c r="VOG1" s="2"/>
      <c r="VOH1" s="2"/>
      <c r="VOI1" s="2"/>
      <c r="VOJ1" s="2"/>
      <c r="VOK1" s="2"/>
      <c r="VOL1" s="2"/>
      <c r="VOM1" s="2"/>
      <c r="VON1" s="2"/>
      <c r="VOO1" s="2"/>
      <c r="VOP1" s="2"/>
      <c r="VOQ1" s="2"/>
      <c r="VOR1" s="2"/>
      <c r="VOS1" s="2"/>
      <c r="VOT1" s="2"/>
      <c r="VOU1" s="2"/>
      <c r="VOV1" s="2"/>
      <c r="VOW1" s="2"/>
      <c r="VOX1" s="2"/>
      <c r="VOY1" s="2"/>
      <c r="VOZ1" s="2"/>
      <c r="VPA1" s="2"/>
      <c r="VPB1" s="2"/>
      <c r="VPC1" s="2"/>
      <c r="VPD1" s="2"/>
      <c r="VPE1" s="2"/>
      <c r="VPF1" s="2"/>
      <c r="VPG1" s="2"/>
      <c r="VPH1" s="2"/>
      <c r="VPI1" s="2"/>
      <c r="VPJ1" s="2"/>
      <c r="VPK1" s="2"/>
      <c r="VPL1" s="2"/>
      <c r="VPM1" s="2"/>
      <c r="VPN1" s="2"/>
      <c r="VPO1" s="2"/>
      <c r="VPP1" s="2"/>
      <c r="VPQ1" s="2"/>
      <c r="VPR1" s="2"/>
      <c r="VPS1" s="2"/>
      <c r="VPT1" s="2"/>
      <c r="VPU1" s="2"/>
      <c r="VPV1" s="2"/>
      <c r="VPW1" s="2"/>
      <c r="VPX1" s="2"/>
      <c r="VPY1" s="2"/>
      <c r="VPZ1" s="2"/>
      <c r="VQA1" s="2"/>
      <c r="VQB1" s="2"/>
      <c r="VQC1" s="2"/>
      <c r="VQD1" s="2"/>
      <c r="VQE1" s="2"/>
      <c r="VQF1" s="2"/>
      <c r="VQG1" s="2"/>
      <c r="VQH1" s="2"/>
      <c r="VQI1" s="2"/>
      <c r="VQJ1" s="2"/>
      <c r="VQK1" s="2"/>
      <c r="VQL1" s="2"/>
      <c r="VQM1" s="2"/>
      <c r="VQN1" s="2"/>
      <c r="VQO1" s="2"/>
      <c r="VQP1" s="2"/>
      <c r="VQQ1" s="2"/>
      <c r="VQR1" s="2"/>
      <c r="VQS1" s="2"/>
      <c r="VQT1" s="2"/>
      <c r="VQU1" s="2"/>
      <c r="VQV1" s="2"/>
      <c r="VQW1" s="2"/>
      <c r="VQX1" s="2"/>
      <c r="VQY1" s="2"/>
      <c r="VQZ1" s="2"/>
      <c r="VRA1" s="2"/>
      <c r="VRB1" s="2"/>
      <c r="VRC1" s="2"/>
      <c r="VRD1" s="2"/>
      <c r="VRE1" s="2"/>
      <c r="VRF1" s="2"/>
      <c r="VRG1" s="2"/>
      <c r="VRH1" s="2"/>
      <c r="VRI1" s="2"/>
      <c r="VRJ1" s="2"/>
      <c r="VRK1" s="2"/>
      <c r="VRL1" s="2"/>
      <c r="VRM1" s="2"/>
      <c r="VRN1" s="2"/>
      <c r="VRO1" s="2"/>
      <c r="VRP1" s="2"/>
      <c r="VRQ1" s="2"/>
      <c r="VRR1" s="2"/>
      <c r="VRS1" s="2"/>
      <c r="VRT1" s="2"/>
      <c r="VRU1" s="2"/>
      <c r="VRV1" s="2"/>
      <c r="VRW1" s="2"/>
      <c r="VRX1" s="2"/>
      <c r="VRY1" s="2"/>
      <c r="VRZ1" s="2"/>
      <c r="VSA1" s="2"/>
      <c r="VSB1" s="2"/>
      <c r="VSC1" s="2"/>
      <c r="VSD1" s="2"/>
      <c r="VSE1" s="2"/>
      <c r="VSF1" s="2"/>
      <c r="VSG1" s="2"/>
      <c r="VSH1" s="2"/>
      <c r="VSI1" s="2"/>
      <c r="VSJ1" s="2"/>
      <c r="VSK1" s="2"/>
      <c r="VSL1" s="2"/>
      <c r="VSM1" s="2"/>
      <c r="VSN1" s="2"/>
      <c r="VSO1" s="2"/>
      <c r="VSP1" s="2"/>
      <c r="VSQ1" s="2"/>
      <c r="VSR1" s="2"/>
      <c r="VSS1" s="2"/>
      <c r="VST1" s="2"/>
      <c r="VSU1" s="2"/>
      <c r="VSV1" s="2"/>
      <c r="VSW1" s="2"/>
      <c r="VSX1" s="2"/>
      <c r="VSY1" s="2"/>
      <c r="VSZ1" s="2"/>
      <c r="VTA1" s="2"/>
      <c r="VTB1" s="2"/>
      <c r="VTC1" s="2"/>
      <c r="VTD1" s="2"/>
      <c r="VTE1" s="2"/>
      <c r="VTF1" s="2"/>
      <c r="VTG1" s="2"/>
      <c r="VTH1" s="2"/>
      <c r="VTI1" s="2"/>
      <c r="VTJ1" s="2"/>
      <c r="VTK1" s="2"/>
      <c r="VTL1" s="2"/>
      <c r="VTM1" s="2"/>
      <c r="VTN1" s="2"/>
      <c r="VTO1" s="2"/>
      <c r="VTP1" s="2"/>
      <c r="VTQ1" s="2"/>
      <c r="VTR1" s="2"/>
      <c r="VTS1" s="2"/>
      <c r="VTT1" s="2"/>
      <c r="VTU1" s="2"/>
      <c r="VTV1" s="2"/>
      <c r="VTW1" s="2"/>
      <c r="VTX1" s="2"/>
      <c r="VTY1" s="2"/>
      <c r="VTZ1" s="2"/>
      <c r="VUA1" s="2"/>
      <c r="VUB1" s="2"/>
      <c r="VUC1" s="2"/>
      <c r="VUD1" s="2"/>
      <c r="VUE1" s="2"/>
      <c r="VUF1" s="2"/>
      <c r="VUG1" s="2"/>
      <c r="VUH1" s="2"/>
      <c r="VUI1" s="2"/>
      <c r="VUJ1" s="2"/>
      <c r="VUK1" s="2"/>
      <c r="VUL1" s="2"/>
      <c r="VUM1" s="2"/>
      <c r="VUN1" s="2"/>
      <c r="VUO1" s="2"/>
      <c r="VUP1" s="2"/>
      <c r="VUQ1" s="2"/>
      <c r="VUR1" s="2"/>
      <c r="VUS1" s="2"/>
      <c r="VUT1" s="2"/>
      <c r="VUU1" s="2"/>
      <c r="VUV1" s="2"/>
      <c r="VUW1" s="2"/>
      <c r="VUX1" s="2"/>
      <c r="VUY1" s="2"/>
      <c r="VUZ1" s="2"/>
      <c r="VVA1" s="2"/>
      <c r="VVB1" s="2"/>
      <c r="VVC1" s="2"/>
      <c r="VVD1" s="2"/>
      <c r="VVE1" s="2"/>
      <c r="VVF1" s="2"/>
      <c r="VVG1" s="2"/>
      <c r="VVH1" s="2"/>
      <c r="VVI1" s="2"/>
      <c r="VVJ1" s="2"/>
      <c r="VVK1" s="2"/>
      <c r="VVL1" s="2"/>
      <c r="VVM1" s="2"/>
      <c r="VVN1" s="2"/>
      <c r="VVO1" s="2"/>
      <c r="VVP1" s="2"/>
      <c r="VVQ1" s="2"/>
      <c r="VVR1" s="2"/>
      <c r="VVS1" s="2"/>
      <c r="VVT1" s="2"/>
      <c r="VVU1" s="2"/>
      <c r="VVV1" s="2"/>
      <c r="VVW1" s="2"/>
      <c r="VVX1" s="2"/>
      <c r="VVY1" s="2"/>
      <c r="VVZ1" s="2"/>
      <c r="VWA1" s="2"/>
      <c r="VWB1" s="2"/>
      <c r="VWC1" s="2"/>
      <c r="VWD1" s="2"/>
      <c r="VWE1" s="2"/>
      <c r="VWF1" s="2"/>
      <c r="VWG1" s="2"/>
      <c r="VWH1" s="2"/>
      <c r="VWI1" s="2"/>
      <c r="VWJ1" s="2"/>
      <c r="VWK1" s="2"/>
      <c r="VWL1" s="2"/>
      <c r="VWM1" s="2"/>
      <c r="VWN1" s="2"/>
      <c r="VWO1" s="2"/>
      <c r="VWP1" s="2"/>
      <c r="VWQ1" s="2"/>
      <c r="VWR1" s="2"/>
      <c r="VWS1" s="2"/>
      <c r="VWT1" s="2"/>
      <c r="VWU1" s="2"/>
      <c r="VWV1" s="2"/>
      <c r="VWW1" s="2"/>
      <c r="VWX1" s="2"/>
      <c r="VWY1" s="2"/>
      <c r="VWZ1" s="2"/>
      <c r="VXA1" s="2"/>
      <c r="VXB1" s="2"/>
      <c r="VXC1" s="2"/>
      <c r="VXD1" s="2"/>
      <c r="VXE1" s="2"/>
      <c r="VXF1" s="2"/>
      <c r="VXG1" s="2"/>
      <c r="VXH1" s="2"/>
      <c r="VXI1" s="2"/>
      <c r="VXJ1" s="2"/>
      <c r="VXK1" s="2"/>
      <c r="VXL1" s="2"/>
      <c r="VXM1" s="2"/>
      <c r="VXN1" s="2"/>
      <c r="VXO1" s="2"/>
      <c r="VXP1" s="2"/>
      <c r="VXQ1" s="2"/>
      <c r="VXR1" s="2"/>
      <c r="VXS1" s="2"/>
      <c r="VXT1" s="2"/>
      <c r="VXU1" s="2"/>
      <c r="VXV1" s="2"/>
      <c r="VXW1" s="2"/>
      <c r="VXX1" s="2"/>
      <c r="VXY1" s="2"/>
      <c r="VXZ1" s="2"/>
      <c r="VYA1" s="2"/>
      <c r="VYB1" s="2"/>
      <c r="VYC1" s="2"/>
      <c r="VYD1" s="2"/>
      <c r="VYE1" s="2"/>
      <c r="VYF1" s="2"/>
      <c r="VYG1" s="2"/>
      <c r="VYH1" s="2"/>
      <c r="VYI1" s="2"/>
      <c r="VYJ1" s="2"/>
      <c r="VYK1" s="2"/>
      <c r="VYL1" s="2"/>
      <c r="VYM1" s="2"/>
      <c r="VYN1" s="2"/>
      <c r="VYO1" s="2"/>
      <c r="VYP1" s="2"/>
      <c r="VYQ1" s="2"/>
      <c r="VYR1" s="2"/>
      <c r="VYS1" s="2"/>
      <c r="VYT1" s="2"/>
      <c r="VYU1" s="2"/>
      <c r="VYV1" s="2"/>
      <c r="VYW1" s="2"/>
      <c r="VYX1" s="2"/>
      <c r="VYY1" s="2"/>
      <c r="VYZ1" s="2"/>
      <c r="VZA1" s="2"/>
      <c r="VZB1" s="2"/>
      <c r="VZC1" s="2"/>
      <c r="VZD1" s="2"/>
      <c r="VZE1" s="2"/>
      <c r="VZF1" s="2"/>
      <c r="VZG1" s="2"/>
      <c r="VZH1" s="2"/>
      <c r="VZI1" s="2"/>
      <c r="VZJ1" s="2"/>
      <c r="VZK1" s="2"/>
      <c r="VZL1" s="2"/>
      <c r="VZM1" s="2"/>
      <c r="VZN1" s="2"/>
      <c r="VZO1" s="2"/>
      <c r="VZP1" s="2"/>
      <c r="VZQ1" s="2"/>
      <c r="VZR1" s="2"/>
      <c r="VZS1" s="2"/>
      <c r="VZT1" s="2"/>
      <c r="VZU1" s="2"/>
      <c r="VZV1" s="2"/>
      <c r="VZW1" s="2"/>
      <c r="VZX1" s="2"/>
      <c r="VZY1" s="2"/>
      <c r="VZZ1" s="2"/>
      <c r="WAA1" s="2"/>
      <c r="WAB1" s="2"/>
      <c r="WAC1" s="2"/>
      <c r="WAD1" s="2"/>
      <c r="WAE1" s="2"/>
      <c r="WAF1" s="2"/>
      <c r="WAG1" s="2"/>
      <c r="WAH1" s="2"/>
      <c r="WAI1" s="2"/>
      <c r="WAJ1" s="2"/>
      <c r="WAK1" s="2"/>
      <c r="WAL1" s="2"/>
      <c r="WAM1" s="2"/>
      <c r="WAN1" s="2"/>
      <c r="WAO1" s="2"/>
      <c r="WAP1" s="2"/>
      <c r="WAQ1" s="2"/>
      <c r="WAR1" s="2"/>
      <c r="WAS1" s="2"/>
      <c r="WAT1" s="2"/>
      <c r="WAU1" s="2"/>
      <c r="WAV1" s="2"/>
      <c r="WAW1" s="2"/>
      <c r="WAX1" s="2"/>
      <c r="WAY1" s="2"/>
      <c r="WAZ1" s="2"/>
      <c r="WBA1" s="2"/>
      <c r="WBB1" s="2"/>
      <c r="WBC1" s="2"/>
      <c r="WBD1" s="2"/>
      <c r="WBE1" s="2"/>
      <c r="WBF1" s="2"/>
      <c r="WBG1" s="2"/>
      <c r="WBH1" s="2"/>
      <c r="WBI1" s="2"/>
      <c r="WBJ1" s="2"/>
      <c r="WBK1" s="2"/>
      <c r="WBL1" s="2"/>
      <c r="WBM1" s="2"/>
      <c r="WBN1" s="2"/>
      <c r="WBO1" s="2"/>
      <c r="WBP1" s="2"/>
      <c r="WBQ1" s="2"/>
      <c r="WBR1" s="2"/>
      <c r="WBS1" s="2"/>
      <c r="WBT1" s="2"/>
      <c r="WBU1" s="2"/>
      <c r="WBV1" s="2"/>
      <c r="WBW1" s="2"/>
      <c r="WBX1" s="2"/>
      <c r="WBY1" s="2"/>
      <c r="WBZ1" s="2"/>
      <c r="WCA1" s="2"/>
      <c r="WCB1" s="2"/>
      <c r="WCC1" s="2"/>
      <c r="WCD1" s="2"/>
      <c r="WCE1" s="2"/>
      <c r="WCF1" s="2"/>
      <c r="WCG1" s="2"/>
      <c r="WCH1" s="2"/>
      <c r="WCI1" s="2"/>
      <c r="WCJ1" s="2"/>
      <c r="WCK1" s="2"/>
      <c r="WCL1" s="2"/>
      <c r="WCM1" s="2"/>
      <c r="WCN1" s="2"/>
      <c r="WCO1" s="2"/>
      <c r="WCP1" s="2"/>
      <c r="WCQ1" s="2"/>
      <c r="WCR1" s="2"/>
      <c r="WCS1" s="2"/>
      <c r="WCT1" s="2"/>
      <c r="WCU1" s="2"/>
      <c r="WCV1" s="2"/>
      <c r="WCW1" s="2"/>
      <c r="WCX1" s="2"/>
      <c r="WCY1" s="2"/>
      <c r="WCZ1" s="2"/>
      <c r="WDA1" s="2"/>
      <c r="WDB1" s="2"/>
      <c r="WDC1" s="2"/>
      <c r="WDD1" s="2"/>
      <c r="WDE1" s="2"/>
      <c r="WDF1" s="2"/>
      <c r="WDG1" s="2"/>
      <c r="WDH1" s="2"/>
      <c r="WDI1" s="2"/>
      <c r="WDJ1" s="2"/>
      <c r="WDK1" s="2"/>
      <c r="WDL1" s="2"/>
      <c r="WDM1" s="2"/>
      <c r="WDN1" s="2"/>
      <c r="WDO1" s="2"/>
      <c r="WDP1" s="2"/>
      <c r="WDQ1" s="2"/>
      <c r="WDR1" s="2"/>
      <c r="WDS1" s="2"/>
      <c r="WDT1" s="2"/>
      <c r="WDU1" s="2"/>
      <c r="WDV1" s="2"/>
      <c r="WDW1" s="2"/>
      <c r="WDX1" s="2"/>
      <c r="WDY1" s="2"/>
      <c r="WDZ1" s="2"/>
      <c r="WEA1" s="2"/>
      <c r="WEB1" s="2"/>
      <c r="WEC1" s="2"/>
      <c r="WED1" s="2"/>
      <c r="WEE1" s="2"/>
      <c r="WEF1" s="2"/>
      <c r="WEG1" s="2"/>
      <c r="WEH1" s="2"/>
      <c r="WEI1" s="2"/>
      <c r="WEJ1" s="2"/>
      <c r="WEK1" s="2"/>
      <c r="WEL1" s="2"/>
      <c r="WEM1" s="2"/>
      <c r="WEN1" s="2"/>
      <c r="WEO1" s="2"/>
      <c r="WEP1" s="2"/>
      <c r="WEQ1" s="2"/>
      <c r="WER1" s="2"/>
      <c r="WES1" s="2"/>
      <c r="WET1" s="2"/>
      <c r="WEU1" s="2"/>
      <c r="WEV1" s="2"/>
      <c r="WEW1" s="2"/>
      <c r="WEX1" s="2"/>
      <c r="WEY1" s="2"/>
      <c r="WEZ1" s="2"/>
      <c r="WFA1" s="2"/>
      <c r="WFB1" s="2"/>
      <c r="WFC1" s="2"/>
      <c r="WFD1" s="2"/>
      <c r="WFE1" s="2"/>
      <c r="WFF1" s="2"/>
      <c r="WFG1" s="2"/>
      <c r="WFH1" s="2"/>
      <c r="WFI1" s="2"/>
      <c r="WFJ1" s="2"/>
      <c r="WFK1" s="2"/>
      <c r="WFL1" s="2"/>
      <c r="WFM1" s="2"/>
      <c r="WFN1" s="2"/>
      <c r="WFO1" s="2"/>
      <c r="WFP1" s="2"/>
      <c r="WFQ1" s="2"/>
      <c r="WFR1" s="2"/>
      <c r="WFS1" s="2"/>
      <c r="WFT1" s="2"/>
      <c r="WFU1" s="2"/>
      <c r="WFV1" s="2"/>
      <c r="WFW1" s="2"/>
      <c r="WFX1" s="2"/>
      <c r="WFY1" s="2"/>
      <c r="WFZ1" s="2"/>
      <c r="WGA1" s="2"/>
      <c r="WGB1" s="2"/>
      <c r="WGC1" s="2"/>
      <c r="WGD1" s="2"/>
      <c r="WGE1" s="2"/>
      <c r="WGF1" s="2"/>
      <c r="WGG1" s="2"/>
      <c r="WGH1" s="2"/>
      <c r="WGI1" s="2"/>
      <c r="WGJ1" s="2"/>
      <c r="WGK1" s="2"/>
      <c r="WGL1" s="2"/>
      <c r="WGM1" s="2"/>
      <c r="WGN1" s="2"/>
      <c r="WGO1" s="2"/>
      <c r="WGP1" s="2"/>
      <c r="WGQ1" s="2"/>
      <c r="WGR1" s="2"/>
      <c r="WGS1" s="2"/>
      <c r="WGT1" s="2"/>
      <c r="WGU1" s="2"/>
      <c r="WGV1" s="2"/>
      <c r="WGW1" s="2"/>
      <c r="WGX1" s="2"/>
      <c r="WGY1" s="2"/>
      <c r="WGZ1" s="2"/>
      <c r="WHA1" s="2"/>
      <c r="WHB1" s="2"/>
      <c r="WHC1" s="2"/>
      <c r="WHD1" s="2"/>
      <c r="WHE1" s="2"/>
      <c r="WHF1" s="2"/>
      <c r="WHG1" s="2"/>
      <c r="WHH1" s="2"/>
      <c r="WHI1" s="2"/>
      <c r="WHJ1" s="2"/>
      <c r="WHK1" s="2"/>
      <c r="WHL1" s="2"/>
      <c r="WHM1" s="2"/>
      <c r="WHN1" s="2"/>
      <c r="WHO1" s="2"/>
      <c r="WHP1" s="2"/>
      <c r="WHQ1" s="2"/>
      <c r="WHR1" s="2"/>
      <c r="WHS1" s="2"/>
      <c r="WHT1" s="2"/>
      <c r="WHU1" s="2"/>
      <c r="WHV1" s="2"/>
      <c r="WHW1" s="2"/>
      <c r="WHX1" s="2"/>
      <c r="WHY1" s="2"/>
      <c r="WHZ1" s="2"/>
      <c r="WIA1" s="2"/>
      <c r="WIB1" s="2"/>
      <c r="WIC1" s="2"/>
      <c r="WID1" s="2"/>
      <c r="WIE1" s="2"/>
      <c r="WIF1" s="2"/>
      <c r="WIG1" s="2"/>
      <c r="WIH1" s="2"/>
      <c r="WII1" s="2"/>
      <c r="WIJ1" s="2"/>
      <c r="WIK1" s="2"/>
      <c r="WIL1" s="2"/>
      <c r="WIM1" s="2"/>
      <c r="WIN1" s="2"/>
      <c r="WIO1" s="2"/>
      <c r="WIP1" s="2"/>
      <c r="WIQ1" s="2"/>
      <c r="WIR1" s="2"/>
      <c r="WIS1" s="2"/>
      <c r="WIT1" s="2"/>
      <c r="WIU1" s="2"/>
      <c r="WIV1" s="2"/>
      <c r="WIW1" s="2"/>
      <c r="WIX1" s="2"/>
      <c r="WIY1" s="2"/>
      <c r="WIZ1" s="2"/>
      <c r="WJA1" s="2"/>
      <c r="WJB1" s="2"/>
      <c r="WJC1" s="2"/>
      <c r="WJD1" s="2"/>
      <c r="WJE1" s="2"/>
      <c r="WJF1" s="2"/>
      <c r="WJG1" s="2"/>
      <c r="WJH1" s="2"/>
      <c r="WJI1" s="2"/>
      <c r="WJJ1" s="2"/>
      <c r="WJK1" s="2"/>
      <c r="WJL1" s="2"/>
      <c r="WJM1" s="2"/>
      <c r="WJN1" s="2"/>
      <c r="WJO1" s="2"/>
      <c r="WJP1" s="2"/>
      <c r="WJQ1" s="2"/>
      <c r="WJR1" s="2"/>
      <c r="WJS1" s="2"/>
      <c r="WJT1" s="2"/>
      <c r="WJU1" s="2"/>
      <c r="WJV1" s="2"/>
      <c r="WJW1" s="2"/>
      <c r="WJX1" s="2"/>
      <c r="WJY1" s="2"/>
      <c r="WJZ1" s="2"/>
      <c r="WKA1" s="2"/>
      <c r="WKB1" s="2"/>
      <c r="WKC1" s="2"/>
      <c r="WKD1" s="2"/>
      <c r="WKE1" s="2"/>
      <c r="WKF1" s="2"/>
      <c r="WKG1" s="2"/>
      <c r="WKH1" s="2"/>
      <c r="WKI1" s="2"/>
      <c r="WKJ1" s="2"/>
      <c r="WKK1" s="2"/>
      <c r="WKL1" s="2"/>
      <c r="WKM1" s="2"/>
      <c r="WKN1" s="2"/>
      <c r="WKO1" s="2"/>
      <c r="WKP1" s="2"/>
      <c r="WKQ1" s="2"/>
      <c r="WKR1" s="2"/>
      <c r="WKS1" s="2"/>
      <c r="WKT1" s="2"/>
      <c r="WKU1" s="2"/>
      <c r="WKV1" s="2"/>
      <c r="WKW1" s="2"/>
      <c r="WKX1" s="2"/>
      <c r="WKY1" s="2"/>
      <c r="WKZ1" s="2"/>
      <c r="WLA1" s="2"/>
      <c r="WLB1" s="2"/>
      <c r="WLC1" s="2"/>
      <c r="WLD1" s="2"/>
      <c r="WLE1" s="2"/>
      <c r="WLF1" s="2"/>
      <c r="WLG1" s="2"/>
      <c r="WLH1" s="2"/>
      <c r="WLI1" s="2"/>
      <c r="WLJ1" s="2"/>
      <c r="WLK1" s="2"/>
      <c r="WLL1" s="2"/>
      <c r="WLM1" s="2"/>
      <c r="WLN1" s="2"/>
      <c r="WLO1" s="2"/>
      <c r="WLP1" s="2"/>
      <c r="WLQ1" s="2"/>
      <c r="WLR1" s="2"/>
      <c r="WLS1" s="2"/>
      <c r="WLT1" s="2"/>
      <c r="WLU1" s="2"/>
      <c r="WLV1" s="2"/>
      <c r="WLW1" s="2"/>
      <c r="WLX1" s="2"/>
      <c r="WLY1" s="2"/>
      <c r="WLZ1" s="2"/>
      <c r="WMA1" s="2"/>
      <c r="WMB1" s="2"/>
      <c r="WMC1" s="2"/>
      <c r="WMD1" s="2"/>
      <c r="WME1" s="2"/>
      <c r="WMF1" s="2"/>
      <c r="WMG1" s="2"/>
      <c r="WMH1" s="2"/>
      <c r="WMI1" s="2"/>
      <c r="WMJ1" s="2"/>
      <c r="WMK1" s="2"/>
      <c r="WML1" s="2"/>
      <c r="WMM1" s="2"/>
      <c r="WMN1" s="2"/>
      <c r="WMO1" s="2"/>
      <c r="WMP1" s="2"/>
      <c r="WMQ1" s="2"/>
      <c r="WMR1" s="2"/>
      <c r="WMS1" s="2"/>
      <c r="WMT1" s="2"/>
      <c r="WMU1" s="2"/>
      <c r="WMV1" s="2"/>
      <c r="WMW1" s="2"/>
      <c r="WMX1" s="2"/>
      <c r="WMY1" s="2"/>
      <c r="WMZ1" s="2"/>
      <c r="WNA1" s="2"/>
      <c r="WNB1" s="2"/>
      <c r="WNC1" s="2"/>
      <c r="WND1" s="2"/>
      <c r="WNE1" s="2"/>
      <c r="WNF1" s="2"/>
      <c r="WNG1" s="2"/>
      <c r="WNH1" s="2"/>
      <c r="WNI1" s="2"/>
      <c r="WNJ1" s="2"/>
      <c r="WNK1" s="2"/>
      <c r="WNL1" s="2"/>
      <c r="WNM1" s="2"/>
      <c r="WNN1" s="2"/>
      <c r="WNO1" s="2"/>
      <c r="WNP1" s="2"/>
      <c r="WNQ1" s="2"/>
      <c r="WNR1" s="2"/>
      <c r="WNS1" s="2"/>
      <c r="WNT1" s="2"/>
      <c r="WNU1" s="2"/>
      <c r="WNV1" s="2"/>
      <c r="WNW1" s="2"/>
      <c r="WNX1" s="2"/>
      <c r="WNY1" s="2"/>
      <c r="WNZ1" s="2"/>
      <c r="WOA1" s="2"/>
      <c r="WOB1" s="2"/>
      <c r="WOC1" s="2"/>
      <c r="WOD1" s="2"/>
      <c r="WOE1" s="2"/>
      <c r="WOF1" s="2"/>
      <c r="WOG1" s="2"/>
      <c r="WOH1" s="2"/>
      <c r="WOI1" s="2"/>
      <c r="WOJ1" s="2"/>
      <c r="WOK1" s="2"/>
      <c r="WOL1" s="2"/>
      <c r="WOM1" s="2"/>
      <c r="WON1" s="2"/>
      <c r="WOO1" s="2"/>
      <c r="WOP1" s="2"/>
      <c r="WOQ1" s="2"/>
      <c r="WOR1" s="2"/>
      <c r="WOS1" s="2"/>
      <c r="WOT1" s="2"/>
      <c r="WOU1" s="2"/>
      <c r="WOV1" s="2"/>
      <c r="WOW1" s="2"/>
      <c r="WOX1" s="2"/>
      <c r="WOY1" s="2"/>
      <c r="WOZ1" s="2"/>
      <c r="WPA1" s="2"/>
      <c r="WPB1" s="2"/>
      <c r="WPC1" s="2"/>
      <c r="WPD1" s="2"/>
      <c r="WPE1" s="2"/>
      <c r="WPF1" s="2"/>
      <c r="WPG1" s="2"/>
      <c r="WPH1" s="2"/>
      <c r="WPI1" s="2"/>
      <c r="WPJ1" s="2"/>
      <c r="WPK1" s="2"/>
      <c r="WPL1" s="2"/>
      <c r="WPM1" s="2"/>
      <c r="WPN1" s="2"/>
      <c r="WPO1" s="2"/>
      <c r="WPP1" s="2"/>
      <c r="WPQ1" s="2"/>
      <c r="WPR1" s="2"/>
      <c r="WPS1" s="2"/>
      <c r="WPT1" s="2"/>
      <c r="WPU1" s="2"/>
      <c r="WPV1" s="2"/>
      <c r="WPW1" s="2"/>
      <c r="WPX1" s="2"/>
      <c r="WPY1" s="2"/>
      <c r="WPZ1" s="2"/>
      <c r="WQA1" s="2"/>
      <c r="WQB1" s="2"/>
      <c r="WQC1" s="2"/>
      <c r="WQD1" s="2"/>
      <c r="WQE1" s="2"/>
      <c r="WQF1" s="2"/>
      <c r="WQG1" s="2"/>
      <c r="WQH1" s="2"/>
      <c r="WQI1" s="2"/>
      <c r="WQJ1" s="2"/>
      <c r="WQK1" s="2"/>
      <c r="WQL1" s="2"/>
      <c r="WQM1" s="2"/>
      <c r="WQN1" s="2"/>
      <c r="WQO1" s="2"/>
      <c r="WQP1" s="2"/>
      <c r="WQQ1" s="2"/>
      <c r="WQR1" s="2"/>
      <c r="WQS1" s="2"/>
      <c r="WQT1" s="2"/>
      <c r="WQU1" s="2"/>
      <c r="WQV1" s="2"/>
      <c r="WQW1" s="2"/>
      <c r="WQX1" s="2"/>
      <c r="WQY1" s="2"/>
      <c r="WQZ1" s="2"/>
      <c r="WRA1" s="2"/>
      <c r="WRB1" s="2"/>
      <c r="WRC1" s="2"/>
      <c r="WRD1" s="2"/>
      <c r="WRE1" s="2"/>
      <c r="WRF1" s="2"/>
      <c r="WRG1" s="2"/>
      <c r="WRH1" s="2"/>
      <c r="WRI1" s="2"/>
      <c r="WRJ1" s="2"/>
      <c r="WRK1" s="2"/>
      <c r="WRL1" s="2"/>
      <c r="WRM1" s="2"/>
      <c r="WRN1" s="2"/>
      <c r="WRO1" s="2"/>
      <c r="WRP1" s="2"/>
      <c r="WRQ1" s="2"/>
      <c r="WRR1" s="2"/>
      <c r="WRS1" s="2"/>
      <c r="WRT1" s="2"/>
      <c r="WRU1" s="2"/>
      <c r="WRV1" s="2"/>
      <c r="WRW1" s="2"/>
      <c r="WRX1" s="2"/>
      <c r="WRY1" s="2"/>
      <c r="WRZ1" s="2"/>
      <c r="WSA1" s="2"/>
      <c r="WSB1" s="2"/>
      <c r="WSC1" s="2"/>
      <c r="WSD1" s="2"/>
      <c r="WSE1" s="2"/>
      <c r="WSF1" s="2"/>
      <c r="WSG1" s="2"/>
      <c r="WSH1" s="2"/>
      <c r="WSI1" s="2"/>
      <c r="WSJ1" s="2"/>
      <c r="WSK1" s="2"/>
      <c r="WSL1" s="2"/>
      <c r="WSM1" s="2"/>
      <c r="WSN1" s="2"/>
      <c r="WSO1" s="2"/>
      <c r="WSP1" s="2"/>
      <c r="WSQ1" s="2"/>
      <c r="WSR1" s="2"/>
      <c r="WSS1" s="2"/>
      <c r="WST1" s="2"/>
      <c r="WSU1" s="2"/>
      <c r="WSV1" s="2"/>
      <c r="WSW1" s="2"/>
      <c r="WSX1" s="2"/>
      <c r="WSY1" s="2"/>
      <c r="WSZ1" s="2"/>
      <c r="WTA1" s="2"/>
      <c r="WTB1" s="2"/>
      <c r="WTC1" s="2"/>
      <c r="WTD1" s="2"/>
      <c r="WTE1" s="2"/>
      <c r="WTF1" s="2"/>
      <c r="WTG1" s="2"/>
      <c r="WTH1" s="2"/>
      <c r="WTI1" s="2"/>
      <c r="WTJ1" s="2"/>
      <c r="WTK1" s="2"/>
      <c r="WTL1" s="2"/>
      <c r="WTM1" s="2"/>
      <c r="WTN1" s="2"/>
      <c r="WTO1" s="2"/>
      <c r="WTP1" s="2"/>
      <c r="WTQ1" s="2"/>
      <c r="WTR1" s="2"/>
      <c r="WTS1" s="2"/>
      <c r="WTT1" s="2"/>
      <c r="WTU1" s="2"/>
      <c r="WTV1" s="2"/>
      <c r="WTW1" s="2"/>
      <c r="WTX1" s="2"/>
      <c r="WTY1" s="2"/>
      <c r="WTZ1" s="2"/>
      <c r="WUA1" s="2"/>
      <c r="WUB1" s="2"/>
      <c r="WUC1" s="2"/>
      <c r="WUD1" s="2"/>
      <c r="WUE1" s="2"/>
      <c r="WUF1" s="2"/>
      <c r="WUG1" s="2"/>
      <c r="WUH1" s="2"/>
      <c r="WUI1" s="2"/>
      <c r="WUJ1" s="2"/>
      <c r="WUK1" s="2"/>
      <c r="WUL1" s="2"/>
      <c r="WUM1" s="2"/>
      <c r="WUN1" s="2"/>
      <c r="WUO1" s="2"/>
      <c r="WUP1" s="2"/>
      <c r="WUQ1" s="2"/>
      <c r="WUR1" s="2"/>
      <c r="WUS1" s="2"/>
      <c r="WUT1" s="2"/>
      <c r="WUU1" s="2"/>
      <c r="WUV1" s="2"/>
      <c r="WUW1" s="2"/>
      <c r="WUX1" s="2"/>
      <c r="WUY1" s="2"/>
      <c r="WUZ1" s="2"/>
      <c r="WVA1" s="2"/>
      <c r="WVB1" s="2"/>
      <c r="WVC1" s="2"/>
      <c r="WVD1" s="2"/>
      <c r="WVE1" s="2"/>
      <c r="WVF1" s="2"/>
      <c r="WVG1" s="2"/>
      <c r="WVH1" s="2"/>
      <c r="WVI1" s="2"/>
      <c r="WVJ1" s="2"/>
      <c r="WVK1" s="2"/>
      <c r="WVL1" s="2"/>
      <c r="WVM1" s="2"/>
      <c r="WVN1" s="2"/>
      <c r="WVO1" s="2"/>
      <c r="WVP1" s="2"/>
      <c r="WVQ1" s="2"/>
      <c r="WVR1" s="2"/>
      <c r="WVS1" s="2"/>
      <c r="WVT1" s="2"/>
      <c r="WVU1" s="2"/>
      <c r="WVV1" s="2"/>
      <c r="WVW1" s="2"/>
      <c r="WVX1" s="2"/>
      <c r="WVY1" s="2"/>
      <c r="WVZ1" s="2"/>
      <c r="WWA1" s="2"/>
      <c r="WWB1" s="2"/>
      <c r="WWC1" s="2"/>
      <c r="WWD1" s="2"/>
      <c r="WWE1" s="2"/>
      <c r="WWF1" s="2"/>
      <c r="WWG1" s="2"/>
      <c r="WWH1" s="2"/>
      <c r="WWI1" s="2"/>
      <c r="WWJ1" s="2"/>
      <c r="WWK1" s="2"/>
      <c r="WWL1" s="2"/>
      <c r="WWM1" s="2"/>
      <c r="WWN1" s="2"/>
      <c r="WWO1" s="2"/>
      <c r="WWP1" s="2"/>
      <c r="WWQ1" s="2"/>
      <c r="WWR1" s="2"/>
      <c r="WWS1" s="2"/>
      <c r="WWT1" s="2"/>
      <c r="WWU1" s="2"/>
      <c r="WWV1" s="2"/>
      <c r="WWW1" s="2"/>
      <c r="WWX1" s="2"/>
      <c r="WWY1" s="2"/>
      <c r="WWZ1" s="2"/>
      <c r="WXA1" s="2"/>
      <c r="WXB1" s="2"/>
      <c r="WXC1" s="2"/>
      <c r="WXD1" s="2"/>
      <c r="WXE1" s="2"/>
      <c r="WXF1" s="2"/>
      <c r="WXG1" s="2"/>
      <c r="WXH1" s="2"/>
      <c r="WXI1" s="2"/>
      <c r="WXJ1" s="2"/>
      <c r="WXK1" s="2"/>
      <c r="WXL1" s="2"/>
      <c r="WXM1" s="2"/>
      <c r="WXN1" s="2"/>
      <c r="WXO1" s="2"/>
      <c r="WXP1" s="2"/>
      <c r="WXQ1" s="2"/>
      <c r="WXR1" s="2"/>
      <c r="WXS1" s="2"/>
      <c r="WXT1" s="2"/>
      <c r="WXU1" s="2"/>
      <c r="WXV1" s="2"/>
      <c r="WXW1" s="2"/>
      <c r="WXX1" s="2"/>
      <c r="WXY1" s="2"/>
      <c r="WXZ1" s="2"/>
      <c r="WYA1" s="2"/>
      <c r="WYB1" s="2"/>
      <c r="WYC1" s="2"/>
      <c r="WYD1" s="2"/>
      <c r="WYE1" s="2"/>
      <c r="WYF1" s="2"/>
      <c r="WYG1" s="2"/>
      <c r="WYH1" s="2"/>
      <c r="WYI1" s="2"/>
      <c r="WYJ1" s="2"/>
      <c r="WYK1" s="2"/>
      <c r="WYL1" s="2"/>
      <c r="WYM1" s="2"/>
      <c r="WYN1" s="2"/>
      <c r="WYO1" s="2"/>
      <c r="WYP1" s="2"/>
      <c r="WYQ1" s="2"/>
      <c r="WYR1" s="2"/>
      <c r="WYS1" s="2"/>
      <c r="WYT1" s="2"/>
      <c r="WYU1" s="2"/>
      <c r="WYV1" s="2"/>
      <c r="WYW1" s="2"/>
      <c r="WYX1" s="2"/>
      <c r="WYY1" s="2"/>
      <c r="WYZ1" s="2"/>
      <c r="WZA1" s="2"/>
      <c r="WZB1" s="2"/>
      <c r="WZC1" s="2"/>
      <c r="WZD1" s="2"/>
      <c r="WZE1" s="2"/>
      <c r="WZF1" s="2"/>
      <c r="WZG1" s="2"/>
      <c r="WZH1" s="2"/>
      <c r="WZI1" s="2"/>
      <c r="WZJ1" s="2"/>
      <c r="WZK1" s="2"/>
      <c r="WZL1" s="2"/>
      <c r="WZM1" s="2"/>
      <c r="WZN1" s="2"/>
      <c r="WZO1" s="2"/>
      <c r="WZP1" s="2"/>
      <c r="WZQ1" s="2"/>
      <c r="WZR1" s="2"/>
      <c r="WZS1" s="2"/>
      <c r="WZT1" s="2"/>
      <c r="WZU1" s="2"/>
      <c r="WZV1" s="2"/>
      <c r="WZW1" s="2"/>
      <c r="WZX1" s="2"/>
      <c r="WZY1" s="2"/>
      <c r="WZZ1" s="2"/>
      <c r="XAA1" s="2"/>
      <c r="XAB1" s="2"/>
      <c r="XAC1" s="2"/>
      <c r="XAD1" s="2"/>
      <c r="XAE1" s="2"/>
      <c r="XAF1" s="2"/>
      <c r="XAG1" s="2"/>
      <c r="XAH1" s="2"/>
      <c r="XAI1" s="2"/>
      <c r="XAJ1" s="2"/>
      <c r="XAK1" s="2"/>
      <c r="XAL1" s="2"/>
      <c r="XAM1" s="2"/>
      <c r="XAN1" s="2"/>
      <c r="XAO1" s="2"/>
      <c r="XAP1" s="2"/>
      <c r="XAQ1" s="2"/>
      <c r="XAR1" s="2"/>
      <c r="XAS1" s="2"/>
      <c r="XAT1" s="2"/>
      <c r="XAU1" s="2"/>
      <c r="XAV1" s="2"/>
      <c r="XAW1" s="2"/>
      <c r="XAX1" s="2"/>
      <c r="XAY1" s="2"/>
      <c r="XAZ1" s="2"/>
      <c r="XBA1" s="2"/>
      <c r="XBB1" s="2"/>
      <c r="XBC1" s="2"/>
      <c r="XBD1" s="2"/>
      <c r="XBE1" s="2"/>
      <c r="XBF1" s="2"/>
      <c r="XBG1" s="2"/>
      <c r="XBH1" s="2"/>
      <c r="XBI1" s="2"/>
      <c r="XBJ1" s="2"/>
      <c r="XBK1" s="2"/>
      <c r="XBL1" s="2"/>
      <c r="XBM1" s="2"/>
      <c r="XBN1" s="2"/>
      <c r="XBO1" s="2"/>
      <c r="XBP1" s="2"/>
      <c r="XBQ1" s="2"/>
      <c r="XBR1" s="2"/>
      <c r="XBS1" s="2"/>
      <c r="XBT1" s="2"/>
      <c r="XBU1" s="2"/>
      <c r="XBV1" s="2"/>
      <c r="XBW1" s="2"/>
      <c r="XBX1" s="2"/>
      <c r="XBY1" s="2"/>
      <c r="XBZ1" s="2"/>
      <c r="XCA1" s="2"/>
      <c r="XCB1" s="2"/>
      <c r="XCC1" s="2"/>
      <c r="XCD1" s="2"/>
      <c r="XCE1" s="2"/>
      <c r="XCF1" s="2"/>
      <c r="XCG1" s="2"/>
      <c r="XCH1" s="2"/>
      <c r="XCI1" s="2"/>
      <c r="XCJ1" s="2"/>
      <c r="XCK1" s="2"/>
      <c r="XCL1" s="2"/>
      <c r="XCM1" s="2"/>
      <c r="XCN1" s="2"/>
      <c r="XCO1" s="2"/>
      <c r="XCP1" s="2"/>
      <c r="XCQ1" s="2"/>
      <c r="XCR1" s="2"/>
      <c r="XCS1" s="2"/>
      <c r="XCT1" s="2"/>
      <c r="XCU1" s="2"/>
      <c r="XCV1" s="2"/>
      <c r="XCW1" s="2"/>
      <c r="XCX1" s="2"/>
      <c r="XCY1" s="2"/>
      <c r="XCZ1" s="2"/>
      <c r="XDA1" s="2"/>
      <c r="XDB1" s="2"/>
      <c r="XDC1" s="2"/>
      <c r="XDD1" s="2"/>
      <c r="XDE1" s="2"/>
      <c r="XDF1" s="2"/>
      <c r="XDG1" s="2"/>
      <c r="XDH1" s="2"/>
      <c r="XDI1" s="2"/>
      <c r="XDJ1" s="2"/>
      <c r="XDK1" s="2"/>
      <c r="XDL1" s="2"/>
      <c r="XDM1" s="2"/>
      <c r="XDN1" s="2"/>
      <c r="XDO1" s="2"/>
      <c r="XDP1" s="2"/>
      <c r="XDQ1" s="2"/>
      <c r="XDR1" s="2"/>
      <c r="XDS1" s="2"/>
      <c r="XDT1" s="2"/>
      <c r="XDU1" s="2"/>
      <c r="XDV1" s="2"/>
      <c r="XDW1" s="2"/>
      <c r="XDX1" s="2"/>
      <c r="XDY1" s="2"/>
      <c r="XDZ1" s="2"/>
      <c r="XEA1" s="2"/>
      <c r="XEB1" s="2"/>
      <c r="XEC1" s="2"/>
      <c r="XED1" s="2"/>
      <c r="XEE1" s="2"/>
      <c r="XEF1" s="2"/>
      <c r="XEG1" s="2"/>
      <c r="XEH1" s="2"/>
      <c r="XEI1" s="2"/>
      <c r="XEJ1" s="2"/>
      <c r="XEK1" s="2"/>
      <c r="XEL1" s="2"/>
      <c r="XEM1" s="2"/>
      <c r="XEN1" s="2"/>
      <c r="XEO1" s="2"/>
      <c r="XEP1" s="2"/>
      <c r="XEQ1" s="2"/>
      <c r="XER1" s="2"/>
      <c r="XES1" s="2"/>
      <c r="XET1" s="2"/>
      <c r="XEU1" s="2"/>
      <c r="XEV1" s="2"/>
      <c r="XEW1" s="2"/>
      <c r="XEX1" s="2"/>
      <c r="XEY1" s="2"/>
      <c r="XEZ1" s="2"/>
      <c r="XFA1" s="2"/>
      <c r="XFB1" s="2"/>
    </row>
    <row r="2" spans="1:16382" s="2" customFormat="1">
      <c r="E2" s="42" t="s">
        <v>55</v>
      </c>
      <c r="F2" s="42"/>
      <c r="G2" s="42"/>
      <c r="T2" s="21"/>
      <c r="U2" s="21"/>
    </row>
    <row r="3" spans="1:16382" s="2" customFormat="1" ht="21" customHeight="1">
      <c r="T3" s="21"/>
      <c r="U3" s="21"/>
    </row>
    <row r="4" spans="1:16382" s="23" customFormat="1" ht="15.75" customHeight="1">
      <c r="A4" s="63" t="s">
        <v>46</v>
      </c>
      <c r="B4" s="57" t="s">
        <v>3</v>
      </c>
      <c r="C4" s="58"/>
      <c r="D4" s="58"/>
      <c r="E4" s="59"/>
      <c r="F4" s="43" t="s">
        <v>4</v>
      </c>
      <c r="G4" s="44"/>
      <c r="H4" s="44"/>
      <c r="I4" s="44"/>
      <c r="J4" s="44"/>
      <c r="K4" s="44"/>
      <c r="L4" s="44"/>
      <c r="M4" s="44"/>
      <c r="N4" s="44"/>
      <c r="O4" s="45"/>
      <c r="P4" s="43"/>
      <c r="Q4" s="44"/>
      <c r="R4" s="44"/>
      <c r="S4" s="44"/>
      <c r="T4" s="44"/>
      <c r="U4" s="54" t="s">
        <v>21</v>
      </c>
      <c r="V4" s="22"/>
    </row>
    <row r="5" spans="1:16382" s="23" customFormat="1" ht="18">
      <c r="A5" s="64"/>
      <c r="B5" s="60"/>
      <c r="C5" s="61"/>
      <c r="D5" s="61"/>
      <c r="E5" s="62"/>
      <c r="F5" s="43" t="s">
        <v>22</v>
      </c>
      <c r="G5" s="44"/>
      <c r="H5" s="44"/>
      <c r="I5" s="44"/>
      <c r="J5" s="44"/>
      <c r="K5" s="44"/>
      <c r="L5" s="44"/>
      <c r="M5" s="44"/>
      <c r="N5" s="44"/>
      <c r="O5" s="45"/>
      <c r="P5" s="43" t="s">
        <v>7</v>
      </c>
      <c r="Q5" s="44"/>
      <c r="R5" s="44"/>
      <c r="S5" s="44"/>
      <c r="T5" s="52" t="s">
        <v>0</v>
      </c>
      <c r="U5" s="55"/>
      <c r="V5" s="24"/>
    </row>
    <row r="6" spans="1:16382" s="23" customFormat="1" ht="126">
      <c r="A6" s="65"/>
      <c r="B6" s="26" t="s">
        <v>57</v>
      </c>
      <c r="C6" s="27" t="s">
        <v>47</v>
      </c>
      <c r="D6" s="27" t="s">
        <v>63</v>
      </c>
      <c r="E6" s="27" t="s">
        <v>0</v>
      </c>
      <c r="F6" s="26" t="s">
        <v>1</v>
      </c>
      <c r="G6" s="27" t="s">
        <v>48</v>
      </c>
      <c r="H6" s="27" t="s">
        <v>11</v>
      </c>
      <c r="I6" s="27" t="s">
        <v>49</v>
      </c>
      <c r="J6" s="27" t="s">
        <v>50</v>
      </c>
      <c r="K6" s="27" t="s">
        <v>14</v>
      </c>
      <c r="L6" s="27" t="s">
        <v>15</v>
      </c>
      <c r="M6" s="27" t="s">
        <v>51</v>
      </c>
      <c r="N6" s="27" t="s">
        <v>52</v>
      </c>
      <c r="O6" s="27" t="s">
        <v>0</v>
      </c>
      <c r="P6" s="27" t="s">
        <v>53</v>
      </c>
      <c r="Q6" s="27" t="s">
        <v>16</v>
      </c>
      <c r="R6" s="27" t="s">
        <v>54</v>
      </c>
      <c r="S6" s="28" t="s">
        <v>0</v>
      </c>
      <c r="T6" s="53"/>
      <c r="U6" s="56"/>
      <c r="V6" s="25"/>
    </row>
    <row r="7" spans="1:16382" s="35" customFormat="1" ht="15.75">
      <c r="A7" s="39">
        <v>39508</v>
      </c>
      <c r="B7" s="30">
        <v>60403.499999999942</v>
      </c>
      <c r="C7" s="30">
        <v>88180.9</v>
      </c>
      <c r="D7" s="30"/>
      <c r="E7" s="29">
        <f t="shared" ref="E7:E27" si="0">SUM(B7:D7)</f>
        <v>148584.39999999994</v>
      </c>
      <c r="F7" s="30">
        <v>173616.9</v>
      </c>
      <c r="G7" s="30">
        <v>45326.400000000001</v>
      </c>
      <c r="H7" s="30" t="s">
        <v>2</v>
      </c>
      <c r="I7" s="30">
        <v>6220.2999999999993</v>
      </c>
      <c r="J7" s="30" t="s">
        <v>2</v>
      </c>
      <c r="K7" s="30" t="s">
        <v>2</v>
      </c>
      <c r="L7" s="31">
        <f t="shared" ref="L7:L27" si="1">SUM(F7:K7)</f>
        <v>225163.59999999998</v>
      </c>
      <c r="M7" s="30">
        <v>80768</v>
      </c>
      <c r="N7" s="29">
        <v>11101.600000000002</v>
      </c>
      <c r="O7" s="31">
        <f t="shared" ref="O7:O27" si="2">L7-M7-N7</f>
        <v>133293.99999999997</v>
      </c>
      <c r="P7" s="36">
        <v>9802.6999999999989</v>
      </c>
      <c r="Q7" s="31">
        <v>220978.30000000005</v>
      </c>
      <c r="R7" s="31">
        <v>105.1</v>
      </c>
      <c r="S7" s="29">
        <f t="shared" ref="S7:S27" si="3">SUM(P7:R7)</f>
        <v>230886.10000000006</v>
      </c>
      <c r="T7" s="33">
        <f t="shared" ref="T7:T27" si="4">S7+O7</f>
        <v>364180.10000000003</v>
      </c>
      <c r="U7" s="29">
        <f t="shared" ref="U7:U27" si="5">T7+E7</f>
        <v>512764.5</v>
      </c>
    </row>
    <row r="8" spans="1:16382" s="35" customFormat="1" ht="15.75">
      <c r="A8" s="39">
        <v>39600</v>
      </c>
      <c r="B8" s="30">
        <v>56309.5</v>
      </c>
      <c r="C8" s="30">
        <v>82636.399999999994</v>
      </c>
      <c r="D8" s="30"/>
      <c r="E8" s="29">
        <f t="shared" si="0"/>
        <v>138945.9</v>
      </c>
      <c r="F8" s="30">
        <v>185113.8</v>
      </c>
      <c r="G8" s="30">
        <v>41022.200000000004</v>
      </c>
      <c r="H8" s="30" t="s">
        <v>2</v>
      </c>
      <c r="I8" s="30">
        <v>8052.4</v>
      </c>
      <c r="J8" s="30" t="s">
        <v>2</v>
      </c>
      <c r="K8" s="30" t="s">
        <v>2</v>
      </c>
      <c r="L8" s="31">
        <f t="shared" si="1"/>
        <v>234188.4</v>
      </c>
      <c r="M8" s="30">
        <v>82103</v>
      </c>
      <c r="N8" s="29">
        <v>10096.199999999999</v>
      </c>
      <c r="O8" s="31">
        <f t="shared" si="2"/>
        <v>141989.19999999998</v>
      </c>
      <c r="P8" s="36">
        <v>12850.8</v>
      </c>
      <c r="Q8" s="31">
        <v>237857.6</v>
      </c>
      <c r="R8" s="31">
        <v>101.8</v>
      </c>
      <c r="S8" s="29">
        <f t="shared" si="3"/>
        <v>250810.19999999998</v>
      </c>
      <c r="T8" s="33">
        <f t="shared" si="4"/>
        <v>392799.39999999997</v>
      </c>
      <c r="U8" s="29">
        <f t="shared" si="5"/>
        <v>531745.29999999993</v>
      </c>
    </row>
    <row r="9" spans="1:16382" s="35" customFormat="1" ht="15.75">
      <c r="A9" s="39">
        <v>39692</v>
      </c>
      <c r="B9" s="30">
        <v>75833.299999999959</v>
      </c>
      <c r="C9" s="30">
        <v>106593.50000000003</v>
      </c>
      <c r="D9" s="30"/>
      <c r="E9" s="29">
        <f t="shared" si="0"/>
        <v>182426.8</v>
      </c>
      <c r="F9" s="30">
        <v>167686.39999999999</v>
      </c>
      <c r="G9" s="30">
        <v>44061</v>
      </c>
      <c r="H9" s="30" t="s">
        <v>2</v>
      </c>
      <c r="I9" s="30">
        <v>7787.3</v>
      </c>
      <c r="J9" s="30" t="s">
        <v>2</v>
      </c>
      <c r="K9" s="30" t="s">
        <v>2</v>
      </c>
      <c r="L9" s="31">
        <f t="shared" si="1"/>
        <v>219534.69999999998</v>
      </c>
      <c r="M9" s="30">
        <v>100053.9</v>
      </c>
      <c r="N9" s="29">
        <v>9456.2000000000007</v>
      </c>
      <c r="O9" s="31">
        <f t="shared" si="2"/>
        <v>110024.59999999999</v>
      </c>
      <c r="P9" s="36">
        <v>31552.799999999999</v>
      </c>
      <c r="Q9" s="31">
        <v>254099.09999999998</v>
      </c>
      <c r="R9" s="31">
        <v>93</v>
      </c>
      <c r="S9" s="29">
        <f t="shared" si="3"/>
        <v>285744.89999999997</v>
      </c>
      <c r="T9" s="33">
        <f t="shared" si="4"/>
        <v>395769.49999999994</v>
      </c>
      <c r="U9" s="29">
        <f t="shared" si="5"/>
        <v>578196.29999999993</v>
      </c>
    </row>
    <row r="10" spans="1:16382" s="35" customFormat="1" ht="15.75">
      <c r="A10" s="39">
        <v>39783</v>
      </c>
      <c r="B10" s="30">
        <v>159092.20000000007</v>
      </c>
      <c r="C10" s="30">
        <v>95759.5</v>
      </c>
      <c r="D10" s="30"/>
      <c r="E10" s="29">
        <f t="shared" si="0"/>
        <v>254851.70000000007</v>
      </c>
      <c r="F10" s="30">
        <v>170798.9</v>
      </c>
      <c r="G10" s="30">
        <v>58561</v>
      </c>
      <c r="H10" s="30" t="s">
        <v>2</v>
      </c>
      <c r="I10" s="30">
        <v>9544.5</v>
      </c>
      <c r="J10" s="30" t="s">
        <v>2</v>
      </c>
      <c r="K10" s="30" t="s">
        <v>2</v>
      </c>
      <c r="L10" s="31">
        <f t="shared" si="1"/>
        <v>238904.4</v>
      </c>
      <c r="M10" s="30">
        <v>125831.59999999999</v>
      </c>
      <c r="N10" s="29">
        <v>11736.2</v>
      </c>
      <c r="O10" s="31">
        <f t="shared" si="2"/>
        <v>101336.6</v>
      </c>
      <c r="P10" s="36">
        <v>21927.199999999997</v>
      </c>
      <c r="Q10" s="31">
        <v>261749.50000000003</v>
      </c>
      <c r="R10" s="31">
        <v>120.8</v>
      </c>
      <c r="S10" s="29">
        <f t="shared" si="3"/>
        <v>283797.5</v>
      </c>
      <c r="T10" s="33">
        <f t="shared" si="4"/>
        <v>385134.1</v>
      </c>
      <c r="U10" s="29">
        <f t="shared" si="5"/>
        <v>639985.80000000005</v>
      </c>
    </row>
    <row r="11" spans="1:16382" s="35" customFormat="1" ht="15.75">
      <c r="A11" s="39">
        <v>39873</v>
      </c>
      <c r="B11" s="30">
        <v>105784.50000000003</v>
      </c>
      <c r="C11" s="30">
        <v>92328.9</v>
      </c>
      <c r="D11" s="30"/>
      <c r="E11" s="29">
        <f t="shared" si="0"/>
        <v>198113.40000000002</v>
      </c>
      <c r="F11" s="30">
        <v>157525.1</v>
      </c>
      <c r="G11" s="30">
        <v>66253.7</v>
      </c>
      <c r="H11" s="30" t="s">
        <v>2</v>
      </c>
      <c r="I11" s="30">
        <v>6953.7</v>
      </c>
      <c r="J11" s="30" t="s">
        <v>2</v>
      </c>
      <c r="K11" s="30" t="s">
        <v>2</v>
      </c>
      <c r="L11" s="31">
        <f t="shared" si="1"/>
        <v>230732.5</v>
      </c>
      <c r="M11" s="30">
        <v>101779.5</v>
      </c>
      <c r="N11" s="29">
        <v>10745.9</v>
      </c>
      <c r="O11" s="31">
        <f t="shared" si="2"/>
        <v>118207.1</v>
      </c>
      <c r="P11" s="36">
        <v>12695.3</v>
      </c>
      <c r="Q11" s="31">
        <v>273015.60000000003</v>
      </c>
      <c r="R11" s="31">
        <v>126.7</v>
      </c>
      <c r="S11" s="29">
        <f t="shared" si="3"/>
        <v>285837.60000000003</v>
      </c>
      <c r="T11" s="33">
        <f t="shared" si="4"/>
        <v>404044.70000000007</v>
      </c>
      <c r="U11" s="29">
        <f t="shared" si="5"/>
        <v>602158.10000000009</v>
      </c>
    </row>
    <row r="12" spans="1:16382" s="35" customFormat="1" ht="15.75">
      <c r="A12" s="39">
        <v>39965</v>
      </c>
      <c r="B12" s="30">
        <v>148241.89999999997</v>
      </c>
      <c r="C12" s="30">
        <v>88724.5</v>
      </c>
      <c r="D12" s="30"/>
      <c r="E12" s="29">
        <f t="shared" si="0"/>
        <v>236966.39999999997</v>
      </c>
      <c r="F12" s="30">
        <v>153145.30000000002</v>
      </c>
      <c r="G12" s="30">
        <v>100670</v>
      </c>
      <c r="H12" s="30" t="s">
        <v>2</v>
      </c>
      <c r="I12" s="30">
        <v>9624.6</v>
      </c>
      <c r="J12" s="30" t="s">
        <v>2</v>
      </c>
      <c r="K12" s="30" t="s">
        <v>2</v>
      </c>
      <c r="L12" s="31">
        <f t="shared" si="1"/>
        <v>263439.90000000002</v>
      </c>
      <c r="M12" s="30">
        <v>125026.4</v>
      </c>
      <c r="N12" s="29">
        <v>13685.099999999999</v>
      </c>
      <c r="O12" s="31">
        <f t="shared" si="2"/>
        <v>124728.40000000002</v>
      </c>
      <c r="P12" s="36">
        <v>10443.4</v>
      </c>
      <c r="Q12" s="31">
        <v>285914.39999999997</v>
      </c>
      <c r="R12" s="31">
        <v>142.10000000000002</v>
      </c>
      <c r="S12" s="29">
        <f t="shared" si="3"/>
        <v>296499.89999999997</v>
      </c>
      <c r="T12" s="33">
        <f t="shared" si="4"/>
        <v>421228.3</v>
      </c>
      <c r="U12" s="29">
        <f t="shared" si="5"/>
        <v>658194.69999999995</v>
      </c>
    </row>
    <row r="13" spans="1:16382" s="35" customFormat="1" ht="15.75">
      <c r="A13" s="39">
        <v>40057</v>
      </c>
      <c r="B13" s="30">
        <v>133943.70000000004</v>
      </c>
      <c r="C13" s="30">
        <v>88222.400000000009</v>
      </c>
      <c r="D13" s="30"/>
      <c r="E13" s="29">
        <f t="shared" si="0"/>
        <v>222166.10000000003</v>
      </c>
      <c r="F13" s="30">
        <v>138074.1</v>
      </c>
      <c r="G13" s="30">
        <v>111702.90000000001</v>
      </c>
      <c r="H13" s="30" t="s">
        <v>2</v>
      </c>
      <c r="I13" s="30">
        <v>6331.8</v>
      </c>
      <c r="J13" s="30" t="s">
        <v>2</v>
      </c>
      <c r="K13" s="30" t="s">
        <v>2</v>
      </c>
      <c r="L13" s="31">
        <f t="shared" si="1"/>
        <v>256108.79999999999</v>
      </c>
      <c r="M13" s="30">
        <v>103935.40000000001</v>
      </c>
      <c r="N13" s="29">
        <v>13697.7</v>
      </c>
      <c r="O13" s="31">
        <f t="shared" si="2"/>
        <v>138475.69999999995</v>
      </c>
      <c r="P13" s="36">
        <v>13712.800000000001</v>
      </c>
      <c r="Q13" s="31">
        <v>303197.90000000002</v>
      </c>
      <c r="R13" s="31">
        <v>396.70000000000005</v>
      </c>
      <c r="S13" s="29">
        <f t="shared" si="3"/>
        <v>317307.40000000002</v>
      </c>
      <c r="T13" s="33">
        <f t="shared" si="4"/>
        <v>455783.1</v>
      </c>
      <c r="U13" s="29">
        <f t="shared" si="5"/>
        <v>677949.2</v>
      </c>
    </row>
    <row r="14" spans="1:16382" s="35" customFormat="1" ht="15.75">
      <c r="A14" s="39">
        <v>40148</v>
      </c>
      <c r="B14" s="30">
        <v>144966.20000000007</v>
      </c>
      <c r="C14" s="30">
        <v>119531.40000000002</v>
      </c>
      <c r="D14" s="30"/>
      <c r="E14" s="29">
        <f t="shared" si="0"/>
        <v>264497.60000000009</v>
      </c>
      <c r="F14" s="30">
        <v>215622.30000000002</v>
      </c>
      <c r="G14" s="30">
        <v>100072.8</v>
      </c>
      <c r="H14" s="30" t="s">
        <v>2</v>
      </c>
      <c r="I14" s="30">
        <v>11255.3</v>
      </c>
      <c r="J14" s="30" t="s">
        <v>2</v>
      </c>
      <c r="K14" s="30" t="s">
        <v>2</v>
      </c>
      <c r="L14" s="31">
        <f t="shared" si="1"/>
        <v>326950.40000000002</v>
      </c>
      <c r="M14" s="30">
        <v>133925.09999999998</v>
      </c>
      <c r="N14" s="29">
        <v>14842.5</v>
      </c>
      <c r="O14" s="31">
        <f t="shared" si="2"/>
        <v>178182.80000000005</v>
      </c>
      <c r="P14" s="36">
        <v>8440.7000000000007</v>
      </c>
      <c r="Q14" s="31">
        <v>321233.5</v>
      </c>
      <c r="R14" s="31">
        <v>497.1</v>
      </c>
      <c r="S14" s="29">
        <f t="shared" si="3"/>
        <v>330171.3</v>
      </c>
      <c r="T14" s="33">
        <f t="shared" si="4"/>
        <v>508354.10000000003</v>
      </c>
      <c r="U14" s="29">
        <f t="shared" si="5"/>
        <v>772851.70000000019</v>
      </c>
    </row>
    <row r="15" spans="1:16382" s="35" customFormat="1" ht="15.75">
      <c r="A15" s="39">
        <v>40238</v>
      </c>
      <c r="B15" s="30">
        <v>136213.69999999992</v>
      </c>
      <c r="C15" s="30">
        <v>122176.10000000003</v>
      </c>
      <c r="D15" s="30"/>
      <c r="E15" s="29">
        <f t="shared" si="0"/>
        <v>258389.79999999996</v>
      </c>
      <c r="F15" s="30">
        <v>154941.59999999998</v>
      </c>
      <c r="G15" s="30">
        <v>114821.4</v>
      </c>
      <c r="H15" s="30" t="s">
        <v>2</v>
      </c>
      <c r="I15" s="30">
        <v>8598.3000000000011</v>
      </c>
      <c r="J15" s="30">
        <v>18525</v>
      </c>
      <c r="K15" s="30" t="s">
        <v>2</v>
      </c>
      <c r="L15" s="31">
        <f t="shared" si="1"/>
        <v>296886.3</v>
      </c>
      <c r="M15" s="30">
        <v>137174.40000000002</v>
      </c>
      <c r="N15" s="29">
        <v>15411</v>
      </c>
      <c r="O15" s="31">
        <f t="shared" si="2"/>
        <v>144300.89999999997</v>
      </c>
      <c r="P15" s="36">
        <v>6418.5000000000009</v>
      </c>
      <c r="Q15" s="31">
        <v>342239.60000000003</v>
      </c>
      <c r="R15" s="31">
        <v>462.8</v>
      </c>
      <c r="S15" s="29">
        <f t="shared" si="3"/>
        <v>349120.9</v>
      </c>
      <c r="T15" s="33">
        <f t="shared" si="4"/>
        <v>493421.8</v>
      </c>
      <c r="U15" s="29">
        <f t="shared" si="5"/>
        <v>751811.6</v>
      </c>
    </row>
    <row r="16" spans="1:16382" s="35" customFormat="1" ht="15.75">
      <c r="A16" s="39">
        <v>40330</v>
      </c>
      <c r="B16" s="30">
        <v>94137.999999999971</v>
      </c>
      <c r="C16" s="30">
        <v>102210.99999999997</v>
      </c>
      <c r="D16" s="30"/>
      <c r="E16" s="29">
        <f t="shared" si="0"/>
        <v>196348.99999999994</v>
      </c>
      <c r="F16" s="30">
        <v>33331.199999999997</v>
      </c>
      <c r="G16" s="30">
        <v>79001.5</v>
      </c>
      <c r="H16" s="30" t="s">
        <v>2</v>
      </c>
      <c r="I16" s="30">
        <v>9787.6999999999989</v>
      </c>
      <c r="J16" s="30">
        <v>40525</v>
      </c>
      <c r="K16" s="30">
        <v>146979.70000000001</v>
      </c>
      <c r="L16" s="31">
        <f t="shared" si="1"/>
        <v>309625.09999999998</v>
      </c>
      <c r="M16" s="30">
        <v>114248.4</v>
      </c>
      <c r="N16" s="29">
        <v>15094.000000000002</v>
      </c>
      <c r="O16" s="31">
        <f t="shared" si="2"/>
        <v>180282.69999999998</v>
      </c>
      <c r="P16" s="36">
        <v>9789</v>
      </c>
      <c r="Q16" s="31">
        <v>378377.39999999997</v>
      </c>
      <c r="R16" s="31">
        <v>512.09999999999991</v>
      </c>
      <c r="S16" s="29">
        <f t="shared" si="3"/>
        <v>388678.49999999994</v>
      </c>
      <c r="T16" s="33">
        <f t="shared" si="4"/>
        <v>568961.19999999995</v>
      </c>
      <c r="U16" s="29">
        <f t="shared" si="5"/>
        <v>765310.2</v>
      </c>
    </row>
    <row r="17" spans="1:21" s="35" customFormat="1" ht="15.75">
      <c r="A17" s="39">
        <v>40422</v>
      </c>
      <c r="B17" s="30">
        <v>69547.100000000035</v>
      </c>
      <c r="C17" s="30">
        <v>98149.299999999988</v>
      </c>
      <c r="D17" s="30"/>
      <c r="E17" s="29">
        <f t="shared" si="0"/>
        <v>167696.40000000002</v>
      </c>
      <c r="F17" s="30">
        <v>37014.199999999997</v>
      </c>
      <c r="G17" s="30">
        <v>97609.1</v>
      </c>
      <c r="H17" s="30" t="s">
        <v>2</v>
      </c>
      <c r="I17" s="30">
        <v>9655.2999999999993</v>
      </c>
      <c r="J17" s="30">
        <v>50525</v>
      </c>
      <c r="K17" s="30">
        <v>146055.29999999999</v>
      </c>
      <c r="L17" s="31">
        <f t="shared" si="1"/>
        <v>340858.89999999997</v>
      </c>
      <c r="M17" s="30">
        <v>108989</v>
      </c>
      <c r="N17" s="29">
        <v>13247.7</v>
      </c>
      <c r="O17" s="31">
        <f t="shared" si="2"/>
        <v>218622.19999999995</v>
      </c>
      <c r="P17" s="36">
        <v>21154.600000000002</v>
      </c>
      <c r="Q17" s="31">
        <v>401374.89999999997</v>
      </c>
      <c r="R17" s="31">
        <v>647.79999999999995</v>
      </c>
      <c r="S17" s="29">
        <f t="shared" si="3"/>
        <v>423177.29999999993</v>
      </c>
      <c r="T17" s="33">
        <f t="shared" si="4"/>
        <v>641799.49999999988</v>
      </c>
      <c r="U17" s="29">
        <f t="shared" si="5"/>
        <v>809495.89999999991</v>
      </c>
    </row>
    <row r="18" spans="1:21" s="35" customFormat="1" ht="15.75">
      <c r="A18" s="39">
        <v>40513</v>
      </c>
      <c r="B18" s="30">
        <v>141613.59999999998</v>
      </c>
      <c r="C18" s="30">
        <v>112437.40000000001</v>
      </c>
      <c r="D18" s="30"/>
      <c r="E18" s="29">
        <f t="shared" si="0"/>
        <v>254051</v>
      </c>
      <c r="F18" s="30">
        <v>19134.2</v>
      </c>
      <c r="G18" s="30">
        <v>109104.5</v>
      </c>
      <c r="H18" s="30" t="s">
        <v>2</v>
      </c>
      <c r="I18" s="30">
        <v>14177.3</v>
      </c>
      <c r="J18" s="30">
        <v>88925</v>
      </c>
      <c r="K18" s="30">
        <v>145130.9</v>
      </c>
      <c r="L18" s="31">
        <f t="shared" si="1"/>
        <v>376471.9</v>
      </c>
      <c r="M18" s="30">
        <v>154442.40000000002</v>
      </c>
      <c r="N18" s="29">
        <v>11748.2</v>
      </c>
      <c r="O18" s="31">
        <f t="shared" si="2"/>
        <v>210281.3</v>
      </c>
      <c r="P18" s="36">
        <v>8682.2000000000007</v>
      </c>
      <c r="Q18" s="31">
        <v>460562.3</v>
      </c>
      <c r="R18" s="31">
        <v>599.4</v>
      </c>
      <c r="S18" s="29">
        <f t="shared" si="3"/>
        <v>469843.9</v>
      </c>
      <c r="T18" s="33">
        <f t="shared" si="4"/>
        <v>680125.2</v>
      </c>
      <c r="U18" s="29">
        <f t="shared" si="5"/>
        <v>934176.2</v>
      </c>
    </row>
    <row r="19" spans="1:21" s="35" customFormat="1" ht="15.75">
      <c r="A19" s="39">
        <v>40603</v>
      </c>
      <c r="B19" s="30">
        <v>143339.09999999998</v>
      </c>
      <c r="C19" s="30">
        <v>104483.19999999995</v>
      </c>
      <c r="D19" s="30"/>
      <c r="E19" s="29">
        <f t="shared" si="0"/>
        <v>247822.29999999993</v>
      </c>
      <c r="F19" s="30">
        <v>2480.5</v>
      </c>
      <c r="G19" s="30">
        <v>119566.29999999999</v>
      </c>
      <c r="H19" s="30" t="s">
        <v>2</v>
      </c>
      <c r="I19" s="30">
        <v>12695.1</v>
      </c>
      <c r="J19" s="30">
        <v>74325</v>
      </c>
      <c r="K19" s="30">
        <v>144206.6</v>
      </c>
      <c r="L19" s="31">
        <f t="shared" si="1"/>
        <v>353273.5</v>
      </c>
      <c r="M19" s="30">
        <v>168004.45</v>
      </c>
      <c r="N19" s="29">
        <v>9395.7999999999993</v>
      </c>
      <c r="O19" s="31">
        <f t="shared" si="2"/>
        <v>175873.25</v>
      </c>
      <c r="P19" s="36">
        <v>6471.0000000000009</v>
      </c>
      <c r="Q19" s="31">
        <v>493087.8</v>
      </c>
      <c r="R19" s="31">
        <v>599</v>
      </c>
      <c r="S19" s="29">
        <f t="shared" si="3"/>
        <v>500157.8</v>
      </c>
      <c r="T19" s="33">
        <f t="shared" si="4"/>
        <v>676031.05</v>
      </c>
      <c r="U19" s="29">
        <f t="shared" si="5"/>
        <v>923853.35</v>
      </c>
    </row>
    <row r="20" spans="1:21" s="35" customFormat="1" ht="15.75">
      <c r="A20" s="39">
        <v>40695</v>
      </c>
      <c r="B20" s="30">
        <v>133383.10000000003</v>
      </c>
      <c r="C20" s="30">
        <v>90655.799999999988</v>
      </c>
      <c r="D20" s="30"/>
      <c r="E20" s="29">
        <f t="shared" si="0"/>
        <v>224038.90000000002</v>
      </c>
      <c r="F20" s="30">
        <v>24462.799999999999</v>
      </c>
      <c r="G20" s="30">
        <v>117440.9</v>
      </c>
      <c r="H20" s="30" t="s">
        <v>2</v>
      </c>
      <c r="I20" s="30">
        <v>17897.8</v>
      </c>
      <c r="J20" s="30">
        <v>74325</v>
      </c>
      <c r="K20" s="30">
        <v>143282.1</v>
      </c>
      <c r="L20" s="31">
        <f t="shared" si="1"/>
        <v>377408.6</v>
      </c>
      <c r="M20" s="30">
        <v>178132.2</v>
      </c>
      <c r="N20" s="29">
        <v>12941</v>
      </c>
      <c r="O20" s="31">
        <f t="shared" si="2"/>
        <v>186335.39999999997</v>
      </c>
      <c r="P20" s="36">
        <v>5148.5000000000009</v>
      </c>
      <c r="Q20" s="31">
        <v>552170.20000000007</v>
      </c>
      <c r="R20" s="31">
        <v>597.5</v>
      </c>
      <c r="S20" s="29">
        <f t="shared" si="3"/>
        <v>557916.20000000007</v>
      </c>
      <c r="T20" s="33">
        <f t="shared" si="4"/>
        <v>744251.60000000009</v>
      </c>
      <c r="U20" s="29">
        <f t="shared" si="5"/>
        <v>968290.50000000012</v>
      </c>
    </row>
    <row r="21" spans="1:21" s="35" customFormat="1" ht="15.75">
      <c r="A21" s="39">
        <v>40787</v>
      </c>
      <c r="B21" s="30">
        <v>81241.400000000023</v>
      </c>
      <c r="C21" s="30">
        <v>88234.400000000023</v>
      </c>
      <c r="D21" s="30"/>
      <c r="E21" s="29">
        <f t="shared" si="0"/>
        <v>169475.80000000005</v>
      </c>
      <c r="F21" s="30">
        <v>29256.3</v>
      </c>
      <c r="G21" s="30">
        <v>106984.4</v>
      </c>
      <c r="H21" s="30" t="s">
        <v>2</v>
      </c>
      <c r="I21" s="30">
        <v>12911.2</v>
      </c>
      <c r="J21" s="30">
        <v>74325</v>
      </c>
      <c r="K21" s="30">
        <v>142357.70000000001</v>
      </c>
      <c r="L21" s="31">
        <f t="shared" si="1"/>
        <v>365834.6</v>
      </c>
      <c r="M21" s="30">
        <v>152796.54999999999</v>
      </c>
      <c r="N21" s="29">
        <v>13503.9</v>
      </c>
      <c r="O21" s="31">
        <f t="shared" si="2"/>
        <v>199534.15</v>
      </c>
      <c r="P21" s="36">
        <v>8482.0999999999985</v>
      </c>
      <c r="Q21" s="31">
        <v>592674.85</v>
      </c>
      <c r="R21" s="31">
        <v>1019.5999999999999</v>
      </c>
      <c r="S21" s="29">
        <f t="shared" si="3"/>
        <v>602176.54999999993</v>
      </c>
      <c r="T21" s="33">
        <f t="shared" si="4"/>
        <v>801710.7</v>
      </c>
      <c r="U21" s="29">
        <f t="shared" si="5"/>
        <v>971186.5</v>
      </c>
    </row>
    <row r="22" spans="1:21" s="35" customFormat="1" ht="15.75">
      <c r="A22" s="39">
        <v>40878</v>
      </c>
      <c r="B22" s="30">
        <v>82293.999999999942</v>
      </c>
      <c r="C22" s="30">
        <v>123231.6</v>
      </c>
      <c r="D22" s="30"/>
      <c r="E22" s="29">
        <f t="shared" si="0"/>
        <v>205525.59999999995</v>
      </c>
      <c r="F22" s="30">
        <v>86260.6</v>
      </c>
      <c r="G22" s="30">
        <v>84484.4</v>
      </c>
      <c r="H22" s="30" t="s">
        <v>2</v>
      </c>
      <c r="I22" s="30">
        <v>14746.9</v>
      </c>
      <c r="J22" s="30">
        <v>94325</v>
      </c>
      <c r="K22" s="30">
        <v>141433.29999999999</v>
      </c>
      <c r="L22" s="31">
        <f t="shared" si="1"/>
        <v>421250.2</v>
      </c>
      <c r="M22" s="30">
        <v>175708.5</v>
      </c>
      <c r="N22" s="29">
        <v>14154.1</v>
      </c>
      <c r="O22" s="31">
        <f t="shared" si="2"/>
        <v>231387.6</v>
      </c>
      <c r="P22" s="36">
        <v>4009.9000000000005</v>
      </c>
      <c r="Q22" s="31">
        <v>612267</v>
      </c>
      <c r="R22" s="31">
        <v>1021.9000000000001</v>
      </c>
      <c r="S22" s="29">
        <f t="shared" si="3"/>
        <v>617298.80000000005</v>
      </c>
      <c r="T22" s="33">
        <f t="shared" si="4"/>
        <v>848686.4</v>
      </c>
      <c r="U22" s="29">
        <f t="shared" si="5"/>
        <v>1054212</v>
      </c>
    </row>
    <row r="23" spans="1:21" s="35" customFormat="1" ht="15.75">
      <c r="A23" s="39">
        <v>40969</v>
      </c>
      <c r="B23" s="30">
        <v>67729.100000000093</v>
      </c>
      <c r="C23" s="30">
        <v>118491.8</v>
      </c>
      <c r="D23" s="30"/>
      <c r="E23" s="29">
        <f t="shared" si="0"/>
        <v>186220.90000000008</v>
      </c>
      <c r="F23" s="30">
        <v>41361.199999999997</v>
      </c>
      <c r="G23" s="30">
        <v>72751.099999999991</v>
      </c>
      <c r="H23" s="30" t="s">
        <v>2</v>
      </c>
      <c r="I23" s="30">
        <v>16271.5</v>
      </c>
      <c r="J23" s="30">
        <v>94325</v>
      </c>
      <c r="K23" s="30">
        <v>140508.9</v>
      </c>
      <c r="L23" s="31">
        <f t="shared" si="1"/>
        <v>365217.69999999995</v>
      </c>
      <c r="M23" s="30">
        <v>189874.75</v>
      </c>
      <c r="N23" s="29">
        <v>16840.8</v>
      </c>
      <c r="O23" s="31">
        <f t="shared" si="2"/>
        <v>158502.14999999997</v>
      </c>
      <c r="P23" s="36">
        <v>11397</v>
      </c>
      <c r="Q23" s="31">
        <v>625626.10000000009</v>
      </c>
      <c r="R23" s="31">
        <v>943.4</v>
      </c>
      <c r="S23" s="29">
        <f t="shared" si="3"/>
        <v>637966.50000000012</v>
      </c>
      <c r="T23" s="33">
        <f t="shared" si="4"/>
        <v>796468.65000000014</v>
      </c>
      <c r="U23" s="29">
        <f t="shared" si="5"/>
        <v>982689.55000000028</v>
      </c>
    </row>
    <row r="24" spans="1:21" s="35" customFormat="1" ht="15.75">
      <c r="A24" s="39">
        <v>41061</v>
      </c>
      <c r="B24" s="30">
        <v>49308</v>
      </c>
      <c r="C24" s="30">
        <v>78556.900000000023</v>
      </c>
      <c r="D24" s="30"/>
      <c r="E24" s="29">
        <f t="shared" si="0"/>
        <v>127864.90000000002</v>
      </c>
      <c r="F24" s="30">
        <v>49375</v>
      </c>
      <c r="G24" s="30">
        <v>63101.1</v>
      </c>
      <c r="H24" s="30" t="s">
        <v>2</v>
      </c>
      <c r="I24" s="30">
        <v>18502.399999999998</v>
      </c>
      <c r="J24" s="30">
        <v>94325</v>
      </c>
      <c r="K24" s="30">
        <v>139584.5</v>
      </c>
      <c r="L24" s="31">
        <f t="shared" si="1"/>
        <v>364888</v>
      </c>
      <c r="M24" s="30">
        <v>146789.10000000003</v>
      </c>
      <c r="N24" s="29">
        <v>13565.2</v>
      </c>
      <c r="O24" s="31">
        <f t="shared" si="2"/>
        <v>204533.69999999995</v>
      </c>
      <c r="P24" s="36">
        <v>16232.4</v>
      </c>
      <c r="Q24" s="31">
        <v>681196.70000000007</v>
      </c>
      <c r="R24" s="31">
        <v>1005.8</v>
      </c>
      <c r="S24" s="29">
        <f t="shared" si="3"/>
        <v>698434.90000000014</v>
      </c>
      <c r="T24" s="33">
        <f t="shared" si="4"/>
        <v>902968.60000000009</v>
      </c>
      <c r="U24" s="29">
        <f t="shared" si="5"/>
        <v>1030833.5000000001</v>
      </c>
    </row>
    <row r="25" spans="1:21" s="35" customFormat="1" ht="15.75">
      <c r="A25" s="39">
        <v>41153</v>
      </c>
      <c r="B25" s="30">
        <v>55414.5</v>
      </c>
      <c r="C25" s="30">
        <v>105595.80000000003</v>
      </c>
      <c r="D25" s="30"/>
      <c r="E25" s="29">
        <f t="shared" si="0"/>
        <v>161010.30000000005</v>
      </c>
      <c r="F25" s="30">
        <v>51763.199999999997</v>
      </c>
      <c r="G25" s="30">
        <v>38166.800000000003</v>
      </c>
      <c r="H25" s="30" t="s">
        <v>2</v>
      </c>
      <c r="I25" s="30">
        <v>13870.5</v>
      </c>
      <c r="J25" s="30">
        <v>108925</v>
      </c>
      <c r="K25" s="30">
        <v>138968.29999999999</v>
      </c>
      <c r="L25" s="31">
        <f t="shared" si="1"/>
        <v>351693.8</v>
      </c>
      <c r="M25" s="30">
        <v>133972.04999999999</v>
      </c>
      <c r="N25" s="29">
        <v>15255.2</v>
      </c>
      <c r="O25" s="31">
        <f t="shared" si="2"/>
        <v>202466.55</v>
      </c>
      <c r="P25" s="36">
        <v>24945.899999999998</v>
      </c>
      <c r="Q25" s="31">
        <v>685471.85000000009</v>
      </c>
      <c r="R25" s="31">
        <v>1059.5</v>
      </c>
      <c r="S25" s="29">
        <f t="shared" si="3"/>
        <v>711477.25000000012</v>
      </c>
      <c r="T25" s="33">
        <f t="shared" si="4"/>
        <v>913943.8</v>
      </c>
      <c r="U25" s="29">
        <f t="shared" si="5"/>
        <v>1074954.1000000001</v>
      </c>
    </row>
    <row r="26" spans="1:21" s="35" customFormat="1" ht="15.75">
      <c r="A26" s="39">
        <v>41244</v>
      </c>
      <c r="B26" s="30">
        <v>66928.900000000023</v>
      </c>
      <c r="C26" s="30">
        <v>129708.8</v>
      </c>
      <c r="D26" s="30"/>
      <c r="E26" s="29">
        <f t="shared" si="0"/>
        <v>196637.7</v>
      </c>
      <c r="F26" s="30">
        <v>155251.9</v>
      </c>
      <c r="G26" s="30">
        <v>49024.3</v>
      </c>
      <c r="H26" s="30"/>
      <c r="I26" s="30">
        <v>17982.599999999999</v>
      </c>
      <c r="J26" s="30">
        <v>117037.4</v>
      </c>
      <c r="K26" s="30">
        <v>137735.70000000001</v>
      </c>
      <c r="L26" s="31">
        <f t="shared" si="1"/>
        <v>477031.9</v>
      </c>
      <c r="M26" s="30">
        <v>182803.7</v>
      </c>
      <c r="N26" s="29">
        <v>18296</v>
      </c>
      <c r="O26" s="31">
        <f t="shared" si="2"/>
        <v>275932.2</v>
      </c>
      <c r="P26" s="36">
        <v>24157.200000000001</v>
      </c>
      <c r="Q26" s="31">
        <v>683891.70000000007</v>
      </c>
      <c r="R26" s="31">
        <v>1057.9000000000001</v>
      </c>
      <c r="S26" s="29">
        <f t="shared" si="3"/>
        <v>709106.8</v>
      </c>
      <c r="T26" s="33">
        <f t="shared" si="4"/>
        <v>985039</v>
      </c>
      <c r="U26" s="29">
        <f t="shared" si="5"/>
        <v>1181676.7</v>
      </c>
    </row>
    <row r="27" spans="1:21" s="35" customFormat="1" ht="15.75">
      <c r="A27" s="39">
        <v>41334</v>
      </c>
      <c r="B27" s="30">
        <v>48746.900000000081</v>
      </c>
      <c r="C27" s="30">
        <v>149107.00000000003</v>
      </c>
      <c r="D27" s="30">
        <v>-24.299999999999997</v>
      </c>
      <c r="E27" s="29">
        <f t="shared" si="0"/>
        <v>197829.60000000012</v>
      </c>
      <c r="F27" s="30" t="s">
        <v>2</v>
      </c>
      <c r="G27" s="30">
        <v>47334.399999999994</v>
      </c>
      <c r="H27" s="30"/>
      <c r="I27" s="30">
        <v>18914.7</v>
      </c>
      <c r="J27" s="30">
        <v>112857.5</v>
      </c>
      <c r="K27" s="30">
        <v>292063.09999999998</v>
      </c>
      <c r="L27" s="31">
        <f t="shared" si="1"/>
        <v>471169.69999999995</v>
      </c>
      <c r="M27" s="30">
        <v>207006.84999999998</v>
      </c>
      <c r="N27" s="29">
        <v>23122.7</v>
      </c>
      <c r="O27" s="31">
        <f t="shared" si="2"/>
        <v>241040.14999999997</v>
      </c>
      <c r="P27" s="36">
        <v>27027.699999999997</v>
      </c>
      <c r="Q27" s="31">
        <v>720855.35</v>
      </c>
      <c r="R27" s="31">
        <v>1398.1999999999998</v>
      </c>
      <c r="S27" s="29">
        <f t="shared" si="3"/>
        <v>749281.24999999988</v>
      </c>
      <c r="T27" s="33">
        <f t="shared" si="4"/>
        <v>990321.39999999991</v>
      </c>
      <c r="U27" s="29">
        <f t="shared" si="5"/>
        <v>1188151</v>
      </c>
    </row>
    <row r="28" spans="1:21" s="35" customFormat="1" ht="15.75">
      <c r="A28" s="39">
        <v>41426</v>
      </c>
      <c r="B28" s="30">
        <v>56965.400000000081</v>
      </c>
      <c r="C28" s="30">
        <v>101928.40000000002</v>
      </c>
      <c r="D28" s="30">
        <v>-48.599999999999994</v>
      </c>
      <c r="E28" s="29">
        <f t="shared" ref="E28:E50" si="6">SUM(B28:D28)</f>
        <v>158845.2000000001</v>
      </c>
      <c r="F28" s="30" t="s">
        <v>2</v>
      </c>
      <c r="G28" s="30">
        <v>70934.600000000006</v>
      </c>
      <c r="H28" s="30"/>
      <c r="I28" s="30">
        <v>18757.3</v>
      </c>
      <c r="J28" s="30">
        <v>108677.6</v>
      </c>
      <c r="K28" s="30">
        <v>291138.8</v>
      </c>
      <c r="L28" s="31">
        <f t="shared" ref="L28:L50" si="7">SUM(F28:K28)</f>
        <v>489508.3</v>
      </c>
      <c r="M28" s="30">
        <v>190482.9</v>
      </c>
      <c r="N28" s="29">
        <v>15910.9</v>
      </c>
      <c r="O28" s="31">
        <f t="shared" ref="O28:O50" si="8">L28-M28-N28</f>
        <v>283114.5</v>
      </c>
      <c r="P28" s="36">
        <v>30429.199999999997</v>
      </c>
      <c r="Q28" s="31">
        <v>726941.90000000014</v>
      </c>
      <c r="R28" s="31">
        <v>1401.7</v>
      </c>
      <c r="S28" s="29">
        <f t="shared" ref="S28:S74" si="9">SUM(P28:R28)</f>
        <v>758772.8</v>
      </c>
      <c r="T28" s="33">
        <f t="shared" ref="T28:T50" si="10">S28+O28</f>
        <v>1041887.3</v>
      </c>
      <c r="U28" s="29">
        <f t="shared" ref="U28:U50" si="11">T28+E28</f>
        <v>1200732.5000000002</v>
      </c>
    </row>
    <row r="29" spans="1:21" s="35" customFormat="1" ht="15.75">
      <c r="A29" s="39">
        <v>41518</v>
      </c>
      <c r="B29" s="30">
        <v>78410.799999999988</v>
      </c>
      <c r="C29" s="30">
        <v>86375.500000000015</v>
      </c>
      <c r="D29" s="30">
        <v>-72.899999999999991</v>
      </c>
      <c r="E29" s="29">
        <f t="shared" si="6"/>
        <v>164713.4</v>
      </c>
      <c r="F29" s="30" t="s">
        <v>2</v>
      </c>
      <c r="G29" s="30">
        <v>104499.4</v>
      </c>
      <c r="H29" s="30"/>
      <c r="I29" s="30">
        <v>22464.7</v>
      </c>
      <c r="J29" s="30">
        <v>107284.3</v>
      </c>
      <c r="K29" s="30">
        <v>290214.40000000002</v>
      </c>
      <c r="L29" s="31">
        <f t="shared" si="7"/>
        <v>524462.80000000005</v>
      </c>
      <c r="M29" s="30">
        <v>213218.7</v>
      </c>
      <c r="N29" s="29">
        <v>21460.2</v>
      </c>
      <c r="O29" s="31">
        <f t="shared" si="8"/>
        <v>289783.90000000002</v>
      </c>
      <c r="P29" s="36">
        <v>36136.950000000004</v>
      </c>
      <c r="Q29" s="31">
        <v>759532.1</v>
      </c>
      <c r="R29" s="31">
        <v>2197.5</v>
      </c>
      <c r="S29" s="29">
        <f t="shared" si="9"/>
        <v>797866.54999999993</v>
      </c>
      <c r="T29" s="33">
        <f t="shared" si="10"/>
        <v>1087650.45</v>
      </c>
      <c r="U29" s="29">
        <f t="shared" si="11"/>
        <v>1252363.8499999999</v>
      </c>
    </row>
    <row r="30" spans="1:21" s="35" customFormat="1" ht="15.75">
      <c r="A30" s="39">
        <v>41609</v>
      </c>
      <c r="B30" s="30">
        <v>118133.79999999993</v>
      </c>
      <c r="C30" s="30">
        <v>111622.29999999997</v>
      </c>
      <c r="D30" s="30">
        <v>-97.2</v>
      </c>
      <c r="E30" s="29">
        <f t="shared" si="6"/>
        <v>229658.89999999991</v>
      </c>
      <c r="F30" s="30" t="s">
        <v>2</v>
      </c>
      <c r="G30" s="30">
        <v>109019.90000000001</v>
      </c>
      <c r="H30" s="30"/>
      <c r="I30" s="30">
        <v>18506.300000000003</v>
      </c>
      <c r="J30" s="30">
        <v>107284.3</v>
      </c>
      <c r="K30" s="30">
        <v>289290</v>
      </c>
      <c r="L30" s="31">
        <f t="shared" si="7"/>
        <v>524100.5</v>
      </c>
      <c r="M30" s="30">
        <v>227012.90000000002</v>
      </c>
      <c r="N30" s="29">
        <v>23790.1</v>
      </c>
      <c r="O30" s="31">
        <f t="shared" si="8"/>
        <v>273297.5</v>
      </c>
      <c r="P30" s="36">
        <v>36129.5</v>
      </c>
      <c r="Q30" s="31">
        <v>743181.20000000019</v>
      </c>
      <c r="R30" s="31">
        <v>2469.1999999999998</v>
      </c>
      <c r="S30" s="29">
        <f t="shared" si="9"/>
        <v>781779.90000000014</v>
      </c>
      <c r="T30" s="33">
        <f t="shared" si="10"/>
        <v>1055077.4000000001</v>
      </c>
      <c r="U30" s="29">
        <f t="shared" si="11"/>
        <v>1284736.3</v>
      </c>
    </row>
    <row r="31" spans="1:21" s="35" customFormat="1" ht="15.75">
      <c r="A31" s="39">
        <v>41699</v>
      </c>
      <c r="B31" s="30">
        <v>95018.600000000035</v>
      </c>
      <c r="C31" s="30">
        <v>115929.5</v>
      </c>
      <c r="D31" s="30">
        <v>-97.15</v>
      </c>
      <c r="E31" s="29">
        <f t="shared" si="6"/>
        <v>210850.95000000004</v>
      </c>
      <c r="F31" s="30">
        <v>8513</v>
      </c>
      <c r="G31" s="30">
        <v>108771.9</v>
      </c>
      <c r="H31" s="30"/>
      <c r="I31" s="30">
        <v>13380.9</v>
      </c>
      <c r="J31" s="30">
        <v>107284.3</v>
      </c>
      <c r="K31" s="30">
        <v>288673.7</v>
      </c>
      <c r="L31" s="31">
        <f t="shared" si="7"/>
        <v>526623.80000000005</v>
      </c>
      <c r="M31" s="30">
        <v>226231.92499999999</v>
      </c>
      <c r="N31" s="29">
        <v>17505.000000000004</v>
      </c>
      <c r="O31" s="31">
        <f t="shared" si="8"/>
        <v>282886.87500000006</v>
      </c>
      <c r="P31" s="36">
        <v>35670.550000000003</v>
      </c>
      <c r="Q31" s="31">
        <v>743101.375</v>
      </c>
      <c r="R31" s="31">
        <v>3128.7000000000003</v>
      </c>
      <c r="S31" s="29">
        <f t="shared" si="9"/>
        <v>781900.625</v>
      </c>
      <c r="T31" s="33">
        <f t="shared" si="10"/>
        <v>1064787.5</v>
      </c>
      <c r="U31" s="29">
        <f t="shared" si="11"/>
        <v>1275638.45</v>
      </c>
    </row>
    <row r="32" spans="1:21" s="35" customFormat="1" ht="15.75">
      <c r="A32" s="39">
        <v>41791</v>
      </c>
      <c r="B32" s="30">
        <v>89071.500000000116</v>
      </c>
      <c r="C32" s="30">
        <v>95701.300000000032</v>
      </c>
      <c r="D32" s="30">
        <v>-97.1</v>
      </c>
      <c r="E32" s="29">
        <f t="shared" si="6"/>
        <v>184675.70000000016</v>
      </c>
      <c r="F32" s="30">
        <v>39309.599999999999</v>
      </c>
      <c r="G32" s="30">
        <v>134209.09999999998</v>
      </c>
      <c r="H32" s="30"/>
      <c r="I32" s="30">
        <v>19161.199999999997</v>
      </c>
      <c r="J32" s="30">
        <v>107284.3</v>
      </c>
      <c r="K32" s="30">
        <v>287441.19999999995</v>
      </c>
      <c r="L32" s="31">
        <f t="shared" si="7"/>
        <v>587405.39999999991</v>
      </c>
      <c r="M32" s="30">
        <v>210539.85</v>
      </c>
      <c r="N32" s="29">
        <v>17287.8</v>
      </c>
      <c r="O32" s="31">
        <f t="shared" si="8"/>
        <v>359577.74999999994</v>
      </c>
      <c r="P32" s="36">
        <v>41979.700000000004</v>
      </c>
      <c r="Q32" s="31">
        <v>766726.45000000007</v>
      </c>
      <c r="R32" s="31">
        <v>3154.2</v>
      </c>
      <c r="S32" s="29">
        <f t="shared" si="9"/>
        <v>811860.35</v>
      </c>
      <c r="T32" s="33">
        <f t="shared" si="10"/>
        <v>1171438.0999999999</v>
      </c>
      <c r="U32" s="29">
        <f t="shared" si="11"/>
        <v>1356113.8</v>
      </c>
    </row>
    <row r="33" spans="1:21" s="35" customFormat="1" ht="15.75">
      <c r="A33" s="39">
        <v>41883</v>
      </c>
      <c r="B33" s="30">
        <v>142837.30000000005</v>
      </c>
      <c r="C33" s="30">
        <v>70021.499999999971</v>
      </c>
      <c r="D33" s="30">
        <v>-72.849999999999994</v>
      </c>
      <c r="E33" s="29">
        <f t="shared" si="6"/>
        <v>212785.95</v>
      </c>
      <c r="F33" s="30">
        <v>27300.1</v>
      </c>
      <c r="G33" s="30">
        <v>151516.40000000002</v>
      </c>
      <c r="H33" s="30"/>
      <c r="I33" s="30">
        <v>22821.449999999997</v>
      </c>
      <c r="J33" s="30">
        <v>107284.3</v>
      </c>
      <c r="K33" s="30">
        <v>286825</v>
      </c>
      <c r="L33" s="31">
        <f t="shared" si="7"/>
        <v>595747.25</v>
      </c>
      <c r="M33" s="30">
        <v>278447.73611111112</v>
      </c>
      <c r="N33" s="29">
        <v>25072.2</v>
      </c>
      <c r="O33" s="31">
        <f t="shared" si="8"/>
        <v>292227.31388888886</v>
      </c>
      <c r="P33" s="36">
        <v>44045.2</v>
      </c>
      <c r="Q33" s="31">
        <v>785180.62499999988</v>
      </c>
      <c r="R33" s="31">
        <v>3642.8999999999996</v>
      </c>
      <c r="S33" s="29">
        <f t="shared" si="9"/>
        <v>832868.72499999986</v>
      </c>
      <c r="T33" s="33">
        <f t="shared" si="10"/>
        <v>1125096.0388888887</v>
      </c>
      <c r="U33" s="29">
        <f t="shared" si="11"/>
        <v>1337881.9888888886</v>
      </c>
    </row>
    <row r="34" spans="1:21" s="35" customFormat="1" ht="15.75">
      <c r="A34" s="39">
        <v>41974</v>
      </c>
      <c r="B34" s="30">
        <v>128675.89999999997</v>
      </c>
      <c r="C34" s="30">
        <v>51849.400000000023</v>
      </c>
      <c r="D34" s="30">
        <v>-48.6</v>
      </c>
      <c r="E34" s="29">
        <f t="shared" si="6"/>
        <v>180476.69999999998</v>
      </c>
      <c r="F34" s="30">
        <v>55186.9</v>
      </c>
      <c r="G34" s="30">
        <v>147702.70000000001</v>
      </c>
      <c r="H34" s="30"/>
      <c r="I34" s="30">
        <v>49269.8</v>
      </c>
      <c r="J34" s="30">
        <v>106976.2</v>
      </c>
      <c r="K34" s="30">
        <v>285900.5</v>
      </c>
      <c r="L34" s="31">
        <f t="shared" si="7"/>
        <v>645036.10000000009</v>
      </c>
      <c r="M34" s="30">
        <v>238856.59999999998</v>
      </c>
      <c r="N34" s="29">
        <v>23004.400000000001</v>
      </c>
      <c r="O34" s="31">
        <f t="shared" si="8"/>
        <v>383175.10000000009</v>
      </c>
      <c r="P34" s="36">
        <v>40818.700000000004</v>
      </c>
      <c r="Q34" s="31">
        <v>814694.39999999991</v>
      </c>
      <c r="R34" s="31">
        <v>3449.2999999999997</v>
      </c>
      <c r="S34" s="29">
        <f t="shared" si="9"/>
        <v>858962.39999999991</v>
      </c>
      <c r="T34" s="33">
        <f t="shared" si="10"/>
        <v>1242137.5</v>
      </c>
      <c r="U34" s="29">
        <f t="shared" si="11"/>
        <v>1422614.2</v>
      </c>
    </row>
    <row r="35" spans="1:21" s="35" customFormat="1" ht="15.75">
      <c r="A35" s="39">
        <v>42064</v>
      </c>
      <c r="B35" s="30">
        <v>115526.40000000002</v>
      </c>
      <c r="C35" s="30">
        <v>45364.599999999977</v>
      </c>
      <c r="D35" s="30">
        <v>-24.300000000000004</v>
      </c>
      <c r="E35" s="29">
        <f t="shared" si="6"/>
        <v>160866.70000000001</v>
      </c>
      <c r="F35" s="30">
        <v>23590.1</v>
      </c>
      <c r="G35" s="30">
        <v>156652.5</v>
      </c>
      <c r="H35" s="30"/>
      <c r="I35" s="30">
        <v>51794.399999999994</v>
      </c>
      <c r="J35" s="30">
        <v>104166</v>
      </c>
      <c r="K35" s="30">
        <v>284644.40000000002</v>
      </c>
      <c r="L35" s="31">
        <f t="shared" si="7"/>
        <v>620847.4</v>
      </c>
      <c r="M35" s="30">
        <v>247417.85000000003</v>
      </c>
      <c r="N35" s="29">
        <v>29000.600000000002</v>
      </c>
      <c r="O35" s="31">
        <f t="shared" si="8"/>
        <v>344428.95</v>
      </c>
      <c r="P35" s="36">
        <v>22882</v>
      </c>
      <c r="Q35" s="31">
        <v>819545.25</v>
      </c>
      <c r="R35" s="31">
        <v>3910.9</v>
      </c>
      <c r="S35" s="29">
        <f t="shared" si="9"/>
        <v>846338.15</v>
      </c>
      <c r="T35" s="33">
        <f t="shared" si="10"/>
        <v>1190767.1000000001</v>
      </c>
      <c r="U35" s="29">
        <f t="shared" si="11"/>
        <v>1351633.8</v>
      </c>
    </row>
    <row r="36" spans="1:21" s="35" customFormat="1" ht="15.75">
      <c r="A36" s="39">
        <v>42156</v>
      </c>
      <c r="B36" s="30">
        <v>11927.5</v>
      </c>
      <c r="C36" s="30">
        <v>53211.099999999977</v>
      </c>
      <c r="D36" s="30" t="s">
        <v>2</v>
      </c>
      <c r="E36" s="29">
        <f t="shared" si="6"/>
        <v>65138.599999999977</v>
      </c>
      <c r="F36" s="30">
        <v>121700.8</v>
      </c>
      <c r="G36" s="30">
        <v>166756.20000000001</v>
      </c>
      <c r="H36" s="30"/>
      <c r="I36" s="30">
        <v>48976.1</v>
      </c>
      <c r="J36" s="30">
        <v>100317.8</v>
      </c>
      <c r="K36" s="30">
        <v>282393.09999999998</v>
      </c>
      <c r="L36" s="31">
        <f t="shared" si="7"/>
        <v>720144</v>
      </c>
      <c r="M36" s="30">
        <v>229581.90000000002</v>
      </c>
      <c r="N36" s="29">
        <v>26258.899999999998</v>
      </c>
      <c r="O36" s="31">
        <f t="shared" si="8"/>
        <v>464303.19999999995</v>
      </c>
      <c r="P36" s="36">
        <v>9628.4</v>
      </c>
      <c r="Q36" s="31">
        <v>856754.29999999981</v>
      </c>
      <c r="R36" s="31">
        <v>3822.2</v>
      </c>
      <c r="S36" s="29">
        <f t="shared" si="9"/>
        <v>870204.89999999979</v>
      </c>
      <c r="T36" s="33">
        <f t="shared" si="10"/>
        <v>1334508.0999999996</v>
      </c>
      <c r="U36" s="29">
        <f t="shared" si="11"/>
        <v>1399646.6999999997</v>
      </c>
    </row>
    <row r="37" spans="1:21" s="35" customFormat="1" ht="15.75">
      <c r="A37" s="39">
        <v>42248</v>
      </c>
      <c r="B37" s="30">
        <v>-77050.099999999977</v>
      </c>
      <c r="C37" s="30">
        <v>43805.499999999942</v>
      </c>
      <c r="D37" s="30" t="s">
        <v>2</v>
      </c>
      <c r="E37" s="29">
        <f t="shared" si="6"/>
        <v>-33244.600000000035</v>
      </c>
      <c r="F37" s="30">
        <v>201450.1</v>
      </c>
      <c r="G37" s="30">
        <v>177101.60000000003</v>
      </c>
      <c r="H37" s="30"/>
      <c r="I37" s="30">
        <v>50077.969444444447</v>
      </c>
      <c r="J37" s="30">
        <v>96137.9</v>
      </c>
      <c r="K37" s="30">
        <v>280473.5</v>
      </c>
      <c r="L37" s="31">
        <f t="shared" si="7"/>
        <v>805241.0694444445</v>
      </c>
      <c r="M37" s="30">
        <v>208852.61944444446</v>
      </c>
      <c r="N37" s="29">
        <v>29497.3</v>
      </c>
      <c r="O37" s="31">
        <f t="shared" si="8"/>
        <v>566891.15</v>
      </c>
      <c r="P37" s="36">
        <v>14965.4</v>
      </c>
      <c r="Q37" s="31">
        <v>865121.3833333333</v>
      </c>
      <c r="R37" s="31">
        <v>3755.9</v>
      </c>
      <c r="S37" s="29">
        <f t="shared" si="9"/>
        <v>883842.68333333335</v>
      </c>
      <c r="T37" s="33">
        <f t="shared" si="10"/>
        <v>1450733.8333333335</v>
      </c>
      <c r="U37" s="29">
        <f t="shared" si="11"/>
        <v>1417489.2333333334</v>
      </c>
    </row>
    <row r="38" spans="1:21" s="35" customFormat="1" ht="15.75">
      <c r="A38" s="39">
        <v>42339</v>
      </c>
      <c r="B38" s="30">
        <v>-132985.60000000001</v>
      </c>
      <c r="C38" s="30">
        <v>57115.499999999971</v>
      </c>
      <c r="D38" s="30" t="s">
        <v>2</v>
      </c>
      <c r="E38" s="29">
        <f t="shared" si="6"/>
        <v>-75870.100000000035</v>
      </c>
      <c r="F38" s="30">
        <v>273246</v>
      </c>
      <c r="G38" s="30">
        <v>254809.2</v>
      </c>
      <c r="H38" s="30"/>
      <c r="I38" s="30">
        <v>50054.3</v>
      </c>
      <c r="J38" s="30">
        <v>90564.7</v>
      </c>
      <c r="K38" s="30">
        <v>277913.90000000002</v>
      </c>
      <c r="L38" s="31">
        <f t="shared" si="7"/>
        <v>946588.1</v>
      </c>
      <c r="M38" s="30">
        <v>233455.5</v>
      </c>
      <c r="N38" s="29">
        <v>26275.999999999996</v>
      </c>
      <c r="O38" s="31">
        <f t="shared" si="8"/>
        <v>686856.6</v>
      </c>
      <c r="P38" s="36">
        <v>6532.0999999999995</v>
      </c>
      <c r="Q38" s="31">
        <v>812972</v>
      </c>
      <c r="R38" s="31">
        <v>27.1</v>
      </c>
      <c r="S38" s="29">
        <f t="shared" si="9"/>
        <v>819531.2</v>
      </c>
      <c r="T38" s="33">
        <f t="shared" si="10"/>
        <v>1506387.7999999998</v>
      </c>
      <c r="U38" s="29">
        <f t="shared" si="11"/>
        <v>1430517.6999999997</v>
      </c>
    </row>
    <row r="39" spans="1:21" s="35" customFormat="1" ht="15.75">
      <c r="A39" s="39">
        <v>42430</v>
      </c>
      <c r="B39" s="30">
        <v>-194954.00000000006</v>
      </c>
      <c r="C39" s="30">
        <v>33930.199999999953</v>
      </c>
      <c r="D39" s="30" t="s">
        <v>2</v>
      </c>
      <c r="E39" s="29">
        <f t="shared" si="6"/>
        <v>-161023.8000000001</v>
      </c>
      <c r="F39" s="30">
        <v>273246</v>
      </c>
      <c r="G39" s="30">
        <v>296894.8</v>
      </c>
      <c r="H39" s="30"/>
      <c r="I39" s="30">
        <v>49389.950000000004</v>
      </c>
      <c r="J39" s="30">
        <v>86384.8</v>
      </c>
      <c r="K39" s="30">
        <v>275994.3</v>
      </c>
      <c r="L39" s="31">
        <f t="shared" si="7"/>
        <v>981909.85000000009</v>
      </c>
      <c r="M39" s="30">
        <v>231671.77500000002</v>
      </c>
      <c r="N39" s="29">
        <v>25784.100000000002</v>
      </c>
      <c r="O39" s="31">
        <f t="shared" si="8"/>
        <v>724453.97500000009</v>
      </c>
      <c r="P39" s="36">
        <v>2767.5</v>
      </c>
      <c r="Q39" s="31">
        <v>832325.4</v>
      </c>
      <c r="R39" s="31">
        <v>22.2</v>
      </c>
      <c r="S39" s="29">
        <f t="shared" si="9"/>
        <v>835115.1</v>
      </c>
      <c r="T39" s="33">
        <f t="shared" si="10"/>
        <v>1559569.0750000002</v>
      </c>
      <c r="U39" s="29">
        <f t="shared" si="11"/>
        <v>1398545.2750000001</v>
      </c>
    </row>
    <row r="40" spans="1:21" s="35" customFormat="1" ht="15.75">
      <c r="A40" s="39">
        <v>42522</v>
      </c>
      <c r="B40" s="30">
        <v>-186003.4</v>
      </c>
      <c r="C40" s="30">
        <v>20116.699999999953</v>
      </c>
      <c r="D40" s="30" t="s">
        <v>2</v>
      </c>
      <c r="E40" s="29">
        <f t="shared" si="6"/>
        <v>-165886.70000000004</v>
      </c>
      <c r="F40" s="30">
        <v>19504.700000000012</v>
      </c>
      <c r="G40" s="30">
        <v>348742.9</v>
      </c>
      <c r="H40" s="30"/>
      <c r="I40" s="30">
        <v>53066.8</v>
      </c>
      <c r="J40" s="30">
        <v>83598.2</v>
      </c>
      <c r="K40" s="30">
        <v>547320.69999999995</v>
      </c>
      <c r="L40" s="31">
        <f t="shared" si="7"/>
        <v>1052233.3</v>
      </c>
      <c r="M40" s="30">
        <v>222571.65000000002</v>
      </c>
      <c r="N40" s="29">
        <v>41471.800000000003</v>
      </c>
      <c r="O40" s="31">
        <f t="shared" si="8"/>
        <v>788189.85</v>
      </c>
      <c r="P40" s="36">
        <v>6427</v>
      </c>
      <c r="Q40" s="31">
        <v>857911.70000000007</v>
      </c>
      <c r="R40" s="31">
        <v>59.2</v>
      </c>
      <c r="S40" s="29">
        <f t="shared" si="9"/>
        <v>864397.9</v>
      </c>
      <c r="T40" s="33">
        <f t="shared" si="10"/>
        <v>1652587.75</v>
      </c>
      <c r="U40" s="29">
        <f t="shared" si="11"/>
        <v>1486701.05</v>
      </c>
    </row>
    <row r="41" spans="1:21" s="35" customFormat="1" ht="15.75">
      <c r="A41" s="39">
        <v>42614</v>
      </c>
      <c r="B41" s="30">
        <v>-181601</v>
      </c>
      <c r="C41" s="30">
        <v>-10844.799999999959</v>
      </c>
      <c r="D41" s="30" t="s">
        <v>2</v>
      </c>
      <c r="E41" s="29">
        <f t="shared" si="6"/>
        <v>-192445.79999999996</v>
      </c>
      <c r="F41" s="30">
        <v>18972.7</v>
      </c>
      <c r="G41" s="30">
        <v>390238.4</v>
      </c>
      <c r="H41" s="30"/>
      <c r="I41" s="30">
        <v>46843.899999999994</v>
      </c>
      <c r="J41" s="30">
        <v>79418.3</v>
      </c>
      <c r="K41" s="30">
        <v>546041</v>
      </c>
      <c r="L41" s="31">
        <f t="shared" si="7"/>
        <v>1081514.3</v>
      </c>
      <c r="M41" s="30">
        <v>220076.07500000001</v>
      </c>
      <c r="N41" s="29">
        <v>34600.5</v>
      </c>
      <c r="O41" s="31">
        <f t="shared" si="8"/>
        <v>826837.72500000009</v>
      </c>
      <c r="P41" s="36">
        <v>11245.4</v>
      </c>
      <c r="Q41" s="31">
        <v>872234.79999999993</v>
      </c>
      <c r="R41" s="31">
        <v>15.5</v>
      </c>
      <c r="S41" s="29">
        <f t="shared" si="9"/>
        <v>883495.7</v>
      </c>
      <c r="T41" s="33">
        <f t="shared" si="10"/>
        <v>1710333.425</v>
      </c>
      <c r="U41" s="29">
        <f t="shared" si="11"/>
        <v>1517887.625</v>
      </c>
    </row>
    <row r="42" spans="1:21" s="35" customFormat="1" ht="15.75">
      <c r="A42" s="39">
        <v>42705</v>
      </c>
      <c r="B42" s="30">
        <v>-162073.80000000002</v>
      </c>
      <c r="C42" s="30">
        <v>-14449.299999999974</v>
      </c>
      <c r="D42" s="30" t="s">
        <v>2</v>
      </c>
      <c r="E42" s="29">
        <f t="shared" si="6"/>
        <v>-176523.09999999998</v>
      </c>
      <c r="F42" s="30">
        <v>134973.1</v>
      </c>
      <c r="G42" s="30">
        <v>438079.6</v>
      </c>
      <c r="H42" s="30"/>
      <c r="I42" s="30">
        <v>37133.1</v>
      </c>
      <c r="J42" s="30">
        <v>73845.100000000006</v>
      </c>
      <c r="K42" s="30">
        <v>543481.59999999998</v>
      </c>
      <c r="L42" s="31">
        <f t="shared" si="7"/>
        <v>1227512.5</v>
      </c>
      <c r="M42" s="30">
        <v>291260.3</v>
      </c>
      <c r="N42" s="29">
        <v>30394.800000000003</v>
      </c>
      <c r="O42" s="31">
        <f t="shared" si="8"/>
        <v>905857.39999999991</v>
      </c>
      <c r="P42" s="36">
        <v>7173.4000000000005</v>
      </c>
      <c r="Q42" s="31">
        <v>854034</v>
      </c>
      <c r="R42" s="31">
        <v>57.6</v>
      </c>
      <c r="S42" s="29">
        <f t="shared" si="9"/>
        <v>861265</v>
      </c>
      <c r="T42" s="33">
        <f t="shared" si="10"/>
        <v>1767122.4</v>
      </c>
      <c r="U42" s="29">
        <f t="shared" si="11"/>
        <v>1590599.2999999998</v>
      </c>
    </row>
    <row r="43" spans="1:21" s="35" customFormat="1" ht="15.75">
      <c r="A43" s="39">
        <v>42825</v>
      </c>
      <c r="B43" s="30">
        <v>-133135.90000000002</v>
      </c>
      <c r="C43" s="30">
        <v>-31494.300000000003</v>
      </c>
      <c r="D43" s="30"/>
      <c r="E43" s="29">
        <f t="shared" si="6"/>
        <v>-164630.20000000001</v>
      </c>
      <c r="F43" s="30">
        <v>130042.5</v>
      </c>
      <c r="G43" s="30">
        <v>474831.29999999993</v>
      </c>
      <c r="H43" s="30"/>
      <c r="I43" s="30">
        <v>48614.55</v>
      </c>
      <c r="J43" s="30">
        <v>69665.100000000006</v>
      </c>
      <c r="K43" s="30">
        <v>541562</v>
      </c>
      <c r="L43" s="31">
        <f t="shared" si="7"/>
        <v>1264715.45</v>
      </c>
      <c r="M43" s="30">
        <v>247676.35</v>
      </c>
      <c r="N43" s="29">
        <v>31886.899999999998</v>
      </c>
      <c r="O43" s="31">
        <f t="shared" si="8"/>
        <v>985152.2</v>
      </c>
      <c r="P43" s="36">
        <v>6812.0999999999995</v>
      </c>
      <c r="Q43" s="31">
        <v>806759.35000000009</v>
      </c>
      <c r="R43" s="31">
        <v>58.6</v>
      </c>
      <c r="S43" s="29">
        <f t="shared" si="9"/>
        <v>813630.05</v>
      </c>
      <c r="T43" s="33">
        <f t="shared" si="10"/>
        <v>1798782.25</v>
      </c>
      <c r="U43" s="29">
        <f t="shared" si="11"/>
        <v>1634152.05</v>
      </c>
    </row>
    <row r="44" spans="1:21" s="35" customFormat="1" ht="15.75">
      <c r="A44" s="39">
        <v>42916</v>
      </c>
      <c r="B44" s="30">
        <v>-140476.99999999994</v>
      </c>
      <c r="C44" s="30">
        <v>-12640.399999999994</v>
      </c>
      <c r="D44" s="30"/>
      <c r="E44" s="29">
        <f t="shared" si="6"/>
        <v>-153117.39999999994</v>
      </c>
      <c r="F44" s="30">
        <v>141652.79999999999</v>
      </c>
      <c r="G44" s="30">
        <v>520961.5</v>
      </c>
      <c r="H44" s="30"/>
      <c r="I44" s="30">
        <v>41050</v>
      </c>
      <c r="J44" s="30">
        <v>66878.5</v>
      </c>
      <c r="K44" s="30">
        <v>540282.30000000005</v>
      </c>
      <c r="L44" s="31">
        <f t="shared" si="7"/>
        <v>1310825.1000000001</v>
      </c>
      <c r="M44" s="30">
        <v>246217.90000000002</v>
      </c>
      <c r="N44" s="29">
        <v>54196.200000000004</v>
      </c>
      <c r="O44" s="31">
        <f t="shared" si="8"/>
        <v>1010411.0000000002</v>
      </c>
      <c r="P44" s="36">
        <v>13580.699999999999</v>
      </c>
      <c r="Q44" s="31">
        <v>857454.3</v>
      </c>
      <c r="R44" s="31">
        <v>33.299999999999997</v>
      </c>
      <c r="S44" s="29">
        <f t="shared" si="9"/>
        <v>871068.3</v>
      </c>
      <c r="T44" s="33">
        <f t="shared" si="10"/>
        <v>1881479.3000000003</v>
      </c>
      <c r="U44" s="29">
        <f t="shared" si="11"/>
        <v>1728361.9000000004</v>
      </c>
    </row>
    <row r="45" spans="1:21" s="35" customFormat="1" ht="15.75">
      <c r="A45" s="39">
        <v>43008</v>
      </c>
      <c r="B45" s="30">
        <v>-134023.79999999999</v>
      </c>
      <c r="C45" s="30">
        <v>-42355.7</v>
      </c>
      <c r="D45" s="30"/>
      <c r="E45" s="29">
        <f t="shared" si="6"/>
        <v>-176379.5</v>
      </c>
      <c r="F45" s="30">
        <v>112382.3</v>
      </c>
      <c r="G45" s="30">
        <v>550738.80000000005</v>
      </c>
      <c r="H45" s="30"/>
      <c r="I45" s="30">
        <v>44013.45</v>
      </c>
      <c r="J45" s="30">
        <v>62698.6</v>
      </c>
      <c r="K45" s="30">
        <v>538362.6</v>
      </c>
      <c r="L45" s="31">
        <f t="shared" si="7"/>
        <v>1308195.75</v>
      </c>
      <c r="M45" s="30">
        <v>234692.7</v>
      </c>
      <c r="N45" s="29">
        <v>36826.199999999997</v>
      </c>
      <c r="O45" s="31">
        <f t="shared" si="8"/>
        <v>1036676.8500000001</v>
      </c>
      <c r="P45" s="36">
        <v>28033</v>
      </c>
      <c r="Q45" s="31">
        <v>893468</v>
      </c>
      <c r="R45" s="31">
        <v>56.1</v>
      </c>
      <c r="S45" s="29">
        <f t="shared" si="9"/>
        <v>921557.1</v>
      </c>
      <c r="T45" s="33">
        <f t="shared" si="10"/>
        <v>1958233.9500000002</v>
      </c>
      <c r="U45" s="29">
        <f t="shared" si="11"/>
        <v>1781854.4500000002</v>
      </c>
    </row>
    <row r="46" spans="1:21" s="35" customFormat="1" ht="15.75">
      <c r="A46" s="39">
        <v>43100</v>
      </c>
      <c r="B46" s="30">
        <v>-144480.39999999997</v>
      </c>
      <c r="C46" s="30">
        <v>-9919.6000000000058</v>
      </c>
      <c r="D46" s="30" t="s">
        <v>2</v>
      </c>
      <c r="E46" s="29">
        <f t="shared" si="6"/>
        <v>-154399.99999999997</v>
      </c>
      <c r="F46" s="30">
        <v>194279.4</v>
      </c>
      <c r="G46" s="30">
        <v>643490.6</v>
      </c>
      <c r="H46" s="30"/>
      <c r="I46" s="30">
        <v>30924.9</v>
      </c>
      <c r="J46" s="30">
        <v>57125.4</v>
      </c>
      <c r="K46" s="30">
        <v>535803.19999999995</v>
      </c>
      <c r="L46" s="31">
        <f t="shared" si="7"/>
        <v>1461623.5</v>
      </c>
      <c r="M46" s="30">
        <v>300060.10000000009</v>
      </c>
      <c r="N46" s="29">
        <v>49349</v>
      </c>
      <c r="O46" s="31">
        <f t="shared" si="8"/>
        <v>1112214.3999999999</v>
      </c>
      <c r="P46" s="36">
        <v>28762.899999999998</v>
      </c>
      <c r="Q46" s="31">
        <v>859051.5</v>
      </c>
      <c r="R46" s="31">
        <v>4937.3999999999996</v>
      </c>
      <c r="S46" s="29">
        <f t="shared" si="9"/>
        <v>892751.8</v>
      </c>
      <c r="T46" s="33">
        <f t="shared" si="10"/>
        <v>2004966.2</v>
      </c>
      <c r="U46" s="29">
        <f t="shared" si="11"/>
        <v>1850566.2</v>
      </c>
    </row>
    <row r="47" spans="1:21" s="35" customFormat="1" ht="15.75">
      <c r="A47" s="39">
        <v>43190</v>
      </c>
      <c r="B47" s="30">
        <v>-180109.99999999997</v>
      </c>
      <c r="C47" s="30">
        <v>10814.499999999913</v>
      </c>
      <c r="D47" s="30" t="s">
        <v>2</v>
      </c>
      <c r="E47" s="29">
        <f t="shared" si="6"/>
        <v>-169295.50000000006</v>
      </c>
      <c r="F47" s="30">
        <v>151279.20000000001</v>
      </c>
      <c r="G47" s="30">
        <v>716057.39999999991</v>
      </c>
      <c r="H47" s="30"/>
      <c r="I47" s="30">
        <v>39655.5</v>
      </c>
      <c r="J47" s="30">
        <v>52945.5</v>
      </c>
      <c r="K47" s="30">
        <v>533314.30000000005</v>
      </c>
      <c r="L47" s="31">
        <f t="shared" si="7"/>
        <v>1493251.9</v>
      </c>
      <c r="M47" s="30">
        <v>290474.59999999998</v>
      </c>
      <c r="N47" s="29">
        <v>56551.900000000009</v>
      </c>
      <c r="O47" s="31">
        <f t="shared" si="8"/>
        <v>1146225.3999999999</v>
      </c>
      <c r="P47" s="36">
        <v>16032.599999999999</v>
      </c>
      <c r="Q47" s="31">
        <v>887426.7</v>
      </c>
      <c r="R47" s="31">
        <v>5422.5</v>
      </c>
      <c r="S47" s="29">
        <f t="shared" si="9"/>
        <v>908881.79999999993</v>
      </c>
      <c r="T47" s="33">
        <f t="shared" si="10"/>
        <v>2055107.1999999997</v>
      </c>
      <c r="U47" s="29">
        <f t="shared" si="11"/>
        <v>1885811.6999999997</v>
      </c>
    </row>
    <row r="48" spans="1:21" s="35" customFormat="1" ht="15.75">
      <c r="A48" s="39">
        <v>43281</v>
      </c>
      <c r="B48" s="30">
        <v>-175279.1</v>
      </c>
      <c r="C48" s="30">
        <v>-25976.599999999977</v>
      </c>
      <c r="D48" s="30" t="s">
        <v>2</v>
      </c>
      <c r="E48" s="29">
        <f t="shared" si="6"/>
        <v>-201255.69999999998</v>
      </c>
      <c r="F48" s="30">
        <v>201181.6</v>
      </c>
      <c r="G48" s="30">
        <v>799117.89999999991</v>
      </c>
      <c r="H48" s="30"/>
      <c r="I48" s="30">
        <v>61935.900000000009</v>
      </c>
      <c r="J48" s="30">
        <v>50158.9</v>
      </c>
      <c r="K48" s="30">
        <v>529117.6</v>
      </c>
      <c r="L48" s="31">
        <f t="shared" si="7"/>
        <v>1641511.9</v>
      </c>
      <c r="M48" s="30">
        <v>398416.1</v>
      </c>
      <c r="N48" s="29">
        <v>53521.5</v>
      </c>
      <c r="O48" s="31">
        <f t="shared" si="8"/>
        <v>1189574.2999999998</v>
      </c>
      <c r="P48" s="36">
        <v>24405.8</v>
      </c>
      <c r="Q48" s="31">
        <v>940441</v>
      </c>
      <c r="R48" s="31">
        <v>5533.2</v>
      </c>
      <c r="S48" s="29">
        <f t="shared" si="9"/>
        <v>970380</v>
      </c>
      <c r="T48" s="33">
        <f t="shared" si="10"/>
        <v>2159954.2999999998</v>
      </c>
      <c r="U48" s="29">
        <f t="shared" si="11"/>
        <v>1958698.5999999999</v>
      </c>
    </row>
    <row r="49" spans="1:21" s="35" customFormat="1" ht="15.75">
      <c r="A49" s="39">
        <v>43373</v>
      </c>
      <c r="B49" s="30">
        <v>-185086.7</v>
      </c>
      <c r="C49" s="30">
        <v>-31906.400000000052</v>
      </c>
      <c r="D49" s="30">
        <v>-291.60000000000002</v>
      </c>
      <c r="E49" s="29">
        <f t="shared" si="6"/>
        <v>-217284.70000000007</v>
      </c>
      <c r="F49" s="30">
        <v>151767</v>
      </c>
      <c r="G49" s="30">
        <v>868808.30000000016</v>
      </c>
      <c r="H49" s="30"/>
      <c r="I49" s="30">
        <v>65477.4</v>
      </c>
      <c r="J49" s="30">
        <v>45979</v>
      </c>
      <c r="K49" s="30">
        <v>526130.1</v>
      </c>
      <c r="L49" s="31">
        <f t="shared" si="7"/>
        <v>1658161.8000000003</v>
      </c>
      <c r="M49" s="30">
        <v>353050.4</v>
      </c>
      <c r="N49" s="29">
        <v>67423.399999999994</v>
      </c>
      <c r="O49" s="31">
        <f t="shared" si="8"/>
        <v>1237688.0000000005</v>
      </c>
      <c r="P49" s="36">
        <v>32676.399999999998</v>
      </c>
      <c r="Q49" s="31">
        <v>989136.8</v>
      </c>
      <c r="R49" s="31">
        <v>5747.6</v>
      </c>
      <c r="S49" s="29">
        <f t="shared" si="9"/>
        <v>1027560.8</v>
      </c>
      <c r="T49" s="33">
        <f t="shared" si="10"/>
        <v>2265248.8000000007</v>
      </c>
      <c r="U49" s="29">
        <f t="shared" si="11"/>
        <v>2047964.1000000006</v>
      </c>
    </row>
    <row r="50" spans="1:21" s="35" customFormat="1" ht="15.75">
      <c r="A50" s="39">
        <v>43465</v>
      </c>
      <c r="B50" s="30">
        <v>-165217.1</v>
      </c>
      <c r="C50" s="30">
        <v>-37983.9</v>
      </c>
      <c r="D50" s="30" t="s">
        <v>2</v>
      </c>
      <c r="E50" s="29">
        <f t="shared" si="6"/>
        <v>-203201</v>
      </c>
      <c r="F50" s="30">
        <v>210409.1</v>
      </c>
      <c r="G50" s="30">
        <v>932439.20000000007</v>
      </c>
      <c r="H50" s="30"/>
      <c r="I50" s="30">
        <v>58884.2</v>
      </c>
      <c r="J50" s="30">
        <v>40405.800000000003</v>
      </c>
      <c r="K50" s="30">
        <v>521293.6</v>
      </c>
      <c r="L50" s="31">
        <f t="shared" si="7"/>
        <v>1763431.9</v>
      </c>
      <c r="M50" s="30">
        <v>353522.4</v>
      </c>
      <c r="N50" s="29">
        <v>72375.499999999985</v>
      </c>
      <c r="O50" s="31">
        <f t="shared" si="8"/>
        <v>1337534</v>
      </c>
      <c r="P50" s="36">
        <v>42063.6</v>
      </c>
      <c r="Q50" s="31">
        <v>983859.20000000019</v>
      </c>
      <c r="R50" s="31">
        <v>6028.8</v>
      </c>
      <c r="S50" s="29">
        <f t="shared" si="9"/>
        <v>1031951.6000000002</v>
      </c>
      <c r="T50" s="33">
        <f t="shared" si="10"/>
        <v>2369485.6</v>
      </c>
      <c r="U50" s="29">
        <f t="shared" si="11"/>
        <v>2166284.6</v>
      </c>
    </row>
    <row r="51" spans="1:21" s="35" customFormat="1" ht="15.75">
      <c r="A51" s="39">
        <v>43555</v>
      </c>
      <c r="B51" s="30">
        <v>-166782.39999999999</v>
      </c>
      <c r="C51" s="30">
        <v>-62620.70000000007</v>
      </c>
      <c r="D51" s="30" t="s">
        <v>2</v>
      </c>
      <c r="E51" s="29">
        <f t="shared" ref="E51:E52" si="12">+SUM(B51:D51)</f>
        <v>-229403.10000000006</v>
      </c>
      <c r="F51" s="30">
        <v>221728.4</v>
      </c>
      <c r="G51" s="30">
        <f>74137.1+941488.5+22035.7</f>
        <v>1037661.2999999999</v>
      </c>
      <c r="H51" s="30"/>
      <c r="I51" s="30">
        <v>66134.8</v>
      </c>
      <c r="J51" s="30">
        <v>36225.9</v>
      </c>
      <c r="K51" s="30">
        <v>518306</v>
      </c>
      <c r="L51" s="31">
        <f t="shared" ref="L51:L74" si="13">+SUM(F51:K51)</f>
        <v>1880056.4</v>
      </c>
      <c r="M51" s="30">
        <v>412450</v>
      </c>
      <c r="N51" s="29">
        <v>58269.8</v>
      </c>
      <c r="O51" s="31">
        <f t="shared" ref="O51:O74" si="14">+L51-M51-N51</f>
        <v>1409336.5999999999</v>
      </c>
      <c r="P51" s="36">
        <v>32296.6</v>
      </c>
      <c r="Q51" s="31">
        <v>1008148.3000000002</v>
      </c>
      <c r="R51" s="31">
        <v>6662.7</v>
      </c>
      <c r="S51" s="29">
        <f t="shared" si="9"/>
        <v>1047107.6000000001</v>
      </c>
      <c r="T51" s="33">
        <f t="shared" ref="T51:T74" si="15">SUM(O51,S51)</f>
        <v>2456444.2000000002</v>
      </c>
      <c r="U51" s="29">
        <f t="shared" ref="U51:U74" si="16">SUM(E51,T51)</f>
        <v>2227041.1</v>
      </c>
    </row>
    <row r="52" spans="1:21" s="35" customFormat="1" ht="15.75">
      <c r="A52" s="39">
        <v>43646</v>
      </c>
      <c r="B52" s="30">
        <f>177153.1-298866.2</f>
        <v>-121713.1</v>
      </c>
      <c r="C52" s="30">
        <f>127120.2-199660</f>
        <v>-72539.8</v>
      </c>
      <c r="D52" s="30" t="s">
        <v>2</v>
      </c>
      <c r="E52" s="29">
        <f t="shared" si="12"/>
        <v>-194252.90000000002</v>
      </c>
      <c r="F52" s="30">
        <v>216009.2</v>
      </c>
      <c r="G52" s="30">
        <f>42174.9+1084518.3+16965</f>
        <v>1143658.2</v>
      </c>
      <c r="H52" s="30"/>
      <c r="I52" s="30">
        <v>59215</v>
      </c>
      <c r="J52" s="30">
        <v>32046</v>
      </c>
      <c r="K52" s="30">
        <v>514038.8</v>
      </c>
      <c r="L52" s="31">
        <f t="shared" si="13"/>
        <v>1964967.2</v>
      </c>
      <c r="M52" s="30">
        <v>427944.6</v>
      </c>
      <c r="N52" s="29">
        <v>62402.2</v>
      </c>
      <c r="O52" s="31">
        <f t="shared" si="14"/>
        <v>1474620.4000000001</v>
      </c>
      <c r="P52" s="36">
        <f>23367.3+101.6</f>
        <v>23468.899999999998</v>
      </c>
      <c r="Q52" s="31">
        <v>1073690.6000000001</v>
      </c>
      <c r="R52" s="31">
        <v>6546.1</v>
      </c>
      <c r="S52" s="29">
        <f t="shared" si="9"/>
        <v>1103705.6000000001</v>
      </c>
      <c r="T52" s="33">
        <f t="shared" si="15"/>
        <v>2578326</v>
      </c>
      <c r="U52" s="29">
        <f t="shared" si="16"/>
        <v>2384073.1</v>
      </c>
    </row>
    <row r="53" spans="1:21" s="35" customFormat="1" ht="15.75">
      <c r="A53" s="39">
        <v>43738</v>
      </c>
      <c r="B53" s="30">
        <f>152229.3-295964.1</f>
        <v>-143734.79999999999</v>
      </c>
      <c r="C53" s="30">
        <f>139248.5-223096</f>
        <v>-83847.5</v>
      </c>
      <c r="D53" s="30" t="s">
        <v>2</v>
      </c>
      <c r="E53" s="29">
        <f t="shared" ref="E53:E56" si="17">+SUM(B53:D53)</f>
        <v>-227582.3</v>
      </c>
      <c r="F53" s="30">
        <v>0</v>
      </c>
      <c r="G53" s="30">
        <f>52783.1+1160384.5+28225</f>
        <v>1241392.6000000001</v>
      </c>
      <c r="H53" s="30"/>
      <c r="I53" s="30">
        <v>65322.7</v>
      </c>
      <c r="J53" s="30">
        <v>29259.4</v>
      </c>
      <c r="K53" s="30">
        <v>727629.7</v>
      </c>
      <c r="L53" s="31">
        <f t="shared" si="13"/>
        <v>2063604.4</v>
      </c>
      <c r="M53" s="30">
        <v>478795.5</v>
      </c>
      <c r="N53" s="29">
        <v>82107.899999999994</v>
      </c>
      <c r="O53" s="31">
        <f t="shared" si="14"/>
        <v>1502701</v>
      </c>
      <c r="P53" s="36">
        <f>25516+101.6</f>
        <v>25617.599999999999</v>
      </c>
      <c r="Q53" s="31">
        <f>1098721+4652.3+44030.8</f>
        <v>1147404.1000000001</v>
      </c>
      <c r="R53" s="31">
        <v>6686.4</v>
      </c>
      <c r="S53" s="29">
        <f t="shared" si="9"/>
        <v>1179708.1000000001</v>
      </c>
      <c r="T53" s="33">
        <f t="shared" si="15"/>
        <v>2682409.1</v>
      </c>
      <c r="U53" s="29">
        <f t="shared" si="16"/>
        <v>2454826.8000000003</v>
      </c>
    </row>
    <row r="54" spans="1:21" s="35" customFormat="1" ht="15.75">
      <c r="A54" s="39">
        <v>43830</v>
      </c>
      <c r="B54" s="30">
        <v>-129390.7</v>
      </c>
      <c r="C54" s="30">
        <v>-76949.600000000006</v>
      </c>
      <c r="D54" s="30" t="s">
        <v>2</v>
      </c>
      <c r="E54" s="29">
        <f t="shared" si="17"/>
        <v>-206340.3</v>
      </c>
      <c r="F54" s="30">
        <v>0</v>
      </c>
      <c r="G54" s="30">
        <v>1341367.1000000001</v>
      </c>
      <c r="H54" s="30"/>
      <c r="I54" s="30">
        <v>70919.799999999988</v>
      </c>
      <c r="J54" s="30">
        <v>23686.2</v>
      </c>
      <c r="K54" s="30">
        <v>722793.2</v>
      </c>
      <c r="L54" s="31">
        <f t="shared" si="13"/>
        <v>2158766.2999999998</v>
      </c>
      <c r="M54" s="30">
        <v>443910.5</v>
      </c>
      <c r="N54" s="29">
        <v>95938.2</v>
      </c>
      <c r="O54" s="31">
        <f t="shared" si="14"/>
        <v>1618917.5999999999</v>
      </c>
      <c r="P54" s="36">
        <f>42076.6+101.6</f>
        <v>42178.2</v>
      </c>
      <c r="Q54" s="31">
        <v>1166031.0000000002</v>
      </c>
      <c r="R54" s="31">
        <v>458.5</v>
      </c>
      <c r="S54" s="29">
        <f t="shared" si="9"/>
        <v>1208667.7000000002</v>
      </c>
      <c r="T54" s="33">
        <f t="shared" si="15"/>
        <v>2827585.3</v>
      </c>
      <c r="U54" s="29">
        <f t="shared" si="16"/>
        <v>2621245</v>
      </c>
    </row>
    <row r="55" spans="1:21" s="35" customFormat="1" ht="15.75">
      <c r="A55" s="39">
        <v>43921</v>
      </c>
      <c r="B55" s="30">
        <f>194289.3-361308.8</f>
        <v>-167019.5</v>
      </c>
      <c r="C55" s="30">
        <f>143352.6-261170.6</f>
        <v>-117818</v>
      </c>
      <c r="D55" s="30" t="s">
        <v>2</v>
      </c>
      <c r="E55" s="29">
        <f t="shared" si="17"/>
        <v>-284837.5</v>
      </c>
      <c r="F55" s="30">
        <v>0</v>
      </c>
      <c r="G55" s="30">
        <v>1381408.1999999997</v>
      </c>
      <c r="H55" s="30"/>
      <c r="I55" s="30">
        <f>20393+103560.4</f>
        <v>123953.4</v>
      </c>
      <c r="J55" s="30">
        <v>19506.2</v>
      </c>
      <c r="K55" s="30">
        <v>719165.8</v>
      </c>
      <c r="L55" s="31">
        <f t="shared" si="13"/>
        <v>2244033.5999999996</v>
      </c>
      <c r="M55" s="30">
        <v>503862</v>
      </c>
      <c r="N55" s="29">
        <v>77027.199999999997</v>
      </c>
      <c r="O55" s="31">
        <f t="shared" si="14"/>
        <v>1663144.3999999997</v>
      </c>
      <c r="P55" s="36">
        <f>32138.3+101.6</f>
        <v>32239.899999999998</v>
      </c>
      <c r="Q55" s="31">
        <v>1212703.5999999999</v>
      </c>
      <c r="R55" s="31">
        <v>342.2</v>
      </c>
      <c r="S55" s="29">
        <f t="shared" si="9"/>
        <v>1245285.6999999997</v>
      </c>
      <c r="T55" s="33">
        <f t="shared" si="15"/>
        <v>2908430.0999999996</v>
      </c>
      <c r="U55" s="29">
        <f t="shared" si="16"/>
        <v>2623592.5999999996</v>
      </c>
    </row>
    <row r="56" spans="1:21" s="35" customFormat="1" ht="15.75">
      <c r="A56" s="39">
        <v>44012</v>
      </c>
      <c r="B56" s="30">
        <f>172739-357357.6</f>
        <v>-184618.59999999998</v>
      </c>
      <c r="C56" s="30">
        <f>128564.4-277077.4</f>
        <v>-148513.00000000003</v>
      </c>
      <c r="D56" s="30" t="s">
        <v>2</v>
      </c>
      <c r="E56" s="29">
        <f t="shared" si="17"/>
        <v>-333131.59999999998</v>
      </c>
      <c r="F56" s="30">
        <v>0</v>
      </c>
      <c r="G56" s="30">
        <v>1468858.5</v>
      </c>
      <c r="H56" s="30"/>
      <c r="I56" s="30">
        <f>16243.7+98487+5357.5</f>
        <v>120088.2</v>
      </c>
      <c r="J56" s="30">
        <v>15326.3</v>
      </c>
      <c r="K56" s="30">
        <v>715538.4</v>
      </c>
      <c r="L56" s="31">
        <f t="shared" si="13"/>
        <v>2319811.4</v>
      </c>
      <c r="M56" s="30">
        <v>441278.2</v>
      </c>
      <c r="N56" s="29">
        <v>86594.1</v>
      </c>
      <c r="O56" s="31">
        <f t="shared" si="14"/>
        <v>1791939.0999999999</v>
      </c>
      <c r="P56" s="36">
        <f>29576.4+101.6</f>
        <v>29678</v>
      </c>
      <c r="Q56" s="31">
        <v>1283209.7000000002</v>
      </c>
      <c r="R56" s="31">
        <v>328.2</v>
      </c>
      <c r="S56" s="29">
        <f t="shared" si="9"/>
        <v>1313215.9000000001</v>
      </c>
      <c r="T56" s="33">
        <f t="shared" si="15"/>
        <v>3105155</v>
      </c>
      <c r="U56" s="29">
        <f t="shared" si="16"/>
        <v>2772023.4</v>
      </c>
    </row>
    <row r="57" spans="1:21" s="35" customFormat="1" ht="16.5" customHeight="1">
      <c r="A57" s="39">
        <v>44104</v>
      </c>
      <c r="B57" s="30">
        <v>-151024.20000000001</v>
      </c>
      <c r="C57" s="30">
        <v>-128888.4</v>
      </c>
      <c r="D57" s="30" t="s">
        <v>2</v>
      </c>
      <c r="E57" s="29">
        <f t="shared" ref="E57" si="18">+SUM(B57:D57)</f>
        <v>-279912.59999999998</v>
      </c>
      <c r="F57" s="30">
        <v>0</v>
      </c>
      <c r="G57" s="30">
        <v>1539157.4000000001</v>
      </c>
      <c r="H57" s="30"/>
      <c r="I57" s="30">
        <f>19611.4+25822.8+124981.5+150000</f>
        <v>320415.7</v>
      </c>
      <c r="J57" s="30">
        <v>12539.7</v>
      </c>
      <c r="K57" s="30">
        <v>713120.2</v>
      </c>
      <c r="L57" s="31">
        <f t="shared" si="13"/>
        <v>2585233</v>
      </c>
      <c r="M57" s="30">
        <v>485147.2</v>
      </c>
      <c r="N57" s="29">
        <v>76753.3</v>
      </c>
      <c r="O57" s="31">
        <f t="shared" si="14"/>
        <v>2023332.4999999998</v>
      </c>
      <c r="P57" s="36">
        <f>30626.8+101.6</f>
        <v>30728.399999999998</v>
      </c>
      <c r="Q57" s="31">
        <v>1349647.4</v>
      </c>
      <c r="R57" s="31">
        <v>311</v>
      </c>
      <c r="S57" s="29">
        <f t="shared" si="9"/>
        <v>1380686.7999999998</v>
      </c>
      <c r="T57" s="33">
        <f t="shared" si="15"/>
        <v>3404019.3</v>
      </c>
      <c r="U57" s="29">
        <f t="shared" si="16"/>
        <v>3124106.6999999997</v>
      </c>
    </row>
    <row r="58" spans="1:21" s="35" customFormat="1" ht="15.75">
      <c r="A58" s="39">
        <v>44196</v>
      </c>
      <c r="B58" s="30">
        <v>-93105.300000000017</v>
      </c>
      <c r="C58" s="30">
        <v>-111910.80000000002</v>
      </c>
      <c r="D58" s="30" t="s">
        <v>2</v>
      </c>
      <c r="E58" s="29">
        <f t="shared" ref="E58" si="19">+SUM(B58:D58)</f>
        <v>-205016.10000000003</v>
      </c>
      <c r="F58" s="30">
        <v>0</v>
      </c>
      <c r="G58" s="30">
        <v>1614167.6</v>
      </c>
      <c r="H58" s="30"/>
      <c r="I58" s="30">
        <f>18210.4+27463+120782.7+150000+2000</f>
        <v>318456.09999999998</v>
      </c>
      <c r="J58" s="30">
        <v>6921.2</v>
      </c>
      <c r="K58" s="30">
        <v>708283.6</v>
      </c>
      <c r="L58" s="31">
        <f t="shared" si="13"/>
        <v>2647828.5</v>
      </c>
      <c r="M58" s="30">
        <v>549158.91651699995</v>
      </c>
      <c r="N58" s="29">
        <v>72918.899999999994</v>
      </c>
      <c r="O58" s="31">
        <f t="shared" si="14"/>
        <v>2025750.6834830004</v>
      </c>
      <c r="P58" s="36">
        <f>22343.7+101.6</f>
        <v>22445.3</v>
      </c>
      <c r="Q58" s="31">
        <v>1413651.5</v>
      </c>
      <c r="R58" s="31">
        <v>1185.1999999999998</v>
      </c>
      <c r="S58" s="29">
        <f t="shared" si="9"/>
        <v>1437282</v>
      </c>
      <c r="T58" s="33">
        <f t="shared" si="15"/>
        <v>3463032.6834830004</v>
      </c>
      <c r="U58" s="29">
        <f t="shared" si="16"/>
        <v>3258016.5834830003</v>
      </c>
    </row>
    <row r="59" spans="1:21" s="35" customFormat="1" ht="15.75">
      <c r="A59" s="39">
        <v>44286</v>
      </c>
      <c r="B59" s="30">
        <v>-119123.90000000002</v>
      </c>
      <c r="C59" s="30">
        <v>-108593.39999999997</v>
      </c>
      <c r="D59" s="30">
        <v>-81.7</v>
      </c>
      <c r="E59" s="29">
        <v>-227799</v>
      </c>
      <c r="F59" s="30">
        <v>0</v>
      </c>
      <c r="G59" s="30">
        <v>1648781.3</v>
      </c>
      <c r="H59" s="30"/>
      <c r="I59" s="30">
        <v>328747.7</v>
      </c>
      <c r="J59" s="30">
        <v>4134.6000000000004</v>
      </c>
      <c r="K59" s="30">
        <v>703262.9</v>
      </c>
      <c r="L59" s="31">
        <f t="shared" si="13"/>
        <v>2684926.5</v>
      </c>
      <c r="M59" s="30">
        <v>570127</v>
      </c>
      <c r="N59" s="29">
        <v>79893.7</v>
      </c>
      <c r="O59" s="31">
        <f t="shared" si="14"/>
        <v>2034905.8</v>
      </c>
      <c r="P59" s="36">
        <v>24688.199999999997</v>
      </c>
      <c r="Q59" s="31">
        <v>1524807.0000000002</v>
      </c>
      <c r="R59" s="31">
        <v>734.60000000000014</v>
      </c>
      <c r="S59" s="29">
        <f t="shared" si="9"/>
        <v>1550229.8000000003</v>
      </c>
      <c r="T59" s="33">
        <f t="shared" si="15"/>
        <v>3585135.6000000006</v>
      </c>
      <c r="U59" s="29">
        <f t="shared" si="16"/>
        <v>3357336.6000000006</v>
      </c>
    </row>
    <row r="60" spans="1:21" s="35" customFormat="1" ht="15.75">
      <c r="A60" s="39">
        <v>44377</v>
      </c>
      <c r="B60" s="30">
        <v>-114588.4</v>
      </c>
      <c r="C60" s="30">
        <v>-190802.4</v>
      </c>
      <c r="D60" s="30">
        <v>-118</v>
      </c>
      <c r="E60" s="29">
        <v>-305508.8</v>
      </c>
      <c r="F60" s="30">
        <v>57076.7</v>
      </c>
      <c r="G60" s="30">
        <v>1719227.5999999999</v>
      </c>
      <c r="H60" s="30"/>
      <c r="I60" s="30">
        <v>347225.00000000006</v>
      </c>
      <c r="J60" s="30">
        <v>0</v>
      </c>
      <c r="K60" s="30">
        <v>701028.8</v>
      </c>
      <c r="L60" s="31">
        <f t="shared" si="13"/>
        <v>2824558.0999999996</v>
      </c>
      <c r="M60" s="30">
        <v>625806.5</v>
      </c>
      <c r="N60" s="29">
        <v>82601.5</v>
      </c>
      <c r="O60" s="31">
        <f t="shared" si="14"/>
        <v>2116150.0999999996</v>
      </c>
      <c r="P60" s="36">
        <v>26228.6</v>
      </c>
      <c r="Q60" s="31">
        <v>1724195.7</v>
      </c>
      <c r="R60" s="31">
        <v>5539.4</v>
      </c>
      <c r="S60" s="29">
        <f t="shared" si="9"/>
        <v>1755963.7</v>
      </c>
      <c r="T60" s="33">
        <f t="shared" si="15"/>
        <v>3872113.8</v>
      </c>
      <c r="U60" s="29">
        <f t="shared" si="16"/>
        <v>3566605</v>
      </c>
    </row>
    <row r="61" spans="1:21" s="35" customFormat="1" ht="15.75">
      <c r="A61" s="39">
        <v>44469</v>
      </c>
      <c r="B61" s="30">
        <v>-150538.59999999998</v>
      </c>
      <c r="C61" s="30">
        <v>-254415.30000000002</v>
      </c>
      <c r="D61" s="30">
        <v>-210</v>
      </c>
      <c r="E61" s="29">
        <v>-405163.9</v>
      </c>
      <c r="F61" s="30">
        <v>0</v>
      </c>
      <c r="G61" s="30">
        <v>1831324.1</v>
      </c>
      <c r="H61" s="30"/>
      <c r="I61" s="30">
        <v>347172.2</v>
      </c>
      <c r="J61" s="30">
        <v>0</v>
      </c>
      <c r="K61" s="30">
        <v>697339.3</v>
      </c>
      <c r="L61" s="31">
        <f t="shared" si="13"/>
        <v>2875835.6000000006</v>
      </c>
      <c r="M61" s="30">
        <v>649481.6</v>
      </c>
      <c r="N61" s="29">
        <v>82805.899999999994</v>
      </c>
      <c r="O61" s="31">
        <f t="shared" si="14"/>
        <v>2143548.1000000006</v>
      </c>
      <c r="P61" s="36">
        <v>25714.199999999997</v>
      </c>
      <c r="Q61" s="31">
        <v>2139643.5</v>
      </c>
      <c r="R61" s="31">
        <v>337.9</v>
      </c>
      <c r="S61" s="29">
        <f t="shared" si="9"/>
        <v>2165695.6</v>
      </c>
      <c r="T61" s="33">
        <f t="shared" si="15"/>
        <v>4309243.7000000011</v>
      </c>
      <c r="U61" s="29">
        <f t="shared" si="16"/>
        <v>3904079.8000000012</v>
      </c>
    </row>
    <row r="62" spans="1:21" s="35" customFormat="1" ht="15.75">
      <c r="A62" s="39">
        <v>44561</v>
      </c>
      <c r="B62" s="30">
        <v>-141348.09999999998</v>
      </c>
      <c r="C62" s="30">
        <v>-181042.40000000002</v>
      </c>
      <c r="D62" s="30">
        <v>0</v>
      </c>
      <c r="E62" s="29">
        <v>-322390.5</v>
      </c>
      <c r="F62" s="30">
        <v>36124.9</v>
      </c>
      <c r="G62" s="30">
        <v>1816057.7</v>
      </c>
      <c r="H62" s="30"/>
      <c r="I62" s="30">
        <v>290056.7</v>
      </c>
      <c r="J62" s="30">
        <v>0</v>
      </c>
      <c r="K62" s="30">
        <v>690961.7</v>
      </c>
      <c r="L62" s="31">
        <f t="shared" si="13"/>
        <v>2833201</v>
      </c>
      <c r="M62" s="30">
        <v>826676.3</v>
      </c>
      <c r="N62" s="29">
        <v>75800.899999999994</v>
      </c>
      <c r="O62" s="31">
        <f t="shared" si="14"/>
        <v>1930723.8</v>
      </c>
      <c r="P62" s="36">
        <v>25121</v>
      </c>
      <c r="Q62" s="31">
        <v>2351611.3000000003</v>
      </c>
      <c r="R62" s="31">
        <v>256.5</v>
      </c>
      <c r="S62" s="29">
        <f t="shared" si="9"/>
        <v>2376988.8000000003</v>
      </c>
      <c r="T62" s="33">
        <f t="shared" si="15"/>
        <v>4307712.6000000006</v>
      </c>
      <c r="U62" s="29">
        <f t="shared" si="16"/>
        <v>3985322.1000000006</v>
      </c>
    </row>
    <row r="63" spans="1:21" s="35" customFormat="1" ht="15.75">
      <c r="A63" s="39">
        <v>44621</v>
      </c>
      <c r="B63" s="30">
        <v>-113493.90000000002</v>
      </c>
      <c r="C63" s="30">
        <v>-194680.9</v>
      </c>
      <c r="D63" s="30">
        <v>0</v>
      </c>
      <c r="E63" s="29">
        <v>-308174.80000000005</v>
      </c>
      <c r="F63" s="30">
        <v>32028.5</v>
      </c>
      <c r="G63" s="30">
        <v>1833166.5</v>
      </c>
      <c r="H63" s="30"/>
      <c r="I63" s="30">
        <v>429373.89999999997</v>
      </c>
      <c r="J63" s="30">
        <v>0</v>
      </c>
      <c r="K63" s="30">
        <v>690433.4</v>
      </c>
      <c r="L63" s="31">
        <f t="shared" si="13"/>
        <v>2985002.3</v>
      </c>
      <c r="M63" s="30">
        <v>950524.7</v>
      </c>
      <c r="N63" s="29">
        <v>118394.9</v>
      </c>
      <c r="O63" s="31">
        <f t="shared" si="14"/>
        <v>1916082.7</v>
      </c>
      <c r="P63" s="36">
        <v>24010.399999999998</v>
      </c>
      <c r="Q63" s="31">
        <v>2537250.1</v>
      </c>
      <c r="R63" s="31">
        <v>238.4</v>
      </c>
      <c r="S63" s="29">
        <f t="shared" si="9"/>
        <v>2561498.9</v>
      </c>
      <c r="T63" s="33">
        <f t="shared" si="15"/>
        <v>4477581.5999999996</v>
      </c>
      <c r="U63" s="29">
        <f t="shared" si="16"/>
        <v>4169406.8</v>
      </c>
    </row>
    <row r="64" spans="1:21" s="35" customFormat="1" ht="15.75">
      <c r="A64" s="39">
        <v>44713</v>
      </c>
      <c r="B64" s="30">
        <v>-232158.59999999998</v>
      </c>
      <c r="C64" s="30">
        <v>-190483.3</v>
      </c>
      <c r="D64" s="30">
        <v>0</v>
      </c>
      <c r="E64" s="29">
        <v>-422641.89999999997</v>
      </c>
      <c r="F64" s="30">
        <v>266435.90000000002</v>
      </c>
      <c r="G64" s="30">
        <v>1777341.7</v>
      </c>
      <c r="H64" s="30"/>
      <c r="I64" s="30">
        <v>524312.9</v>
      </c>
      <c r="J64" s="30">
        <v>0</v>
      </c>
      <c r="K64" s="30">
        <v>686729.1</v>
      </c>
      <c r="L64" s="31">
        <f t="shared" si="13"/>
        <v>3254819.6</v>
      </c>
      <c r="M64" s="30">
        <v>905749</v>
      </c>
      <c r="N64" s="29">
        <v>120078.3</v>
      </c>
      <c r="O64" s="31">
        <f t="shared" si="14"/>
        <v>2228992.3000000003</v>
      </c>
      <c r="P64" s="36">
        <v>24195.1</v>
      </c>
      <c r="Q64" s="31">
        <v>2882825.3</v>
      </c>
      <c r="R64" s="31">
        <v>6839.5000000000009</v>
      </c>
      <c r="S64" s="29">
        <f t="shared" si="9"/>
        <v>2913859.9</v>
      </c>
      <c r="T64" s="33">
        <f t="shared" si="15"/>
        <v>5142852.2</v>
      </c>
      <c r="U64" s="29">
        <f t="shared" si="16"/>
        <v>4720210.3</v>
      </c>
    </row>
    <row r="65" spans="1:22" s="35" customFormat="1" ht="15.75">
      <c r="A65" s="39">
        <v>44805</v>
      </c>
      <c r="B65" s="30">
        <v>-252190.40000000002</v>
      </c>
      <c r="C65" s="30">
        <v>-326772.79999999993</v>
      </c>
      <c r="D65" s="30">
        <v>0</v>
      </c>
      <c r="E65" s="29">
        <v>-578963.19999999995</v>
      </c>
      <c r="F65" s="30">
        <v>82611.8</v>
      </c>
      <c r="G65" s="30">
        <v>1832259.9</v>
      </c>
      <c r="H65" s="30"/>
      <c r="I65" s="30">
        <v>812437.6</v>
      </c>
      <c r="J65" s="30">
        <v>0</v>
      </c>
      <c r="K65" s="30">
        <v>956869.3</v>
      </c>
      <c r="L65" s="31">
        <f t="shared" si="13"/>
        <v>3684178.5999999996</v>
      </c>
      <c r="M65" s="30">
        <v>1027904.5</v>
      </c>
      <c r="N65" s="29">
        <v>123234.2</v>
      </c>
      <c r="O65" s="31">
        <f t="shared" si="14"/>
        <v>2533039.8999999994</v>
      </c>
      <c r="P65" s="36">
        <v>24189.1</v>
      </c>
      <c r="Q65" s="31">
        <v>3203720.8</v>
      </c>
      <c r="R65" s="31">
        <v>829.2</v>
      </c>
      <c r="S65" s="29">
        <f t="shared" si="9"/>
        <v>3228739.1</v>
      </c>
      <c r="T65" s="33">
        <f t="shared" si="15"/>
        <v>5761779</v>
      </c>
      <c r="U65" s="29">
        <f t="shared" si="16"/>
        <v>5182815.8</v>
      </c>
    </row>
    <row r="66" spans="1:22" s="35" customFormat="1" ht="15.75">
      <c r="A66" s="39">
        <v>44896</v>
      </c>
      <c r="B66" s="30">
        <v>-252046.90000000002</v>
      </c>
      <c r="C66" s="30">
        <v>-309521.5</v>
      </c>
      <c r="D66" s="30">
        <v>-357.9</v>
      </c>
      <c r="E66" s="29">
        <v>-561926.30000000005</v>
      </c>
      <c r="F66" s="30">
        <v>3346.5</v>
      </c>
      <c r="G66" s="30">
        <v>1994536.9</v>
      </c>
      <c r="H66" s="30"/>
      <c r="I66" s="30">
        <v>875209.5</v>
      </c>
      <c r="J66" s="30">
        <v>0</v>
      </c>
      <c r="K66" s="30">
        <v>941229</v>
      </c>
      <c r="L66" s="31">
        <f t="shared" si="13"/>
        <v>3814321.9</v>
      </c>
      <c r="M66" s="30">
        <v>1152725.8999999999</v>
      </c>
      <c r="N66" s="29">
        <v>128898.4</v>
      </c>
      <c r="O66" s="31">
        <f t="shared" si="14"/>
        <v>2532697.6</v>
      </c>
      <c r="P66" s="36">
        <v>23718</v>
      </c>
      <c r="Q66" s="31">
        <v>3388341.2</v>
      </c>
      <c r="R66" s="31">
        <v>167.9</v>
      </c>
      <c r="S66" s="29">
        <f t="shared" si="9"/>
        <v>3412227.1</v>
      </c>
      <c r="T66" s="33">
        <f t="shared" si="15"/>
        <v>5944924.7000000002</v>
      </c>
      <c r="U66" s="29">
        <f t="shared" si="16"/>
        <v>5382998.4000000004</v>
      </c>
    </row>
    <row r="67" spans="1:22" s="35" customFormat="1" ht="15.75">
      <c r="A67" s="39">
        <v>44986</v>
      </c>
      <c r="B67" s="30">
        <v>-280639.7</v>
      </c>
      <c r="C67" s="30">
        <v>-304530.80000000005</v>
      </c>
      <c r="D67" s="30">
        <v>0</v>
      </c>
      <c r="E67" s="29">
        <v>-585170.5</v>
      </c>
      <c r="F67" s="30">
        <v>0</v>
      </c>
      <c r="G67" s="30">
        <v>2089393.5000000002</v>
      </c>
      <c r="H67" s="30"/>
      <c r="I67" s="30">
        <v>918452.4</v>
      </c>
      <c r="J67" s="30">
        <v>0</v>
      </c>
      <c r="K67" s="30">
        <v>936198</v>
      </c>
      <c r="L67" s="31">
        <f t="shared" si="13"/>
        <v>3944043.9000000004</v>
      </c>
      <c r="M67" s="30">
        <v>1217275</v>
      </c>
      <c r="N67" s="29">
        <v>92302.1</v>
      </c>
      <c r="O67" s="31">
        <f t="shared" si="14"/>
        <v>2634466.8000000003</v>
      </c>
      <c r="P67" s="36">
        <v>25378.1</v>
      </c>
      <c r="Q67" s="31">
        <v>3467725.1999999997</v>
      </c>
      <c r="R67" s="31">
        <v>301.89999999999998</v>
      </c>
      <c r="S67" s="29">
        <f t="shared" si="9"/>
        <v>3493405.1999999997</v>
      </c>
      <c r="T67" s="33">
        <f t="shared" si="15"/>
        <v>6127872</v>
      </c>
      <c r="U67" s="29">
        <f t="shared" si="16"/>
        <v>5542701.5</v>
      </c>
    </row>
    <row r="68" spans="1:22" s="35" customFormat="1" ht="15.75">
      <c r="A68" s="39">
        <v>45078</v>
      </c>
      <c r="B68" s="30">
        <v>-532892.1</v>
      </c>
      <c r="C68" s="30">
        <v>-459070.50000000006</v>
      </c>
      <c r="D68" s="30">
        <v>-344.1</v>
      </c>
      <c r="E68" s="29">
        <f t="shared" ref="E68" si="20">+SUM(B68:D68)</f>
        <v>-992306.70000000007</v>
      </c>
      <c r="F68" s="30">
        <v>314986.5</v>
      </c>
      <c r="G68" s="30">
        <v>2012225.5</v>
      </c>
      <c r="H68" s="30"/>
      <c r="I68" s="30">
        <v>773286.7</v>
      </c>
      <c r="J68" s="30">
        <v>0</v>
      </c>
      <c r="K68" s="30">
        <v>930266.6</v>
      </c>
      <c r="L68" s="31">
        <f t="shared" si="13"/>
        <v>4030765.3000000003</v>
      </c>
      <c r="M68" s="30">
        <v>1101488.7</v>
      </c>
      <c r="N68" s="29">
        <v>182718.6</v>
      </c>
      <c r="O68" s="31">
        <f t="shared" si="14"/>
        <v>2746558.0000000005</v>
      </c>
      <c r="P68" s="36">
        <v>25644.199999999997</v>
      </c>
      <c r="Q68" s="31">
        <v>3793951.9000000004</v>
      </c>
      <c r="R68" s="31">
        <v>277.5</v>
      </c>
      <c r="S68" s="29">
        <f t="shared" si="9"/>
        <v>3819873.6000000006</v>
      </c>
      <c r="T68" s="33">
        <f t="shared" si="15"/>
        <v>6566431.6000000015</v>
      </c>
      <c r="U68" s="29">
        <f t="shared" si="16"/>
        <v>5574124.9000000013</v>
      </c>
    </row>
    <row r="69" spans="1:22" s="35" customFormat="1" ht="15.75">
      <c r="A69" s="39">
        <v>45170</v>
      </c>
      <c r="B69" s="30">
        <v>-701824.70000000007</v>
      </c>
      <c r="C69" s="30">
        <v>-531861.79999999993</v>
      </c>
      <c r="D69" s="30">
        <v>-378.8</v>
      </c>
      <c r="E69" s="29">
        <v>-1234065.3</v>
      </c>
      <c r="F69" s="30">
        <v>168204</v>
      </c>
      <c r="G69" s="30">
        <v>1986108.3</v>
      </c>
      <c r="H69" s="30"/>
      <c r="I69" s="30">
        <v>698659.5</v>
      </c>
      <c r="J69" s="30">
        <v>0</v>
      </c>
      <c r="K69" s="30">
        <v>1241186.3999999999</v>
      </c>
      <c r="L69" s="31">
        <f t="shared" si="13"/>
        <v>4094158.1999999997</v>
      </c>
      <c r="M69" s="30">
        <v>1123258.5000000002</v>
      </c>
      <c r="N69" s="29">
        <v>168824.19999999998</v>
      </c>
      <c r="O69" s="31">
        <f t="shared" si="14"/>
        <v>2802075.4999999991</v>
      </c>
      <c r="P69" s="36">
        <v>26195.899999999998</v>
      </c>
      <c r="Q69" s="31">
        <v>4279426.6999999993</v>
      </c>
      <c r="R69" s="31">
        <v>1209.8000000000002</v>
      </c>
      <c r="S69" s="29">
        <f t="shared" si="9"/>
        <v>4306832.3999999994</v>
      </c>
      <c r="T69" s="33">
        <f t="shared" si="15"/>
        <v>7108907.8999999985</v>
      </c>
      <c r="U69" s="29">
        <f t="shared" si="16"/>
        <v>5874842.5999999987</v>
      </c>
    </row>
    <row r="70" spans="1:22" s="35" customFormat="1" ht="15.75">
      <c r="A70" s="39">
        <v>45261</v>
      </c>
      <c r="B70" s="30">
        <v>-652621.79999999993</v>
      </c>
      <c r="C70" s="30">
        <v>-442426.50000000006</v>
      </c>
      <c r="D70" s="30">
        <v>-9.9</v>
      </c>
      <c r="E70" s="29">
        <v>-1095058.2</v>
      </c>
      <c r="F70" s="30">
        <v>45365.4</v>
      </c>
      <c r="G70" s="30">
        <v>2068505.1</v>
      </c>
      <c r="H70" s="30"/>
      <c r="I70" s="30">
        <v>819217.39999999991</v>
      </c>
      <c r="J70" s="30">
        <v>0</v>
      </c>
      <c r="K70" s="30">
        <v>1238638.2000000002</v>
      </c>
      <c r="L70" s="31">
        <f t="shared" si="13"/>
        <v>4171726.1</v>
      </c>
      <c r="M70" s="30">
        <v>1084051.7999999998</v>
      </c>
      <c r="N70" s="29">
        <v>172112.80000000002</v>
      </c>
      <c r="O70" s="31">
        <f t="shared" si="14"/>
        <v>2915561.5000000005</v>
      </c>
      <c r="P70" s="36">
        <v>24184.9</v>
      </c>
      <c r="Q70" s="31">
        <v>4425779.3000000007</v>
      </c>
      <c r="R70" s="31">
        <v>1112.6000000000001</v>
      </c>
      <c r="S70" s="29">
        <f t="shared" si="9"/>
        <v>4451076.8000000007</v>
      </c>
      <c r="T70" s="33">
        <f t="shared" si="15"/>
        <v>7366638.3000000007</v>
      </c>
      <c r="U70" s="29">
        <f t="shared" si="16"/>
        <v>6271580.1000000006</v>
      </c>
    </row>
    <row r="71" spans="1:22" s="35" customFormat="1" ht="15.75">
      <c r="A71" s="39">
        <v>45352</v>
      </c>
      <c r="B71" s="30">
        <v>-513773.49999999994</v>
      </c>
      <c r="C71" s="30">
        <v>-687363.49999999988</v>
      </c>
      <c r="D71" s="30">
        <v>-7.6999999999999993</v>
      </c>
      <c r="E71" s="29">
        <v>-1201144.6999999997</v>
      </c>
      <c r="F71" s="30">
        <v>0</v>
      </c>
      <c r="G71" s="30">
        <v>2167505.7000000002</v>
      </c>
      <c r="H71" s="30"/>
      <c r="I71" s="30">
        <v>813199.20000000007</v>
      </c>
      <c r="J71" s="30">
        <v>0</v>
      </c>
      <c r="K71" s="30">
        <v>1233257.3</v>
      </c>
      <c r="L71" s="31">
        <f t="shared" si="13"/>
        <v>4213962.2</v>
      </c>
      <c r="M71" s="30">
        <v>1182403.5</v>
      </c>
      <c r="N71" s="29">
        <v>191157.9</v>
      </c>
      <c r="O71" s="31">
        <f t="shared" si="14"/>
        <v>2840400.8000000003</v>
      </c>
      <c r="P71" s="36">
        <v>25772.1</v>
      </c>
      <c r="Q71" s="31">
        <v>4608774</v>
      </c>
      <c r="R71" s="31">
        <v>1070.1000000000001</v>
      </c>
      <c r="S71" s="29">
        <f t="shared" si="9"/>
        <v>4635616.1999999993</v>
      </c>
      <c r="T71" s="33">
        <f t="shared" si="15"/>
        <v>7476017</v>
      </c>
      <c r="U71" s="29">
        <f t="shared" si="16"/>
        <v>6274872.3000000007</v>
      </c>
    </row>
    <row r="72" spans="1:22" s="35" customFormat="1" ht="15.75">
      <c r="A72" s="39">
        <v>45444</v>
      </c>
      <c r="B72" s="30">
        <v>-533814.59999999986</v>
      </c>
      <c r="C72" s="30">
        <v>-936358.19999999984</v>
      </c>
      <c r="D72" s="30">
        <v>-19.2</v>
      </c>
      <c r="E72" s="29">
        <v>-1470191.9999999998</v>
      </c>
      <c r="F72" s="30">
        <v>153944.29999999999</v>
      </c>
      <c r="G72" s="30">
        <v>2127620.7999999993</v>
      </c>
      <c r="H72" s="30"/>
      <c r="I72" s="30">
        <v>835674.1</v>
      </c>
      <c r="J72" s="30">
        <v>0</v>
      </c>
      <c r="K72" s="30">
        <v>1226068.6000000001</v>
      </c>
      <c r="L72" s="31">
        <f t="shared" si="13"/>
        <v>4343307.7999999989</v>
      </c>
      <c r="M72" s="30">
        <v>1006010.8</v>
      </c>
      <c r="N72" s="29">
        <v>235701.60000000003</v>
      </c>
      <c r="O72" s="31">
        <f t="shared" si="14"/>
        <v>3101595.399999999</v>
      </c>
      <c r="P72" s="36">
        <v>11870.7</v>
      </c>
      <c r="Q72" s="31">
        <v>4939151.63</v>
      </c>
      <c r="R72" s="31">
        <v>1059.1000000000001</v>
      </c>
      <c r="S72" s="29">
        <f t="shared" si="9"/>
        <v>4952081.43</v>
      </c>
      <c r="T72" s="33">
        <f t="shared" si="15"/>
        <v>8053676.8299999982</v>
      </c>
      <c r="U72" s="29">
        <f t="shared" si="16"/>
        <v>6583484.8299999982</v>
      </c>
    </row>
    <row r="73" spans="1:22" s="35" customFormat="1" ht="15.75">
      <c r="A73" s="39">
        <v>45536</v>
      </c>
      <c r="B73" s="30">
        <v>-622133.30000000005</v>
      </c>
      <c r="C73" s="30">
        <v>-947005.40000000014</v>
      </c>
      <c r="D73" s="30">
        <v>0</v>
      </c>
      <c r="E73" s="29">
        <v>-1569138.7000000002</v>
      </c>
      <c r="F73" s="30">
        <v>415256.8</v>
      </c>
      <c r="G73" s="30">
        <v>2047371.7000000002</v>
      </c>
      <c r="H73" s="30"/>
      <c r="I73" s="30">
        <v>879291.1</v>
      </c>
      <c r="J73" s="30">
        <v>0</v>
      </c>
      <c r="K73" s="30">
        <v>1377870.7999999998</v>
      </c>
      <c r="L73" s="31">
        <f t="shared" si="13"/>
        <v>4719790.4000000004</v>
      </c>
      <c r="M73" s="30">
        <v>1122475.2999999998</v>
      </c>
      <c r="N73" s="29">
        <v>233301.19999999998</v>
      </c>
      <c r="O73" s="31">
        <f t="shared" si="14"/>
        <v>3364013.9000000004</v>
      </c>
      <c r="P73" s="36">
        <v>11811.1</v>
      </c>
      <c r="Q73" s="31">
        <v>5292063</v>
      </c>
      <c r="R73" s="31">
        <v>995.5</v>
      </c>
      <c r="S73" s="29">
        <f t="shared" si="9"/>
        <v>5304869.5999999996</v>
      </c>
      <c r="T73" s="33">
        <f t="shared" si="15"/>
        <v>8668883.5</v>
      </c>
      <c r="U73" s="29">
        <f t="shared" si="16"/>
        <v>7099744.7999999998</v>
      </c>
    </row>
    <row r="74" spans="1:22" s="35" customFormat="1" ht="15.75">
      <c r="A74" s="39">
        <v>45627</v>
      </c>
      <c r="B74" s="30">
        <v>-548227.89999999991</v>
      </c>
      <c r="C74" s="30">
        <v>-910786.50000000023</v>
      </c>
      <c r="D74" s="30">
        <v>0</v>
      </c>
      <c r="E74" s="29">
        <f t="shared" ref="E74" si="21">+SUM(B74:D74)</f>
        <v>-1459014.4000000001</v>
      </c>
      <c r="F74" s="30">
        <v>751335.6</v>
      </c>
      <c r="G74" s="30">
        <v>2152489.6</v>
      </c>
      <c r="H74" s="30"/>
      <c r="I74" s="30">
        <v>840020.10000000009</v>
      </c>
      <c r="J74" s="30">
        <v>0</v>
      </c>
      <c r="K74" s="30">
        <v>1371442.2</v>
      </c>
      <c r="L74" s="31">
        <f t="shared" si="13"/>
        <v>5115287.5</v>
      </c>
      <c r="M74" s="30">
        <v>1113900.2999999998</v>
      </c>
      <c r="N74" s="29">
        <v>250593.6</v>
      </c>
      <c r="O74" s="31">
        <f t="shared" si="14"/>
        <v>3750793.6</v>
      </c>
      <c r="P74" s="36">
        <v>13044.300000000001</v>
      </c>
      <c r="Q74" s="31">
        <v>5618117.9000000004</v>
      </c>
      <c r="R74" s="31">
        <v>1170.2</v>
      </c>
      <c r="S74" s="29">
        <f t="shared" si="9"/>
        <v>5632332.4000000004</v>
      </c>
      <c r="T74" s="33">
        <f t="shared" si="15"/>
        <v>9383126</v>
      </c>
      <c r="U74" s="29">
        <f t="shared" si="16"/>
        <v>7924111.5999999996</v>
      </c>
    </row>
    <row r="75" spans="1:22" s="35" customFormat="1" ht="15.75">
      <c r="A75" s="39">
        <v>45717</v>
      </c>
      <c r="B75" s="30">
        <v>-692738.10000000009</v>
      </c>
      <c r="C75" s="30">
        <v>-879873.79999999981</v>
      </c>
      <c r="D75" s="30">
        <v>0</v>
      </c>
      <c r="E75" s="29">
        <v>-1572611.9</v>
      </c>
      <c r="F75" s="30">
        <v>629494.5</v>
      </c>
      <c r="G75" s="30">
        <v>2443996.6</v>
      </c>
      <c r="H75" s="30"/>
      <c r="I75" s="30">
        <v>685447.5</v>
      </c>
      <c r="J75" s="30">
        <v>0</v>
      </c>
      <c r="K75" s="30">
        <v>1365759.1</v>
      </c>
      <c r="L75" s="31">
        <v>5124697.7</v>
      </c>
      <c r="M75" s="30">
        <v>1114492.7000000002</v>
      </c>
      <c r="N75" s="29">
        <v>241724.5</v>
      </c>
      <c r="O75" s="31">
        <v>3768480.5</v>
      </c>
      <c r="P75" s="36">
        <v>20127.400000000005</v>
      </c>
      <c r="Q75" s="31">
        <v>5824835.5000000009</v>
      </c>
      <c r="R75" s="31">
        <v>1008.3</v>
      </c>
      <c r="S75" s="29">
        <v>5845971.2000000011</v>
      </c>
      <c r="T75" s="33">
        <v>9614451.7000000011</v>
      </c>
      <c r="U75" s="29">
        <v>8041839.8000000007</v>
      </c>
    </row>
    <row r="76" spans="1:22" s="35" customFormat="1" ht="15.75">
      <c r="A76" s="39">
        <v>45809</v>
      </c>
      <c r="B76" s="30">
        <v>-568852.99999999988</v>
      </c>
      <c r="C76" s="30">
        <v>-1037881.9000000001</v>
      </c>
      <c r="D76" s="30">
        <v>0</v>
      </c>
      <c r="E76" s="29">
        <v>-1606734.9</v>
      </c>
      <c r="F76" s="30">
        <v>1017484.8</v>
      </c>
      <c r="G76" s="30">
        <v>2525337.3000000003</v>
      </c>
      <c r="H76" s="30"/>
      <c r="I76" s="30">
        <v>756190</v>
      </c>
      <c r="J76" s="30">
        <v>0</v>
      </c>
      <c r="K76" s="30">
        <v>1355991.1</v>
      </c>
      <c r="L76" s="31">
        <v>5655003.2000000011</v>
      </c>
      <c r="M76" s="30">
        <v>1203853.3999999999</v>
      </c>
      <c r="N76" s="29">
        <v>292443.99999999994</v>
      </c>
      <c r="O76" s="31">
        <v>4158705.8000000007</v>
      </c>
      <c r="P76" s="36">
        <v>12344.800000000001</v>
      </c>
      <c r="Q76" s="31">
        <v>6267915.6000000006</v>
      </c>
      <c r="R76" s="31">
        <v>858.6</v>
      </c>
      <c r="S76" s="29">
        <v>6281119</v>
      </c>
      <c r="T76" s="33">
        <v>10439824.800000001</v>
      </c>
      <c r="U76" s="29">
        <v>8833089.9000000004</v>
      </c>
    </row>
    <row r="77" spans="1:22" s="35" customFormat="1" ht="15.75">
      <c r="A77" s="39">
        <v>45901</v>
      </c>
      <c r="B77" s="30">
        <v>-687889.89999999991</v>
      </c>
      <c r="C77" s="30">
        <v>-1182789.7000000004</v>
      </c>
      <c r="D77" s="30">
        <v>0</v>
      </c>
      <c r="E77" s="29">
        <v>-1870679.6000000003</v>
      </c>
      <c r="F77" s="30">
        <v>1017484.8</v>
      </c>
      <c r="G77" s="30">
        <v>2590705.1999999997</v>
      </c>
      <c r="H77" s="30"/>
      <c r="I77" s="30">
        <v>1054566.5</v>
      </c>
      <c r="J77" s="30">
        <v>0</v>
      </c>
      <c r="K77" s="30">
        <v>1353643.2000000002</v>
      </c>
      <c r="L77" s="31">
        <v>6016399.7000000002</v>
      </c>
      <c r="M77" s="30">
        <v>1449681.5</v>
      </c>
      <c r="N77" s="29">
        <v>244860.29999999996</v>
      </c>
      <c r="O77" s="31">
        <v>4321857.9000000004</v>
      </c>
      <c r="P77" s="36">
        <v>12869.500000000002</v>
      </c>
      <c r="Q77" s="31">
        <v>6594802.6999999993</v>
      </c>
      <c r="R77" s="31">
        <v>710</v>
      </c>
      <c r="S77" s="29">
        <v>6608382.1999999993</v>
      </c>
      <c r="T77" s="33">
        <v>10930240.1</v>
      </c>
      <c r="U77" s="29">
        <v>9059560.5</v>
      </c>
    </row>
    <row r="78" spans="1:22" s="35" customFormat="1" ht="15.75">
      <c r="A78" s="39">
        <v>45992</v>
      </c>
      <c r="B78" s="30">
        <v>-529875.19999999984</v>
      </c>
      <c r="C78" s="30">
        <v>-1422222.1</v>
      </c>
      <c r="D78" s="30">
        <v>0</v>
      </c>
      <c r="E78" s="29">
        <v>-1952097.2999999998</v>
      </c>
      <c r="F78" s="30">
        <v>0</v>
      </c>
      <c r="G78" s="30">
        <v>2656108.2999999998</v>
      </c>
      <c r="H78" s="30"/>
      <c r="I78" s="30">
        <v>934011.10000000009</v>
      </c>
      <c r="J78" s="30">
        <v>0</v>
      </c>
      <c r="K78" s="30">
        <v>2362001.5</v>
      </c>
      <c r="L78" s="31">
        <v>5952120.9000000004</v>
      </c>
      <c r="M78" s="30">
        <v>1308922.5</v>
      </c>
      <c r="N78" s="29">
        <v>138190.5</v>
      </c>
      <c r="O78" s="31">
        <v>4505007.9000000004</v>
      </c>
      <c r="P78" s="36">
        <v>12640.9</v>
      </c>
      <c r="Q78" s="31">
        <v>6946023.2000000011</v>
      </c>
      <c r="R78" s="31">
        <v>682</v>
      </c>
      <c r="S78" s="29">
        <v>6959346.1000000015</v>
      </c>
      <c r="T78" s="33">
        <v>11464354.000000002</v>
      </c>
      <c r="U78" s="29">
        <v>9512256.700000003</v>
      </c>
    </row>
    <row r="79" spans="1:22" s="35" customFormat="1" ht="15.75">
      <c r="A79" s="46" t="s">
        <v>45</v>
      </c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8"/>
      <c r="V79" s="34"/>
    </row>
    <row r="80" spans="1:22" s="35" customFormat="1" ht="15.75">
      <c r="A80" s="49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1"/>
      <c r="V80" s="34"/>
    </row>
  </sheetData>
  <mergeCells count="10">
    <mergeCell ref="E2:G2"/>
    <mergeCell ref="A4:A6"/>
    <mergeCell ref="B4:E5"/>
    <mergeCell ref="F4:O4"/>
    <mergeCell ref="P4:T4"/>
    <mergeCell ref="U4:U6"/>
    <mergeCell ref="F5:O5"/>
    <mergeCell ref="P5:S5"/>
    <mergeCell ref="T5:T6"/>
    <mergeCell ref="A79:U80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V26"/>
  <sheetViews>
    <sheetView zoomScale="80" zoomScaleNormal="80" workbookViewId="0">
      <pane xSplit="1" ySplit="6" topLeftCell="M7" activePane="bottomRight" state="frozen"/>
      <selection pane="topRight" activeCell="B1" sqref="B1"/>
      <selection pane="bottomLeft" activeCell="A7" sqref="A7"/>
      <selection pane="bottomRight" activeCell="V29" sqref="V29"/>
    </sheetView>
  </sheetViews>
  <sheetFormatPr baseColWidth="10" defaultColWidth="11.5546875" defaultRowHeight="18.75"/>
  <cols>
    <col min="1" max="1" width="23" style="1" customWidth="1"/>
    <col min="2" max="2" width="10.44140625" style="1" bestFit="1" customWidth="1"/>
    <col min="3" max="3" width="22.77734375" style="1" bestFit="1" customWidth="1"/>
    <col min="4" max="4" width="11.6640625" style="1" bestFit="1" customWidth="1"/>
    <col min="5" max="5" width="23.6640625" style="1" bestFit="1" customWidth="1"/>
    <col min="6" max="6" width="21.5546875" style="1" bestFit="1" customWidth="1"/>
    <col min="7" max="10" width="11.6640625" style="1" bestFit="1" customWidth="1"/>
    <col min="11" max="11" width="13.77734375" style="1" bestFit="1" customWidth="1"/>
    <col min="12" max="12" width="31.109375" style="1" bestFit="1" customWidth="1"/>
    <col min="13" max="13" width="29.77734375" style="1" bestFit="1" customWidth="1"/>
    <col min="14" max="14" width="23.6640625" style="1" bestFit="1" customWidth="1"/>
    <col min="15" max="15" width="50.5546875" style="1" bestFit="1" customWidth="1"/>
    <col min="16" max="16" width="31.77734375" style="1" bestFit="1" customWidth="1"/>
    <col min="17" max="17" width="11.6640625" style="1" bestFit="1" customWidth="1"/>
    <col min="18" max="18" width="22.5546875" style="1" bestFit="1" customWidth="1"/>
    <col min="19" max="20" width="11.6640625" style="1" bestFit="1" customWidth="1"/>
    <col min="21" max="16384" width="11.5546875" style="1"/>
  </cols>
  <sheetData>
    <row r="1" spans="1:22">
      <c r="A1" s="16" t="s">
        <v>23</v>
      </c>
      <c r="T1" s="21" t="s">
        <v>62</v>
      </c>
    </row>
    <row r="2" spans="1:22" s="2" customFormat="1">
      <c r="E2" s="42" t="s">
        <v>55</v>
      </c>
      <c r="F2" s="42"/>
      <c r="G2" s="42"/>
      <c r="T2" s="21"/>
      <c r="U2" s="21"/>
    </row>
    <row r="3" spans="1:22" s="2" customFormat="1" ht="21" customHeight="1">
      <c r="T3" s="21"/>
      <c r="U3" s="21"/>
    </row>
    <row r="4" spans="1:22" s="23" customFormat="1" ht="15.75" customHeight="1">
      <c r="A4" s="63" t="s">
        <v>46</v>
      </c>
      <c r="B4" s="57" t="s">
        <v>3</v>
      </c>
      <c r="C4" s="58"/>
      <c r="D4" s="58"/>
      <c r="E4" s="59"/>
      <c r="F4" s="43" t="s">
        <v>4</v>
      </c>
      <c r="G4" s="44"/>
      <c r="H4" s="44"/>
      <c r="I4" s="44"/>
      <c r="J4" s="44"/>
      <c r="K4" s="44"/>
      <c r="L4" s="44"/>
      <c r="M4" s="44"/>
      <c r="N4" s="44"/>
      <c r="O4" s="45"/>
      <c r="P4" s="43"/>
      <c r="Q4" s="44"/>
      <c r="R4" s="44"/>
      <c r="S4" s="44"/>
      <c r="T4" s="44"/>
      <c r="U4" s="54" t="s">
        <v>21</v>
      </c>
      <c r="V4" s="22"/>
    </row>
    <row r="5" spans="1:22" s="23" customFormat="1" ht="18">
      <c r="A5" s="64"/>
      <c r="B5" s="60"/>
      <c r="C5" s="61"/>
      <c r="D5" s="61"/>
      <c r="E5" s="62"/>
      <c r="F5" s="43" t="s">
        <v>22</v>
      </c>
      <c r="G5" s="44"/>
      <c r="H5" s="44"/>
      <c r="I5" s="44"/>
      <c r="J5" s="44"/>
      <c r="K5" s="44"/>
      <c r="L5" s="44"/>
      <c r="M5" s="44"/>
      <c r="N5" s="44"/>
      <c r="O5" s="45"/>
      <c r="P5" s="43" t="s">
        <v>7</v>
      </c>
      <c r="Q5" s="44"/>
      <c r="R5" s="44"/>
      <c r="S5" s="44"/>
      <c r="T5" s="52" t="s">
        <v>0</v>
      </c>
      <c r="U5" s="55"/>
      <c r="V5" s="24"/>
    </row>
    <row r="6" spans="1:22" s="23" customFormat="1" ht="90">
      <c r="A6" s="65"/>
      <c r="B6" s="26" t="s">
        <v>57</v>
      </c>
      <c r="C6" s="27" t="s">
        <v>47</v>
      </c>
      <c r="D6" s="27" t="s">
        <v>63</v>
      </c>
      <c r="E6" s="27" t="s">
        <v>0</v>
      </c>
      <c r="F6" s="26" t="s">
        <v>1</v>
      </c>
      <c r="G6" s="27" t="s">
        <v>48</v>
      </c>
      <c r="H6" s="27" t="s">
        <v>11</v>
      </c>
      <c r="I6" s="27" t="s">
        <v>49</v>
      </c>
      <c r="J6" s="27" t="s">
        <v>50</v>
      </c>
      <c r="K6" s="27" t="s">
        <v>14</v>
      </c>
      <c r="L6" s="27" t="s">
        <v>15</v>
      </c>
      <c r="M6" s="27" t="s">
        <v>51</v>
      </c>
      <c r="N6" s="27" t="s">
        <v>52</v>
      </c>
      <c r="O6" s="27" t="s">
        <v>0</v>
      </c>
      <c r="P6" s="27" t="s">
        <v>53</v>
      </c>
      <c r="Q6" s="27" t="s">
        <v>16</v>
      </c>
      <c r="R6" s="27" t="s">
        <v>54</v>
      </c>
      <c r="S6" s="28" t="s">
        <v>0</v>
      </c>
      <c r="T6" s="53"/>
      <c r="U6" s="56"/>
      <c r="V6" s="25"/>
    </row>
    <row r="7" spans="1:22" s="35" customFormat="1" ht="15.75">
      <c r="A7" s="37">
        <v>2008</v>
      </c>
      <c r="B7" s="29">
        <v>159092.20000000007</v>
      </c>
      <c r="C7" s="29">
        <v>95759.5</v>
      </c>
      <c r="D7" s="29"/>
      <c r="E7" s="29">
        <f t="shared" ref="E7:E15" si="0">SUM(B7:D7)</f>
        <v>254851.70000000007</v>
      </c>
      <c r="F7" s="29">
        <v>170798.9</v>
      </c>
      <c r="G7" s="29">
        <v>58561</v>
      </c>
      <c r="H7" s="29" t="s">
        <v>2</v>
      </c>
      <c r="I7" s="29">
        <v>9544.5</v>
      </c>
      <c r="J7" s="30" t="s">
        <v>2</v>
      </c>
      <c r="K7" s="30" t="s">
        <v>2</v>
      </c>
      <c r="L7" s="31">
        <f t="shared" ref="L7:L15" si="1">SUM(F7:K7)</f>
        <v>238904.4</v>
      </c>
      <c r="M7" s="32">
        <v>125831.59999999999</v>
      </c>
      <c r="N7" s="29">
        <v>11736.2</v>
      </c>
      <c r="O7" s="31">
        <f t="shared" ref="O7:O15" si="2">L7-M7-N7</f>
        <v>101336.6</v>
      </c>
      <c r="P7" s="29">
        <v>21927.199999999997</v>
      </c>
      <c r="Q7" s="29">
        <v>261749.50000000003</v>
      </c>
      <c r="R7" s="31">
        <v>120.8</v>
      </c>
      <c r="S7" s="29">
        <f t="shared" ref="S7:S15" si="3">SUM(P7:R7)</f>
        <v>283797.5</v>
      </c>
      <c r="T7" s="33">
        <f t="shared" ref="T7:T15" si="4">S7+O7</f>
        <v>385134.1</v>
      </c>
      <c r="U7" s="29">
        <f t="shared" ref="U7:U15" si="5">T7+E7</f>
        <v>639985.80000000005</v>
      </c>
      <c r="V7" s="34"/>
    </row>
    <row r="8" spans="1:22" s="35" customFormat="1" ht="15.75">
      <c r="A8" s="37">
        <v>2009</v>
      </c>
      <c r="B8" s="29">
        <v>144966.20000000007</v>
      </c>
      <c r="C8" s="29">
        <v>119531.40000000002</v>
      </c>
      <c r="D8" s="29"/>
      <c r="E8" s="29">
        <f t="shared" si="0"/>
        <v>264497.60000000009</v>
      </c>
      <c r="F8" s="29">
        <v>215622.30000000002</v>
      </c>
      <c r="G8" s="29">
        <v>100072.8</v>
      </c>
      <c r="H8" s="29" t="s">
        <v>2</v>
      </c>
      <c r="I8" s="29">
        <v>11255.3</v>
      </c>
      <c r="J8" s="30" t="s">
        <v>2</v>
      </c>
      <c r="K8" s="30" t="s">
        <v>2</v>
      </c>
      <c r="L8" s="31">
        <f t="shared" si="1"/>
        <v>326950.40000000002</v>
      </c>
      <c r="M8" s="32">
        <v>133925.09999999998</v>
      </c>
      <c r="N8" s="29">
        <v>14842.5</v>
      </c>
      <c r="O8" s="31">
        <f t="shared" si="2"/>
        <v>178182.80000000005</v>
      </c>
      <c r="P8" s="29">
        <v>8440.7000000000007</v>
      </c>
      <c r="Q8" s="29">
        <v>321233.5</v>
      </c>
      <c r="R8" s="31">
        <v>497.1</v>
      </c>
      <c r="S8" s="29">
        <f t="shared" si="3"/>
        <v>330171.3</v>
      </c>
      <c r="T8" s="33">
        <f t="shared" si="4"/>
        <v>508354.10000000003</v>
      </c>
      <c r="U8" s="29">
        <f t="shared" si="5"/>
        <v>772851.70000000019</v>
      </c>
      <c r="V8" s="34"/>
    </row>
    <row r="9" spans="1:22" s="35" customFormat="1" ht="15.75">
      <c r="A9" s="37">
        <v>2010</v>
      </c>
      <c r="B9" s="29">
        <v>141613.59999999998</v>
      </c>
      <c r="C9" s="29">
        <v>112437.40000000001</v>
      </c>
      <c r="D9" s="29"/>
      <c r="E9" s="29">
        <f t="shared" si="0"/>
        <v>254051</v>
      </c>
      <c r="F9" s="29">
        <v>19134.2</v>
      </c>
      <c r="G9" s="29">
        <v>109104.5</v>
      </c>
      <c r="H9" s="29" t="s">
        <v>2</v>
      </c>
      <c r="I9" s="29">
        <v>14177.3</v>
      </c>
      <c r="J9" s="29">
        <v>88925</v>
      </c>
      <c r="K9" s="29">
        <v>145130.9</v>
      </c>
      <c r="L9" s="31">
        <f t="shared" si="1"/>
        <v>376471.9</v>
      </c>
      <c r="M9" s="32">
        <v>154442.40000000002</v>
      </c>
      <c r="N9" s="29">
        <v>11748.2</v>
      </c>
      <c r="O9" s="31">
        <f t="shared" si="2"/>
        <v>210281.3</v>
      </c>
      <c r="P9" s="29">
        <v>8682.2000000000007</v>
      </c>
      <c r="Q9" s="29">
        <v>460562.3</v>
      </c>
      <c r="R9" s="31">
        <v>599.4</v>
      </c>
      <c r="S9" s="29">
        <f t="shared" si="3"/>
        <v>469843.9</v>
      </c>
      <c r="T9" s="33">
        <f t="shared" si="4"/>
        <v>680125.2</v>
      </c>
      <c r="U9" s="29">
        <f t="shared" si="5"/>
        <v>934176.2</v>
      </c>
    </row>
    <row r="10" spans="1:22" s="35" customFormat="1" ht="15.75">
      <c r="A10" s="37">
        <v>2011</v>
      </c>
      <c r="B10" s="29">
        <v>82293.999999999942</v>
      </c>
      <c r="C10" s="29">
        <v>123231.6</v>
      </c>
      <c r="D10" s="29"/>
      <c r="E10" s="29">
        <f t="shared" si="0"/>
        <v>205525.59999999995</v>
      </c>
      <c r="F10" s="29">
        <v>86260.6</v>
      </c>
      <c r="G10" s="29">
        <v>84484.4</v>
      </c>
      <c r="H10" s="29" t="s">
        <v>2</v>
      </c>
      <c r="I10" s="29">
        <v>14746.9</v>
      </c>
      <c r="J10" s="29">
        <v>94325</v>
      </c>
      <c r="K10" s="29">
        <v>141433.29999999999</v>
      </c>
      <c r="L10" s="31">
        <f t="shared" si="1"/>
        <v>421250.2</v>
      </c>
      <c r="M10" s="32">
        <v>175708.5</v>
      </c>
      <c r="N10" s="29">
        <v>14154.1</v>
      </c>
      <c r="O10" s="31">
        <f t="shared" si="2"/>
        <v>231387.6</v>
      </c>
      <c r="P10" s="29">
        <v>4009.9000000000005</v>
      </c>
      <c r="Q10" s="29">
        <v>612267</v>
      </c>
      <c r="R10" s="31">
        <v>1021.9000000000001</v>
      </c>
      <c r="S10" s="29">
        <f t="shared" si="3"/>
        <v>617298.80000000005</v>
      </c>
      <c r="T10" s="33">
        <f t="shared" si="4"/>
        <v>848686.4</v>
      </c>
      <c r="U10" s="29">
        <f t="shared" si="5"/>
        <v>1054212</v>
      </c>
    </row>
    <row r="11" spans="1:22" s="35" customFormat="1" ht="15.75">
      <c r="A11" s="37">
        <v>2012</v>
      </c>
      <c r="B11" s="29">
        <v>66928.900000000023</v>
      </c>
      <c r="C11" s="29">
        <v>129708.8</v>
      </c>
      <c r="D11" s="29"/>
      <c r="E11" s="29">
        <f t="shared" si="0"/>
        <v>196637.7</v>
      </c>
      <c r="F11" s="29">
        <v>155251.9</v>
      </c>
      <c r="G11" s="29">
        <v>49024.3</v>
      </c>
      <c r="H11" s="29"/>
      <c r="I11" s="29">
        <v>17982.599999999999</v>
      </c>
      <c r="J11" s="29">
        <v>117037.4</v>
      </c>
      <c r="K11" s="29">
        <v>137735.70000000001</v>
      </c>
      <c r="L11" s="31">
        <f t="shared" si="1"/>
        <v>477031.9</v>
      </c>
      <c r="M11" s="32">
        <v>182803.7</v>
      </c>
      <c r="N11" s="29">
        <v>18296</v>
      </c>
      <c r="O11" s="31">
        <f t="shared" si="2"/>
        <v>275932.2</v>
      </c>
      <c r="P11" s="29">
        <v>24157.200000000001</v>
      </c>
      <c r="Q11" s="29">
        <v>683891.70000000007</v>
      </c>
      <c r="R11" s="31">
        <v>1057.9000000000001</v>
      </c>
      <c r="S11" s="29">
        <f t="shared" si="3"/>
        <v>709106.8</v>
      </c>
      <c r="T11" s="33">
        <f t="shared" si="4"/>
        <v>985039</v>
      </c>
      <c r="U11" s="29">
        <f t="shared" si="5"/>
        <v>1181676.7</v>
      </c>
    </row>
    <row r="12" spans="1:22" s="35" customFormat="1" ht="15.75">
      <c r="A12" s="37">
        <v>2013</v>
      </c>
      <c r="B12" s="29">
        <v>118133.79999999993</v>
      </c>
      <c r="C12" s="29">
        <v>111622.29999999997</v>
      </c>
      <c r="D12" s="29">
        <v>-97.2</v>
      </c>
      <c r="E12" s="29">
        <f t="shared" si="0"/>
        <v>229658.89999999991</v>
      </c>
      <c r="F12" s="30" t="s">
        <v>2</v>
      </c>
      <c r="G12" s="29">
        <v>109019.90000000001</v>
      </c>
      <c r="H12" s="29"/>
      <c r="I12" s="29">
        <v>18506.300000000003</v>
      </c>
      <c r="J12" s="29">
        <v>107284.3</v>
      </c>
      <c r="K12" s="29">
        <v>289290</v>
      </c>
      <c r="L12" s="31">
        <f t="shared" si="1"/>
        <v>524100.5</v>
      </c>
      <c r="M12" s="32">
        <v>227012.90000000002</v>
      </c>
      <c r="N12" s="29">
        <v>23790.1</v>
      </c>
      <c r="O12" s="31">
        <f t="shared" si="2"/>
        <v>273297.5</v>
      </c>
      <c r="P12" s="29">
        <v>36129.5</v>
      </c>
      <c r="Q12" s="29">
        <v>743181.20000000019</v>
      </c>
      <c r="R12" s="31">
        <v>2469.1999999999998</v>
      </c>
      <c r="S12" s="29">
        <f t="shared" si="3"/>
        <v>781779.90000000014</v>
      </c>
      <c r="T12" s="33">
        <f t="shared" si="4"/>
        <v>1055077.4000000001</v>
      </c>
      <c r="U12" s="29">
        <f t="shared" si="5"/>
        <v>1284736.3</v>
      </c>
    </row>
    <row r="13" spans="1:22" s="35" customFormat="1" ht="15.75">
      <c r="A13" s="37">
        <v>2014</v>
      </c>
      <c r="B13" s="36">
        <v>128675.89999999997</v>
      </c>
      <c r="C13" s="36">
        <v>51849.400000000023</v>
      </c>
      <c r="D13" s="36">
        <v>-48.6</v>
      </c>
      <c r="E13" s="29">
        <f t="shared" si="0"/>
        <v>180476.69999999998</v>
      </c>
      <c r="F13" s="30">
        <v>55186.9</v>
      </c>
      <c r="G13" s="36">
        <v>147702.70000000001</v>
      </c>
      <c r="H13" s="29"/>
      <c r="I13" s="29">
        <v>49269.8</v>
      </c>
      <c r="J13" s="29">
        <v>106976.2</v>
      </c>
      <c r="K13" s="29">
        <v>285900.5</v>
      </c>
      <c r="L13" s="31">
        <f t="shared" si="1"/>
        <v>645036.10000000009</v>
      </c>
      <c r="M13" s="32">
        <v>238856.59999999998</v>
      </c>
      <c r="N13" s="29">
        <v>23004.400000000001</v>
      </c>
      <c r="O13" s="31">
        <f t="shared" si="2"/>
        <v>383175.10000000009</v>
      </c>
      <c r="P13" s="36">
        <v>40818.700000000004</v>
      </c>
      <c r="Q13" s="36">
        <v>814694.39999999991</v>
      </c>
      <c r="R13" s="31">
        <v>3449.2999999999997</v>
      </c>
      <c r="S13" s="29">
        <f t="shared" si="3"/>
        <v>858962.39999999991</v>
      </c>
      <c r="T13" s="33">
        <f t="shared" si="4"/>
        <v>1242137.5</v>
      </c>
      <c r="U13" s="29">
        <f t="shared" si="5"/>
        <v>1422614.2</v>
      </c>
    </row>
    <row r="14" spans="1:22" s="35" customFormat="1" ht="15.75">
      <c r="A14" s="37">
        <v>2015</v>
      </c>
      <c r="B14" s="30">
        <v>-132985.60000000001</v>
      </c>
      <c r="C14" s="30">
        <v>57115.499999999971</v>
      </c>
      <c r="D14" s="30" t="s">
        <v>2</v>
      </c>
      <c r="E14" s="29">
        <f t="shared" si="0"/>
        <v>-75870.100000000035</v>
      </c>
      <c r="F14" s="30">
        <v>273246</v>
      </c>
      <c r="G14" s="30">
        <v>254809.2</v>
      </c>
      <c r="H14" s="30"/>
      <c r="I14" s="29">
        <v>50054.3</v>
      </c>
      <c r="J14" s="30">
        <v>90564.7</v>
      </c>
      <c r="K14" s="30">
        <v>277913.90000000002</v>
      </c>
      <c r="L14" s="31">
        <f t="shared" si="1"/>
        <v>946588.1</v>
      </c>
      <c r="M14" s="30">
        <v>233455.5</v>
      </c>
      <c r="N14" s="29">
        <v>26275.999999999996</v>
      </c>
      <c r="O14" s="31">
        <f t="shared" si="2"/>
        <v>686856.6</v>
      </c>
      <c r="P14" s="36">
        <v>6532.0999999999995</v>
      </c>
      <c r="Q14" s="31">
        <v>812972</v>
      </c>
      <c r="R14" s="31">
        <v>27.1</v>
      </c>
      <c r="S14" s="29">
        <f t="shared" si="3"/>
        <v>819531.2</v>
      </c>
      <c r="T14" s="33">
        <f t="shared" si="4"/>
        <v>1506387.7999999998</v>
      </c>
      <c r="U14" s="29">
        <f t="shared" si="5"/>
        <v>1430517.6999999997</v>
      </c>
    </row>
    <row r="15" spans="1:22" s="35" customFormat="1" ht="15.75">
      <c r="A15" s="37">
        <v>2016</v>
      </c>
      <c r="B15" s="30">
        <v>-162073.80000000002</v>
      </c>
      <c r="C15" s="30">
        <v>-14449.299999999974</v>
      </c>
      <c r="D15" s="30" t="s">
        <v>2</v>
      </c>
      <c r="E15" s="29">
        <f t="shared" si="0"/>
        <v>-176523.09999999998</v>
      </c>
      <c r="F15" s="30">
        <v>134973.1</v>
      </c>
      <c r="G15" s="30">
        <v>438079.6</v>
      </c>
      <c r="H15" s="30"/>
      <c r="I15" s="29">
        <v>37133.1</v>
      </c>
      <c r="J15" s="30">
        <v>73845.100000000006</v>
      </c>
      <c r="K15" s="30">
        <v>543481.59999999998</v>
      </c>
      <c r="L15" s="31">
        <f t="shared" si="1"/>
        <v>1227512.5</v>
      </c>
      <c r="M15" s="30">
        <v>291260.3</v>
      </c>
      <c r="N15" s="29">
        <v>30394.800000000003</v>
      </c>
      <c r="O15" s="31">
        <f t="shared" si="2"/>
        <v>905857.39999999991</v>
      </c>
      <c r="P15" s="36">
        <v>7173.4000000000005</v>
      </c>
      <c r="Q15" s="31">
        <v>854034</v>
      </c>
      <c r="R15" s="31">
        <v>57.6</v>
      </c>
      <c r="S15" s="29">
        <f t="shared" si="3"/>
        <v>861265</v>
      </c>
      <c r="T15" s="33">
        <f t="shared" si="4"/>
        <v>1767122.4</v>
      </c>
      <c r="U15" s="29">
        <f t="shared" si="5"/>
        <v>1590599.2999999998</v>
      </c>
    </row>
    <row r="16" spans="1:22" s="35" customFormat="1" ht="15.75">
      <c r="A16" s="37">
        <v>2017</v>
      </c>
      <c r="B16" s="30">
        <v>-144480.39999999997</v>
      </c>
      <c r="C16" s="30">
        <f>146133-156052.6</f>
        <v>-9919.6000000000058</v>
      </c>
      <c r="D16" s="30" t="s">
        <v>2</v>
      </c>
      <c r="E16" s="29">
        <f t="shared" ref="E16" si="6">+SUM(B16:D16)</f>
        <v>-154399.99999999997</v>
      </c>
      <c r="F16" s="30">
        <v>194279.4</v>
      </c>
      <c r="G16" s="30">
        <f>459750.2+183740.4</f>
        <v>643490.6</v>
      </c>
      <c r="H16" s="30"/>
      <c r="I16" s="29">
        <v>30924.9</v>
      </c>
      <c r="J16" s="30">
        <v>57125.4</v>
      </c>
      <c r="K16" s="30">
        <v>535803.19999999995</v>
      </c>
      <c r="L16" s="31">
        <f t="shared" ref="L16" si="7">+SUM(F16:K16)</f>
        <v>1461623.5</v>
      </c>
      <c r="M16" s="30">
        <v>300060.10000000009</v>
      </c>
      <c r="N16" s="29">
        <v>49349</v>
      </c>
      <c r="O16" s="31">
        <f t="shared" ref="O16:O19" si="8">+L16-M16-N16</f>
        <v>1112214.3999999999</v>
      </c>
      <c r="P16" s="36">
        <f>28633.1+129.8</f>
        <v>28762.899999999998</v>
      </c>
      <c r="Q16" s="31">
        <f>39736.1+3557.9+815757.5</f>
        <v>859051.5</v>
      </c>
      <c r="R16" s="31">
        <v>4937.3999999999996</v>
      </c>
      <c r="S16" s="29">
        <f>SUM(P16:R16)</f>
        <v>892751.8</v>
      </c>
      <c r="T16" s="33">
        <f>SUM(O16,S16)</f>
        <v>2004966.2</v>
      </c>
      <c r="U16" s="29">
        <f>SUM(E16,T16)</f>
        <v>1850566.2</v>
      </c>
    </row>
    <row r="17" spans="1:22" s="35" customFormat="1" ht="15.75">
      <c r="A17" s="37">
        <v>2018</v>
      </c>
      <c r="B17" s="30">
        <v>-165217.1</v>
      </c>
      <c r="C17" s="30">
        <v>-37983.9</v>
      </c>
      <c r="D17" s="30" t="s">
        <v>2</v>
      </c>
      <c r="E17" s="29">
        <f t="shared" ref="E17" si="9">+SUM(B17:D17)</f>
        <v>-203201</v>
      </c>
      <c r="F17" s="30">
        <v>210409.1</v>
      </c>
      <c r="G17" s="30">
        <v>932439.20000000007</v>
      </c>
      <c r="H17" s="30"/>
      <c r="I17" s="29">
        <v>58884.2</v>
      </c>
      <c r="J17" s="30">
        <v>40405.800000000003</v>
      </c>
      <c r="K17" s="30">
        <v>521293.6</v>
      </c>
      <c r="L17" s="31">
        <f t="shared" ref="L17" si="10">+SUM(F17:K17)</f>
        <v>1763431.9</v>
      </c>
      <c r="M17" s="30">
        <v>353522.4</v>
      </c>
      <c r="N17" s="29">
        <v>72375.499999999985</v>
      </c>
      <c r="O17" s="31">
        <f t="shared" si="8"/>
        <v>1337534</v>
      </c>
      <c r="P17" s="36">
        <v>42063.6</v>
      </c>
      <c r="Q17" s="31">
        <v>983859.19999999995</v>
      </c>
      <c r="R17" s="31">
        <v>6028.8</v>
      </c>
      <c r="S17" s="29">
        <f t="shared" ref="S17" si="11">SUM(P17:R17)</f>
        <v>1031951.6</v>
      </c>
      <c r="T17" s="33">
        <f>SUM(O17,S17)</f>
        <v>2369485.6</v>
      </c>
      <c r="U17" s="29">
        <f>SUM(E17,T17)</f>
        <v>2166284.6</v>
      </c>
    </row>
    <row r="18" spans="1:22" s="35" customFormat="1" ht="15.75">
      <c r="A18" s="37">
        <v>2019</v>
      </c>
      <c r="B18" s="30">
        <v>-129390.7</v>
      </c>
      <c r="C18" s="30">
        <v>-76949.600000000006</v>
      </c>
      <c r="D18" s="30" t="s">
        <v>2</v>
      </c>
      <c r="E18" s="29">
        <f t="shared" ref="E18" si="12">+SUM(B18:D18)</f>
        <v>-206340.3</v>
      </c>
      <c r="F18" s="30">
        <v>0</v>
      </c>
      <c r="G18" s="30">
        <v>1341367.1000000001</v>
      </c>
      <c r="H18" s="30"/>
      <c r="I18" s="30">
        <v>70919.799999999988</v>
      </c>
      <c r="J18" s="30">
        <v>23686.2</v>
      </c>
      <c r="K18" s="30">
        <v>722793.2</v>
      </c>
      <c r="L18" s="31">
        <f t="shared" ref="L18" si="13">+SUM(F18:K18)</f>
        <v>2158766.2999999998</v>
      </c>
      <c r="M18" s="30">
        <v>443910.5</v>
      </c>
      <c r="N18" s="29">
        <v>95938.2</v>
      </c>
      <c r="O18" s="31">
        <f t="shared" si="8"/>
        <v>1618917.5999999999</v>
      </c>
      <c r="P18" s="36">
        <f>42076.6+101.6</f>
        <v>42178.2</v>
      </c>
      <c r="Q18" s="31">
        <v>1166031.0000000002</v>
      </c>
      <c r="R18" s="31">
        <v>458.5</v>
      </c>
      <c r="S18" s="29">
        <f t="shared" ref="S18" si="14">SUM(P18:R18)</f>
        <v>1208667.7000000002</v>
      </c>
      <c r="T18" s="33">
        <f t="shared" ref="T18:T19" si="15">SUM(O18,S18)</f>
        <v>2827585.3</v>
      </c>
      <c r="U18" s="29">
        <f t="shared" ref="U18:U19" si="16">SUM(E18,T18)</f>
        <v>2621245</v>
      </c>
    </row>
    <row r="19" spans="1:22" s="35" customFormat="1" ht="15.75">
      <c r="A19" s="37">
        <v>2020</v>
      </c>
      <c r="B19" s="30">
        <v>-93105.300000000017</v>
      </c>
      <c r="C19" s="30">
        <v>-111910.80000000002</v>
      </c>
      <c r="D19" s="30" t="s">
        <v>2</v>
      </c>
      <c r="E19" s="29">
        <f t="shared" ref="E19" si="17">+SUM(B19:D19)</f>
        <v>-205016.10000000003</v>
      </c>
      <c r="F19" s="30">
        <v>0</v>
      </c>
      <c r="G19" s="30">
        <v>1614167.6</v>
      </c>
      <c r="H19" s="30"/>
      <c r="I19" s="30">
        <f>18210.4+27463+120782.7+150000+2000</f>
        <v>318456.09999999998</v>
      </c>
      <c r="J19" s="30">
        <v>6921.2</v>
      </c>
      <c r="K19" s="30">
        <v>708283.6</v>
      </c>
      <c r="L19" s="31">
        <f t="shared" ref="L19" si="18">+SUM(F19:K19)</f>
        <v>2647828.5</v>
      </c>
      <c r="M19" s="30">
        <v>549158.91651699995</v>
      </c>
      <c r="N19" s="29">
        <v>72918.899999999994</v>
      </c>
      <c r="O19" s="31">
        <f t="shared" si="8"/>
        <v>2025750.6834830004</v>
      </c>
      <c r="P19" s="36">
        <f>22343.7+101.6</f>
        <v>22445.3</v>
      </c>
      <c r="Q19" s="31">
        <v>1413651.5</v>
      </c>
      <c r="R19" s="31">
        <v>1185.1999999999998</v>
      </c>
      <c r="S19" s="29">
        <f t="shared" ref="S19" si="19">SUM(P19:R19)</f>
        <v>1437282</v>
      </c>
      <c r="T19" s="33">
        <f t="shared" si="15"/>
        <v>3463032.6834830004</v>
      </c>
      <c r="U19" s="29">
        <f t="shared" si="16"/>
        <v>3258016.5834830003</v>
      </c>
    </row>
    <row r="20" spans="1:22" s="35" customFormat="1" ht="15.75">
      <c r="A20" s="37">
        <v>2021</v>
      </c>
      <c r="B20" s="30">
        <v>-141348.09999999998</v>
      </c>
      <c r="C20" s="30">
        <v>-181042.40000000002</v>
      </c>
      <c r="D20" s="30">
        <v>0</v>
      </c>
      <c r="E20" s="29">
        <v>-322390.5</v>
      </c>
      <c r="F20" s="30">
        <v>36124.9</v>
      </c>
      <c r="G20" s="30">
        <v>1816057.7</v>
      </c>
      <c r="H20" s="30"/>
      <c r="I20" s="30">
        <v>290056.7</v>
      </c>
      <c r="J20" s="30">
        <v>0</v>
      </c>
      <c r="K20" s="30">
        <v>690961.7</v>
      </c>
      <c r="L20" s="31">
        <v>2833201</v>
      </c>
      <c r="M20" s="30">
        <v>826676.3</v>
      </c>
      <c r="N20" s="29">
        <v>75800.899999999994</v>
      </c>
      <c r="O20" s="31">
        <v>1930723.8</v>
      </c>
      <c r="P20" s="36">
        <v>25121</v>
      </c>
      <c r="Q20" s="31">
        <v>2351611.3000000003</v>
      </c>
      <c r="R20" s="31">
        <v>256.5</v>
      </c>
      <c r="S20" s="29">
        <v>2376988.8000000003</v>
      </c>
      <c r="T20" s="33">
        <v>4307712.6000000006</v>
      </c>
      <c r="U20" s="29">
        <v>3985322.1000000006</v>
      </c>
    </row>
    <row r="21" spans="1:22" s="35" customFormat="1" ht="15.75">
      <c r="A21" s="37">
        <v>2022</v>
      </c>
      <c r="B21" s="30">
        <v>-252046.90000000002</v>
      </c>
      <c r="C21" s="30">
        <v>-309521.5</v>
      </c>
      <c r="D21" s="30">
        <v>-357.9</v>
      </c>
      <c r="E21" s="29">
        <v>-561926.30000000005</v>
      </c>
      <c r="F21" s="30">
        <v>3346.5</v>
      </c>
      <c r="G21" s="30">
        <v>1994536.9</v>
      </c>
      <c r="H21" s="30"/>
      <c r="I21" s="30">
        <v>875209.5</v>
      </c>
      <c r="J21" s="30">
        <v>0</v>
      </c>
      <c r="K21" s="30">
        <v>941229</v>
      </c>
      <c r="L21" s="31">
        <v>3814321.9</v>
      </c>
      <c r="M21" s="30">
        <v>1152725.8999999999</v>
      </c>
      <c r="N21" s="29">
        <v>128898.4</v>
      </c>
      <c r="O21" s="31">
        <v>2532697.6</v>
      </c>
      <c r="P21" s="36">
        <v>23718</v>
      </c>
      <c r="Q21" s="31">
        <v>3388341.2</v>
      </c>
      <c r="R21" s="31">
        <v>167.9</v>
      </c>
      <c r="S21" s="29">
        <v>3412227.1</v>
      </c>
      <c r="T21" s="33">
        <v>5944924.7000000002</v>
      </c>
      <c r="U21" s="29">
        <v>5382998.4000000004</v>
      </c>
    </row>
    <row r="22" spans="1:22" s="35" customFormat="1" ht="15.75">
      <c r="A22" s="37">
        <v>2023</v>
      </c>
      <c r="B22" s="30">
        <v>-652621.79999999993</v>
      </c>
      <c r="C22" s="30">
        <v>-442426.50000000006</v>
      </c>
      <c r="D22" s="30">
        <v>-9.9</v>
      </c>
      <c r="E22" s="29">
        <v>-1095058.2</v>
      </c>
      <c r="F22" s="30">
        <v>45365.4</v>
      </c>
      <c r="G22" s="30">
        <v>2068505.1</v>
      </c>
      <c r="H22" s="30"/>
      <c r="I22" s="30">
        <v>819217.39999999991</v>
      </c>
      <c r="J22" s="30">
        <v>0</v>
      </c>
      <c r="K22" s="30">
        <v>1238638.2000000002</v>
      </c>
      <c r="L22" s="31">
        <v>4171726.1</v>
      </c>
      <c r="M22" s="30">
        <v>1084051.7999999998</v>
      </c>
      <c r="N22" s="29">
        <v>172112.80000000002</v>
      </c>
      <c r="O22" s="31">
        <v>2915561.5</v>
      </c>
      <c r="P22" s="36">
        <v>24184.9</v>
      </c>
      <c r="Q22" s="31">
        <v>4425779.3000000007</v>
      </c>
      <c r="R22" s="31">
        <v>1112.6000000000001</v>
      </c>
      <c r="S22" s="29">
        <v>4451076.8000000007</v>
      </c>
      <c r="T22" s="33">
        <v>7366638.3000000007</v>
      </c>
      <c r="U22" s="29">
        <v>6271580.1000000006</v>
      </c>
    </row>
    <row r="23" spans="1:22" s="35" customFormat="1" ht="15.75">
      <c r="A23" s="37">
        <v>2024</v>
      </c>
      <c r="B23" s="30">
        <v>-548227.89999999991</v>
      </c>
      <c r="C23" s="30">
        <v>-910786.50000000023</v>
      </c>
      <c r="D23" s="30">
        <v>0</v>
      </c>
      <c r="E23" s="29">
        <f t="shared" ref="E23" si="20">+SUM(B23:D23)</f>
        <v>-1459014.4000000001</v>
      </c>
      <c r="F23" s="30">
        <v>751335.6</v>
      </c>
      <c r="G23" s="30">
        <v>2152489.6</v>
      </c>
      <c r="H23" s="30"/>
      <c r="I23" s="30">
        <v>840020.10000000009</v>
      </c>
      <c r="J23" s="30">
        <v>0</v>
      </c>
      <c r="K23" s="30">
        <v>1371442.2</v>
      </c>
      <c r="L23" s="31">
        <f t="shared" ref="L23" si="21">+SUM(F23:K23)</f>
        <v>5115287.5</v>
      </c>
      <c r="M23" s="30">
        <v>1113900.2999999998</v>
      </c>
      <c r="N23" s="29">
        <v>250593.6</v>
      </c>
      <c r="O23" s="31">
        <f t="shared" ref="O23" si="22">+L23-M23-N23</f>
        <v>3750793.6</v>
      </c>
      <c r="P23" s="36">
        <v>13044.300000000001</v>
      </c>
      <c r="Q23" s="31">
        <v>5618117.9000000004</v>
      </c>
      <c r="R23" s="31">
        <v>1170.2</v>
      </c>
      <c r="S23" s="29">
        <f t="shared" ref="S23" si="23">SUM(P23:R23)</f>
        <v>5632332.4000000004</v>
      </c>
      <c r="T23" s="33">
        <f t="shared" ref="T23" si="24">SUM(O23,S23)</f>
        <v>9383126</v>
      </c>
      <c r="U23" s="29">
        <f t="shared" ref="U23" si="25">SUM(E23,T23)</f>
        <v>7924111.5999999996</v>
      </c>
    </row>
    <row r="24" spans="1:22" s="35" customFormat="1" ht="15.75">
      <c r="A24" s="37">
        <v>2025</v>
      </c>
      <c r="B24" s="30">
        <v>-529875.19999999984</v>
      </c>
      <c r="C24" s="30">
        <v>-1422222.1</v>
      </c>
      <c r="D24" s="30">
        <v>0</v>
      </c>
      <c r="E24" s="29">
        <v>-1952097.2999999998</v>
      </c>
      <c r="F24" s="30">
        <v>0</v>
      </c>
      <c r="G24" s="30">
        <v>2656108.2999999998</v>
      </c>
      <c r="H24" s="30"/>
      <c r="I24" s="30">
        <v>934011.10000000009</v>
      </c>
      <c r="J24" s="30">
        <v>0</v>
      </c>
      <c r="K24" s="30">
        <v>2362001.5</v>
      </c>
      <c r="L24" s="31">
        <v>5952120.9000000004</v>
      </c>
      <c r="M24" s="30">
        <v>1308922.5</v>
      </c>
      <c r="N24" s="29">
        <v>138190.5</v>
      </c>
      <c r="O24" s="31">
        <v>4505007.9000000004</v>
      </c>
      <c r="P24" s="36">
        <v>12640.9</v>
      </c>
      <c r="Q24" s="31">
        <v>6946023.2000000011</v>
      </c>
      <c r="R24" s="31">
        <v>682</v>
      </c>
      <c r="S24" s="29">
        <v>6959346.1000000015</v>
      </c>
      <c r="T24" s="33">
        <v>11464354.000000002</v>
      </c>
      <c r="U24" s="29">
        <v>9512256.700000003</v>
      </c>
    </row>
    <row r="25" spans="1:22" s="35" customFormat="1" ht="15.75">
      <c r="A25" s="46" t="s">
        <v>45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8"/>
      <c r="V25" s="34"/>
    </row>
    <row r="26" spans="1:22" s="35" customFormat="1" ht="15.75">
      <c r="A26" s="49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1"/>
      <c r="V26" s="34"/>
    </row>
  </sheetData>
  <mergeCells count="10">
    <mergeCell ref="E2:G2"/>
    <mergeCell ref="A4:A6"/>
    <mergeCell ref="B4:E5"/>
    <mergeCell ref="F4:O4"/>
    <mergeCell ref="P4:T4"/>
    <mergeCell ref="U4:U6"/>
    <mergeCell ref="F5:O5"/>
    <mergeCell ref="P5:S5"/>
    <mergeCell ref="T5:T6"/>
    <mergeCell ref="A25:U26"/>
  </mergeCells>
  <hyperlinks>
    <hyperlink ref="A1" location="Table_de_Matière!A1" display="Retour à la Table de Matiè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GIRIMANA</dc:creator>
  <cp:lastModifiedBy>IRATUZI Gad</cp:lastModifiedBy>
  <cp:lastPrinted>2016-11-30T12:34:59Z</cp:lastPrinted>
  <dcterms:created xsi:type="dcterms:W3CDTF">2000-10-18T12:42:23Z</dcterms:created>
  <dcterms:modified xsi:type="dcterms:W3CDTF">2026-03-10T14:54:28Z</dcterms:modified>
</cp:coreProperties>
</file>