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I221" i="4" l="1"/>
  <c r="I220" i="4" l="1"/>
  <c r="I218" i="4" l="1"/>
  <c r="I76" i="5" l="1"/>
  <c r="I75" i="5"/>
  <c r="I211" i="4"/>
  <c r="I212" i="4"/>
  <c r="I213" i="4"/>
  <c r="I214" i="4"/>
  <c r="I215" i="4"/>
  <c r="I216" i="4"/>
  <c r="I217" i="4"/>
  <c r="I58" i="5" l="1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210" i="4" l="1"/>
  <c r="I209" i="4" l="1"/>
  <c r="I208" i="4"/>
  <c r="H207" i="4"/>
  <c r="G207" i="4"/>
  <c r="I207" i="4" s="1"/>
  <c r="H206" i="4"/>
  <c r="G206" i="4"/>
  <c r="I206" i="4" s="1"/>
  <c r="H205" i="4"/>
  <c r="G205" i="4"/>
  <c r="I205" i="4" s="1"/>
  <c r="H204" i="4"/>
  <c r="G204" i="4"/>
  <c r="I204" i="4" s="1"/>
  <c r="H203" i="4"/>
  <c r="G203" i="4"/>
  <c r="I203" i="4" s="1"/>
  <c r="H202" i="4"/>
  <c r="G202" i="4"/>
  <c r="I202" i="4" s="1"/>
  <c r="H201" i="4"/>
  <c r="G201" i="4"/>
  <c r="H200" i="4"/>
  <c r="G200" i="4"/>
  <c r="H199" i="4"/>
  <c r="G199" i="4"/>
  <c r="I199" i="4" s="1"/>
  <c r="I200" i="4" l="1"/>
  <c r="I201" i="4"/>
  <c r="G196" i="4"/>
  <c r="G197" i="4"/>
  <c r="G198" i="4"/>
  <c r="G22" i="6" l="1"/>
  <c r="I22" i="6" s="1"/>
  <c r="H70" i="5"/>
  <c r="G70" i="5"/>
  <c r="I198" i="4"/>
  <c r="I197" i="4"/>
  <c r="I196" i="4"/>
  <c r="I163" i="4" l="1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H19" i="6" l="1"/>
  <c r="G19" i="6"/>
  <c r="F19" i="6"/>
  <c r="E19" i="6"/>
  <c r="D19" i="6"/>
  <c r="B19" i="6"/>
  <c r="H58" i="5"/>
  <c r="G58" i="5"/>
  <c r="F58" i="5"/>
  <c r="E58" i="5"/>
  <c r="D58" i="5"/>
  <c r="B58" i="5"/>
  <c r="H162" i="4"/>
  <c r="G162" i="4"/>
  <c r="F162" i="4"/>
  <c r="E162" i="4"/>
  <c r="D162" i="4"/>
  <c r="B162" i="4"/>
  <c r="H161" i="4"/>
  <c r="G161" i="4"/>
  <c r="F161" i="4"/>
  <c r="E161" i="4"/>
  <c r="D161" i="4"/>
  <c r="B161" i="4"/>
  <c r="H160" i="4"/>
  <c r="G160" i="4"/>
  <c r="F160" i="4"/>
  <c r="E160" i="4"/>
  <c r="D160" i="4"/>
  <c r="B160" i="4"/>
  <c r="I19" i="6" l="1"/>
  <c r="I161" i="4"/>
  <c r="I160" i="4"/>
  <c r="I162" i="4"/>
  <c r="H57" i="5"/>
  <c r="G57" i="5"/>
  <c r="F57" i="5"/>
  <c r="E57" i="5"/>
  <c r="D57" i="5"/>
  <c r="B57" i="5"/>
  <c r="H159" i="4"/>
  <c r="G159" i="4"/>
  <c r="F159" i="4"/>
  <c r="E159" i="4"/>
  <c r="D159" i="4"/>
  <c r="B159" i="4"/>
  <c r="I159" i="4" l="1"/>
  <c r="I57" i="5"/>
  <c r="H158" i="4"/>
  <c r="G158" i="4"/>
  <c r="F158" i="4"/>
  <c r="E158" i="4"/>
  <c r="D158" i="4"/>
  <c r="B158" i="4"/>
  <c r="H157" i="4"/>
  <c r="G157" i="4"/>
  <c r="F157" i="4"/>
  <c r="E157" i="4"/>
  <c r="D157" i="4"/>
  <c r="B157" i="4"/>
  <c r="I157" i="4" l="1"/>
  <c r="I158" i="4"/>
  <c r="H56" i="5"/>
  <c r="G56" i="5"/>
  <c r="F56" i="5"/>
  <c r="E56" i="5"/>
  <c r="D56" i="5"/>
  <c r="B56" i="5"/>
  <c r="H156" i="4"/>
  <c r="G156" i="4"/>
  <c r="F156" i="4"/>
  <c r="E156" i="4"/>
  <c r="D156" i="4"/>
  <c r="B156" i="4"/>
  <c r="I56" i="5" l="1"/>
  <c r="I156" i="4"/>
  <c r="H155" i="4"/>
  <c r="G155" i="4"/>
  <c r="F155" i="4"/>
  <c r="E155" i="4"/>
  <c r="D155" i="4"/>
  <c r="B155" i="4"/>
  <c r="I155" i="4" l="1"/>
  <c r="H154" i="4"/>
  <c r="G154" i="4"/>
  <c r="F154" i="4"/>
  <c r="E154" i="4"/>
  <c r="D154" i="4"/>
  <c r="B154" i="4"/>
  <c r="I154" i="4" l="1"/>
  <c r="H55" i="5"/>
  <c r="G55" i="5"/>
  <c r="F55" i="5"/>
  <c r="E55" i="5"/>
  <c r="D55" i="5"/>
  <c r="B55" i="5"/>
  <c r="H153" i="4"/>
  <c r="G153" i="4"/>
  <c r="F153" i="4"/>
  <c r="E153" i="4"/>
  <c r="D153" i="4"/>
  <c r="B153" i="4"/>
  <c r="I55" i="5" l="1"/>
  <c r="I153" i="4"/>
  <c r="H152" i="4"/>
  <c r="G152" i="4"/>
  <c r="F152" i="4"/>
  <c r="E152" i="4"/>
  <c r="D152" i="4"/>
  <c r="B152" i="4"/>
  <c r="I152" i="4" l="1"/>
  <c r="H151" i="4"/>
  <c r="G151" i="4"/>
  <c r="F151" i="4"/>
  <c r="E151" i="4"/>
  <c r="D151" i="4"/>
  <c r="B151" i="4"/>
  <c r="I151" i="4" l="1"/>
  <c r="H18" i="6" l="1"/>
  <c r="G18" i="6"/>
  <c r="F18" i="6"/>
  <c r="E18" i="6"/>
  <c r="D18" i="6"/>
  <c r="B18" i="6"/>
  <c r="I18" i="6" s="1"/>
  <c r="H54" i="5"/>
  <c r="G54" i="5"/>
  <c r="F54" i="5"/>
  <c r="E54" i="5"/>
  <c r="D54" i="5"/>
  <c r="B54" i="5"/>
  <c r="H53" i="5"/>
  <c r="G53" i="5"/>
  <c r="F53" i="5"/>
  <c r="E53" i="5"/>
  <c r="D53" i="5"/>
  <c r="B53" i="5"/>
  <c r="H150" i="4"/>
  <c r="G150" i="4"/>
  <c r="F150" i="4"/>
  <c r="E150" i="4"/>
  <c r="D150" i="4"/>
  <c r="B150" i="4"/>
  <c r="I54" i="5" l="1"/>
  <c r="I150" i="4"/>
  <c r="I53" i="5"/>
  <c r="H149" i="4" l="1"/>
  <c r="G149" i="4"/>
  <c r="F149" i="4"/>
  <c r="E149" i="4"/>
  <c r="D149" i="4"/>
  <c r="B149" i="4"/>
  <c r="I149" i="4" l="1"/>
  <c r="H148" i="4"/>
  <c r="G148" i="4"/>
  <c r="F148" i="4"/>
  <c r="E148" i="4"/>
  <c r="D148" i="4"/>
  <c r="B148" i="4"/>
  <c r="I148" i="4" s="1"/>
  <c r="H147" i="4" l="1"/>
  <c r="G147" i="4"/>
  <c r="F147" i="4"/>
  <c r="E147" i="4"/>
  <c r="D147" i="4"/>
  <c r="B147" i="4"/>
  <c r="I147" i="4" l="1"/>
  <c r="H146" i="4"/>
  <c r="G146" i="4"/>
  <c r="F146" i="4"/>
  <c r="E146" i="4"/>
  <c r="D146" i="4"/>
  <c r="B146" i="4"/>
  <c r="I146" i="4" l="1"/>
  <c r="H145" i="4"/>
  <c r="G145" i="4"/>
  <c r="F145" i="4"/>
  <c r="E145" i="4"/>
  <c r="D145" i="4"/>
  <c r="B145" i="4"/>
  <c r="I145" i="4" s="1"/>
  <c r="H52" i="5" l="1"/>
  <c r="G52" i="5"/>
  <c r="F52" i="5"/>
  <c r="E52" i="5"/>
  <c r="D52" i="5"/>
  <c r="B52" i="5"/>
  <c r="H144" i="4"/>
  <c r="G144" i="4"/>
  <c r="F144" i="4"/>
  <c r="E144" i="4"/>
  <c r="D144" i="4"/>
  <c r="B144" i="4"/>
  <c r="H143" i="4"/>
  <c r="G143" i="4"/>
  <c r="F143" i="4"/>
  <c r="E143" i="4"/>
  <c r="D143" i="4"/>
  <c r="B143" i="4"/>
  <c r="I144" i="4" l="1"/>
  <c r="I143" i="4"/>
  <c r="I52" i="5"/>
  <c r="H142" i="4"/>
  <c r="G142" i="4"/>
  <c r="F142" i="4"/>
  <c r="E142" i="4"/>
  <c r="D142" i="4"/>
  <c r="B142" i="4"/>
  <c r="I142" i="4" l="1"/>
  <c r="H17" i="6"/>
  <c r="G17" i="6"/>
  <c r="F17" i="6"/>
  <c r="E17" i="6"/>
  <c r="D17" i="6"/>
  <c r="B17" i="6"/>
  <c r="H51" i="5"/>
  <c r="G51" i="5"/>
  <c r="F51" i="5"/>
  <c r="E51" i="5"/>
  <c r="D51" i="5"/>
  <c r="B51" i="5"/>
  <c r="H50" i="5"/>
  <c r="G50" i="5"/>
  <c r="F50" i="5"/>
  <c r="E50" i="5"/>
  <c r="D50" i="5"/>
  <c r="B50" i="5"/>
  <c r="H49" i="5"/>
  <c r="G49" i="5"/>
  <c r="F49" i="5"/>
  <c r="E49" i="5"/>
  <c r="D49" i="5"/>
  <c r="B49" i="5"/>
  <c r="H48" i="5"/>
  <c r="G48" i="5"/>
  <c r="F48" i="5"/>
  <c r="E48" i="5"/>
  <c r="D48" i="5"/>
  <c r="B48" i="5"/>
  <c r="H47" i="5"/>
  <c r="G47" i="5"/>
  <c r="F47" i="5"/>
  <c r="E47" i="5"/>
  <c r="D47" i="5"/>
  <c r="B47" i="5"/>
  <c r="H141" i="4"/>
  <c r="G141" i="4"/>
  <c r="F141" i="4"/>
  <c r="E141" i="4"/>
  <c r="D141" i="4"/>
  <c r="B141" i="4"/>
  <c r="H140" i="4"/>
  <c r="G140" i="4"/>
  <c r="F140" i="4"/>
  <c r="E140" i="4"/>
  <c r="D140" i="4"/>
  <c r="B140" i="4"/>
  <c r="H139" i="4"/>
  <c r="G139" i="4"/>
  <c r="F139" i="4"/>
  <c r="E139" i="4"/>
  <c r="D139" i="4"/>
  <c r="B139" i="4"/>
  <c r="H138" i="4"/>
  <c r="G138" i="4"/>
  <c r="F138" i="4"/>
  <c r="E138" i="4"/>
  <c r="D138" i="4"/>
  <c r="B138" i="4"/>
  <c r="H137" i="4"/>
  <c r="G137" i="4"/>
  <c r="F137" i="4"/>
  <c r="E137" i="4"/>
  <c r="D137" i="4"/>
  <c r="B137" i="4"/>
  <c r="H136" i="4"/>
  <c r="G136" i="4"/>
  <c r="F136" i="4"/>
  <c r="E136" i="4"/>
  <c r="D136" i="4"/>
  <c r="B136" i="4"/>
  <c r="H135" i="4"/>
  <c r="G135" i="4"/>
  <c r="F135" i="4"/>
  <c r="E135" i="4"/>
  <c r="D135" i="4"/>
  <c r="B135" i="4"/>
  <c r="H134" i="4"/>
  <c r="G134" i="4"/>
  <c r="F134" i="4"/>
  <c r="E134" i="4"/>
  <c r="D134" i="4"/>
  <c r="B134" i="4"/>
  <c r="H133" i="4"/>
  <c r="G133" i="4"/>
  <c r="F133" i="4"/>
  <c r="E133" i="4"/>
  <c r="D133" i="4"/>
  <c r="B133" i="4"/>
  <c r="H132" i="4"/>
  <c r="G132" i="4"/>
  <c r="F132" i="4"/>
  <c r="E132" i="4"/>
  <c r="D132" i="4"/>
  <c r="B132" i="4"/>
  <c r="H131" i="4"/>
  <c r="G131" i="4"/>
  <c r="F131" i="4"/>
  <c r="E131" i="4"/>
  <c r="D131" i="4"/>
  <c r="B131" i="4"/>
  <c r="H130" i="4"/>
  <c r="G130" i="4"/>
  <c r="F130" i="4"/>
  <c r="E130" i="4"/>
  <c r="D130" i="4"/>
  <c r="B130" i="4"/>
  <c r="H129" i="4"/>
  <c r="G129" i="4"/>
  <c r="F129" i="4"/>
  <c r="E129" i="4"/>
  <c r="D129" i="4"/>
  <c r="B129" i="4"/>
  <c r="H128" i="4"/>
  <c r="G128" i="4"/>
  <c r="F128" i="4"/>
  <c r="E128" i="4"/>
  <c r="D128" i="4"/>
  <c r="B128" i="4"/>
  <c r="H127" i="4"/>
  <c r="G127" i="4"/>
  <c r="F127" i="4"/>
  <c r="E127" i="4"/>
  <c r="D127" i="4"/>
  <c r="B127" i="4"/>
  <c r="I128" i="4" l="1"/>
  <c r="I132" i="4"/>
  <c r="I133" i="4"/>
  <c r="I138" i="4"/>
  <c r="I17" i="6"/>
  <c r="I48" i="5"/>
  <c r="I49" i="5"/>
  <c r="I47" i="5"/>
  <c r="I50" i="5"/>
  <c r="I51" i="5"/>
  <c r="I139" i="4"/>
  <c r="I134" i="4"/>
  <c r="I130" i="4"/>
  <c r="I135" i="4"/>
  <c r="I141" i="4"/>
  <c r="I131" i="4"/>
  <c r="I129" i="4"/>
  <c r="I127" i="4"/>
  <c r="I137" i="4"/>
  <c r="I136" i="4"/>
  <c r="I140" i="4"/>
  <c r="I46" i="5" l="1"/>
  <c r="I16" i="6" l="1"/>
  <c r="I15" i="6"/>
  <c r="I14" i="6"/>
  <c r="I13" i="6"/>
  <c r="I12" i="6"/>
  <c r="I11" i="6"/>
  <c r="I10" i="6"/>
  <c r="I8" i="6"/>
  <c r="F7" i="6"/>
  <c r="E7" i="6"/>
  <c r="D7" i="6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4" i="5"/>
  <c r="I13" i="5"/>
  <c r="I12" i="5"/>
  <c r="I11" i="5"/>
  <c r="F10" i="5"/>
  <c r="E10" i="5"/>
  <c r="D10" i="5"/>
  <c r="F9" i="5"/>
  <c r="E9" i="5"/>
  <c r="D9" i="5"/>
  <c r="I8" i="5"/>
  <c r="F7" i="5"/>
  <c r="E7" i="5"/>
  <c r="D7" i="5"/>
  <c r="I19" i="4"/>
  <c r="I20" i="4"/>
  <c r="I21" i="4"/>
  <c r="I22" i="4"/>
  <c r="I23" i="4"/>
  <c r="I24" i="4"/>
  <c r="I25" i="4"/>
  <c r="I26" i="4"/>
  <c r="I27" i="4"/>
  <c r="I28" i="4"/>
  <c r="I29" i="4"/>
  <c r="I30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I10" i="4" l="1"/>
  <c r="I14" i="4"/>
  <c r="I18" i="4"/>
  <c r="I17" i="4"/>
  <c r="I15" i="4"/>
  <c r="I7" i="4"/>
  <c r="I16" i="4"/>
  <c r="I8" i="4"/>
  <c r="I11" i="4"/>
  <c r="I9" i="4"/>
  <c r="I13" i="4"/>
  <c r="I7" i="6"/>
  <c r="I10" i="5"/>
  <c r="I9" i="5"/>
  <c r="I7" i="5"/>
</calcChain>
</file>

<file path=xl/sharedStrings.xml><?xml version="1.0" encoding="utf-8"?>
<sst xmlns="http://schemas.openxmlformats.org/spreadsheetml/2006/main" count="322" uniqueCount="99">
  <si>
    <t>(1): Y compris les données de la CAMOFI à partir de décembre 1996.</t>
  </si>
  <si>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</si>
  <si>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</si>
  <si>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</si>
  <si>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</si>
  <si>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</si>
  <si>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</si>
  <si>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</si>
  <si>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</si>
  <si>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</si>
  <si>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</si>
  <si>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</si>
  <si>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</si>
  <si>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</si>
  <si>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</si>
  <si>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situation cons des E.F données mensuelles</t>
  </si>
  <si>
    <t>Passif situation cons des E.F.xls</t>
  </si>
  <si>
    <t>Passif des situations consolidées des Etablissements Financiers</t>
  </si>
  <si>
    <t>Engagements envers le secteur bancaire</t>
  </si>
  <si>
    <t>Engagements envers les autres établissemnts financiers</t>
  </si>
  <si>
    <t>Fonds publics affectés au prix</t>
  </si>
  <si>
    <t>Dépots et emprunts</t>
  </si>
  <si>
    <t xml:space="preserve">Engagements extérieurs </t>
  </si>
  <si>
    <t>Fonds propres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</si>
  <si>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</si>
  <si>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</si>
  <si>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</si>
  <si>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</si>
  <si>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</si>
  <si>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</si>
  <si>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</si>
  <si>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 xml:space="preserve">                                 SITUATION AGREGEE DES ETABLISSEMENTS FINANCIERS (en millions de BIF)</t>
  </si>
  <si>
    <t>Période                                 Rubliques</t>
  </si>
  <si>
    <t>Les données les plus récentes</t>
  </si>
  <si>
    <t>Passif des situations consolidées des Etablissements Financiers renseigne sur la situation passive consolidée des établissements financiers à savoir BNDE et FPHU</t>
  </si>
  <si>
    <t>II.7.2</t>
  </si>
  <si>
    <t>Source: Compilé sur base des données des établissements financiers(FPHU jusqu'à fin Aout 2021 et BNDE)</t>
  </si>
  <si>
    <t>2024</t>
  </si>
  <si>
    <t>Juin-21</t>
  </si>
  <si>
    <t>Juillet-21</t>
  </si>
  <si>
    <t>Août-21</t>
  </si>
  <si>
    <t>Septembre-21</t>
  </si>
  <si>
    <t>Octobre-21</t>
  </si>
  <si>
    <t>Novembre-21</t>
  </si>
  <si>
    <t>Décembre-21</t>
  </si>
  <si>
    <t>Janvier-22</t>
  </si>
  <si>
    <t>Février-22</t>
  </si>
  <si>
    <t>Mars-22</t>
  </si>
  <si>
    <t>Avril-22</t>
  </si>
  <si>
    <t>Mai-22</t>
  </si>
  <si>
    <t>Juin-22</t>
  </si>
  <si>
    <t>Juillet-22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</si>
  <si>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</si>
  <si>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</si>
  <si>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</si>
  <si>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</si>
  <si>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</si>
  <si>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</si>
  <si>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</si>
  <si>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</si>
  <si>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</si>
  <si>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</si>
  <si>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</si>
  <si>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</si>
  <si>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Août-23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</si>
  <si>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</si>
  <si>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</si>
  <si>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</si>
  <si>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</si>
  <si>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</si>
  <si>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</si>
  <si>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</si>
  <si>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</si>
  <si>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</si>
  <si>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</si>
  <si>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</si>
  <si>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Août-24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</si>
  <si>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</si>
  <si>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</si>
  <si>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</si>
  <si>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</si>
  <si>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</si>
  <si>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</si>
  <si>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</si>
  <si>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Avril-25</t>
  </si>
  <si>
    <t>Mai-25</t>
  </si>
  <si>
    <t>Juin-25</t>
  </si>
  <si>
    <t>Juillet-25</t>
  </si>
  <si>
    <t>2021</t>
  </si>
  <si>
    <t>2022</t>
  </si>
  <si>
    <t>2023</t>
  </si>
  <si>
    <t>Août-25</t>
  </si>
  <si>
    <t>Septembre-25</t>
  </si>
  <si>
    <t>Octobre-25</t>
  </si>
  <si>
    <t>Novembre-25</t>
  </si>
  <si>
    <t>Q4-2025</t>
  </si>
  <si>
    <t>2025</t>
  </si>
  <si>
    <t>Décembre-25</t>
  </si>
  <si>
    <t>Janvier-26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</si>
</sst>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C]mmmm\-yy;@"/>
    <numFmt numFmtId="173" formatCode="[$-409]dd\-mmm\-yy;@"/>
    <numFmt numFmtId="174" formatCode="0.0_)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7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80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1" fillId="0" borderId="9">
      <protection hidden="1"/>
    </xf>
    <xf numFmtId="0" fontId="22" fillId="7" borderId="9" applyNumberFormat="0" applyFont="0" applyBorder="0" applyAlignment="0" applyProtection="0">
      <protection hidden="1"/>
    </xf>
    <xf numFmtId="0" fontId="18" fillId="0" borderId="0"/>
    <xf numFmtId="0" fontId="23" fillId="0" borderId="0"/>
    <xf numFmtId="2" fontId="24" fillId="0" borderId="0">
      <protection locked="0"/>
    </xf>
    <xf numFmtId="2" fontId="25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0" fontId="26" fillId="8" borderId="5">
      <alignment horizontal="right" vertical="center"/>
    </xf>
    <xf numFmtId="0" fontId="27" fillId="8" borderId="5">
      <alignment horizontal="right" vertical="center"/>
    </xf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18" fillId="8" borderId="10"/>
    <xf numFmtId="0" fontId="28" fillId="9" borderId="5">
      <alignment horizontal="center" vertical="center"/>
    </xf>
    <xf numFmtId="0" fontId="26" fillId="8" borderId="5">
      <alignment horizontal="right" vertical="center"/>
    </xf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18" fillId="8" borderId="0"/>
    <xf numFmtId="0" fontId="29" fillId="8" borderId="5">
      <alignment horizontal="left" vertical="center"/>
    </xf>
    <xf numFmtId="0" fontId="29" fillId="8" borderId="11">
      <alignment vertical="center"/>
    </xf>
    <xf numFmtId="0" fontId="30" fillId="8" borderId="12">
      <alignment vertical="center"/>
    </xf>
    <xf numFmtId="0" fontId="29" fillId="8" borderId="5"/>
    <xf numFmtId="0" fontId="27" fillId="8" borderId="5">
      <alignment horizontal="right" vertical="center"/>
    </xf>
    <xf numFmtId="0" fontId="31" fillId="10" borderId="5">
      <alignment horizontal="left" vertical="center"/>
    </xf>
    <xf numFmtId="0" fontId="31" fillId="10" borderId="5">
      <alignment horizontal="left" vertical="center"/>
    </xf>
    <xf numFmtId="0" fontId="32" fillId="8" borderId="5">
      <alignment horizontal="left" vertical="center"/>
    </xf>
    <xf numFmtId="0" fontId="33" fillId="8" borderId="10"/>
    <xf numFmtId="0" fontId="28" fillId="11" borderId="5">
      <alignment horizontal="left"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52" fillId="6" borderId="13" applyNumberFormat="0" applyFon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2" fontId="24" fillId="0" borderId="0">
      <protection locked="0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9" fontId="36" fillId="0" borderId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78" fontId="16" fillId="0" borderId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38" fillId="0" borderId="0"/>
    <xf numFmtId="0" fontId="24" fillId="0" borderId="0">
      <protection locked="0"/>
    </xf>
    <xf numFmtId="189" fontId="24" fillId="0" borderId="0">
      <protection locked="0"/>
    </xf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89" fontId="24" fillId="0" borderId="0">
      <protection locked="0"/>
    </xf>
    <xf numFmtId="38" fontId="39" fillId="11" borderId="0" applyNumberFormat="0" applyBorder="0" applyAlignment="0" applyProtection="0"/>
    <xf numFmtId="0" fontId="40" fillId="0" borderId="14" applyNumberFormat="0" applyAlignment="0" applyProtection="0">
      <alignment horizontal="left" vertical="center"/>
    </xf>
    <xf numFmtId="0" fontId="40" fillId="0" borderId="7">
      <alignment horizontal="left" vertical="center"/>
    </xf>
    <xf numFmtId="190" fontId="41" fillId="0" borderId="0">
      <protection locked="0"/>
    </xf>
    <xf numFmtId="190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71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10" fontId="39" fillId="8" borderId="5" applyNumberFormat="0" applyBorder="0" applyAlignment="0" applyProtection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9">
      <alignment horizontal="left"/>
      <protection locked="0"/>
    </xf>
    <xf numFmtId="1" fontId="34" fillId="0" borderId="0" applyNumberFormat="0" applyAlignment="0">
      <alignment horizontal="center"/>
    </xf>
    <xf numFmtId="177" fontId="48" fillId="0" borderId="0" applyNumberFormat="0">
      <alignment horizontal="centerContinuous"/>
    </xf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8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8" fillId="0" borderId="0" applyFont="0" applyFill="0" applyBorder="0" applyAlignment="0" applyProtection="0"/>
    <xf numFmtId="191" fontId="38" fillId="0" borderId="0" applyFont="0" applyFill="0" applyBorder="0" applyAlignment="0" applyProtection="0"/>
    <xf numFmtId="192" fontId="38" fillId="0" borderId="0" applyFont="0" applyFill="0" applyBorder="0" applyAlignment="0" applyProtection="0"/>
    <xf numFmtId="193" fontId="24" fillId="0" borderId="0">
      <protection locked="0"/>
    </xf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18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94" fontId="24" fillId="0" borderId="0">
      <protection locked="0"/>
    </xf>
    <xf numFmtId="195" fontId="24" fillId="0" borderId="0">
      <protection locked="0"/>
    </xf>
    <xf numFmtId="0" fontId="49" fillId="0" borderId="0"/>
    <xf numFmtId="0" fontId="50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0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178" fontId="16" fillId="0" borderId="0"/>
    <xf numFmtId="0" fontId="16" fillId="0" borderId="0"/>
    <xf numFmtId="178" fontId="16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174" fontId="49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178" fontId="16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178" fontId="16" fillId="0" borderId="0"/>
    <xf numFmtId="0" fontId="18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6" fillId="0" borderId="0"/>
    <xf numFmtId="0" fontId="18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0" fontId="1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8" fillId="0" borderId="0"/>
    <xf numFmtId="0" fontId="1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178" fontId="16" fillId="0" borderId="0"/>
    <xf numFmtId="0" fontId="16" fillId="0" borderId="0"/>
    <xf numFmtId="178" fontId="16" fillId="0" borderId="0"/>
    <xf numFmtId="0" fontId="52" fillId="0" borderId="0"/>
    <xf numFmtId="178" fontId="16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0"/>
    <xf numFmtId="0" fontId="52" fillId="0" borderId="0"/>
    <xf numFmtId="178" fontId="16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6" fillId="0" borderId="0"/>
    <xf numFmtId="0" fontId="18" fillId="0" borderId="0"/>
    <xf numFmtId="0" fontId="52" fillId="0" borderId="0"/>
    <xf numFmtId="178" fontId="16" fillId="0" borderId="0"/>
    <xf numFmtId="0" fontId="18" fillId="0" borderId="0"/>
    <xf numFmtId="0" fontId="52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18" fillId="0" borderId="0"/>
    <xf numFmtId="0" fontId="52" fillId="0" borderId="0"/>
    <xf numFmtId="0" fontId="52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170" fontId="16" fillId="0" borderId="0"/>
    <xf numFmtId="0" fontId="18" fillId="0" borderId="0"/>
    <xf numFmtId="0" fontId="18" fillId="0" borderId="0"/>
    <xf numFmtId="0" fontId="16" fillId="0" borderId="0"/>
    <xf numFmtId="196" fontId="34" fillId="0" borderId="0" applyFill="0" applyBorder="0" applyProtection="0">
      <alignment horizontal="righ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178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6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8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52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0" fontId="16" fillId="0" borderId="0"/>
    <xf numFmtId="174" fontId="16" fillId="0" borderId="0"/>
    <xf numFmtId="0" fontId="18" fillId="0" borderId="0"/>
    <xf numFmtId="0" fontId="56" fillId="0" borderId="0" applyNumberFormat="0" applyBorder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4" fontId="16" fillId="0" borderId="0"/>
    <xf numFmtId="174" fontId="16" fillId="0" borderId="0"/>
    <xf numFmtId="0" fontId="18" fillId="0" borderId="0"/>
    <xf numFmtId="174" fontId="16" fillId="0" borderId="0"/>
    <xf numFmtId="174" fontId="16" fillId="0" borderId="0"/>
    <xf numFmtId="174" fontId="16" fillId="0" borderId="0"/>
    <xf numFmtId="174" fontId="16" fillId="0" borderId="0"/>
    <xf numFmtId="176" fontId="17" fillId="0" borderId="0" applyFont="0" applyFill="0" applyBorder="0" applyAlignment="0" applyProtection="0"/>
    <xf numFmtId="170" fontId="16" fillId="0" borderId="0"/>
  </cellStyleXfs>
  <cellXfs count="58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3" fontId="4" fillId="0" borderId="0" xfId="0" applyNumberFormat="1" applyFont="1" applyAlignment="1">
      <alignment horizontal="left"/>
    </xf>
    <xf numFmtId="0" fontId="7" fillId="0" borderId="0" xfId="1" applyAlignment="1" applyProtection="1"/>
    <xf numFmtId="174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4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0" xfId="0" applyFont="1" applyBorder="1"/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 applyBorder="1"/>
    <xf numFmtId="170" fontId="14" fillId="0" borderId="0" xfId="0" applyFont="1"/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4" borderId="4" xfId="0" applyFont="1" applyFill="1" applyBorder="1" applyAlignment="1">
      <alignment horizontal="center" vertical="center"/>
    </xf>
    <xf numFmtId="170" fontId="13" fillId="0" borderId="0" xfId="0" applyFont="1"/>
    <xf numFmtId="172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 applyProtection="1">
      <alignment horizontal="right"/>
    </xf>
    <xf numFmtId="170" fontId="12" fillId="0" borderId="5" xfId="0" applyFont="1" applyBorder="1" applyAlignment="1">
      <alignment horizontal="right"/>
    </xf>
    <xf numFmtId="172" fontId="12" fillId="5" borderId="5" xfId="0" quotePrefix="1" applyNumberFormat="1" applyFont="1" applyFill="1" applyBorder="1" applyAlignment="1" applyProtection="1">
      <alignment horizontal="left" vertical="top"/>
    </xf>
    <xf numFmtId="170" fontId="12" fillId="0" borderId="5" xfId="0" applyNumberFormat="1" applyFont="1" applyBorder="1" applyAlignment="1" applyProtection="1">
      <alignment horizontal="left"/>
    </xf>
    <xf numFmtId="170" fontId="12" fillId="0" borderId="5" xfId="0" applyFont="1" applyBorder="1" applyAlignment="1">
      <alignment horizontal="center"/>
    </xf>
    <xf numFmtId="1" fontId="12" fillId="5" borderId="5" xfId="0" quotePrefix="1" applyNumberFormat="1" applyFont="1" applyFill="1" applyBorder="1" applyAlignment="1" applyProtection="1">
      <alignment horizontal="left" vertical="top"/>
    </xf>
    <xf numFmtId="174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Font="1" applyFill="1" applyBorder="1" applyAlignment="1">
      <alignment horizontal="center" vertical="center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9" fillId="0" borderId="2" xfId="0" applyNumberFormat="1" applyFont="1" applyBorder="1" applyAlignment="1" applyProtection="1">
      <alignment horizontal="center"/>
    </xf>
    <xf numFmtId="172" fontId="4" fillId="3" borderId="0" xfId="0" applyNumberFormat="1" applyFont="1" applyFill="1" applyAlignment="1">
      <alignment horizontal="right"/>
    </xf>
    <xf numFmtId="172" fontId="12" fillId="0" borderId="5" xfId="0" quotePrefix="1" applyNumberFormat="1" applyFont="1" applyFill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  <xf numFmtId="170" fontId="9" fillId="0" borderId="8" xfId="0" applyNumberFormat="1" applyFont="1" applyBorder="1" applyAlignment="1" applyProtection="1">
      <alignment horizontal="left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9"/>
  <sheetViews>
    <sheetView topLeftCell="D1" workbookViewId="0">
      <selection activeCell="H28" sqref="H28"/>
    </sheetView>
  </sheetViews>
  <sheetFormatPr baseColWidth="10" defaultColWidth="8.88671875" defaultRowHeight="15.75"/>
  <cols>
    <col min="1" max="1" width="4.21875" style="5" customWidth="1"/>
    <col min="2" max="2" width="68.6640625" style="5" bestFit="1" customWidth="1"/>
    <col min="3" max="3" width="39.77734375" style="5" customWidth="1"/>
    <col min="4" max="4" width="17.109375" style="5" bestFit="1" customWidth="1"/>
    <col min="5" max="5" width="23.88671875" style="5" customWidth="1"/>
    <col min="6" max="256" width="8.88671875" style="5"/>
    <col min="257" max="257" width="4.21875" style="5" customWidth="1"/>
    <col min="258" max="258" width="68.6640625" style="5" bestFit="1" customWidth="1"/>
    <col min="259" max="259" width="39.88671875" style="5" bestFit="1" customWidth="1"/>
    <col min="260" max="260" width="17.109375" style="5" bestFit="1" customWidth="1"/>
    <col min="261" max="261" width="15.88671875" style="5" customWidth="1"/>
    <col min="262" max="512" width="8.88671875" style="5"/>
    <col min="513" max="513" width="4.21875" style="5" customWidth="1"/>
    <col min="514" max="514" width="68.6640625" style="5" bestFit="1" customWidth="1"/>
    <col min="515" max="515" width="39.88671875" style="5" bestFit="1" customWidth="1"/>
    <col min="516" max="516" width="17.109375" style="5" bestFit="1" customWidth="1"/>
    <col min="517" max="517" width="15.88671875" style="5" customWidth="1"/>
    <col min="518" max="768" width="8.88671875" style="5"/>
    <col min="769" max="769" width="4.21875" style="5" customWidth="1"/>
    <col min="770" max="770" width="68.6640625" style="5" bestFit="1" customWidth="1"/>
    <col min="771" max="771" width="39.88671875" style="5" bestFit="1" customWidth="1"/>
    <col min="772" max="772" width="17.109375" style="5" bestFit="1" customWidth="1"/>
    <col min="773" max="773" width="15.88671875" style="5" customWidth="1"/>
    <col min="774" max="1024" width="8.88671875" style="5"/>
    <col min="1025" max="1025" width="4.21875" style="5" customWidth="1"/>
    <col min="1026" max="1026" width="68.6640625" style="5" bestFit="1" customWidth="1"/>
    <col min="1027" max="1027" width="39.88671875" style="5" bestFit="1" customWidth="1"/>
    <col min="1028" max="1028" width="17.109375" style="5" bestFit="1" customWidth="1"/>
    <col min="1029" max="1029" width="15.88671875" style="5" customWidth="1"/>
    <col min="1030" max="1280" width="8.88671875" style="5"/>
    <col min="1281" max="1281" width="4.21875" style="5" customWidth="1"/>
    <col min="1282" max="1282" width="68.6640625" style="5" bestFit="1" customWidth="1"/>
    <col min="1283" max="1283" width="39.88671875" style="5" bestFit="1" customWidth="1"/>
    <col min="1284" max="1284" width="17.109375" style="5" bestFit="1" customWidth="1"/>
    <col min="1285" max="1285" width="15.88671875" style="5" customWidth="1"/>
    <col min="1286" max="1536" width="8.88671875" style="5"/>
    <col min="1537" max="1537" width="4.21875" style="5" customWidth="1"/>
    <col min="1538" max="1538" width="68.6640625" style="5" bestFit="1" customWidth="1"/>
    <col min="1539" max="1539" width="39.88671875" style="5" bestFit="1" customWidth="1"/>
    <col min="1540" max="1540" width="17.109375" style="5" bestFit="1" customWidth="1"/>
    <col min="1541" max="1541" width="15.88671875" style="5" customWidth="1"/>
    <col min="1542" max="1792" width="8.88671875" style="5"/>
    <col min="1793" max="1793" width="4.21875" style="5" customWidth="1"/>
    <col min="1794" max="1794" width="68.6640625" style="5" bestFit="1" customWidth="1"/>
    <col min="1795" max="1795" width="39.88671875" style="5" bestFit="1" customWidth="1"/>
    <col min="1796" max="1796" width="17.109375" style="5" bestFit="1" customWidth="1"/>
    <col min="1797" max="1797" width="15.88671875" style="5" customWidth="1"/>
    <col min="1798" max="2048" width="8.88671875" style="5"/>
    <col min="2049" max="2049" width="4.21875" style="5" customWidth="1"/>
    <col min="2050" max="2050" width="68.6640625" style="5" bestFit="1" customWidth="1"/>
    <col min="2051" max="2051" width="39.88671875" style="5" bestFit="1" customWidth="1"/>
    <col min="2052" max="2052" width="17.109375" style="5" bestFit="1" customWidth="1"/>
    <col min="2053" max="2053" width="15.88671875" style="5" customWidth="1"/>
    <col min="2054" max="2304" width="8.88671875" style="5"/>
    <col min="2305" max="2305" width="4.21875" style="5" customWidth="1"/>
    <col min="2306" max="2306" width="68.6640625" style="5" bestFit="1" customWidth="1"/>
    <col min="2307" max="2307" width="39.88671875" style="5" bestFit="1" customWidth="1"/>
    <col min="2308" max="2308" width="17.109375" style="5" bestFit="1" customWidth="1"/>
    <col min="2309" max="2309" width="15.88671875" style="5" customWidth="1"/>
    <col min="2310" max="2560" width="8.88671875" style="5"/>
    <col min="2561" max="2561" width="4.21875" style="5" customWidth="1"/>
    <col min="2562" max="2562" width="68.6640625" style="5" bestFit="1" customWidth="1"/>
    <col min="2563" max="2563" width="39.88671875" style="5" bestFit="1" customWidth="1"/>
    <col min="2564" max="2564" width="17.109375" style="5" bestFit="1" customWidth="1"/>
    <col min="2565" max="2565" width="15.88671875" style="5" customWidth="1"/>
    <col min="2566" max="2816" width="8.88671875" style="5"/>
    <col min="2817" max="2817" width="4.21875" style="5" customWidth="1"/>
    <col min="2818" max="2818" width="68.6640625" style="5" bestFit="1" customWidth="1"/>
    <col min="2819" max="2819" width="39.88671875" style="5" bestFit="1" customWidth="1"/>
    <col min="2820" max="2820" width="17.109375" style="5" bestFit="1" customWidth="1"/>
    <col min="2821" max="2821" width="15.88671875" style="5" customWidth="1"/>
    <col min="2822" max="3072" width="8.88671875" style="5"/>
    <col min="3073" max="3073" width="4.21875" style="5" customWidth="1"/>
    <col min="3074" max="3074" width="68.6640625" style="5" bestFit="1" customWidth="1"/>
    <col min="3075" max="3075" width="39.88671875" style="5" bestFit="1" customWidth="1"/>
    <col min="3076" max="3076" width="17.109375" style="5" bestFit="1" customWidth="1"/>
    <col min="3077" max="3077" width="15.88671875" style="5" customWidth="1"/>
    <col min="3078" max="3328" width="8.88671875" style="5"/>
    <col min="3329" max="3329" width="4.21875" style="5" customWidth="1"/>
    <col min="3330" max="3330" width="68.6640625" style="5" bestFit="1" customWidth="1"/>
    <col min="3331" max="3331" width="39.88671875" style="5" bestFit="1" customWidth="1"/>
    <col min="3332" max="3332" width="17.109375" style="5" bestFit="1" customWidth="1"/>
    <col min="3333" max="3333" width="15.88671875" style="5" customWidth="1"/>
    <col min="3334" max="3584" width="8.88671875" style="5"/>
    <col min="3585" max="3585" width="4.21875" style="5" customWidth="1"/>
    <col min="3586" max="3586" width="68.6640625" style="5" bestFit="1" customWidth="1"/>
    <col min="3587" max="3587" width="39.88671875" style="5" bestFit="1" customWidth="1"/>
    <col min="3588" max="3588" width="17.109375" style="5" bestFit="1" customWidth="1"/>
    <col min="3589" max="3589" width="15.88671875" style="5" customWidth="1"/>
    <col min="3590" max="3840" width="8.88671875" style="5"/>
    <col min="3841" max="3841" width="4.21875" style="5" customWidth="1"/>
    <col min="3842" max="3842" width="68.6640625" style="5" bestFit="1" customWidth="1"/>
    <col min="3843" max="3843" width="39.88671875" style="5" bestFit="1" customWidth="1"/>
    <col min="3844" max="3844" width="17.109375" style="5" bestFit="1" customWidth="1"/>
    <col min="3845" max="3845" width="15.88671875" style="5" customWidth="1"/>
    <col min="3846" max="4096" width="8.88671875" style="5"/>
    <col min="4097" max="4097" width="4.21875" style="5" customWidth="1"/>
    <col min="4098" max="4098" width="68.6640625" style="5" bestFit="1" customWidth="1"/>
    <col min="4099" max="4099" width="39.88671875" style="5" bestFit="1" customWidth="1"/>
    <col min="4100" max="4100" width="17.109375" style="5" bestFit="1" customWidth="1"/>
    <col min="4101" max="4101" width="15.88671875" style="5" customWidth="1"/>
    <col min="4102" max="4352" width="8.88671875" style="5"/>
    <col min="4353" max="4353" width="4.21875" style="5" customWidth="1"/>
    <col min="4354" max="4354" width="68.6640625" style="5" bestFit="1" customWidth="1"/>
    <col min="4355" max="4355" width="39.88671875" style="5" bestFit="1" customWidth="1"/>
    <col min="4356" max="4356" width="17.109375" style="5" bestFit="1" customWidth="1"/>
    <col min="4357" max="4357" width="15.88671875" style="5" customWidth="1"/>
    <col min="4358" max="4608" width="8.88671875" style="5"/>
    <col min="4609" max="4609" width="4.21875" style="5" customWidth="1"/>
    <col min="4610" max="4610" width="68.6640625" style="5" bestFit="1" customWidth="1"/>
    <col min="4611" max="4611" width="39.88671875" style="5" bestFit="1" customWidth="1"/>
    <col min="4612" max="4612" width="17.109375" style="5" bestFit="1" customWidth="1"/>
    <col min="4613" max="4613" width="15.88671875" style="5" customWidth="1"/>
    <col min="4614" max="4864" width="8.88671875" style="5"/>
    <col min="4865" max="4865" width="4.21875" style="5" customWidth="1"/>
    <col min="4866" max="4866" width="68.6640625" style="5" bestFit="1" customWidth="1"/>
    <col min="4867" max="4867" width="39.88671875" style="5" bestFit="1" customWidth="1"/>
    <col min="4868" max="4868" width="17.109375" style="5" bestFit="1" customWidth="1"/>
    <col min="4869" max="4869" width="15.88671875" style="5" customWidth="1"/>
    <col min="4870" max="5120" width="8.88671875" style="5"/>
    <col min="5121" max="5121" width="4.21875" style="5" customWidth="1"/>
    <col min="5122" max="5122" width="68.6640625" style="5" bestFit="1" customWidth="1"/>
    <col min="5123" max="5123" width="39.88671875" style="5" bestFit="1" customWidth="1"/>
    <col min="5124" max="5124" width="17.109375" style="5" bestFit="1" customWidth="1"/>
    <col min="5125" max="5125" width="15.88671875" style="5" customWidth="1"/>
    <col min="5126" max="5376" width="8.88671875" style="5"/>
    <col min="5377" max="5377" width="4.21875" style="5" customWidth="1"/>
    <col min="5378" max="5378" width="68.6640625" style="5" bestFit="1" customWidth="1"/>
    <col min="5379" max="5379" width="39.88671875" style="5" bestFit="1" customWidth="1"/>
    <col min="5380" max="5380" width="17.109375" style="5" bestFit="1" customWidth="1"/>
    <col min="5381" max="5381" width="15.88671875" style="5" customWidth="1"/>
    <col min="5382" max="5632" width="8.88671875" style="5"/>
    <col min="5633" max="5633" width="4.21875" style="5" customWidth="1"/>
    <col min="5634" max="5634" width="68.6640625" style="5" bestFit="1" customWidth="1"/>
    <col min="5635" max="5635" width="39.88671875" style="5" bestFit="1" customWidth="1"/>
    <col min="5636" max="5636" width="17.109375" style="5" bestFit="1" customWidth="1"/>
    <col min="5637" max="5637" width="15.88671875" style="5" customWidth="1"/>
    <col min="5638" max="5888" width="8.88671875" style="5"/>
    <col min="5889" max="5889" width="4.21875" style="5" customWidth="1"/>
    <col min="5890" max="5890" width="68.6640625" style="5" bestFit="1" customWidth="1"/>
    <col min="5891" max="5891" width="39.88671875" style="5" bestFit="1" customWidth="1"/>
    <col min="5892" max="5892" width="17.109375" style="5" bestFit="1" customWidth="1"/>
    <col min="5893" max="5893" width="15.88671875" style="5" customWidth="1"/>
    <col min="5894" max="6144" width="8.88671875" style="5"/>
    <col min="6145" max="6145" width="4.21875" style="5" customWidth="1"/>
    <col min="6146" max="6146" width="68.6640625" style="5" bestFit="1" customWidth="1"/>
    <col min="6147" max="6147" width="39.88671875" style="5" bestFit="1" customWidth="1"/>
    <col min="6148" max="6148" width="17.109375" style="5" bestFit="1" customWidth="1"/>
    <col min="6149" max="6149" width="15.88671875" style="5" customWidth="1"/>
    <col min="6150" max="6400" width="8.88671875" style="5"/>
    <col min="6401" max="6401" width="4.21875" style="5" customWidth="1"/>
    <col min="6402" max="6402" width="68.6640625" style="5" bestFit="1" customWidth="1"/>
    <col min="6403" max="6403" width="39.88671875" style="5" bestFit="1" customWidth="1"/>
    <col min="6404" max="6404" width="17.109375" style="5" bestFit="1" customWidth="1"/>
    <col min="6405" max="6405" width="15.88671875" style="5" customWidth="1"/>
    <col min="6406" max="6656" width="8.88671875" style="5"/>
    <col min="6657" max="6657" width="4.21875" style="5" customWidth="1"/>
    <col min="6658" max="6658" width="68.6640625" style="5" bestFit="1" customWidth="1"/>
    <col min="6659" max="6659" width="39.88671875" style="5" bestFit="1" customWidth="1"/>
    <col min="6660" max="6660" width="17.109375" style="5" bestFit="1" customWidth="1"/>
    <col min="6661" max="6661" width="15.88671875" style="5" customWidth="1"/>
    <col min="6662" max="6912" width="8.88671875" style="5"/>
    <col min="6913" max="6913" width="4.21875" style="5" customWidth="1"/>
    <col min="6914" max="6914" width="68.6640625" style="5" bestFit="1" customWidth="1"/>
    <col min="6915" max="6915" width="39.88671875" style="5" bestFit="1" customWidth="1"/>
    <col min="6916" max="6916" width="17.109375" style="5" bestFit="1" customWidth="1"/>
    <col min="6917" max="6917" width="15.88671875" style="5" customWidth="1"/>
    <col min="6918" max="7168" width="8.88671875" style="5"/>
    <col min="7169" max="7169" width="4.21875" style="5" customWidth="1"/>
    <col min="7170" max="7170" width="68.6640625" style="5" bestFit="1" customWidth="1"/>
    <col min="7171" max="7171" width="39.88671875" style="5" bestFit="1" customWidth="1"/>
    <col min="7172" max="7172" width="17.109375" style="5" bestFit="1" customWidth="1"/>
    <col min="7173" max="7173" width="15.88671875" style="5" customWidth="1"/>
    <col min="7174" max="7424" width="8.88671875" style="5"/>
    <col min="7425" max="7425" width="4.21875" style="5" customWidth="1"/>
    <col min="7426" max="7426" width="68.6640625" style="5" bestFit="1" customWidth="1"/>
    <col min="7427" max="7427" width="39.88671875" style="5" bestFit="1" customWidth="1"/>
    <col min="7428" max="7428" width="17.109375" style="5" bestFit="1" customWidth="1"/>
    <col min="7429" max="7429" width="15.88671875" style="5" customWidth="1"/>
    <col min="7430" max="7680" width="8.88671875" style="5"/>
    <col min="7681" max="7681" width="4.21875" style="5" customWidth="1"/>
    <col min="7682" max="7682" width="68.6640625" style="5" bestFit="1" customWidth="1"/>
    <col min="7683" max="7683" width="39.88671875" style="5" bestFit="1" customWidth="1"/>
    <col min="7684" max="7684" width="17.109375" style="5" bestFit="1" customWidth="1"/>
    <col min="7685" max="7685" width="15.88671875" style="5" customWidth="1"/>
    <col min="7686" max="7936" width="8.88671875" style="5"/>
    <col min="7937" max="7937" width="4.21875" style="5" customWidth="1"/>
    <col min="7938" max="7938" width="68.6640625" style="5" bestFit="1" customWidth="1"/>
    <col min="7939" max="7939" width="39.88671875" style="5" bestFit="1" customWidth="1"/>
    <col min="7940" max="7940" width="17.109375" style="5" bestFit="1" customWidth="1"/>
    <col min="7941" max="7941" width="15.88671875" style="5" customWidth="1"/>
    <col min="7942" max="8192" width="8.88671875" style="5"/>
    <col min="8193" max="8193" width="4.21875" style="5" customWidth="1"/>
    <col min="8194" max="8194" width="68.6640625" style="5" bestFit="1" customWidth="1"/>
    <col min="8195" max="8195" width="39.88671875" style="5" bestFit="1" customWidth="1"/>
    <col min="8196" max="8196" width="17.109375" style="5" bestFit="1" customWidth="1"/>
    <col min="8197" max="8197" width="15.88671875" style="5" customWidth="1"/>
    <col min="8198" max="8448" width="8.88671875" style="5"/>
    <col min="8449" max="8449" width="4.21875" style="5" customWidth="1"/>
    <col min="8450" max="8450" width="68.6640625" style="5" bestFit="1" customWidth="1"/>
    <col min="8451" max="8451" width="39.88671875" style="5" bestFit="1" customWidth="1"/>
    <col min="8452" max="8452" width="17.109375" style="5" bestFit="1" customWidth="1"/>
    <col min="8453" max="8453" width="15.88671875" style="5" customWidth="1"/>
    <col min="8454" max="8704" width="8.88671875" style="5"/>
    <col min="8705" max="8705" width="4.21875" style="5" customWidth="1"/>
    <col min="8706" max="8706" width="68.6640625" style="5" bestFit="1" customWidth="1"/>
    <col min="8707" max="8707" width="39.88671875" style="5" bestFit="1" customWidth="1"/>
    <col min="8708" max="8708" width="17.109375" style="5" bestFit="1" customWidth="1"/>
    <col min="8709" max="8709" width="15.88671875" style="5" customWidth="1"/>
    <col min="8710" max="8960" width="8.88671875" style="5"/>
    <col min="8961" max="8961" width="4.21875" style="5" customWidth="1"/>
    <col min="8962" max="8962" width="68.6640625" style="5" bestFit="1" customWidth="1"/>
    <col min="8963" max="8963" width="39.88671875" style="5" bestFit="1" customWidth="1"/>
    <col min="8964" max="8964" width="17.109375" style="5" bestFit="1" customWidth="1"/>
    <col min="8965" max="8965" width="15.88671875" style="5" customWidth="1"/>
    <col min="8966" max="9216" width="8.88671875" style="5"/>
    <col min="9217" max="9217" width="4.21875" style="5" customWidth="1"/>
    <col min="9218" max="9218" width="68.6640625" style="5" bestFit="1" customWidth="1"/>
    <col min="9219" max="9219" width="39.88671875" style="5" bestFit="1" customWidth="1"/>
    <col min="9220" max="9220" width="17.109375" style="5" bestFit="1" customWidth="1"/>
    <col min="9221" max="9221" width="15.88671875" style="5" customWidth="1"/>
    <col min="9222" max="9472" width="8.88671875" style="5"/>
    <col min="9473" max="9473" width="4.21875" style="5" customWidth="1"/>
    <col min="9474" max="9474" width="68.6640625" style="5" bestFit="1" customWidth="1"/>
    <col min="9475" max="9475" width="39.88671875" style="5" bestFit="1" customWidth="1"/>
    <col min="9476" max="9476" width="17.109375" style="5" bestFit="1" customWidth="1"/>
    <col min="9477" max="9477" width="15.88671875" style="5" customWidth="1"/>
    <col min="9478" max="9728" width="8.88671875" style="5"/>
    <col min="9729" max="9729" width="4.21875" style="5" customWidth="1"/>
    <col min="9730" max="9730" width="68.6640625" style="5" bestFit="1" customWidth="1"/>
    <col min="9731" max="9731" width="39.88671875" style="5" bestFit="1" customWidth="1"/>
    <col min="9732" max="9732" width="17.109375" style="5" bestFit="1" customWidth="1"/>
    <col min="9733" max="9733" width="15.88671875" style="5" customWidth="1"/>
    <col min="9734" max="9984" width="8.88671875" style="5"/>
    <col min="9985" max="9985" width="4.21875" style="5" customWidth="1"/>
    <col min="9986" max="9986" width="68.6640625" style="5" bestFit="1" customWidth="1"/>
    <col min="9987" max="9987" width="39.88671875" style="5" bestFit="1" customWidth="1"/>
    <col min="9988" max="9988" width="17.109375" style="5" bestFit="1" customWidth="1"/>
    <col min="9989" max="9989" width="15.88671875" style="5" customWidth="1"/>
    <col min="9990" max="10240" width="8.88671875" style="5"/>
    <col min="10241" max="10241" width="4.21875" style="5" customWidth="1"/>
    <col min="10242" max="10242" width="68.6640625" style="5" bestFit="1" customWidth="1"/>
    <col min="10243" max="10243" width="39.88671875" style="5" bestFit="1" customWidth="1"/>
    <col min="10244" max="10244" width="17.109375" style="5" bestFit="1" customWidth="1"/>
    <col min="10245" max="10245" width="15.88671875" style="5" customWidth="1"/>
    <col min="10246" max="10496" width="8.88671875" style="5"/>
    <col min="10497" max="10497" width="4.21875" style="5" customWidth="1"/>
    <col min="10498" max="10498" width="68.6640625" style="5" bestFit="1" customWidth="1"/>
    <col min="10499" max="10499" width="39.88671875" style="5" bestFit="1" customWidth="1"/>
    <col min="10500" max="10500" width="17.109375" style="5" bestFit="1" customWidth="1"/>
    <col min="10501" max="10501" width="15.88671875" style="5" customWidth="1"/>
    <col min="10502" max="10752" width="8.88671875" style="5"/>
    <col min="10753" max="10753" width="4.21875" style="5" customWidth="1"/>
    <col min="10754" max="10754" width="68.6640625" style="5" bestFit="1" customWidth="1"/>
    <col min="10755" max="10755" width="39.88671875" style="5" bestFit="1" customWidth="1"/>
    <col min="10756" max="10756" width="17.109375" style="5" bestFit="1" customWidth="1"/>
    <col min="10757" max="10757" width="15.88671875" style="5" customWidth="1"/>
    <col min="10758" max="11008" width="8.88671875" style="5"/>
    <col min="11009" max="11009" width="4.21875" style="5" customWidth="1"/>
    <col min="11010" max="11010" width="68.6640625" style="5" bestFit="1" customWidth="1"/>
    <col min="11011" max="11011" width="39.88671875" style="5" bestFit="1" customWidth="1"/>
    <col min="11012" max="11012" width="17.109375" style="5" bestFit="1" customWidth="1"/>
    <col min="11013" max="11013" width="15.88671875" style="5" customWidth="1"/>
    <col min="11014" max="11264" width="8.88671875" style="5"/>
    <col min="11265" max="11265" width="4.21875" style="5" customWidth="1"/>
    <col min="11266" max="11266" width="68.6640625" style="5" bestFit="1" customWidth="1"/>
    <col min="11267" max="11267" width="39.88671875" style="5" bestFit="1" customWidth="1"/>
    <col min="11268" max="11268" width="17.109375" style="5" bestFit="1" customWidth="1"/>
    <col min="11269" max="11269" width="15.88671875" style="5" customWidth="1"/>
    <col min="11270" max="11520" width="8.88671875" style="5"/>
    <col min="11521" max="11521" width="4.21875" style="5" customWidth="1"/>
    <col min="11522" max="11522" width="68.6640625" style="5" bestFit="1" customWidth="1"/>
    <col min="11523" max="11523" width="39.88671875" style="5" bestFit="1" customWidth="1"/>
    <col min="11524" max="11524" width="17.109375" style="5" bestFit="1" customWidth="1"/>
    <col min="11525" max="11525" width="15.88671875" style="5" customWidth="1"/>
    <col min="11526" max="11776" width="8.88671875" style="5"/>
    <col min="11777" max="11777" width="4.21875" style="5" customWidth="1"/>
    <col min="11778" max="11778" width="68.6640625" style="5" bestFit="1" customWidth="1"/>
    <col min="11779" max="11779" width="39.88671875" style="5" bestFit="1" customWidth="1"/>
    <col min="11780" max="11780" width="17.109375" style="5" bestFit="1" customWidth="1"/>
    <col min="11781" max="11781" width="15.88671875" style="5" customWidth="1"/>
    <col min="11782" max="12032" width="8.88671875" style="5"/>
    <col min="12033" max="12033" width="4.21875" style="5" customWidth="1"/>
    <col min="12034" max="12034" width="68.6640625" style="5" bestFit="1" customWidth="1"/>
    <col min="12035" max="12035" width="39.88671875" style="5" bestFit="1" customWidth="1"/>
    <col min="12036" max="12036" width="17.109375" style="5" bestFit="1" customWidth="1"/>
    <col min="12037" max="12037" width="15.88671875" style="5" customWidth="1"/>
    <col min="12038" max="12288" width="8.88671875" style="5"/>
    <col min="12289" max="12289" width="4.21875" style="5" customWidth="1"/>
    <col min="12290" max="12290" width="68.6640625" style="5" bestFit="1" customWidth="1"/>
    <col min="12291" max="12291" width="39.88671875" style="5" bestFit="1" customWidth="1"/>
    <col min="12292" max="12292" width="17.109375" style="5" bestFit="1" customWidth="1"/>
    <col min="12293" max="12293" width="15.88671875" style="5" customWidth="1"/>
    <col min="12294" max="12544" width="8.88671875" style="5"/>
    <col min="12545" max="12545" width="4.21875" style="5" customWidth="1"/>
    <col min="12546" max="12546" width="68.6640625" style="5" bestFit="1" customWidth="1"/>
    <col min="12547" max="12547" width="39.88671875" style="5" bestFit="1" customWidth="1"/>
    <col min="12548" max="12548" width="17.109375" style="5" bestFit="1" customWidth="1"/>
    <col min="12549" max="12549" width="15.88671875" style="5" customWidth="1"/>
    <col min="12550" max="12800" width="8.88671875" style="5"/>
    <col min="12801" max="12801" width="4.21875" style="5" customWidth="1"/>
    <col min="12802" max="12802" width="68.6640625" style="5" bestFit="1" customWidth="1"/>
    <col min="12803" max="12803" width="39.88671875" style="5" bestFit="1" customWidth="1"/>
    <col min="12804" max="12804" width="17.109375" style="5" bestFit="1" customWidth="1"/>
    <col min="12805" max="12805" width="15.88671875" style="5" customWidth="1"/>
    <col min="12806" max="13056" width="8.88671875" style="5"/>
    <col min="13057" max="13057" width="4.21875" style="5" customWidth="1"/>
    <col min="13058" max="13058" width="68.6640625" style="5" bestFit="1" customWidth="1"/>
    <col min="13059" max="13059" width="39.88671875" style="5" bestFit="1" customWidth="1"/>
    <col min="13060" max="13060" width="17.109375" style="5" bestFit="1" customWidth="1"/>
    <col min="13061" max="13061" width="15.88671875" style="5" customWidth="1"/>
    <col min="13062" max="13312" width="8.88671875" style="5"/>
    <col min="13313" max="13313" width="4.21875" style="5" customWidth="1"/>
    <col min="13314" max="13314" width="68.6640625" style="5" bestFit="1" customWidth="1"/>
    <col min="13315" max="13315" width="39.88671875" style="5" bestFit="1" customWidth="1"/>
    <col min="13316" max="13316" width="17.109375" style="5" bestFit="1" customWidth="1"/>
    <col min="13317" max="13317" width="15.88671875" style="5" customWidth="1"/>
    <col min="13318" max="13568" width="8.88671875" style="5"/>
    <col min="13569" max="13569" width="4.21875" style="5" customWidth="1"/>
    <col min="13570" max="13570" width="68.6640625" style="5" bestFit="1" customWidth="1"/>
    <col min="13571" max="13571" width="39.88671875" style="5" bestFit="1" customWidth="1"/>
    <col min="13572" max="13572" width="17.109375" style="5" bestFit="1" customWidth="1"/>
    <col min="13573" max="13573" width="15.88671875" style="5" customWidth="1"/>
    <col min="13574" max="13824" width="8.88671875" style="5"/>
    <col min="13825" max="13825" width="4.21875" style="5" customWidth="1"/>
    <col min="13826" max="13826" width="68.6640625" style="5" bestFit="1" customWidth="1"/>
    <col min="13827" max="13827" width="39.88671875" style="5" bestFit="1" customWidth="1"/>
    <col min="13828" max="13828" width="17.109375" style="5" bestFit="1" customWidth="1"/>
    <col min="13829" max="13829" width="15.88671875" style="5" customWidth="1"/>
    <col min="13830" max="14080" width="8.88671875" style="5"/>
    <col min="14081" max="14081" width="4.21875" style="5" customWidth="1"/>
    <col min="14082" max="14082" width="68.6640625" style="5" bestFit="1" customWidth="1"/>
    <col min="14083" max="14083" width="39.88671875" style="5" bestFit="1" customWidth="1"/>
    <col min="14084" max="14084" width="17.109375" style="5" bestFit="1" customWidth="1"/>
    <col min="14085" max="14085" width="15.88671875" style="5" customWidth="1"/>
    <col min="14086" max="14336" width="8.88671875" style="5"/>
    <col min="14337" max="14337" width="4.21875" style="5" customWidth="1"/>
    <col min="14338" max="14338" width="68.6640625" style="5" bestFit="1" customWidth="1"/>
    <col min="14339" max="14339" width="39.88671875" style="5" bestFit="1" customWidth="1"/>
    <col min="14340" max="14340" width="17.109375" style="5" bestFit="1" customWidth="1"/>
    <col min="14341" max="14341" width="15.88671875" style="5" customWidth="1"/>
    <col min="14342" max="14592" width="8.88671875" style="5"/>
    <col min="14593" max="14593" width="4.21875" style="5" customWidth="1"/>
    <col min="14594" max="14594" width="68.6640625" style="5" bestFit="1" customWidth="1"/>
    <col min="14595" max="14595" width="39.88671875" style="5" bestFit="1" customWidth="1"/>
    <col min="14596" max="14596" width="17.109375" style="5" bestFit="1" customWidth="1"/>
    <col min="14597" max="14597" width="15.88671875" style="5" customWidth="1"/>
    <col min="14598" max="14848" width="8.88671875" style="5"/>
    <col min="14849" max="14849" width="4.21875" style="5" customWidth="1"/>
    <col min="14850" max="14850" width="68.6640625" style="5" bestFit="1" customWidth="1"/>
    <col min="14851" max="14851" width="39.88671875" style="5" bestFit="1" customWidth="1"/>
    <col min="14852" max="14852" width="17.109375" style="5" bestFit="1" customWidth="1"/>
    <col min="14853" max="14853" width="15.88671875" style="5" customWidth="1"/>
    <col min="14854" max="15104" width="8.88671875" style="5"/>
    <col min="15105" max="15105" width="4.21875" style="5" customWidth="1"/>
    <col min="15106" max="15106" width="68.6640625" style="5" bestFit="1" customWidth="1"/>
    <col min="15107" max="15107" width="39.88671875" style="5" bestFit="1" customWidth="1"/>
    <col min="15108" max="15108" width="17.109375" style="5" bestFit="1" customWidth="1"/>
    <col min="15109" max="15109" width="15.88671875" style="5" customWidth="1"/>
    <col min="15110" max="15360" width="8.88671875" style="5"/>
    <col min="15361" max="15361" width="4.21875" style="5" customWidth="1"/>
    <col min="15362" max="15362" width="68.6640625" style="5" bestFit="1" customWidth="1"/>
    <col min="15363" max="15363" width="39.88671875" style="5" bestFit="1" customWidth="1"/>
    <col min="15364" max="15364" width="17.109375" style="5" bestFit="1" customWidth="1"/>
    <col min="15365" max="15365" width="15.88671875" style="5" customWidth="1"/>
    <col min="15366" max="15616" width="8.88671875" style="5"/>
    <col min="15617" max="15617" width="4.21875" style="5" customWidth="1"/>
    <col min="15618" max="15618" width="68.6640625" style="5" bestFit="1" customWidth="1"/>
    <col min="15619" max="15619" width="39.88671875" style="5" bestFit="1" customWidth="1"/>
    <col min="15620" max="15620" width="17.109375" style="5" bestFit="1" customWidth="1"/>
    <col min="15621" max="15621" width="15.88671875" style="5" customWidth="1"/>
    <col min="15622" max="15872" width="8.88671875" style="5"/>
    <col min="15873" max="15873" width="4.21875" style="5" customWidth="1"/>
    <col min="15874" max="15874" width="68.6640625" style="5" bestFit="1" customWidth="1"/>
    <col min="15875" max="15875" width="39.88671875" style="5" bestFit="1" customWidth="1"/>
    <col min="15876" max="15876" width="17.109375" style="5" bestFit="1" customWidth="1"/>
    <col min="15877" max="15877" width="15.88671875" style="5" customWidth="1"/>
    <col min="15878" max="16128" width="8.88671875" style="5"/>
    <col min="16129" max="16129" width="4.21875" style="5" customWidth="1"/>
    <col min="16130" max="16130" width="68.6640625" style="5" bestFit="1" customWidth="1"/>
    <col min="16131" max="16131" width="39.88671875" style="5" bestFit="1" customWidth="1"/>
    <col min="16132" max="16132" width="17.109375" style="5" bestFit="1" customWidth="1"/>
    <col min="16133" max="16133" width="15.88671875" style="5" customWidth="1"/>
    <col min="16134" max="16384" width="8.88671875" style="5"/>
  </cols>
  <sheetData>
    <row r="2" spans="2:5">
      <c r="B2" s="19" t="s">
        <v>26</v>
      </c>
    </row>
    <row r="3" spans="2:5">
      <c r="B3" s="19" t="s">
        <v>27</v>
      </c>
      <c r="C3"/>
    </row>
    <row r="4" spans="2:5">
      <c r="B4" s="19" t="s">
        <v>28</v>
      </c>
    </row>
    <row r="5" spans="2:5">
      <c r="B5" s="19" t="s">
        <v>29</v>
      </c>
    </row>
    <row r="7" spans="2:5" ht="18.75">
      <c r="B7" s="4" t="s">
        <v>2</v>
      </c>
    </row>
    <row r="8" spans="2:5" ht="18.75">
      <c r="B8" s="6" t="s">
        <v>17</v>
      </c>
    </row>
    <row r="10" spans="2:5">
      <c r="B10" s="5" t="s">
        <v>3</v>
      </c>
    </row>
    <row r="11" spans="2:5" ht="16.5" thickBot="1">
      <c r="B11" s="7" t="s">
        <v>4</v>
      </c>
      <c r="C11" s="7" t="s">
        <v>5</v>
      </c>
      <c r="D11" s="7" t="s">
        <v>6</v>
      </c>
      <c r="E11" s="7" t="s">
        <v>33</v>
      </c>
    </row>
    <row r="12" spans="2:5">
      <c r="B12" s="8" t="s">
        <v>7</v>
      </c>
      <c r="C12" s="9" t="s">
        <v>15</v>
      </c>
      <c r="D12" s="9" t="s">
        <v>7</v>
      </c>
      <c r="E12" s="51">
        <v>46023</v>
      </c>
    </row>
    <row r="13" spans="2:5">
      <c r="B13" s="8" t="s">
        <v>8</v>
      </c>
      <c r="C13" s="9" t="s">
        <v>15</v>
      </c>
      <c r="D13" s="9" t="s">
        <v>8</v>
      </c>
      <c r="E13" s="10" t="s">
        <v>95</v>
      </c>
    </row>
    <row r="14" spans="2:5">
      <c r="B14" s="8" t="s">
        <v>9</v>
      </c>
      <c r="C14" s="9" t="s">
        <v>15</v>
      </c>
      <c r="D14" s="9" t="s">
        <v>9</v>
      </c>
      <c r="E14" s="11" t="s">
        <v>96</v>
      </c>
    </row>
    <row r="16" spans="2:5">
      <c r="B16" s="5" t="s">
        <v>10</v>
      </c>
      <c r="C16" s="12"/>
    </row>
    <row r="17" spans="2:3">
      <c r="B17" s="5" t="s">
        <v>11</v>
      </c>
      <c r="C17" s="12"/>
    </row>
    <row r="19" spans="2:3">
      <c r="B19" s="5" t="s">
        <v>12</v>
      </c>
      <c r="C19" s="5" t="s">
        <v>16</v>
      </c>
    </row>
    <row r="20" spans="2:3">
      <c r="B20" s="5" t="s">
        <v>13</v>
      </c>
      <c r="C20" s="13" t="s">
        <v>14</v>
      </c>
    </row>
    <row r="23" spans="2:3" ht="31.5">
      <c r="B23" s="49" t="s">
        <v>34</v>
      </c>
    </row>
    <row r="24" spans="2:3">
      <c r="B24" s="47" t="s">
        <v>18</v>
      </c>
      <c r="C24" s="14"/>
    </row>
    <row r="25" spans="2:3">
      <c r="B25" s="47" t="s">
        <v>19</v>
      </c>
      <c r="C25" s="15"/>
    </row>
    <row r="26" spans="2:3">
      <c r="B26" s="48" t="s">
        <v>20</v>
      </c>
      <c r="C26" s="1"/>
    </row>
    <row r="27" spans="2:3">
      <c r="B27" s="48" t="s">
        <v>21</v>
      </c>
      <c r="C27" s="14"/>
    </row>
    <row r="28" spans="2:3">
      <c r="B28" s="48" t="s">
        <v>22</v>
      </c>
      <c r="C28" s="2"/>
    </row>
    <row r="29" spans="2:3">
      <c r="B29" s="48" t="s">
        <v>23</v>
      </c>
      <c r="C29" s="2"/>
    </row>
    <row r="30" spans="2:3">
      <c r="B30" s="48" t="s">
        <v>24</v>
      </c>
      <c r="C30" s="17"/>
    </row>
    <row r="31" spans="2:3">
      <c r="B31" s="47" t="s">
        <v>25</v>
      </c>
      <c r="C31" s="18"/>
    </row>
    <row r="32" spans="2:3">
      <c r="B32" s="3"/>
      <c r="C32" s="18"/>
    </row>
    <row r="33" spans="2:3">
      <c r="B33" s="3"/>
      <c r="C33" s="15"/>
    </row>
    <row r="34" spans="2:3">
      <c r="B34" s="2"/>
      <c r="C34" s="2"/>
    </row>
    <row r="35" spans="2:3">
      <c r="B35" s="2"/>
      <c r="C35" s="2"/>
    </row>
    <row r="36" spans="2:3">
      <c r="B36" s="2"/>
      <c r="C36" s="18"/>
    </row>
    <row r="37" spans="2:3">
      <c r="B37" s="2"/>
      <c r="C37" s="2"/>
    </row>
    <row r="38" spans="2:3">
      <c r="B38" s="2"/>
      <c r="C38" s="18"/>
    </row>
    <row r="39" spans="2:3">
      <c r="B39" s="2"/>
      <c r="C39" s="15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25"/>
  <sheetViews>
    <sheetView tabSelected="1" zoomScale="90" zoomScaleNormal="90" workbookViewId="0">
      <pane xSplit="1" ySplit="6" topLeftCell="F204" activePane="bottomRight" state="frozen"/>
      <selection pane="topRight" activeCell="B1" sqref="B1"/>
      <selection pane="bottomLeft" activeCell="A7" sqref="A7"/>
      <selection pane="bottomRight" activeCell="L221" sqref="L221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28.21875" style="23" customWidth="1"/>
    <col min="4" max="4" width="17.109375" style="23" customWidth="1"/>
    <col min="5" max="5" width="30" style="23" bestFit="1" customWidth="1"/>
    <col min="6" max="6" width="19.21875" style="23" customWidth="1"/>
    <col min="7" max="7" width="23.77734375" style="23" customWidth="1"/>
    <col min="8" max="8" width="17.21875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39448</v>
      </c>
      <c r="B7" s="38" t="s">
        <v>1</v>
      </c>
      <c r="C7" s="38" t="s">
        <v>1</v>
      </c>
      <c r="D7" s="38">
        <f>877.5+6007.1</f>
        <v>6884.6</v>
      </c>
      <c r="E7" s="38">
        <f>4747.9+605.4</f>
        <v>5353.2999999999993</v>
      </c>
      <c r="F7" s="38">
        <f>381.8+3378</f>
        <v>3759.8</v>
      </c>
      <c r="G7" s="38">
        <v>13185</v>
      </c>
      <c r="H7" s="38">
        <v>4061.2999999999997</v>
      </c>
      <c r="I7" s="38">
        <f t="shared" ref="I7:I12" si="0">SUM(B7:H7)</f>
        <v>33244</v>
      </c>
    </row>
    <row r="8" spans="1:10">
      <c r="A8" s="37">
        <v>39479</v>
      </c>
      <c r="B8" s="38" t="s">
        <v>1</v>
      </c>
      <c r="C8" s="38" t="s">
        <v>1</v>
      </c>
      <c r="D8" s="38">
        <f>1012.8+6053.8</f>
        <v>7066.6</v>
      </c>
      <c r="E8" s="38">
        <f>4828.9+1321.5</f>
        <v>6150.4</v>
      </c>
      <c r="F8" s="38">
        <f>381.8+3378</f>
        <v>3759.8</v>
      </c>
      <c r="G8" s="38">
        <v>13343.8</v>
      </c>
      <c r="H8" s="38">
        <v>4193.8999999999996</v>
      </c>
      <c r="I8" s="38">
        <f t="shared" si="0"/>
        <v>34514.5</v>
      </c>
    </row>
    <row r="9" spans="1:10">
      <c r="A9" s="37">
        <v>39508</v>
      </c>
      <c r="B9" s="38" t="s">
        <v>1</v>
      </c>
      <c r="C9" s="38" t="s">
        <v>1</v>
      </c>
      <c r="D9" s="38">
        <f>903.4+6066.8</f>
        <v>6970.2</v>
      </c>
      <c r="E9" s="38">
        <f>5039.7+1470.8</f>
        <v>6510.5</v>
      </c>
      <c r="F9" s="38">
        <f>381.8+2175.6</f>
        <v>2557.4</v>
      </c>
      <c r="G9" s="38">
        <v>13271.300000000001</v>
      </c>
      <c r="H9" s="38">
        <v>4337.1000000000004</v>
      </c>
      <c r="I9" s="38">
        <f t="shared" si="0"/>
        <v>33646.5</v>
      </c>
    </row>
    <row r="10" spans="1:10">
      <c r="A10" s="37">
        <v>39539</v>
      </c>
      <c r="B10" s="38" t="s">
        <v>1</v>
      </c>
      <c r="C10" s="38" t="s">
        <v>1</v>
      </c>
      <c r="D10" s="38">
        <f>1049.8+6458.1</f>
        <v>7507.9000000000005</v>
      </c>
      <c r="E10" s="38">
        <f>5112.2+1142.7</f>
        <v>6254.9</v>
      </c>
      <c r="F10" s="38">
        <f>381.8+2175.6</f>
        <v>2557.4</v>
      </c>
      <c r="G10" s="38">
        <v>13271.700000000003</v>
      </c>
      <c r="H10" s="38">
        <v>4328.2</v>
      </c>
      <c r="I10" s="38">
        <f t="shared" si="0"/>
        <v>33920.1</v>
      </c>
    </row>
    <row r="11" spans="1:10">
      <c r="A11" s="37">
        <v>39569</v>
      </c>
      <c r="B11" s="38" t="s">
        <v>1</v>
      </c>
      <c r="C11" s="38" t="s">
        <v>1</v>
      </c>
      <c r="D11" s="38">
        <f>1053.9+6468.5</f>
        <v>7522.4</v>
      </c>
      <c r="E11" s="38">
        <f>5126.6+1112.7</f>
        <v>6239.3</v>
      </c>
      <c r="F11" s="38">
        <f>381.8+2175.6</f>
        <v>2557.4</v>
      </c>
      <c r="G11" s="38">
        <v>13395.8</v>
      </c>
      <c r="H11" s="38">
        <v>4393.5</v>
      </c>
      <c r="I11" s="38">
        <f t="shared" si="0"/>
        <v>34108.400000000001</v>
      </c>
    </row>
    <row r="12" spans="1:10">
      <c r="A12" s="37">
        <v>39600</v>
      </c>
      <c r="B12" s="38" t="s">
        <v>1</v>
      </c>
      <c r="C12" s="38" t="s">
        <v>1</v>
      </c>
      <c r="D12" s="38">
        <v>7739.8</v>
      </c>
      <c r="E12" s="38">
        <v>6537.9</v>
      </c>
      <c r="F12" s="38">
        <v>2576.5</v>
      </c>
      <c r="G12" s="38">
        <v>13806</v>
      </c>
      <c r="H12" s="38">
        <v>4641.6000000000004</v>
      </c>
      <c r="I12" s="38">
        <f t="shared" si="0"/>
        <v>35301.800000000003</v>
      </c>
    </row>
    <row r="13" spans="1:10">
      <c r="A13" s="37">
        <v>39630</v>
      </c>
      <c r="B13" s="38" t="s">
        <v>1</v>
      </c>
      <c r="C13" s="38" t="s">
        <v>1</v>
      </c>
      <c r="D13" s="38">
        <f>1154.2+6860.5</f>
        <v>8014.7</v>
      </c>
      <c r="E13" s="38">
        <f>5678.8+1050.6</f>
        <v>6729.4</v>
      </c>
      <c r="F13" s="38">
        <f>381.8+2194.7</f>
        <v>2576.5</v>
      </c>
      <c r="G13" s="38">
        <v>14265.1</v>
      </c>
      <c r="H13" s="38">
        <v>4350.7</v>
      </c>
      <c r="I13" s="38">
        <f t="shared" ref="I13:I76" si="1">SUM(B13:H13)</f>
        <v>35936.399999999994</v>
      </c>
    </row>
    <row r="14" spans="1:10">
      <c r="A14" s="37">
        <v>39661</v>
      </c>
      <c r="B14" s="38" t="s">
        <v>1</v>
      </c>
      <c r="C14" s="38" t="s">
        <v>1</v>
      </c>
      <c r="D14" s="38">
        <f>1148.4+6956.4</f>
        <v>8104.7999999999993</v>
      </c>
      <c r="E14" s="38">
        <f>5796.2+1048.9</f>
        <v>6845.1</v>
      </c>
      <c r="F14" s="38">
        <f>381.8+2194.7</f>
        <v>2576.5</v>
      </c>
      <c r="G14" s="38">
        <v>14432.400000000001</v>
      </c>
      <c r="H14" s="38">
        <v>4547.2999999999993</v>
      </c>
      <c r="I14" s="38">
        <f t="shared" si="1"/>
        <v>36506.100000000006</v>
      </c>
    </row>
    <row r="15" spans="1:10">
      <c r="A15" s="37">
        <v>39692</v>
      </c>
      <c r="B15" s="38" t="s">
        <v>1</v>
      </c>
      <c r="C15" s="38" t="s">
        <v>1</v>
      </c>
      <c r="D15" s="38">
        <f>1082.5+7012.3</f>
        <v>8094.8</v>
      </c>
      <c r="E15" s="38">
        <f>5915.5+996.9</f>
        <v>6912.4</v>
      </c>
      <c r="F15" s="38">
        <f>381.8+2000.5</f>
        <v>2382.3000000000002</v>
      </c>
      <c r="G15" s="38">
        <v>14671.6</v>
      </c>
      <c r="H15" s="38">
        <v>4712.1000000000004</v>
      </c>
      <c r="I15" s="38">
        <f t="shared" si="1"/>
        <v>36773.199999999997</v>
      </c>
    </row>
    <row r="16" spans="1:10">
      <c r="A16" s="37">
        <v>39722</v>
      </c>
      <c r="B16" s="38" t="s">
        <v>1</v>
      </c>
      <c r="C16" s="38" t="s">
        <v>1</v>
      </c>
      <c r="D16" s="38">
        <f>1182.5+7024.7</f>
        <v>8207.2000000000007</v>
      </c>
      <c r="E16" s="38">
        <f>5912.7+984.5</f>
        <v>6897.2</v>
      </c>
      <c r="F16" s="38">
        <f>381.8+1808.2</f>
        <v>2190</v>
      </c>
      <c r="G16" s="38">
        <v>14800.7</v>
      </c>
      <c r="H16" s="38">
        <v>4773.7</v>
      </c>
      <c r="I16" s="38">
        <f t="shared" si="1"/>
        <v>36868.800000000003</v>
      </c>
    </row>
    <row r="17" spans="1:9">
      <c r="A17" s="37">
        <v>39753</v>
      </c>
      <c r="B17" s="38" t="s">
        <v>1</v>
      </c>
      <c r="C17" s="38" t="s">
        <v>1</v>
      </c>
      <c r="D17" s="38">
        <f>1179.2+7068.5</f>
        <v>8247.7000000000007</v>
      </c>
      <c r="E17" s="38">
        <f>5873.6+984.4</f>
        <v>6858</v>
      </c>
      <c r="F17" s="38">
        <f>381.8+1518.2</f>
        <v>1900</v>
      </c>
      <c r="G17" s="38">
        <v>14994</v>
      </c>
      <c r="H17" s="38">
        <v>4586</v>
      </c>
      <c r="I17" s="38">
        <f t="shared" si="1"/>
        <v>36585.699999999997</v>
      </c>
    </row>
    <row r="18" spans="1:9">
      <c r="A18" s="37">
        <v>39783</v>
      </c>
      <c r="B18" s="38" t="s">
        <v>1</v>
      </c>
      <c r="C18" s="38" t="s">
        <v>1</v>
      </c>
      <c r="D18" s="38">
        <f>1178.8+7166.2</f>
        <v>8345</v>
      </c>
      <c r="E18" s="38">
        <f>6019.6+1179.9</f>
        <v>7199.5</v>
      </c>
      <c r="F18" s="38">
        <f>374.8+1699</f>
        <v>2073.8000000000002</v>
      </c>
      <c r="G18" s="38">
        <v>14958.399999999998</v>
      </c>
      <c r="H18" s="38">
        <v>4600.8</v>
      </c>
      <c r="I18" s="38">
        <f t="shared" si="1"/>
        <v>37177.5</v>
      </c>
    </row>
    <row r="19" spans="1:9">
      <c r="A19" s="37">
        <v>39814</v>
      </c>
      <c r="B19" s="38" t="s">
        <v>1</v>
      </c>
      <c r="C19" s="38" t="s">
        <v>1</v>
      </c>
      <c r="D19" s="38">
        <v>8380</v>
      </c>
      <c r="E19" s="38">
        <v>7548.6</v>
      </c>
      <c r="F19" s="38">
        <v>2073.8000000000002</v>
      </c>
      <c r="G19" s="38">
        <v>15040</v>
      </c>
      <c r="H19" s="38">
        <v>4298.5</v>
      </c>
      <c r="I19" s="38">
        <f t="shared" si="1"/>
        <v>37340.9</v>
      </c>
    </row>
    <row r="20" spans="1:9">
      <c r="A20" s="37">
        <v>39845</v>
      </c>
      <c r="B20" s="38" t="s">
        <v>1</v>
      </c>
      <c r="C20" s="38" t="s">
        <v>1</v>
      </c>
      <c r="D20" s="38">
        <v>8405</v>
      </c>
      <c r="E20" s="38">
        <v>7928.7999999999993</v>
      </c>
      <c r="F20" s="38">
        <v>2073.8000000000002</v>
      </c>
      <c r="G20" s="38">
        <v>15173.200000000003</v>
      </c>
      <c r="H20" s="38">
        <v>4284.0999999999995</v>
      </c>
      <c r="I20" s="38">
        <f t="shared" si="1"/>
        <v>37864.9</v>
      </c>
    </row>
    <row r="21" spans="1:9">
      <c r="A21" s="37">
        <v>39873</v>
      </c>
      <c r="B21" s="38" t="s">
        <v>1</v>
      </c>
      <c r="C21" s="38" t="s">
        <v>1</v>
      </c>
      <c r="D21" s="38">
        <v>8899.4</v>
      </c>
      <c r="E21" s="38">
        <v>7663.9</v>
      </c>
      <c r="F21" s="38">
        <v>1971.2</v>
      </c>
      <c r="G21" s="38">
        <v>15154.899999999998</v>
      </c>
      <c r="H21" s="38">
        <v>4362.5999999999995</v>
      </c>
      <c r="I21" s="38">
        <f t="shared" si="1"/>
        <v>38051.999999999993</v>
      </c>
    </row>
    <row r="22" spans="1:9">
      <c r="A22" s="37">
        <v>39904</v>
      </c>
      <c r="B22" s="38" t="s">
        <v>1</v>
      </c>
      <c r="C22" s="38" t="s">
        <v>1</v>
      </c>
      <c r="D22" s="38">
        <v>9006.1</v>
      </c>
      <c r="E22" s="38">
        <v>7814.4</v>
      </c>
      <c r="F22" s="38">
        <v>1971.2</v>
      </c>
      <c r="G22" s="38">
        <v>15048.800000000001</v>
      </c>
      <c r="H22" s="38">
        <v>4435.0999999999995</v>
      </c>
      <c r="I22" s="38">
        <f t="shared" si="1"/>
        <v>38275.599999999999</v>
      </c>
    </row>
    <row r="23" spans="1:9">
      <c r="A23" s="37">
        <v>39934</v>
      </c>
      <c r="B23" s="38" t="s">
        <v>1</v>
      </c>
      <c r="C23" s="38" t="s">
        <v>1</v>
      </c>
      <c r="D23" s="38">
        <v>8970.7000000000007</v>
      </c>
      <c r="E23" s="38">
        <v>8142.9</v>
      </c>
      <c r="F23" s="38">
        <v>1971.2</v>
      </c>
      <c r="G23" s="38">
        <v>15202.999999999998</v>
      </c>
      <c r="H23" s="38">
        <v>4725</v>
      </c>
      <c r="I23" s="38">
        <f t="shared" si="1"/>
        <v>39012.799999999996</v>
      </c>
    </row>
    <row r="24" spans="1:9">
      <c r="A24" s="37">
        <v>39965</v>
      </c>
      <c r="B24" s="38" t="s">
        <v>1</v>
      </c>
      <c r="C24" s="38" t="s">
        <v>1</v>
      </c>
      <c r="D24" s="38">
        <v>10110.4</v>
      </c>
      <c r="E24" s="38">
        <v>8227.1999999999989</v>
      </c>
      <c r="F24" s="38">
        <v>1746.8</v>
      </c>
      <c r="G24" s="38">
        <v>15396.600000000002</v>
      </c>
      <c r="H24" s="38">
        <v>4685.3</v>
      </c>
      <c r="I24" s="38">
        <f t="shared" si="1"/>
        <v>40166.300000000003</v>
      </c>
    </row>
    <row r="25" spans="1:9">
      <c r="A25" s="37">
        <v>39995</v>
      </c>
      <c r="B25" s="38" t="s">
        <v>1</v>
      </c>
      <c r="C25" s="38" t="s">
        <v>1</v>
      </c>
      <c r="D25" s="38">
        <v>10183</v>
      </c>
      <c r="E25" s="38">
        <v>8223.9</v>
      </c>
      <c r="F25" s="38">
        <v>1746.8</v>
      </c>
      <c r="G25" s="38">
        <v>15474.099999999999</v>
      </c>
      <c r="H25" s="38">
        <v>4702.8999999999996</v>
      </c>
      <c r="I25" s="38">
        <f t="shared" si="1"/>
        <v>40330.700000000004</v>
      </c>
    </row>
    <row r="26" spans="1:9">
      <c r="A26" s="37">
        <v>40026</v>
      </c>
      <c r="B26" s="38" t="s">
        <v>1</v>
      </c>
      <c r="C26" s="38" t="s">
        <v>1</v>
      </c>
      <c r="D26" s="38">
        <v>10806.699999999999</v>
      </c>
      <c r="E26" s="38">
        <v>8285.7000000000007</v>
      </c>
      <c r="F26" s="38">
        <v>1746.8</v>
      </c>
      <c r="G26" s="38">
        <v>15606.7</v>
      </c>
      <c r="H26" s="38">
        <v>4937.1000000000004</v>
      </c>
      <c r="I26" s="38">
        <f t="shared" si="1"/>
        <v>41383</v>
      </c>
    </row>
    <row r="27" spans="1:9">
      <c r="A27" s="37">
        <v>40057</v>
      </c>
      <c r="B27" s="38" t="s">
        <v>1</v>
      </c>
      <c r="C27" s="38" t="s">
        <v>1</v>
      </c>
      <c r="D27" s="38">
        <v>11042.5</v>
      </c>
      <c r="E27" s="38">
        <v>8650.1</v>
      </c>
      <c r="F27" s="38">
        <v>1797</v>
      </c>
      <c r="G27" s="38">
        <v>15885.8</v>
      </c>
      <c r="H27" s="38">
        <v>5076.3</v>
      </c>
      <c r="I27" s="38">
        <f t="shared" si="1"/>
        <v>42451.7</v>
      </c>
    </row>
    <row r="28" spans="1:9">
      <c r="A28" s="37">
        <v>40087</v>
      </c>
      <c r="B28" s="38" t="s">
        <v>1</v>
      </c>
      <c r="C28" s="38" t="s">
        <v>1</v>
      </c>
      <c r="D28" s="38">
        <v>11063.9</v>
      </c>
      <c r="E28" s="38">
        <v>9041.7000000000007</v>
      </c>
      <c r="F28" s="38">
        <v>1797</v>
      </c>
      <c r="G28" s="38">
        <v>15998.7</v>
      </c>
      <c r="H28" s="38">
        <v>5242.2</v>
      </c>
      <c r="I28" s="38">
        <f t="shared" si="1"/>
        <v>43143.5</v>
      </c>
    </row>
    <row r="29" spans="1:9">
      <c r="A29" s="37">
        <v>40118</v>
      </c>
      <c r="B29" s="38" t="s">
        <v>1</v>
      </c>
      <c r="C29" s="38" t="s">
        <v>1</v>
      </c>
      <c r="D29" s="38">
        <v>11666.800000000001</v>
      </c>
      <c r="E29" s="38">
        <v>8312.6999999999989</v>
      </c>
      <c r="F29" s="38">
        <v>1797</v>
      </c>
      <c r="G29" s="38">
        <v>16227.200000000003</v>
      </c>
      <c r="H29" s="38">
        <v>5308</v>
      </c>
      <c r="I29" s="38">
        <f t="shared" si="1"/>
        <v>43311.700000000004</v>
      </c>
    </row>
    <row r="30" spans="1:9">
      <c r="A30" s="37">
        <v>40148</v>
      </c>
      <c r="B30" s="38" t="s">
        <v>1</v>
      </c>
      <c r="C30" s="38" t="s">
        <v>1</v>
      </c>
      <c r="D30" s="38">
        <v>11783.1</v>
      </c>
      <c r="E30" s="38">
        <v>9015.5</v>
      </c>
      <c r="F30" s="38">
        <v>1764.8</v>
      </c>
      <c r="G30" s="38">
        <v>16252.4</v>
      </c>
      <c r="H30" s="38">
        <v>4715.3999999999996</v>
      </c>
      <c r="I30" s="38">
        <f t="shared" si="1"/>
        <v>43531.199999999997</v>
      </c>
    </row>
    <row r="31" spans="1:9">
      <c r="A31" s="37">
        <v>40179</v>
      </c>
      <c r="B31" s="38">
        <v>118.6</v>
      </c>
      <c r="C31" s="38" t="s">
        <v>1</v>
      </c>
      <c r="D31" s="38">
        <v>11838.400000000001</v>
      </c>
      <c r="E31" s="38">
        <v>9808.5</v>
      </c>
      <c r="F31" s="38">
        <v>1764.8</v>
      </c>
      <c r="G31" s="38">
        <v>16119.400000000001</v>
      </c>
      <c r="H31" s="38">
        <v>4866.5</v>
      </c>
      <c r="I31" s="38">
        <v>44516.2</v>
      </c>
    </row>
    <row r="32" spans="1:9">
      <c r="A32" s="37">
        <v>40210</v>
      </c>
      <c r="B32" s="38">
        <v>118.6</v>
      </c>
      <c r="C32" s="38" t="s">
        <v>1</v>
      </c>
      <c r="D32" s="38">
        <v>11908.1</v>
      </c>
      <c r="E32" s="38">
        <v>10060.700000000001</v>
      </c>
      <c r="F32" s="38">
        <v>1764.8</v>
      </c>
      <c r="G32" s="38">
        <v>16429.7</v>
      </c>
      <c r="H32" s="38">
        <v>4646.2999999999993</v>
      </c>
      <c r="I32" s="38">
        <v>44928.2</v>
      </c>
    </row>
    <row r="33" spans="1:9">
      <c r="A33" s="37">
        <v>40238</v>
      </c>
      <c r="B33" s="38">
        <v>114.3</v>
      </c>
      <c r="C33" s="38" t="s">
        <v>1</v>
      </c>
      <c r="D33" s="38">
        <v>11843.4</v>
      </c>
      <c r="E33" s="38">
        <v>9795.9</v>
      </c>
      <c r="F33" s="38">
        <v>1670.6000000000001</v>
      </c>
      <c r="G33" s="38">
        <v>15942.199999999997</v>
      </c>
      <c r="H33" s="38">
        <v>5407.1</v>
      </c>
      <c r="I33" s="38">
        <v>44773.499999999993</v>
      </c>
    </row>
    <row r="34" spans="1:9">
      <c r="A34" s="37">
        <v>40269</v>
      </c>
      <c r="B34" s="38">
        <v>105.7</v>
      </c>
      <c r="C34" s="38" t="s">
        <v>1</v>
      </c>
      <c r="D34" s="38">
        <v>11894.3</v>
      </c>
      <c r="E34" s="38">
        <v>9999.2999999999993</v>
      </c>
      <c r="F34" s="38">
        <v>1363</v>
      </c>
      <c r="G34" s="38">
        <v>16022.900000000001</v>
      </c>
      <c r="H34" s="38">
        <v>5161.8999999999996</v>
      </c>
      <c r="I34" s="38">
        <v>44547.1</v>
      </c>
    </row>
    <row r="35" spans="1:9">
      <c r="A35" s="37">
        <v>40299</v>
      </c>
      <c r="B35" s="38">
        <v>101.2</v>
      </c>
      <c r="C35" s="38" t="s">
        <v>1</v>
      </c>
      <c r="D35" s="38">
        <v>11895.3</v>
      </c>
      <c r="E35" s="38">
        <v>10121.400000000001</v>
      </c>
      <c r="F35" s="38">
        <v>1363</v>
      </c>
      <c r="G35" s="38">
        <v>15863</v>
      </c>
      <c r="H35" s="38">
        <v>5586.7</v>
      </c>
      <c r="I35" s="38">
        <v>44930.6</v>
      </c>
    </row>
    <row r="36" spans="1:9">
      <c r="A36" s="37">
        <v>40330</v>
      </c>
      <c r="B36" s="38">
        <v>96.7</v>
      </c>
      <c r="C36" s="38" t="s">
        <v>1</v>
      </c>
      <c r="D36" s="38">
        <v>11913.4</v>
      </c>
      <c r="E36" s="38">
        <v>11195.6</v>
      </c>
      <c r="F36" s="38">
        <v>1275.9000000000001</v>
      </c>
      <c r="G36" s="38">
        <v>16080.800000000003</v>
      </c>
      <c r="H36" s="38">
        <v>5886.1</v>
      </c>
      <c r="I36" s="38">
        <v>46448.500000000007</v>
      </c>
    </row>
    <row r="37" spans="1:9">
      <c r="A37" s="37">
        <v>40360</v>
      </c>
      <c r="B37" s="38">
        <v>96.7</v>
      </c>
      <c r="C37" s="38" t="s">
        <v>1</v>
      </c>
      <c r="D37" s="38">
        <v>12584.4</v>
      </c>
      <c r="E37" s="38">
        <v>12270.5</v>
      </c>
      <c r="F37" s="38">
        <v>1275.9000000000001</v>
      </c>
      <c r="G37" s="38">
        <v>16086.000000000004</v>
      </c>
      <c r="H37" s="38">
        <v>6857.3</v>
      </c>
      <c r="I37" s="38">
        <v>49170.8</v>
      </c>
    </row>
    <row r="38" spans="1:9">
      <c r="A38" s="37">
        <v>40391</v>
      </c>
      <c r="B38" s="38">
        <v>192.2</v>
      </c>
      <c r="C38" s="38" t="s">
        <v>1</v>
      </c>
      <c r="D38" s="38">
        <v>13456.3</v>
      </c>
      <c r="E38" s="38">
        <v>13513.3</v>
      </c>
      <c r="F38" s="38">
        <v>1275.9000000000001</v>
      </c>
      <c r="G38" s="38">
        <v>15444.5</v>
      </c>
      <c r="H38" s="38">
        <v>7178.5</v>
      </c>
      <c r="I38" s="38">
        <v>51060.7</v>
      </c>
    </row>
    <row r="39" spans="1:9">
      <c r="A39" s="37">
        <v>40422</v>
      </c>
      <c r="B39" s="38">
        <v>87.6</v>
      </c>
      <c r="C39" s="38" t="s">
        <v>1</v>
      </c>
      <c r="D39" s="38">
        <v>14902.400000000001</v>
      </c>
      <c r="E39" s="38">
        <v>13666.8</v>
      </c>
      <c r="F39" s="38">
        <v>1376.5</v>
      </c>
      <c r="G39" s="38">
        <v>15820.2</v>
      </c>
      <c r="H39" s="38">
        <v>8158</v>
      </c>
      <c r="I39" s="38">
        <v>54011.5</v>
      </c>
    </row>
    <row r="40" spans="1:9">
      <c r="A40" s="37">
        <v>40452</v>
      </c>
      <c r="B40" s="38">
        <v>78.2</v>
      </c>
      <c r="C40" s="38" t="s">
        <v>1</v>
      </c>
      <c r="D40" s="38">
        <v>16987.3</v>
      </c>
      <c r="E40" s="38">
        <v>13749</v>
      </c>
      <c r="F40" s="38">
        <v>1376.5</v>
      </c>
      <c r="G40" s="38">
        <v>16211.699999999997</v>
      </c>
      <c r="H40" s="38">
        <v>8860.5999999999985</v>
      </c>
      <c r="I40" s="38">
        <v>57263.299999999996</v>
      </c>
    </row>
    <row r="41" spans="1:9">
      <c r="A41" s="37">
        <v>40483</v>
      </c>
      <c r="B41" s="38">
        <v>78.2</v>
      </c>
      <c r="C41" s="38" t="s">
        <v>1</v>
      </c>
      <c r="D41" s="38">
        <v>19210</v>
      </c>
      <c r="E41" s="38">
        <v>13154.6</v>
      </c>
      <c r="F41" s="38">
        <v>1376.5</v>
      </c>
      <c r="G41" s="38">
        <v>20092.7</v>
      </c>
      <c r="H41" s="38">
        <v>4271.5</v>
      </c>
      <c r="I41" s="38">
        <v>58183.5</v>
      </c>
    </row>
    <row r="42" spans="1:9">
      <c r="A42" s="37">
        <v>40513</v>
      </c>
      <c r="B42" s="38">
        <v>2179</v>
      </c>
      <c r="C42" s="38" t="s">
        <v>1</v>
      </c>
      <c r="D42" s="38">
        <v>17033.199999999997</v>
      </c>
      <c r="E42" s="38">
        <v>11788.7</v>
      </c>
      <c r="F42" s="38">
        <v>1350.2</v>
      </c>
      <c r="G42" s="38">
        <v>17033.400000000001</v>
      </c>
      <c r="H42" s="38">
        <v>6942.7</v>
      </c>
      <c r="I42" s="38">
        <v>56327.199999999997</v>
      </c>
    </row>
    <row r="43" spans="1:9">
      <c r="A43" s="37">
        <v>40544</v>
      </c>
      <c r="B43" s="38">
        <v>2583.8000000000002</v>
      </c>
      <c r="C43" s="38" t="s">
        <v>1</v>
      </c>
      <c r="D43" s="38">
        <v>14208</v>
      </c>
      <c r="E43" s="38">
        <v>13783.6</v>
      </c>
      <c r="F43" s="38">
        <v>1350.2</v>
      </c>
      <c r="G43" s="38">
        <v>17196.2</v>
      </c>
      <c r="H43" s="38">
        <v>7317.7</v>
      </c>
      <c r="I43" s="38">
        <f t="shared" si="1"/>
        <v>56439.5</v>
      </c>
    </row>
    <row r="44" spans="1:9">
      <c r="A44" s="37">
        <v>40575</v>
      </c>
      <c r="B44" s="38">
        <v>3083.9</v>
      </c>
      <c r="C44" s="38" t="s">
        <v>1</v>
      </c>
      <c r="D44" s="38">
        <v>14277.099999999999</v>
      </c>
      <c r="E44" s="38">
        <v>14423.4</v>
      </c>
      <c r="F44" s="38">
        <v>1350.2</v>
      </c>
      <c r="G44" s="38">
        <v>17324.599999999999</v>
      </c>
      <c r="H44" s="38">
        <v>6975.0999999999995</v>
      </c>
      <c r="I44" s="38">
        <f t="shared" si="1"/>
        <v>57434.299999999996</v>
      </c>
    </row>
    <row r="45" spans="1:9">
      <c r="A45" s="37">
        <v>40603</v>
      </c>
      <c r="B45" s="38">
        <v>3078.9</v>
      </c>
      <c r="C45" s="38" t="s">
        <v>1</v>
      </c>
      <c r="D45" s="38">
        <v>14949.599999999999</v>
      </c>
      <c r="E45" s="38">
        <v>14452.500000000002</v>
      </c>
      <c r="F45" s="38">
        <v>1417.5</v>
      </c>
      <c r="G45" s="38">
        <v>17533.900000000001</v>
      </c>
      <c r="H45" s="38">
        <v>6909.9</v>
      </c>
      <c r="I45" s="38">
        <f t="shared" si="1"/>
        <v>58342.3</v>
      </c>
    </row>
    <row r="46" spans="1:9">
      <c r="A46" s="37">
        <v>40634</v>
      </c>
      <c r="B46" s="38">
        <v>3073.9</v>
      </c>
      <c r="C46" s="38" t="s">
        <v>1</v>
      </c>
      <c r="D46" s="38">
        <v>13584.3</v>
      </c>
      <c r="E46" s="38">
        <v>14980.099999999999</v>
      </c>
      <c r="F46" s="38">
        <v>1090.8</v>
      </c>
      <c r="G46" s="38">
        <v>19020.899999999998</v>
      </c>
      <c r="H46" s="38">
        <v>6631.1</v>
      </c>
      <c r="I46" s="38">
        <f t="shared" si="1"/>
        <v>58381.1</v>
      </c>
    </row>
    <row r="47" spans="1:9">
      <c r="A47" s="37">
        <v>40664</v>
      </c>
      <c r="B47" s="38">
        <v>3068.9</v>
      </c>
      <c r="C47" s="38" t="s">
        <v>1</v>
      </c>
      <c r="D47" s="38">
        <v>13838.6</v>
      </c>
      <c r="E47" s="38">
        <v>15560.1</v>
      </c>
      <c r="F47" s="38">
        <v>1090.8</v>
      </c>
      <c r="G47" s="38">
        <v>19393.900000000005</v>
      </c>
      <c r="H47" s="38">
        <v>7085.2999999999993</v>
      </c>
      <c r="I47" s="38">
        <f t="shared" si="1"/>
        <v>60037.600000000006</v>
      </c>
    </row>
    <row r="48" spans="1:9">
      <c r="A48" s="37">
        <v>40695</v>
      </c>
      <c r="B48" s="38">
        <v>3063.7</v>
      </c>
      <c r="C48" s="38" t="s">
        <v>1</v>
      </c>
      <c r="D48" s="38">
        <v>13847.699999999999</v>
      </c>
      <c r="E48" s="38">
        <v>16086.900000000001</v>
      </c>
      <c r="F48" s="38">
        <v>1112.3</v>
      </c>
      <c r="G48" s="38">
        <v>19729.100000000002</v>
      </c>
      <c r="H48" s="38">
        <v>7389.6</v>
      </c>
      <c r="I48" s="38">
        <f t="shared" si="1"/>
        <v>61229.30000000001</v>
      </c>
    </row>
    <row r="49" spans="1:9">
      <c r="A49" s="37">
        <v>40725</v>
      </c>
      <c r="B49" s="38">
        <v>3206.7999999999997</v>
      </c>
      <c r="C49" s="38" t="s">
        <v>1</v>
      </c>
      <c r="D49" s="38">
        <v>13547.6</v>
      </c>
      <c r="E49" s="38">
        <v>16405.7</v>
      </c>
      <c r="F49" s="38">
        <v>1112.3</v>
      </c>
      <c r="G49" s="38">
        <v>19773.800000000003</v>
      </c>
      <c r="H49" s="38">
        <v>7601.5</v>
      </c>
      <c r="I49" s="38">
        <f t="shared" si="1"/>
        <v>61647.700000000012</v>
      </c>
    </row>
    <row r="50" spans="1:9">
      <c r="A50" s="37">
        <v>40756</v>
      </c>
      <c r="B50" s="38">
        <v>3156.5</v>
      </c>
      <c r="C50" s="38" t="s">
        <v>1</v>
      </c>
      <c r="D50" s="38">
        <v>14047.6</v>
      </c>
      <c r="E50" s="38">
        <v>16709.2</v>
      </c>
      <c r="F50" s="38">
        <v>1112.3</v>
      </c>
      <c r="G50" s="38">
        <v>19988.600000000002</v>
      </c>
      <c r="H50" s="38">
        <v>7811.5</v>
      </c>
      <c r="I50" s="38">
        <f t="shared" si="1"/>
        <v>62825.700000000012</v>
      </c>
    </row>
    <row r="51" spans="1:9">
      <c r="A51" s="37">
        <v>40787</v>
      </c>
      <c r="B51" s="38">
        <v>2988.7</v>
      </c>
      <c r="C51" s="38" t="s">
        <v>1</v>
      </c>
      <c r="D51" s="38">
        <v>14047.6</v>
      </c>
      <c r="E51" s="38">
        <v>16990.099999999999</v>
      </c>
      <c r="F51" s="38">
        <v>1082.5</v>
      </c>
      <c r="G51" s="38">
        <v>20413.199999999997</v>
      </c>
      <c r="H51" s="38">
        <v>7568.1</v>
      </c>
      <c r="I51" s="38">
        <f t="shared" si="1"/>
        <v>63090.19999999999</v>
      </c>
    </row>
    <row r="52" spans="1:9">
      <c r="A52" s="37">
        <v>40817</v>
      </c>
      <c r="B52" s="38">
        <v>3083.3999999999996</v>
      </c>
      <c r="C52" s="38" t="s">
        <v>1</v>
      </c>
      <c r="D52" s="38">
        <v>14546.2</v>
      </c>
      <c r="E52" s="38">
        <v>16990.899999999998</v>
      </c>
      <c r="F52" s="38">
        <v>1082.5</v>
      </c>
      <c r="G52" s="38">
        <v>20822.8</v>
      </c>
      <c r="H52" s="38">
        <v>7882.7</v>
      </c>
      <c r="I52" s="38">
        <f t="shared" si="1"/>
        <v>64408.5</v>
      </c>
    </row>
    <row r="53" spans="1:9">
      <c r="A53" s="37">
        <v>40848</v>
      </c>
      <c r="B53" s="38">
        <v>2677.7999999999997</v>
      </c>
      <c r="C53" s="38" t="s">
        <v>1</v>
      </c>
      <c r="D53" s="38">
        <v>14546.2</v>
      </c>
      <c r="E53" s="38">
        <v>17018.2</v>
      </c>
      <c r="F53" s="38">
        <v>1082.5</v>
      </c>
      <c r="G53" s="38">
        <v>21035.100000000002</v>
      </c>
      <c r="H53" s="38">
        <v>8134.2999999999993</v>
      </c>
      <c r="I53" s="38">
        <f t="shared" si="1"/>
        <v>64494.100000000006</v>
      </c>
    </row>
    <row r="54" spans="1:9">
      <c r="A54" s="37">
        <v>40878</v>
      </c>
      <c r="B54" s="38">
        <v>2690.1</v>
      </c>
      <c r="C54" s="38" t="s">
        <v>1</v>
      </c>
      <c r="D54" s="38">
        <v>15478.699999999999</v>
      </c>
      <c r="E54" s="38">
        <v>16713.399999999998</v>
      </c>
      <c r="F54" s="38">
        <v>1087.9000000000001</v>
      </c>
      <c r="G54" s="38">
        <v>21153.000000000004</v>
      </c>
      <c r="H54" s="38">
        <v>7706.5999999999995</v>
      </c>
      <c r="I54" s="38">
        <f t="shared" si="1"/>
        <v>64829.700000000004</v>
      </c>
    </row>
    <row r="55" spans="1:9">
      <c r="A55" s="37">
        <v>40909</v>
      </c>
      <c r="B55" s="38">
        <v>2700.7000000000003</v>
      </c>
      <c r="C55" s="38" t="s">
        <v>1</v>
      </c>
      <c r="D55" s="38">
        <v>15552.8</v>
      </c>
      <c r="E55" s="38">
        <v>17896.5</v>
      </c>
      <c r="F55" s="38">
        <v>1087.9000000000001</v>
      </c>
      <c r="G55" s="38">
        <v>21264</v>
      </c>
      <c r="H55" s="38">
        <v>6685.9</v>
      </c>
      <c r="I55" s="38">
        <f t="shared" si="1"/>
        <v>65187.8</v>
      </c>
    </row>
    <row r="56" spans="1:9">
      <c r="A56" s="37">
        <v>40940</v>
      </c>
      <c r="B56" s="38">
        <v>2695</v>
      </c>
      <c r="C56" s="38" t="s">
        <v>1</v>
      </c>
      <c r="D56" s="38">
        <v>15552.8</v>
      </c>
      <c r="E56" s="38">
        <v>17924.7</v>
      </c>
      <c r="F56" s="38">
        <v>1087.9000000000001</v>
      </c>
      <c r="G56" s="38">
        <v>21523.800000000003</v>
      </c>
      <c r="H56" s="38">
        <v>6722.8</v>
      </c>
      <c r="I56" s="38">
        <f t="shared" si="1"/>
        <v>65507.000000000007</v>
      </c>
    </row>
    <row r="57" spans="1:9">
      <c r="A57" s="37">
        <v>40969</v>
      </c>
      <c r="B57" s="38">
        <v>2695</v>
      </c>
      <c r="C57" s="38" t="s">
        <v>1</v>
      </c>
      <c r="D57" s="38">
        <v>15152.7</v>
      </c>
      <c r="E57" s="38">
        <v>18414.5</v>
      </c>
      <c r="F57" s="38">
        <v>1126.9000000000001</v>
      </c>
      <c r="G57" s="38">
        <v>21200.700000000004</v>
      </c>
      <c r="H57" s="38">
        <v>7559.7999999999993</v>
      </c>
      <c r="I57" s="38">
        <f t="shared" si="1"/>
        <v>66149.600000000006</v>
      </c>
    </row>
    <row r="58" spans="1:9">
      <c r="A58" s="37">
        <v>41000</v>
      </c>
      <c r="B58" s="38">
        <v>2695</v>
      </c>
      <c r="C58" s="38" t="s">
        <v>1</v>
      </c>
      <c r="D58" s="38">
        <v>16152.8</v>
      </c>
      <c r="E58" s="38">
        <v>18411.899999999998</v>
      </c>
      <c r="F58" s="38">
        <v>780.90000000000009</v>
      </c>
      <c r="G58" s="38">
        <v>21499.3</v>
      </c>
      <c r="H58" s="38">
        <v>7168.8</v>
      </c>
      <c r="I58" s="38">
        <f t="shared" si="1"/>
        <v>66708.7</v>
      </c>
    </row>
    <row r="59" spans="1:9">
      <c r="A59" s="37">
        <v>41030</v>
      </c>
      <c r="B59" s="38">
        <v>2695</v>
      </c>
      <c r="C59" s="38" t="s">
        <v>1</v>
      </c>
      <c r="D59" s="38">
        <v>16152.8</v>
      </c>
      <c r="E59" s="38">
        <v>18900</v>
      </c>
      <c r="F59" s="38">
        <v>780.90000000000009</v>
      </c>
      <c r="G59" s="38">
        <v>21698.400000000001</v>
      </c>
      <c r="H59" s="38">
        <v>7649.4999999999991</v>
      </c>
      <c r="I59" s="38">
        <f t="shared" si="1"/>
        <v>67876.600000000006</v>
      </c>
    </row>
    <row r="60" spans="1:9">
      <c r="A60" s="37">
        <v>41061</v>
      </c>
      <c r="B60" s="38">
        <v>2375.1000000000004</v>
      </c>
      <c r="C60" s="38" t="s">
        <v>1</v>
      </c>
      <c r="D60" s="38">
        <v>16658.5</v>
      </c>
      <c r="E60" s="38">
        <v>18869.799999999996</v>
      </c>
      <c r="F60" s="38">
        <v>767.6</v>
      </c>
      <c r="G60" s="38">
        <v>21803.300000000003</v>
      </c>
      <c r="H60" s="38">
        <v>7763.4999999999991</v>
      </c>
      <c r="I60" s="38">
        <f t="shared" si="1"/>
        <v>68237.799999999988</v>
      </c>
    </row>
    <row r="61" spans="1:9">
      <c r="A61" s="37">
        <v>41091</v>
      </c>
      <c r="B61" s="38">
        <v>2375</v>
      </c>
      <c r="C61" s="38" t="s">
        <v>1</v>
      </c>
      <c r="D61" s="38">
        <v>16658.5</v>
      </c>
      <c r="E61" s="38">
        <v>19038.900000000001</v>
      </c>
      <c r="F61" s="38">
        <v>767.6</v>
      </c>
      <c r="G61" s="38">
        <v>21976.400000000001</v>
      </c>
      <c r="H61" s="38">
        <v>8356</v>
      </c>
      <c r="I61" s="38">
        <f t="shared" si="1"/>
        <v>69172.399999999994</v>
      </c>
    </row>
    <row r="62" spans="1:9">
      <c r="A62" s="37">
        <v>41122</v>
      </c>
      <c r="B62" s="38">
        <v>2405</v>
      </c>
      <c r="C62" s="38" t="s">
        <v>1</v>
      </c>
      <c r="D62" s="38">
        <v>16658.5</v>
      </c>
      <c r="E62" s="38">
        <v>18396</v>
      </c>
      <c r="F62" s="38">
        <v>767.6</v>
      </c>
      <c r="G62" s="38">
        <v>22836.799999999999</v>
      </c>
      <c r="H62" s="38">
        <v>8450.2999999999993</v>
      </c>
      <c r="I62" s="38">
        <f t="shared" si="1"/>
        <v>69514.2</v>
      </c>
    </row>
    <row r="63" spans="1:9">
      <c r="A63" s="37">
        <v>41153</v>
      </c>
      <c r="B63" s="38">
        <v>2405</v>
      </c>
      <c r="C63" s="38" t="s">
        <v>1</v>
      </c>
      <c r="D63" s="38">
        <v>16658.5</v>
      </c>
      <c r="E63" s="38">
        <v>18518.100000000002</v>
      </c>
      <c r="F63" s="38">
        <v>767.6</v>
      </c>
      <c r="G63" s="38">
        <v>22876</v>
      </c>
      <c r="H63" s="38">
        <v>8995.0999999999985</v>
      </c>
      <c r="I63" s="38">
        <f t="shared" si="1"/>
        <v>70220.3</v>
      </c>
    </row>
    <row r="64" spans="1:9">
      <c r="A64" s="37">
        <v>41183</v>
      </c>
      <c r="B64" s="38">
        <v>2495</v>
      </c>
      <c r="C64" s="38" t="s">
        <v>1</v>
      </c>
      <c r="D64" s="38">
        <v>16658.5</v>
      </c>
      <c r="E64" s="38">
        <v>18679.999999999996</v>
      </c>
      <c r="F64" s="38">
        <v>767.6</v>
      </c>
      <c r="G64" s="38">
        <v>23134.899999999998</v>
      </c>
      <c r="H64" s="38">
        <v>9587.2000000000007</v>
      </c>
      <c r="I64" s="38">
        <f t="shared" si="1"/>
        <v>71323.199999999997</v>
      </c>
    </row>
    <row r="65" spans="1:9">
      <c r="A65" s="37">
        <v>41214</v>
      </c>
      <c r="B65" s="38">
        <v>2514</v>
      </c>
      <c r="C65" s="38" t="s">
        <v>1</v>
      </c>
      <c r="D65" s="38">
        <v>17058.5</v>
      </c>
      <c r="E65" s="38">
        <v>18910.399999999998</v>
      </c>
      <c r="F65" s="38">
        <v>767.6</v>
      </c>
      <c r="G65" s="38">
        <v>23357.399999999998</v>
      </c>
      <c r="H65" s="38">
        <v>9697.8000000000011</v>
      </c>
      <c r="I65" s="38">
        <f t="shared" si="1"/>
        <v>72305.7</v>
      </c>
    </row>
    <row r="66" spans="1:9">
      <c r="A66" s="37">
        <v>41244</v>
      </c>
      <c r="B66" s="38">
        <v>2568.4</v>
      </c>
      <c r="C66" s="38" t="s">
        <v>1</v>
      </c>
      <c r="D66" s="38">
        <v>17471.5</v>
      </c>
      <c r="E66" s="38">
        <v>18859.3</v>
      </c>
      <c r="F66" s="38">
        <v>812.8</v>
      </c>
      <c r="G66" s="38">
        <v>23483</v>
      </c>
      <c r="H66" s="38">
        <v>9037.4000000000015</v>
      </c>
      <c r="I66" s="38">
        <f t="shared" si="1"/>
        <v>72232.399999999994</v>
      </c>
    </row>
    <row r="67" spans="1:9">
      <c r="A67" s="37">
        <v>41275</v>
      </c>
      <c r="B67" s="38">
        <v>2595.6</v>
      </c>
      <c r="C67" s="38" t="s">
        <v>1</v>
      </c>
      <c r="D67" s="38">
        <v>17058.899999999998</v>
      </c>
      <c r="E67" s="38">
        <v>19920.8</v>
      </c>
      <c r="F67" s="38">
        <v>812.8</v>
      </c>
      <c r="G67" s="38">
        <v>23506.1</v>
      </c>
      <c r="H67" s="38">
        <v>7901.1</v>
      </c>
      <c r="I67" s="38">
        <f t="shared" si="1"/>
        <v>71795.3</v>
      </c>
    </row>
    <row r="68" spans="1:9">
      <c r="A68" s="37">
        <v>41306</v>
      </c>
      <c r="B68" s="38">
        <v>2596.3000000000002</v>
      </c>
      <c r="C68" s="38" t="s">
        <v>1</v>
      </c>
      <c r="D68" s="38">
        <v>16658.899999999998</v>
      </c>
      <c r="E68" s="38">
        <v>19932.8</v>
      </c>
      <c r="F68" s="38">
        <v>812.8</v>
      </c>
      <c r="G68" s="38">
        <v>23200.6</v>
      </c>
      <c r="H68" s="38">
        <v>8672.7000000000007</v>
      </c>
      <c r="I68" s="38">
        <f t="shared" si="1"/>
        <v>71874.100000000006</v>
      </c>
    </row>
    <row r="69" spans="1:9">
      <c r="A69" s="37">
        <v>41334</v>
      </c>
      <c r="B69" s="38">
        <v>2624.3</v>
      </c>
      <c r="C69" s="38" t="s">
        <v>1</v>
      </c>
      <c r="D69" s="38">
        <v>16658.899999999998</v>
      </c>
      <c r="E69" s="38">
        <v>20350.3</v>
      </c>
      <c r="F69" s="38">
        <v>806.9</v>
      </c>
      <c r="G69" s="38">
        <v>22994.399999999998</v>
      </c>
      <c r="H69" s="38">
        <v>9537.7999999999993</v>
      </c>
      <c r="I69" s="38">
        <f t="shared" si="1"/>
        <v>72972.600000000006</v>
      </c>
    </row>
    <row r="70" spans="1:9">
      <c r="A70" s="37">
        <v>41365</v>
      </c>
      <c r="B70" s="38">
        <v>2804.3</v>
      </c>
      <c r="C70" s="38" t="s">
        <v>1</v>
      </c>
      <c r="D70" s="38">
        <v>16658.899999999998</v>
      </c>
      <c r="E70" s="38">
        <v>20782.3</v>
      </c>
      <c r="F70" s="38">
        <v>806.9</v>
      </c>
      <c r="G70" s="38">
        <v>23167.1</v>
      </c>
      <c r="H70" s="38">
        <v>9276.5</v>
      </c>
      <c r="I70" s="38">
        <f t="shared" si="1"/>
        <v>73496</v>
      </c>
    </row>
    <row r="71" spans="1:9">
      <c r="A71" s="37">
        <v>41395</v>
      </c>
      <c r="B71" s="38">
        <v>2804.3</v>
      </c>
      <c r="C71" s="38" t="s">
        <v>1</v>
      </c>
      <c r="D71" s="38">
        <v>16658.899999999998</v>
      </c>
      <c r="E71" s="38">
        <v>21149</v>
      </c>
      <c r="F71" s="38">
        <v>806.9</v>
      </c>
      <c r="G71" s="38">
        <v>23537.599999999999</v>
      </c>
      <c r="H71" s="38">
        <v>9566.9</v>
      </c>
      <c r="I71" s="38">
        <f t="shared" si="1"/>
        <v>74523.599999999991</v>
      </c>
    </row>
    <row r="72" spans="1:9">
      <c r="A72" s="37">
        <v>41426</v>
      </c>
      <c r="B72" s="38">
        <v>2604.3000000000002</v>
      </c>
      <c r="C72" s="38" t="s">
        <v>1</v>
      </c>
      <c r="D72" s="38">
        <v>16658.899999999998</v>
      </c>
      <c r="E72" s="38">
        <v>21458.3</v>
      </c>
      <c r="F72" s="38">
        <v>805.1</v>
      </c>
      <c r="G72" s="38">
        <v>23630</v>
      </c>
      <c r="H72" s="38">
        <v>10010.799999999999</v>
      </c>
      <c r="I72" s="38">
        <f t="shared" si="1"/>
        <v>75167.399999999994</v>
      </c>
    </row>
    <row r="73" spans="1:9">
      <c r="A73" s="37">
        <v>41456</v>
      </c>
      <c r="B73" s="38">
        <v>2404.2999999999997</v>
      </c>
      <c r="C73" s="38" t="s">
        <v>1</v>
      </c>
      <c r="D73" s="38">
        <v>16658.899999999998</v>
      </c>
      <c r="E73" s="38">
        <v>22068.499999999996</v>
      </c>
      <c r="F73" s="38">
        <v>805.1</v>
      </c>
      <c r="G73" s="38">
        <v>24293.8</v>
      </c>
      <c r="H73" s="38">
        <v>10805.099999999999</v>
      </c>
      <c r="I73" s="38">
        <f t="shared" si="1"/>
        <v>77035.699999999983</v>
      </c>
    </row>
    <row r="74" spans="1:9">
      <c r="A74" s="37">
        <v>41487</v>
      </c>
      <c r="B74" s="38">
        <v>2404.2999999999997</v>
      </c>
      <c r="C74" s="38" t="s">
        <v>1</v>
      </c>
      <c r="D74" s="38">
        <v>16658.899999999998</v>
      </c>
      <c r="E74" s="38">
        <v>22433.200000000001</v>
      </c>
      <c r="F74" s="38">
        <v>805.1</v>
      </c>
      <c r="G74" s="38">
        <v>24022.099999999995</v>
      </c>
      <c r="H74" s="38">
        <v>11647</v>
      </c>
      <c r="I74" s="38">
        <f t="shared" si="1"/>
        <v>77970.599999999991</v>
      </c>
    </row>
    <row r="75" spans="1:9">
      <c r="A75" s="37">
        <v>41518</v>
      </c>
      <c r="B75" s="38">
        <v>2404.2999999999997</v>
      </c>
      <c r="C75" s="38" t="s">
        <v>1</v>
      </c>
      <c r="D75" s="38">
        <v>16711.8</v>
      </c>
      <c r="E75" s="38">
        <v>22735.200000000001</v>
      </c>
      <c r="F75" s="38">
        <v>346</v>
      </c>
      <c r="G75" s="38">
        <v>24563.899999999998</v>
      </c>
      <c r="H75" s="38">
        <v>11954.400000000001</v>
      </c>
      <c r="I75" s="38">
        <f t="shared" si="1"/>
        <v>78715.600000000006</v>
      </c>
    </row>
    <row r="76" spans="1:9">
      <c r="A76" s="37">
        <v>41548</v>
      </c>
      <c r="B76" s="38">
        <v>2353.2999999999997</v>
      </c>
      <c r="C76" s="38" t="s">
        <v>1</v>
      </c>
      <c r="D76" s="38">
        <v>16711.8</v>
      </c>
      <c r="E76" s="38">
        <v>23883.599999999999</v>
      </c>
      <c r="F76" s="38">
        <v>346</v>
      </c>
      <c r="G76" s="38">
        <v>25064.899999999994</v>
      </c>
      <c r="H76" s="38">
        <v>13081</v>
      </c>
      <c r="I76" s="38">
        <f t="shared" si="1"/>
        <v>81440.599999999991</v>
      </c>
    </row>
    <row r="77" spans="1:9">
      <c r="A77" s="37">
        <v>41579</v>
      </c>
      <c r="B77" s="38">
        <v>2371.7999999999997</v>
      </c>
      <c r="C77" s="38" t="s">
        <v>1</v>
      </c>
      <c r="D77" s="38">
        <v>16737.599999999999</v>
      </c>
      <c r="E77" s="38">
        <v>24442.6</v>
      </c>
      <c r="F77" s="38">
        <v>346</v>
      </c>
      <c r="G77" s="38">
        <v>25356.1</v>
      </c>
      <c r="H77" s="38">
        <v>13123.199999999999</v>
      </c>
      <c r="I77" s="38">
        <f t="shared" ref="I77:I126" si="2">SUM(B77:H77)</f>
        <v>82377.3</v>
      </c>
    </row>
    <row r="78" spans="1:9">
      <c r="A78" s="37">
        <v>41609</v>
      </c>
      <c r="B78" s="38">
        <v>2430.7999999999997</v>
      </c>
      <c r="C78" s="38" t="s">
        <v>1</v>
      </c>
      <c r="D78" s="38">
        <v>17595.400000000001</v>
      </c>
      <c r="E78" s="38">
        <v>24760.100000000002</v>
      </c>
      <c r="F78" s="38">
        <v>331.2</v>
      </c>
      <c r="G78" s="38">
        <v>26593.3</v>
      </c>
      <c r="H78" s="38">
        <v>11397.8</v>
      </c>
      <c r="I78" s="38">
        <f t="shared" si="2"/>
        <v>83108.600000000006</v>
      </c>
    </row>
    <row r="79" spans="1:9">
      <c r="A79" s="37">
        <v>41640</v>
      </c>
      <c r="B79" s="38">
        <v>2458.5</v>
      </c>
      <c r="C79" s="38" t="s">
        <v>1</v>
      </c>
      <c r="D79" s="38">
        <v>17682.2</v>
      </c>
      <c r="E79" s="38">
        <v>25983.300000000003</v>
      </c>
      <c r="F79" s="38">
        <v>331.2</v>
      </c>
      <c r="G79" s="38">
        <v>26288.899999999998</v>
      </c>
      <c r="H79" s="39">
        <v>10969.900000000001</v>
      </c>
      <c r="I79" s="38">
        <f t="shared" si="2"/>
        <v>83714</v>
      </c>
    </row>
    <row r="80" spans="1:9">
      <c r="A80" s="37">
        <v>41671</v>
      </c>
      <c r="B80" s="38">
        <v>4553.8</v>
      </c>
      <c r="C80" s="38" t="s">
        <v>1</v>
      </c>
      <c r="D80" s="38">
        <v>17678.7</v>
      </c>
      <c r="E80" s="38">
        <v>25707</v>
      </c>
      <c r="F80" s="38">
        <v>331.2</v>
      </c>
      <c r="G80" s="38">
        <v>26390.799999999999</v>
      </c>
      <c r="H80" s="39">
        <v>10917</v>
      </c>
      <c r="I80" s="38">
        <f t="shared" si="2"/>
        <v>85578.5</v>
      </c>
    </row>
    <row r="81" spans="1:9">
      <c r="A81" s="37">
        <v>41699</v>
      </c>
      <c r="B81" s="38">
        <v>4553.8</v>
      </c>
      <c r="C81" s="38" t="s">
        <v>1</v>
      </c>
      <c r="D81" s="38">
        <v>17678.7</v>
      </c>
      <c r="E81" s="38">
        <v>25576.400000000005</v>
      </c>
      <c r="F81" s="38">
        <v>331.2</v>
      </c>
      <c r="G81" s="38">
        <v>25720</v>
      </c>
      <c r="H81" s="39">
        <v>11895</v>
      </c>
      <c r="I81" s="38">
        <f t="shared" si="2"/>
        <v>85755.1</v>
      </c>
    </row>
    <row r="82" spans="1:9">
      <c r="A82" s="37">
        <v>41730</v>
      </c>
      <c r="B82" s="38">
        <v>4551.8</v>
      </c>
      <c r="C82" s="38">
        <v>300</v>
      </c>
      <c r="D82" s="38">
        <v>18344.8</v>
      </c>
      <c r="E82" s="38">
        <v>26136.7</v>
      </c>
      <c r="F82" s="38">
        <v>331.2</v>
      </c>
      <c r="G82" s="38">
        <v>25975.5</v>
      </c>
      <c r="H82" s="39">
        <v>12061.2</v>
      </c>
      <c r="I82" s="38">
        <f t="shared" si="2"/>
        <v>87701.2</v>
      </c>
    </row>
    <row r="83" spans="1:9">
      <c r="A83" s="37">
        <v>41760</v>
      </c>
      <c r="B83" s="38">
        <v>4562.2000000000007</v>
      </c>
      <c r="C83" s="38" t="s">
        <v>1</v>
      </c>
      <c r="D83" s="38">
        <v>18351.599999999999</v>
      </c>
      <c r="E83" s="38">
        <v>27293.599999999999</v>
      </c>
      <c r="F83" s="38">
        <v>331.2</v>
      </c>
      <c r="G83" s="38">
        <v>25903.799999999996</v>
      </c>
      <c r="H83" s="39">
        <v>12387.2</v>
      </c>
      <c r="I83" s="38">
        <f t="shared" si="2"/>
        <v>88829.599999999991</v>
      </c>
    </row>
    <row r="84" spans="1:9">
      <c r="A84" s="37">
        <v>41791</v>
      </c>
      <c r="B84" s="38">
        <v>4562.2000000000007</v>
      </c>
      <c r="C84" s="38" t="s">
        <v>1</v>
      </c>
      <c r="D84" s="38">
        <v>18384.599999999999</v>
      </c>
      <c r="E84" s="38">
        <v>28649.899999999998</v>
      </c>
      <c r="F84" s="38">
        <v>331.2</v>
      </c>
      <c r="G84" s="38">
        <v>25639.1</v>
      </c>
      <c r="H84" s="39">
        <v>13489.4</v>
      </c>
      <c r="I84" s="38">
        <f t="shared" si="2"/>
        <v>91056.4</v>
      </c>
    </row>
    <row r="85" spans="1:9">
      <c r="A85" s="37">
        <v>41821</v>
      </c>
      <c r="B85" s="38">
        <v>4559.6000000000004</v>
      </c>
      <c r="C85" s="38" t="s">
        <v>1</v>
      </c>
      <c r="D85" s="38">
        <v>18358.3</v>
      </c>
      <c r="E85" s="38">
        <v>29303.399999999998</v>
      </c>
      <c r="F85" s="38">
        <v>331.2</v>
      </c>
      <c r="G85" s="38">
        <v>25568.400000000001</v>
      </c>
      <c r="H85" s="39">
        <v>14373.099999999999</v>
      </c>
      <c r="I85" s="38">
        <f t="shared" si="2"/>
        <v>92494</v>
      </c>
    </row>
    <row r="86" spans="1:9">
      <c r="A86" s="37">
        <v>41852</v>
      </c>
      <c r="B86" s="38">
        <v>4444.8</v>
      </c>
      <c r="C86" s="38" t="s">
        <v>1</v>
      </c>
      <c r="D86" s="38">
        <v>18358.3</v>
      </c>
      <c r="E86" s="38">
        <v>30183.400000000009</v>
      </c>
      <c r="F86" s="38">
        <v>331.2</v>
      </c>
      <c r="G86" s="38">
        <v>25595.199999999997</v>
      </c>
      <c r="H86" s="39">
        <v>15126.9</v>
      </c>
      <c r="I86" s="38">
        <f t="shared" si="2"/>
        <v>94039.799999999988</v>
      </c>
    </row>
    <row r="87" spans="1:9">
      <c r="A87" s="37">
        <v>41883</v>
      </c>
      <c r="B87" s="38">
        <v>4444.8</v>
      </c>
      <c r="C87" s="38" t="s">
        <v>1</v>
      </c>
      <c r="D87" s="38">
        <v>18608.3</v>
      </c>
      <c r="E87" s="38">
        <v>31166.500000000004</v>
      </c>
      <c r="F87" s="38">
        <v>331.2</v>
      </c>
      <c r="G87" s="38">
        <v>25635.800000000003</v>
      </c>
      <c r="H87" s="39">
        <v>15759.9</v>
      </c>
      <c r="I87" s="38">
        <f t="shared" si="2"/>
        <v>95946.5</v>
      </c>
    </row>
    <row r="88" spans="1:9">
      <c r="A88" s="37">
        <v>41913</v>
      </c>
      <c r="B88" s="38">
        <v>5344.8</v>
      </c>
      <c r="C88" s="38">
        <v>500</v>
      </c>
      <c r="D88" s="38">
        <v>18459.599999999999</v>
      </c>
      <c r="E88" s="38">
        <v>30961.5</v>
      </c>
      <c r="F88" s="38">
        <v>331.2</v>
      </c>
      <c r="G88" s="38">
        <v>26213.600000000002</v>
      </c>
      <c r="H88" s="39">
        <v>15856.800000000001</v>
      </c>
      <c r="I88" s="38">
        <f t="shared" si="2"/>
        <v>97667.5</v>
      </c>
    </row>
    <row r="89" spans="1:9">
      <c r="A89" s="37">
        <v>41944</v>
      </c>
      <c r="B89" s="38">
        <v>5710.8</v>
      </c>
      <c r="C89" s="38">
        <v>1000</v>
      </c>
      <c r="D89" s="38">
        <v>18309.599999999999</v>
      </c>
      <c r="E89" s="38">
        <v>31654.800000000003</v>
      </c>
      <c r="F89" s="38">
        <v>331.2</v>
      </c>
      <c r="G89" s="38">
        <v>26644.799999999996</v>
      </c>
      <c r="H89" s="39">
        <v>16352.2</v>
      </c>
      <c r="I89" s="38">
        <f t="shared" si="2"/>
        <v>100003.39999999998</v>
      </c>
    </row>
    <row r="90" spans="1:9">
      <c r="A90" s="37">
        <v>41974</v>
      </c>
      <c r="B90" s="38">
        <v>5732.2000000000007</v>
      </c>
      <c r="C90" s="38">
        <v>500</v>
      </c>
      <c r="D90" s="38">
        <v>18489.400000000001</v>
      </c>
      <c r="E90" s="38">
        <v>32440.199999999997</v>
      </c>
      <c r="F90" s="38">
        <v>331.2</v>
      </c>
      <c r="G90" s="38">
        <v>28003.899999999998</v>
      </c>
      <c r="H90" s="39">
        <v>16436.099999999999</v>
      </c>
      <c r="I90" s="38">
        <f t="shared" si="2"/>
        <v>101933</v>
      </c>
    </row>
    <row r="91" spans="1:9">
      <c r="A91" s="37">
        <v>42005</v>
      </c>
      <c r="B91" s="38">
        <v>5802</v>
      </c>
      <c r="C91" s="38">
        <v>500</v>
      </c>
      <c r="D91" s="38">
        <v>18416.3</v>
      </c>
      <c r="E91" s="38">
        <v>33815</v>
      </c>
      <c r="F91" s="38">
        <v>331.2</v>
      </c>
      <c r="G91" s="38">
        <v>28046.499999999996</v>
      </c>
      <c r="H91" s="39">
        <v>15590</v>
      </c>
      <c r="I91" s="38">
        <f t="shared" si="2"/>
        <v>102501</v>
      </c>
    </row>
    <row r="92" spans="1:9">
      <c r="A92" s="37">
        <v>42036</v>
      </c>
      <c r="B92" s="38">
        <v>5802</v>
      </c>
      <c r="C92" s="38">
        <v>500</v>
      </c>
      <c r="D92" s="38">
        <v>18266.3</v>
      </c>
      <c r="E92" s="38">
        <v>33115.199999999997</v>
      </c>
      <c r="F92" s="38">
        <v>331.2</v>
      </c>
      <c r="G92" s="38">
        <v>28091.600000000002</v>
      </c>
      <c r="H92" s="39">
        <v>16003.2</v>
      </c>
      <c r="I92" s="38">
        <f t="shared" si="2"/>
        <v>102109.5</v>
      </c>
    </row>
    <row r="93" spans="1:9">
      <c r="A93" s="37">
        <v>42064</v>
      </c>
      <c r="B93" s="38">
        <v>5302</v>
      </c>
      <c r="C93" s="38">
        <v>500</v>
      </c>
      <c r="D93" s="38">
        <v>18108.099999999999</v>
      </c>
      <c r="E93" s="38">
        <v>33868.5</v>
      </c>
      <c r="F93" s="38">
        <v>331.2</v>
      </c>
      <c r="G93" s="38">
        <v>27023.299999999996</v>
      </c>
      <c r="H93" s="39">
        <v>17755.800000000003</v>
      </c>
      <c r="I93" s="38">
        <f t="shared" si="2"/>
        <v>102888.9</v>
      </c>
    </row>
    <row r="94" spans="1:9">
      <c r="A94" s="37">
        <v>42095</v>
      </c>
      <c r="B94" s="38">
        <v>5446.4</v>
      </c>
      <c r="C94" s="38" t="s">
        <v>1</v>
      </c>
      <c r="D94" s="38">
        <v>16173.099999999999</v>
      </c>
      <c r="E94" s="38">
        <v>36719.1</v>
      </c>
      <c r="F94" s="38">
        <v>331.2</v>
      </c>
      <c r="G94" s="38">
        <v>28692.199999999993</v>
      </c>
      <c r="H94" s="39">
        <v>18316.7</v>
      </c>
      <c r="I94" s="38">
        <f t="shared" si="2"/>
        <v>105678.69999999998</v>
      </c>
    </row>
    <row r="95" spans="1:9">
      <c r="A95" s="37">
        <v>42125</v>
      </c>
      <c r="B95" s="38">
        <v>5528.1</v>
      </c>
      <c r="C95" s="38" t="s">
        <v>1</v>
      </c>
      <c r="D95" s="38">
        <v>16023.099999999999</v>
      </c>
      <c r="E95" s="38">
        <v>36777.299999999996</v>
      </c>
      <c r="F95" s="38">
        <v>331.2</v>
      </c>
      <c r="G95" s="38">
        <v>28536.299999999992</v>
      </c>
      <c r="H95" s="39">
        <v>19325.099999999999</v>
      </c>
      <c r="I95" s="38">
        <f t="shared" si="2"/>
        <v>106521.09999999998</v>
      </c>
    </row>
    <row r="96" spans="1:9">
      <c r="A96" s="37">
        <v>42156</v>
      </c>
      <c r="B96" s="38">
        <v>5446.4</v>
      </c>
      <c r="C96" s="38" t="s">
        <v>1</v>
      </c>
      <c r="D96" s="38">
        <v>15873.099999999999</v>
      </c>
      <c r="E96" s="38">
        <v>36962.1</v>
      </c>
      <c r="F96" s="38">
        <v>331.2</v>
      </c>
      <c r="G96" s="38">
        <v>29002.6</v>
      </c>
      <c r="H96" s="39">
        <v>19640.900000000001</v>
      </c>
      <c r="I96" s="38">
        <f t="shared" si="2"/>
        <v>107256.29999999999</v>
      </c>
    </row>
    <row r="97" spans="1:9">
      <c r="A97" s="37">
        <v>42186</v>
      </c>
      <c r="B97" s="38">
        <v>5446.4</v>
      </c>
      <c r="C97" s="38" t="s">
        <v>1</v>
      </c>
      <c r="D97" s="38">
        <v>15873.099999999999</v>
      </c>
      <c r="E97" s="38">
        <v>37468.500000000007</v>
      </c>
      <c r="F97" s="38">
        <v>331.2</v>
      </c>
      <c r="G97" s="38">
        <v>29234.800000000003</v>
      </c>
      <c r="H97" s="39">
        <v>20515.300000000003</v>
      </c>
      <c r="I97" s="38">
        <f t="shared" si="2"/>
        <v>108869.3</v>
      </c>
    </row>
    <row r="98" spans="1:9">
      <c r="A98" s="37">
        <v>42217</v>
      </c>
      <c r="B98" s="38">
        <v>5446.4</v>
      </c>
      <c r="C98" s="38" t="s">
        <v>1</v>
      </c>
      <c r="D98" s="38">
        <v>16073.099999999999</v>
      </c>
      <c r="E98" s="38">
        <v>37971.700000000004</v>
      </c>
      <c r="F98" s="38">
        <v>331.2</v>
      </c>
      <c r="G98" s="38">
        <v>30647.400000000005</v>
      </c>
      <c r="H98" s="39">
        <v>21099.300000000003</v>
      </c>
      <c r="I98" s="38">
        <f t="shared" si="2"/>
        <v>111569.1</v>
      </c>
    </row>
    <row r="99" spans="1:9">
      <c r="A99" s="37">
        <v>42248</v>
      </c>
      <c r="B99" s="38">
        <v>5446.4</v>
      </c>
      <c r="C99" s="38" t="s">
        <v>1</v>
      </c>
      <c r="D99" s="38">
        <v>16259.899999999998</v>
      </c>
      <c r="E99" s="38">
        <v>37483.800000000003</v>
      </c>
      <c r="F99" s="38">
        <v>331.2</v>
      </c>
      <c r="G99" s="38">
        <v>31475.4</v>
      </c>
      <c r="H99" s="39">
        <v>21552.400000000001</v>
      </c>
      <c r="I99" s="38">
        <f t="shared" si="2"/>
        <v>112549.1</v>
      </c>
    </row>
    <row r="100" spans="1:9">
      <c r="A100" s="37">
        <v>42278</v>
      </c>
      <c r="B100" s="38">
        <v>5446.4</v>
      </c>
      <c r="C100" s="38" t="s">
        <v>1</v>
      </c>
      <c r="D100" s="38">
        <v>16035.599999999999</v>
      </c>
      <c r="E100" s="38">
        <v>37400.80000000001</v>
      </c>
      <c r="F100" s="38">
        <v>331.2</v>
      </c>
      <c r="G100" s="38">
        <v>31767.3</v>
      </c>
      <c r="H100" s="39">
        <v>22510</v>
      </c>
      <c r="I100" s="38">
        <f t="shared" si="2"/>
        <v>113491.3</v>
      </c>
    </row>
    <row r="101" spans="1:9">
      <c r="A101" s="37">
        <v>42309</v>
      </c>
      <c r="B101" s="38">
        <v>4651.6000000000004</v>
      </c>
      <c r="C101" s="38" t="s">
        <v>1</v>
      </c>
      <c r="D101" s="38">
        <v>7910.3</v>
      </c>
      <c r="E101" s="38">
        <v>50423.7</v>
      </c>
      <c r="F101" s="38">
        <v>331.2</v>
      </c>
      <c r="G101" s="38">
        <v>35668.400000000001</v>
      </c>
      <c r="H101" s="39">
        <v>18347.2</v>
      </c>
      <c r="I101" s="38">
        <f t="shared" si="2"/>
        <v>117332.4</v>
      </c>
    </row>
    <row r="102" spans="1:9">
      <c r="A102" s="37">
        <v>42339</v>
      </c>
      <c r="B102" s="38">
        <v>4680.2</v>
      </c>
      <c r="C102" s="38" t="s">
        <v>1</v>
      </c>
      <c r="D102" s="38">
        <v>12527.599999999999</v>
      </c>
      <c r="E102" s="38">
        <v>48125.500000000015</v>
      </c>
      <c r="F102" s="38">
        <v>331.2</v>
      </c>
      <c r="G102" s="38">
        <v>36204.5</v>
      </c>
      <c r="H102" s="39">
        <v>17593</v>
      </c>
      <c r="I102" s="38">
        <f t="shared" si="2"/>
        <v>119462.00000000001</v>
      </c>
    </row>
    <row r="103" spans="1:9">
      <c r="A103" s="37">
        <v>42370</v>
      </c>
      <c r="B103" s="38">
        <v>4212.5999999999995</v>
      </c>
      <c r="C103" s="38" t="s">
        <v>1</v>
      </c>
      <c r="D103" s="38">
        <v>12555</v>
      </c>
      <c r="E103" s="38">
        <v>47784.800000000003</v>
      </c>
      <c r="F103" s="38">
        <v>331.2</v>
      </c>
      <c r="G103" s="38">
        <v>35837.300000000003</v>
      </c>
      <c r="H103" s="39">
        <v>19364.599999999999</v>
      </c>
      <c r="I103" s="38">
        <f t="shared" si="2"/>
        <v>120085.5</v>
      </c>
    </row>
    <row r="104" spans="1:9">
      <c r="A104" s="37">
        <v>42401</v>
      </c>
      <c r="B104" s="38">
        <v>4178.6000000000004</v>
      </c>
      <c r="C104" s="38" t="s">
        <v>1</v>
      </c>
      <c r="D104" s="38">
        <v>12619.5</v>
      </c>
      <c r="E104" s="38">
        <v>49361.100000000006</v>
      </c>
      <c r="F104" s="38">
        <v>331.2</v>
      </c>
      <c r="G104" s="38">
        <v>35978.5</v>
      </c>
      <c r="H104" s="39">
        <v>21074.100000000002</v>
      </c>
      <c r="I104" s="38">
        <f t="shared" si="2"/>
        <v>123543.00000000001</v>
      </c>
    </row>
    <row r="105" spans="1:9">
      <c r="A105" s="37">
        <v>42430</v>
      </c>
      <c r="B105" s="38">
        <v>4205.0999999999995</v>
      </c>
      <c r="C105" s="38" t="s">
        <v>1</v>
      </c>
      <c r="D105" s="38">
        <v>12645.4</v>
      </c>
      <c r="E105" s="38">
        <v>51896.3</v>
      </c>
      <c r="F105" s="38">
        <v>331.2</v>
      </c>
      <c r="G105" s="38">
        <v>35358.9</v>
      </c>
      <c r="H105" s="39">
        <v>22434.2</v>
      </c>
      <c r="I105" s="38">
        <f t="shared" si="2"/>
        <v>126871.09999999999</v>
      </c>
    </row>
    <row r="106" spans="1:9">
      <c r="A106" s="37">
        <v>42461</v>
      </c>
      <c r="B106" s="38">
        <v>4230.9000000000005</v>
      </c>
      <c r="C106" s="38" t="s">
        <v>1</v>
      </c>
      <c r="D106" s="38">
        <v>12694.8</v>
      </c>
      <c r="E106" s="38">
        <v>51979.80000000001</v>
      </c>
      <c r="F106" s="38">
        <v>331.2</v>
      </c>
      <c r="G106" s="38">
        <v>35621</v>
      </c>
      <c r="H106" s="39">
        <v>22714.3</v>
      </c>
      <c r="I106" s="38">
        <f t="shared" si="2"/>
        <v>127572.00000000001</v>
      </c>
    </row>
    <row r="107" spans="1:9">
      <c r="A107" s="37">
        <v>42491</v>
      </c>
      <c r="B107" s="38">
        <v>3803.8</v>
      </c>
      <c r="C107" s="38" t="s">
        <v>1</v>
      </c>
      <c r="D107" s="38">
        <v>12057.2</v>
      </c>
      <c r="E107" s="38">
        <v>52759.6</v>
      </c>
      <c r="F107" s="38">
        <v>331.2</v>
      </c>
      <c r="G107" s="38">
        <v>36654.399999999994</v>
      </c>
      <c r="H107" s="39">
        <v>22679.899999999998</v>
      </c>
      <c r="I107" s="38">
        <f t="shared" si="2"/>
        <v>128286.09999999999</v>
      </c>
    </row>
    <row r="108" spans="1:9">
      <c r="A108" s="37">
        <v>42522</v>
      </c>
      <c r="B108" s="38">
        <v>3879.1</v>
      </c>
      <c r="C108" s="38">
        <v>301.60000000000014</v>
      </c>
      <c r="D108" s="38">
        <v>11194.099999999999</v>
      </c>
      <c r="E108" s="38">
        <v>52988.900000000009</v>
      </c>
      <c r="F108" s="38">
        <v>331.2</v>
      </c>
      <c r="G108" s="38">
        <v>36951.699999999997</v>
      </c>
      <c r="H108" s="39">
        <v>21983.199999999997</v>
      </c>
      <c r="I108" s="38">
        <f t="shared" si="2"/>
        <v>127629.8</v>
      </c>
    </row>
    <row r="109" spans="1:9">
      <c r="A109" s="37">
        <v>42552</v>
      </c>
      <c r="B109" s="38">
        <v>3905.7999999999997</v>
      </c>
      <c r="C109" s="38">
        <v>304.19999999999982</v>
      </c>
      <c r="D109" s="38">
        <v>26244.699999999997</v>
      </c>
      <c r="E109" s="38">
        <v>40024.800000000003</v>
      </c>
      <c r="F109" s="38">
        <v>331.2</v>
      </c>
      <c r="G109" s="38">
        <v>37628</v>
      </c>
      <c r="H109" s="39">
        <v>22040.899999999998</v>
      </c>
      <c r="I109" s="38">
        <f t="shared" si="2"/>
        <v>130479.59999999999</v>
      </c>
    </row>
    <row r="110" spans="1:9">
      <c r="A110" s="37">
        <v>42583</v>
      </c>
      <c r="B110" s="38">
        <v>3884.5</v>
      </c>
      <c r="C110" s="38">
        <v>306.79999999999995</v>
      </c>
      <c r="D110" s="38">
        <v>26275.300000000003</v>
      </c>
      <c r="E110" s="38">
        <v>40470.6</v>
      </c>
      <c r="F110" s="38">
        <v>331.2</v>
      </c>
      <c r="G110" s="38">
        <v>37497.699999999997</v>
      </c>
      <c r="H110" s="39">
        <v>24071.100000000002</v>
      </c>
      <c r="I110" s="38">
        <f t="shared" si="2"/>
        <v>132837.19999999998</v>
      </c>
    </row>
    <row r="111" spans="1:9">
      <c r="A111" s="37">
        <v>42614</v>
      </c>
      <c r="B111" s="38">
        <v>3910.7</v>
      </c>
      <c r="C111" s="38">
        <v>301.60000000000014</v>
      </c>
      <c r="D111" s="38">
        <v>27794.5</v>
      </c>
      <c r="E111" s="38">
        <v>31767.499999999996</v>
      </c>
      <c r="F111" s="38">
        <v>331.2</v>
      </c>
      <c r="G111" s="38">
        <v>38060</v>
      </c>
      <c r="H111" s="39">
        <v>32098.2</v>
      </c>
      <c r="I111" s="38">
        <f t="shared" si="2"/>
        <v>134263.70000000001</v>
      </c>
    </row>
    <row r="112" spans="1:9">
      <c r="A112" s="37">
        <v>42644</v>
      </c>
      <c r="B112" s="38">
        <v>5166.7</v>
      </c>
      <c r="C112" s="38">
        <v>304.20000000000005</v>
      </c>
      <c r="D112" s="38">
        <v>14372.3</v>
      </c>
      <c r="E112" s="38">
        <v>44808.5</v>
      </c>
      <c r="F112" s="38">
        <v>331.2</v>
      </c>
      <c r="G112" s="38">
        <v>38644.799999999996</v>
      </c>
      <c r="H112" s="39">
        <v>32220.2</v>
      </c>
      <c r="I112" s="38">
        <f t="shared" si="2"/>
        <v>135847.9</v>
      </c>
    </row>
    <row r="113" spans="1:9">
      <c r="A113" s="37">
        <v>42675</v>
      </c>
      <c r="B113" s="38">
        <v>5143.1000000000004</v>
      </c>
      <c r="C113" s="38">
        <v>306.69999999999982</v>
      </c>
      <c r="D113" s="38">
        <v>14442.300000000001</v>
      </c>
      <c r="E113" s="38">
        <v>45407.5</v>
      </c>
      <c r="F113" s="38">
        <v>331.2</v>
      </c>
      <c r="G113" s="38">
        <v>38751.300000000003</v>
      </c>
      <c r="H113" s="39">
        <v>32872.1</v>
      </c>
      <c r="I113" s="38">
        <f t="shared" si="2"/>
        <v>137254.20000000001</v>
      </c>
    </row>
    <row r="114" spans="1:9">
      <c r="A114" s="37">
        <v>42705</v>
      </c>
      <c r="B114" s="38">
        <v>5477.9</v>
      </c>
      <c r="C114" s="38">
        <v>301.79999999999995</v>
      </c>
      <c r="D114" s="38">
        <v>13744.4</v>
      </c>
      <c r="E114" s="38">
        <v>45799.7</v>
      </c>
      <c r="F114" s="38">
        <v>331.2</v>
      </c>
      <c r="G114" s="38">
        <v>38358</v>
      </c>
      <c r="H114" s="39">
        <v>34192.799999999996</v>
      </c>
      <c r="I114" s="38">
        <f t="shared" si="2"/>
        <v>138205.79999999999</v>
      </c>
    </row>
    <row r="115" spans="1:9">
      <c r="A115" s="40">
        <v>42766</v>
      </c>
      <c r="B115" s="38">
        <v>4223.5</v>
      </c>
      <c r="C115" s="38">
        <v>304.29999999999995</v>
      </c>
      <c r="D115" s="38">
        <v>15068.3</v>
      </c>
      <c r="E115" s="38">
        <v>46123.8</v>
      </c>
      <c r="F115" s="38">
        <v>331.2</v>
      </c>
      <c r="G115" s="38">
        <v>38240.600000000006</v>
      </c>
      <c r="H115" s="39">
        <v>34309.699999999997</v>
      </c>
      <c r="I115" s="38">
        <f t="shared" si="2"/>
        <v>138601.4</v>
      </c>
    </row>
    <row r="116" spans="1:9">
      <c r="A116" s="40">
        <v>42794</v>
      </c>
      <c r="B116" s="38">
        <v>4201.3</v>
      </c>
      <c r="C116" s="38">
        <v>306.5</v>
      </c>
      <c r="D116" s="38">
        <v>14114.900000000001</v>
      </c>
      <c r="E116" s="38">
        <v>47038.099999999991</v>
      </c>
      <c r="F116" s="38">
        <v>331.2</v>
      </c>
      <c r="G116" s="38">
        <v>38310.9</v>
      </c>
      <c r="H116" s="39">
        <v>32295</v>
      </c>
      <c r="I116" s="38">
        <f t="shared" si="2"/>
        <v>136597.9</v>
      </c>
    </row>
    <row r="117" spans="1:9">
      <c r="A117" s="40">
        <v>42825</v>
      </c>
      <c r="B117" s="38">
        <v>4213.8</v>
      </c>
      <c r="C117" s="38">
        <v>301.7</v>
      </c>
      <c r="D117" s="38">
        <v>14102.3</v>
      </c>
      <c r="E117" s="38">
        <v>48881.9</v>
      </c>
      <c r="F117" s="38">
        <v>331.2</v>
      </c>
      <c r="G117" s="38">
        <v>37732.800000000003</v>
      </c>
      <c r="H117" s="39">
        <v>33037.9</v>
      </c>
      <c r="I117" s="38">
        <f t="shared" si="2"/>
        <v>138601.60000000001</v>
      </c>
    </row>
    <row r="118" spans="1:9">
      <c r="A118" s="40">
        <v>42855</v>
      </c>
      <c r="B118" s="38">
        <v>4231.1000000000004</v>
      </c>
      <c r="C118" s="38">
        <v>304.2</v>
      </c>
      <c r="D118" s="38">
        <v>14818.8</v>
      </c>
      <c r="E118" s="38">
        <v>49891.4</v>
      </c>
      <c r="F118" s="38">
        <v>331.2</v>
      </c>
      <c r="G118" s="38">
        <v>37829.499999999993</v>
      </c>
      <c r="H118" s="39">
        <v>32372.999999999996</v>
      </c>
      <c r="I118" s="38">
        <f t="shared" si="2"/>
        <v>139779.19999999998</v>
      </c>
    </row>
    <row r="119" spans="1:9">
      <c r="A119" s="40">
        <v>42886</v>
      </c>
      <c r="B119" s="38">
        <v>4380.3999999999996</v>
      </c>
      <c r="C119" s="38">
        <v>306.7</v>
      </c>
      <c r="D119" s="38">
        <v>14877.5</v>
      </c>
      <c r="E119" s="38">
        <v>50922.400000000001</v>
      </c>
      <c r="F119" s="38">
        <v>1711.1000000000001</v>
      </c>
      <c r="G119" s="38">
        <v>37386.899999999994</v>
      </c>
      <c r="H119" s="39">
        <v>33423.300000000003</v>
      </c>
      <c r="I119" s="38">
        <f t="shared" si="2"/>
        <v>143008.29999999999</v>
      </c>
    </row>
    <row r="120" spans="1:9">
      <c r="A120" s="40">
        <v>42916</v>
      </c>
      <c r="B120" s="38">
        <v>4482.1000000000004</v>
      </c>
      <c r="C120" s="38">
        <v>1003</v>
      </c>
      <c r="D120" s="38">
        <v>13350.1</v>
      </c>
      <c r="E120" s="38">
        <v>51836.6</v>
      </c>
      <c r="F120" s="38">
        <v>2141.1999999999998</v>
      </c>
      <c r="G120" s="38">
        <v>37753</v>
      </c>
      <c r="H120" s="39">
        <v>33892.9</v>
      </c>
      <c r="I120" s="38">
        <f t="shared" si="2"/>
        <v>144458.9</v>
      </c>
    </row>
    <row r="121" spans="1:9">
      <c r="A121" s="40">
        <v>42947</v>
      </c>
      <c r="B121" s="38">
        <v>4586</v>
      </c>
      <c r="C121" s="38">
        <v>1011.5</v>
      </c>
      <c r="D121" s="38">
        <v>13417.8</v>
      </c>
      <c r="E121" s="38">
        <v>52969.4</v>
      </c>
      <c r="F121" s="38">
        <v>2153.2999999999997</v>
      </c>
      <c r="G121" s="38">
        <v>38096.9</v>
      </c>
      <c r="H121" s="39">
        <v>33944.600000000006</v>
      </c>
      <c r="I121" s="38">
        <f t="shared" si="2"/>
        <v>146179.5</v>
      </c>
    </row>
    <row r="122" spans="1:9">
      <c r="A122" s="40">
        <v>42978</v>
      </c>
      <c r="B122" s="38">
        <v>3588.1000000000004</v>
      </c>
      <c r="C122" s="38">
        <v>1020</v>
      </c>
      <c r="D122" s="38">
        <v>13485.099999999999</v>
      </c>
      <c r="E122" s="38">
        <v>53340.200000000004</v>
      </c>
      <c r="F122" s="38">
        <v>2174</v>
      </c>
      <c r="G122" s="38">
        <v>39009.200000000004</v>
      </c>
      <c r="H122" s="39">
        <v>34274.700000000004</v>
      </c>
      <c r="I122" s="38">
        <f t="shared" si="2"/>
        <v>146891.30000000002</v>
      </c>
    </row>
    <row r="123" spans="1:9">
      <c r="A123" s="40">
        <v>43008</v>
      </c>
      <c r="B123" s="38">
        <v>3567.3</v>
      </c>
      <c r="C123" s="38">
        <v>1002.5</v>
      </c>
      <c r="D123" s="38">
        <v>12501.7</v>
      </c>
      <c r="E123" s="38">
        <v>54306.1</v>
      </c>
      <c r="F123" s="38">
        <v>2247.6</v>
      </c>
      <c r="G123" s="38">
        <v>39233</v>
      </c>
      <c r="H123" s="39">
        <v>34801.599999999999</v>
      </c>
      <c r="I123" s="38">
        <f t="shared" si="2"/>
        <v>147659.80000000002</v>
      </c>
    </row>
    <row r="124" spans="1:9">
      <c r="A124" s="40">
        <v>43039</v>
      </c>
      <c r="B124" s="38">
        <v>3581.1</v>
      </c>
      <c r="C124" s="38">
        <v>1011.4</v>
      </c>
      <c r="D124" s="38">
        <v>12867.8</v>
      </c>
      <c r="E124" s="38">
        <v>54099.799999999996</v>
      </c>
      <c r="F124" s="38">
        <v>2512.6</v>
      </c>
      <c r="G124" s="38">
        <v>39827.799999999996</v>
      </c>
      <c r="H124" s="39">
        <v>35574</v>
      </c>
      <c r="I124" s="38">
        <f t="shared" si="2"/>
        <v>149474.5</v>
      </c>
    </row>
    <row r="125" spans="1:9">
      <c r="A125" s="40">
        <v>43069</v>
      </c>
      <c r="B125" s="38">
        <v>3597.8</v>
      </c>
      <c r="C125" s="38">
        <v>1019.2</v>
      </c>
      <c r="D125" s="38">
        <v>12925.6</v>
      </c>
      <c r="E125" s="38">
        <v>54530.9</v>
      </c>
      <c r="F125" s="38">
        <v>2447.5</v>
      </c>
      <c r="G125" s="38">
        <v>39917.600000000006</v>
      </c>
      <c r="H125" s="39">
        <v>35942</v>
      </c>
      <c r="I125" s="38">
        <f t="shared" si="2"/>
        <v>150380.6</v>
      </c>
    </row>
    <row r="126" spans="1:9">
      <c r="A126" s="40">
        <v>43100</v>
      </c>
      <c r="B126" s="38">
        <v>3610.1000000000004</v>
      </c>
      <c r="C126" s="38">
        <v>1003.3</v>
      </c>
      <c r="D126" s="38">
        <v>12022.2</v>
      </c>
      <c r="E126" s="38">
        <v>55942.200000000004</v>
      </c>
      <c r="F126" s="38">
        <v>2484.5</v>
      </c>
      <c r="G126" s="38">
        <v>40889</v>
      </c>
      <c r="H126" s="39">
        <v>35250.6</v>
      </c>
      <c r="I126" s="38">
        <f t="shared" si="2"/>
        <v>151201.9</v>
      </c>
    </row>
    <row r="127" spans="1:9">
      <c r="A127" s="40">
        <v>43131</v>
      </c>
      <c r="B127" s="38">
        <f>1526.2+2095.9</f>
        <v>3622.1000000000004</v>
      </c>
      <c r="C127" s="38">
        <v>1011.8</v>
      </c>
      <c r="D127" s="38">
        <f>8632.7+3487.1</f>
        <v>12119.800000000001</v>
      </c>
      <c r="E127" s="38">
        <f>54761.2+1529.1</f>
        <v>56290.299999999996</v>
      </c>
      <c r="F127" s="38">
        <f>2141+331.2</f>
        <v>2472.1999999999998</v>
      </c>
      <c r="G127" s="38">
        <f>897.7+26392.3-8815.6+20061.6+2887.4</f>
        <v>41423.4</v>
      </c>
      <c r="H127" s="39">
        <f>12242.4+8815.6+983.7+13660.7</f>
        <v>35702.400000000001</v>
      </c>
      <c r="I127" s="38">
        <f t="shared" ref="I127:I138" si="3">SUM(B127:H127)</f>
        <v>152642</v>
      </c>
    </row>
    <row r="128" spans="1:9">
      <c r="A128" s="40">
        <v>43159</v>
      </c>
      <c r="B128" s="38">
        <f>1536+2106.2</f>
        <v>3642.2</v>
      </c>
      <c r="C128" s="38">
        <v>0</v>
      </c>
      <c r="D128" s="38">
        <f>8653.1+3495.7</f>
        <v>12148.8</v>
      </c>
      <c r="E128" s="38">
        <f>56063.1+1318.8</f>
        <v>57381.9</v>
      </c>
      <c r="F128" s="38">
        <f>3606.5+331.2</f>
        <v>3937.7</v>
      </c>
      <c r="G128" s="38">
        <f>-1264.7+29345.3-11824.7+20061.6+3052.7</f>
        <v>39370.199999999997</v>
      </c>
      <c r="H128" s="39">
        <f>11866.3+11824.7+1070.6+13915.8</f>
        <v>38677.399999999994</v>
      </c>
      <c r="I128" s="38">
        <f t="shared" si="3"/>
        <v>155158.19999999998</v>
      </c>
    </row>
    <row r="129" spans="1:9">
      <c r="A129" s="40">
        <v>43160</v>
      </c>
      <c r="B129" s="38">
        <f>1440.8+2121.5</f>
        <v>3562.3</v>
      </c>
      <c r="C129" s="38">
        <v>0</v>
      </c>
      <c r="D129" s="38">
        <f>7677.1+3607.8</f>
        <v>11284.900000000001</v>
      </c>
      <c r="E129" s="38">
        <f>57342.6+1299.5</f>
        <v>58642.1</v>
      </c>
      <c r="F129" s="38">
        <f>3641+331.2</f>
        <v>3972.2</v>
      </c>
      <c r="G129" s="38">
        <f>508.2+27819.1-11880.4+21194.5+613.3</f>
        <v>38254.700000000004</v>
      </c>
      <c r="H129" s="39">
        <f>11819.8+11880.4+1843.3+14028.1</f>
        <v>39571.599999999999</v>
      </c>
      <c r="I129" s="38">
        <f t="shared" si="3"/>
        <v>155287.80000000002</v>
      </c>
    </row>
    <row r="130" spans="1:9">
      <c r="A130" s="40">
        <v>43220</v>
      </c>
      <c r="B130" s="38">
        <f>1450.4+2126.8</f>
        <v>3577.2000000000003</v>
      </c>
      <c r="C130" s="38">
        <v>0</v>
      </c>
      <c r="D130" s="38">
        <f>7699.1+3653.4</f>
        <v>11352.5</v>
      </c>
      <c r="E130" s="38">
        <f>58639.7+1309.4</f>
        <v>59949.1</v>
      </c>
      <c r="F130" s="38">
        <f>3663.7+331.2</f>
        <v>3994.8999999999996</v>
      </c>
      <c r="G130" s="38">
        <f>609.6+27893.1-11951.7+21194.5+1230.6</f>
        <v>38976.1</v>
      </c>
      <c r="H130" s="39">
        <f>11928.5+11951.7+1035+13876.1</f>
        <v>38791.300000000003</v>
      </c>
      <c r="I130" s="38">
        <f t="shared" si="3"/>
        <v>156641.09999999998</v>
      </c>
    </row>
    <row r="131" spans="1:9">
      <c r="A131" s="40">
        <v>43251</v>
      </c>
      <c r="B131" s="38">
        <f>1460.4+2128</f>
        <v>3588.4</v>
      </c>
      <c r="C131" s="38">
        <v>0</v>
      </c>
      <c r="D131" s="38">
        <f>7722.5+3735</f>
        <v>11457.5</v>
      </c>
      <c r="E131" s="38">
        <f>59828.2+1314.3</f>
        <v>61142.5</v>
      </c>
      <c r="F131" s="38">
        <f>3417.4+331.2</f>
        <v>3748.6</v>
      </c>
      <c r="G131" s="38">
        <f>760.9+27968.1-12003.6+21194.5+1239.3</f>
        <v>39159.200000000004</v>
      </c>
      <c r="H131" s="39">
        <f>12078+12003.6+1162.7+14289.8</f>
        <v>39534.1</v>
      </c>
      <c r="I131" s="38">
        <f t="shared" si="3"/>
        <v>158630.30000000002</v>
      </c>
    </row>
    <row r="132" spans="1:9">
      <c r="A132" s="40">
        <v>43281</v>
      </c>
      <c r="B132" s="38">
        <f>1470.1+2136.3</f>
        <v>3606.4</v>
      </c>
      <c r="C132" s="38">
        <v>0</v>
      </c>
      <c r="D132" s="38">
        <f>7745+3684.7</f>
        <v>11429.7</v>
      </c>
      <c r="E132" s="38">
        <f>60992.3+1315.2</f>
        <v>62307.5</v>
      </c>
      <c r="F132" s="38">
        <f>3450.7+331.2</f>
        <v>3781.8999999999996</v>
      </c>
      <c r="G132" s="38">
        <f>924.3+28017.8-12050.9+21194.5+1623.7</f>
        <v>39709.399999999994</v>
      </c>
      <c r="H132" s="39">
        <f>11954+12050.9+1121.9+14269.2</f>
        <v>39396</v>
      </c>
      <c r="I132" s="38">
        <f t="shared" si="3"/>
        <v>160230.9</v>
      </c>
    </row>
    <row r="133" spans="1:9">
      <c r="A133" s="40">
        <v>43282</v>
      </c>
      <c r="B133" s="38">
        <f>1480+2144.7</f>
        <v>3624.7</v>
      </c>
      <c r="C133" s="38">
        <v>0</v>
      </c>
      <c r="D133" s="38">
        <f>3881.5+7768.5</f>
        <v>11650</v>
      </c>
      <c r="E133" s="38">
        <f>1318.4+61943.7</f>
        <v>63262.1</v>
      </c>
      <c r="F133" s="38">
        <f>331.2+3472.8</f>
        <v>3804</v>
      </c>
      <c r="G133" s="38">
        <f>1064.6+28060-12090.3+21194.6+1892</f>
        <v>40120.899999999994</v>
      </c>
      <c r="H133" s="39">
        <f>12444.9+12090.3+1505.2+14451.5</f>
        <v>40491.899999999994</v>
      </c>
      <c r="I133" s="38">
        <f t="shared" si="3"/>
        <v>162953.59999999998</v>
      </c>
    </row>
    <row r="134" spans="1:9">
      <c r="A134" s="40">
        <v>43314</v>
      </c>
      <c r="B134" s="38">
        <f>1490+2152.5</f>
        <v>3642.5</v>
      </c>
      <c r="C134" s="38">
        <v>0</v>
      </c>
      <c r="D134" s="38">
        <f>4018.4+7791.7</f>
        <v>11810.1</v>
      </c>
      <c r="E134" s="38">
        <f>1377.5+62753.9</f>
        <v>64131.4</v>
      </c>
      <c r="F134" s="38">
        <f>331.2+3495.1</f>
        <v>3826.2999999999997</v>
      </c>
      <c r="G134" s="38">
        <f>1276.8+26899-10924.4+21194.5+2128.8</f>
        <v>40574.700000000004</v>
      </c>
      <c r="H134" s="39">
        <f>12718.3+10924.4+1402.1+14419.1</f>
        <v>39463.899999999994</v>
      </c>
      <c r="I134" s="38">
        <f t="shared" si="3"/>
        <v>163448.9</v>
      </c>
    </row>
    <row r="135" spans="1:9">
      <c r="A135" s="40">
        <v>43373</v>
      </c>
      <c r="B135" s="38">
        <f>1499.7+2161.5</f>
        <v>3661.2</v>
      </c>
      <c r="C135" s="38">
        <v>0</v>
      </c>
      <c r="D135" s="38">
        <f>4342.8+7814</f>
        <v>12156.8</v>
      </c>
      <c r="E135" s="38">
        <f>1365.4+63744.2</f>
        <v>65109.599999999999</v>
      </c>
      <c r="F135" s="38">
        <f>331.2+3536.3</f>
        <v>3867.5</v>
      </c>
      <c r="G135" s="38">
        <f>1502.5+26861.6-10883.5+21194.5+2469.1</f>
        <v>41144.199999999997</v>
      </c>
      <c r="H135" s="39">
        <f>12624.4+10883.5+2845.8+14807.3</f>
        <v>41161</v>
      </c>
      <c r="I135" s="38">
        <f t="shared" si="3"/>
        <v>167100.29999999999</v>
      </c>
    </row>
    <row r="136" spans="1:9">
      <c r="A136" s="40">
        <v>43374</v>
      </c>
      <c r="B136" s="38">
        <f>1509.6+2165.5</f>
        <v>3675.1</v>
      </c>
      <c r="C136" s="38">
        <v>0</v>
      </c>
      <c r="D136" s="38">
        <f>4458.3+7837.4</f>
        <v>12295.7</v>
      </c>
      <c r="E136" s="38">
        <f>1545.2+64939.3</f>
        <v>66484.5</v>
      </c>
      <c r="F136" s="38">
        <f>331.2+3558.5</f>
        <v>3889.7</v>
      </c>
      <c r="G136" s="38">
        <f>1672.4+26803.7-10821.5+21194.5+2919.4</f>
        <v>41768.500000000007</v>
      </c>
      <c r="H136" s="39">
        <f>12767.9+10821.5+2199.2+14902.4</f>
        <v>40691</v>
      </c>
      <c r="I136" s="38">
        <f t="shared" si="3"/>
        <v>168804.5</v>
      </c>
    </row>
    <row r="137" spans="1:9">
      <c r="A137" s="40">
        <v>43434</v>
      </c>
      <c r="B137" s="38">
        <f>1519.3+2174.5</f>
        <v>3693.8</v>
      </c>
      <c r="C137" s="38">
        <v>0</v>
      </c>
      <c r="D137" s="38">
        <f>4609.3+7859.7</f>
        <v>12469</v>
      </c>
      <c r="E137" s="38">
        <f>1540.8+66067.8</f>
        <v>67608.600000000006</v>
      </c>
      <c r="F137" s="38">
        <f>331.2+3285.7</f>
        <v>3616.8999999999996</v>
      </c>
      <c r="G137" s="38">
        <f>2424.5+26702.7-10759.9+21194.5+3160.4</f>
        <v>42722.200000000004</v>
      </c>
      <c r="H137" s="39">
        <f>12537.7+10759.9+2298.8+15277.6</f>
        <v>40874</v>
      </c>
      <c r="I137" s="38">
        <f t="shared" si="3"/>
        <v>170984.5</v>
      </c>
    </row>
    <row r="138" spans="1:9">
      <c r="A138" s="40">
        <v>43435</v>
      </c>
      <c r="B138" s="38">
        <f>1532.5+2179.5</f>
        <v>3712</v>
      </c>
      <c r="C138" s="38">
        <v>0</v>
      </c>
      <c r="D138" s="38">
        <f>4736.7+7842.1</f>
        <v>12578.8</v>
      </c>
      <c r="E138" s="38">
        <f>1972.9+67401.4</f>
        <v>69374.299999999988</v>
      </c>
      <c r="F138" s="38">
        <f>331.2+3319.7</f>
        <v>3650.8999999999996</v>
      </c>
      <c r="G138" s="38">
        <f>2891.2+19940.3-3995.3+21194.6+3743.5</f>
        <v>43774.3</v>
      </c>
      <c r="H138" s="39">
        <f>12715.3+3995.3+2172.7+15442.7</f>
        <v>34326</v>
      </c>
      <c r="I138" s="38">
        <f t="shared" si="3"/>
        <v>167416.29999999999</v>
      </c>
    </row>
    <row r="139" spans="1:9">
      <c r="A139" s="40">
        <v>43496</v>
      </c>
      <c r="B139" s="38">
        <f>1543.3+2180.7</f>
        <v>3724</v>
      </c>
      <c r="C139" s="38">
        <v>0</v>
      </c>
      <c r="D139" s="38">
        <f>4833.6+7034.1</f>
        <v>11867.7</v>
      </c>
      <c r="E139" s="38">
        <f>2043.5+70274.3</f>
        <v>72317.8</v>
      </c>
      <c r="F139" s="38">
        <f>331.2+3340.8</f>
        <v>3672</v>
      </c>
      <c r="G139" s="38">
        <f>3015.2+19937.5-3990.3+21194.5+3587.7</f>
        <v>43744.6</v>
      </c>
      <c r="H139" s="39">
        <f>12835+3990.3+2655.4+15888.8</f>
        <v>35369.5</v>
      </c>
      <c r="I139" s="38">
        <f t="shared" ref="I139:I186" si="4">SUM(B139:H139)</f>
        <v>170695.6</v>
      </c>
    </row>
    <row r="140" spans="1:9">
      <c r="A140" s="40">
        <v>43524</v>
      </c>
      <c r="B140" s="38">
        <f>1553.7+2189.7</f>
        <v>3743.3999999999996</v>
      </c>
      <c r="C140" s="38">
        <v>0</v>
      </c>
      <c r="D140" s="38">
        <f>4910+7056.2</f>
        <v>11966.2</v>
      </c>
      <c r="E140" s="38">
        <f>1992.4+73287.3</f>
        <v>75279.7</v>
      </c>
      <c r="F140" s="38">
        <f>331.2+3359.8</f>
        <v>3691</v>
      </c>
      <c r="G140" s="38">
        <f>3241.7+19922.2-3973.3+21194.5+3599.8</f>
        <v>43984.900000000009</v>
      </c>
      <c r="H140" s="39">
        <f>12607.2+3973.3+2249.7+16549.3</f>
        <v>35379.5</v>
      </c>
      <c r="I140" s="38">
        <f t="shared" si="4"/>
        <v>174044.7</v>
      </c>
    </row>
    <row r="141" spans="1:9">
      <c r="A141" s="40">
        <v>43555</v>
      </c>
      <c r="B141" s="38">
        <f>1564+2190.1</f>
        <v>3754.1</v>
      </c>
      <c r="C141" s="38">
        <v>0</v>
      </c>
      <c r="D141" s="38">
        <f>5998.8+7079.8</f>
        <v>13078.6</v>
      </c>
      <c r="E141" s="38">
        <f>2338.1+74854.3</f>
        <v>77192.400000000009</v>
      </c>
      <c r="F141" s="38">
        <f>331.2+3410.7</f>
        <v>3741.8999999999996</v>
      </c>
      <c r="G141" s="38">
        <f>504.3+21648.2-3215.1+23053.6+703.1</f>
        <v>42694.1</v>
      </c>
      <c r="H141" s="39">
        <f>12447.5+3215.1+3700.5+16833.1</f>
        <v>36196.199999999997</v>
      </c>
      <c r="I141" s="38">
        <f t="shared" si="4"/>
        <v>176657.3</v>
      </c>
    </row>
    <row r="142" spans="1:9">
      <c r="A142" s="40">
        <v>43556</v>
      </c>
      <c r="B142" s="38">
        <f>1877.2+2194.9</f>
        <v>4072.1000000000004</v>
      </c>
      <c r="C142" s="38">
        <v>0</v>
      </c>
      <c r="D142" s="38">
        <f>6140.4+7103.1</f>
        <v>13243.5</v>
      </c>
      <c r="E142" s="38">
        <f>2107.8+75455.9</f>
        <v>77563.7</v>
      </c>
      <c r="F142" s="38">
        <f>331.2+3124.4</f>
        <v>3455.6</v>
      </c>
      <c r="G142" s="38">
        <f>629.9+22061.9-3608.7+23053.5+1667</f>
        <v>43803.600000000006</v>
      </c>
      <c r="H142" s="39">
        <f>12395.1+3608.7+2486.9+16764.1</f>
        <v>35254.800000000003</v>
      </c>
      <c r="I142" s="38">
        <f t="shared" si="4"/>
        <v>177393.3</v>
      </c>
    </row>
    <row r="143" spans="1:9">
      <c r="A143" s="40">
        <v>43587</v>
      </c>
      <c r="B143" s="38">
        <f>1890.9+2200.9</f>
        <v>4091.8</v>
      </c>
      <c r="C143" s="38">
        <v>0</v>
      </c>
      <c r="D143" s="38">
        <f>6251.6+7127.1</f>
        <v>13378.7</v>
      </c>
      <c r="E143" s="38">
        <f>2238.9+77474.2</f>
        <v>79713.099999999991</v>
      </c>
      <c r="F143" s="38">
        <f>331.2+3143.7</f>
        <v>3474.8999999999996</v>
      </c>
      <c r="G143" s="38">
        <f>950.2+21184.2-2727.1+23053.6+1723.5</f>
        <v>44184.4</v>
      </c>
      <c r="H143" s="39">
        <f>12081.7+2727.1+1853.3+17395.5</f>
        <v>34057.600000000006</v>
      </c>
      <c r="I143" s="38">
        <f t="shared" si="4"/>
        <v>178900.5</v>
      </c>
    </row>
    <row r="144" spans="1:9">
      <c r="A144" s="40">
        <v>43619</v>
      </c>
      <c r="B144" s="38">
        <f>1903.1+2213.2</f>
        <v>4116.2999999999993</v>
      </c>
      <c r="C144" s="38">
        <v>0</v>
      </c>
      <c r="D144" s="38">
        <f>6101.4+7150.4</f>
        <v>13251.8</v>
      </c>
      <c r="E144" s="38">
        <f>3523.3+78966.3</f>
        <v>82489.600000000006</v>
      </c>
      <c r="F144" s="38">
        <f>331.2+3196.9</f>
        <v>3528.1</v>
      </c>
      <c r="G144" s="38">
        <f>1304.9+21236.3-2776.4+23053.5+2192.6</f>
        <v>45010.9</v>
      </c>
      <c r="H144" s="39">
        <f>12630.2+2776.4+1710+17566.3</f>
        <v>34682.899999999994</v>
      </c>
      <c r="I144" s="38">
        <f t="shared" si="4"/>
        <v>183079.6</v>
      </c>
    </row>
    <row r="145" spans="1:9">
      <c r="A145" s="40">
        <v>43677</v>
      </c>
      <c r="B145" s="38">
        <f>1915.6+2219.6</f>
        <v>4135.2</v>
      </c>
      <c r="C145" s="38">
        <v>0</v>
      </c>
      <c r="D145" s="38">
        <f>7174.4+6178.2</f>
        <v>13352.599999999999</v>
      </c>
      <c r="E145" s="38">
        <f>3535.8+80298.7</f>
        <v>83834.5</v>
      </c>
      <c r="F145" s="38">
        <f>331.2+3216.8</f>
        <v>3548</v>
      </c>
      <c r="G145" s="38">
        <f>1544.1+21209.9-2789.4+23053.6+2546.5</f>
        <v>45564.7</v>
      </c>
      <c r="H145" s="39">
        <f>12240.3+2789.4+2760.7+17999.6</f>
        <v>35790</v>
      </c>
      <c r="I145" s="38">
        <f t="shared" si="4"/>
        <v>186225</v>
      </c>
    </row>
    <row r="146" spans="1:9">
      <c r="A146" s="40">
        <v>43678</v>
      </c>
      <c r="B146" s="38">
        <f>1223.7+2223.4</f>
        <v>3447.1000000000004</v>
      </c>
      <c r="C146" s="38">
        <v>0</v>
      </c>
      <c r="D146" s="38">
        <f>7198.5+6201.8</f>
        <v>13400.3</v>
      </c>
      <c r="E146" s="38">
        <f>3522.7+83677.8</f>
        <v>87200.5</v>
      </c>
      <c r="F146" s="38">
        <f>3236.7+331.2</f>
        <v>3567.8999999999996</v>
      </c>
      <c r="G146" s="38">
        <f>1796.3+21249.2-2826.6+23053.6+2997</f>
        <v>46269.5</v>
      </c>
      <c r="H146" s="39">
        <f>11697.1+2826.6+2060.9+18471.8</f>
        <v>35056.400000000001</v>
      </c>
      <c r="I146" s="38">
        <f t="shared" si="4"/>
        <v>188941.69999999998</v>
      </c>
    </row>
    <row r="147" spans="1:9">
      <c r="A147" s="40">
        <v>43738</v>
      </c>
      <c r="B147" s="38">
        <f>1231.3+2233.8</f>
        <v>3465.1000000000004</v>
      </c>
      <c r="C147" s="38">
        <v>0</v>
      </c>
      <c r="D147" s="38">
        <f>7221.7+6239.5</f>
        <v>13461.2</v>
      </c>
      <c r="E147" s="38">
        <f>3526.5+84281</f>
        <v>87807.5</v>
      </c>
      <c r="F147" s="38">
        <f>3227.9+331.2</f>
        <v>3559.1</v>
      </c>
      <c r="G147" s="38">
        <f>2060.6+21258-2833.1+23053.6+3660.8</f>
        <v>47199.9</v>
      </c>
      <c r="H147" s="39">
        <f>11328.5+2833.1+1945.6+18546.5</f>
        <v>34653.699999999997</v>
      </c>
      <c r="I147" s="38">
        <f t="shared" si="4"/>
        <v>190146.5</v>
      </c>
    </row>
    <row r="148" spans="1:9">
      <c r="A148" s="40">
        <v>43739</v>
      </c>
      <c r="B148" s="38">
        <f>1239.1+2240.2</f>
        <v>3479.2999999999997</v>
      </c>
      <c r="C148" s="38">
        <v>0</v>
      </c>
      <c r="D148" s="38">
        <f>7245.8+6077.2</f>
        <v>13323</v>
      </c>
      <c r="E148" s="38">
        <f>3535.4+88646.3</f>
        <v>92181.7</v>
      </c>
      <c r="F148" s="38">
        <f>3247.8+331.2</f>
        <v>3579</v>
      </c>
      <c r="G148" s="38">
        <f>2318.8+21270.7-2843.2+23053.6+3702.5</f>
        <v>47502.399999999994</v>
      </c>
      <c r="H148" s="39">
        <f>11423.7+2843.2+2187.4+19328.9</f>
        <v>35783.200000000004</v>
      </c>
      <c r="I148" s="38">
        <f t="shared" si="4"/>
        <v>195848.6</v>
      </c>
    </row>
    <row r="149" spans="1:9">
      <c r="A149" s="40">
        <v>43799</v>
      </c>
      <c r="B149" s="38">
        <f>1246.6+2242.1</f>
        <v>3488.7</v>
      </c>
      <c r="C149" s="38">
        <v>0</v>
      </c>
      <c r="D149" s="38">
        <f>7269+6098.9</f>
        <v>13367.9</v>
      </c>
      <c r="E149" s="38">
        <f>3525.3+91265.3</f>
        <v>94790.6</v>
      </c>
      <c r="F149" s="38">
        <f>2962.1+331.2</f>
        <v>3293.2999999999997</v>
      </c>
      <c r="G149" s="38">
        <f>2534.9+21296.9-2840.7+23053.6+4261.5</f>
        <v>48306.2</v>
      </c>
      <c r="H149" s="39">
        <f>11818+2840.7+2181.9+19386.1</f>
        <v>36226.699999999997</v>
      </c>
      <c r="I149" s="38">
        <f t="shared" si="4"/>
        <v>199473.40000000002</v>
      </c>
    </row>
    <row r="150" spans="1:9">
      <c r="A150" s="40">
        <v>43800</v>
      </c>
      <c r="B150" s="38">
        <f>1265.7+2249.9</f>
        <v>3515.6000000000004</v>
      </c>
      <c r="C150" s="38">
        <v>0</v>
      </c>
      <c r="D150" s="38">
        <f>7250.6+6107.1</f>
        <v>13357.7</v>
      </c>
      <c r="E150" s="38">
        <f>5506.9+92425.5</f>
        <v>97932.4</v>
      </c>
      <c r="F150" s="38">
        <f>3051.7+331.2</f>
        <v>3382.8999999999996</v>
      </c>
      <c r="G150" s="38">
        <f>2928.3+21176-2722.2+23053.6+5011.8</f>
        <v>49447.5</v>
      </c>
      <c r="H150" s="39">
        <f>11301+2722.2+1519.5+19174.1</f>
        <v>34716.800000000003</v>
      </c>
      <c r="I150" s="38">
        <f t="shared" si="4"/>
        <v>202352.89999999997</v>
      </c>
    </row>
    <row r="151" spans="1:9">
      <c r="A151" s="40">
        <v>43861</v>
      </c>
      <c r="B151" s="38">
        <f>1275.6+2255.9</f>
        <v>3531.5</v>
      </c>
      <c r="C151" s="38">
        <v>0</v>
      </c>
      <c r="D151" s="38">
        <f>7275.5+6130.4</f>
        <v>13405.9</v>
      </c>
      <c r="E151" s="38">
        <f>5494.8+93929.9</f>
        <v>99424.7</v>
      </c>
      <c r="F151" s="38">
        <f>3070.4+331.2</f>
        <v>3401.6</v>
      </c>
      <c r="G151" s="38">
        <f>3062.2+21223.7-2767.7+23053.6+4974.3</f>
        <v>49546.100000000006</v>
      </c>
      <c r="H151" s="39">
        <f>11701.7+2767.7+1573.4+19570.6</f>
        <v>35613.4</v>
      </c>
      <c r="I151" s="38">
        <f t="shared" si="4"/>
        <v>204923.2</v>
      </c>
    </row>
    <row r="152" spans="1:9">
      <c r="A152" s="40">
        <v>43862</v>
      </c>
      <c r="B152" s="38">
        <f>1285+2258.9</f>
        <v>3543.9</v>
      </c>
      <c r="C152" s="38">
        <v>0</v>
      </c>
      <c r="D152" s="38">
        <f>7298.7+6175.5</f>
        <v>13474.2</v>
      </c>
      <c r="E152" s="38">
        <f>5470.1+95898.2</f>
        <v>101368.3</v>
      </c>
      <c r="F152" s="38">
        <f>3088+331.2</f>
        <v>3419.2</v>
      </c>
      <c r="G152" s="38">
        <f>3200.7+21356.3-2895.9+23053.6+5300.4</f>
        <v>50015.1</v>
      </c>
      <c r="H152" s="39">
        <f>11887.9+2895.9+1614.7+19898</f>
        <v>36296.5</v>
      </c>
      <c r="I152" s="38">
        <f t="shared" si="4"/>
        <v>208117.2</v>
      </c>
    </row>
    <row r="153" spans="1:9">
      <c r="A153" s="40">
        <v>43921</v>
      </c>
      <c r="B153" s="38">
        <f>1449.5+2270.3</f>
        <v>3719.8</v>
      </c>
      <c r="C153" s="38">
        <v>0</v>
      </c>
      <c r="D153" s="38">
        <f>7323.6+6202.5</f>
        <v>13526.1</v>
      </c>
      <c r="E153" s="38">
        <f>7493.3+98177.6</f>
        <v>105670.90000000001</v>
      </c>
      <c r="F153" s="38">
        <f>3107.3+331.2</f>
        <v>3438.5</v>
      </c>
      <c r="G153" s="38">
        <f>505.2+23162.6-2633+25865.7+1007.6</f>
        <v>47908.1</v>
      </c>
      <c r="H153" s="39">
        <f>12045.1+2633+2155.2+19962.9</f>
        <v>36796.199999999997</v>
      </c>
      <c r="I153" s="38">
        <f t="shared" si="4"/>
        <v>211059.60000000003</v>
      </c>
    </row>
    <row r="154" spans="1:9">
      <c r="A154" s="40">
        <v>43922</v>
      </c>
      <c r="B154" s="38">
        <f>1771+2278.9</f>
        <v>4049.9</v>
      </c>
      <c r="C154" s="38">
        <v>0</v>
      </c>
      <c r="D154" s="38">
        <f>9354.8+6292.6</f>
        <v>15647.4</v>
      </c>
      <c r="E154" s="38">
        <f>6524.5+100324.3</f>
        <v>106848.8</v>
      </c>
      <c r="F154" s="38">
        <f>2880.6+331.2</f>
        <v>3211.7999999999997</v>
      </c>
      <c r="G154" s="38">
        <f>727+23226.1-2672.4+25865.7+1837.8</f>
        <v>48984.2</v>
      </c>
      <c r="H154" s="39">
        <f>10792.8+2672.4+1606.3+20105.3</f>
        <v>35176.799999999996</v>
      </c>
      <c r="I154" s="38">
        <f t="shared" si="4"/>
        <v>213918.9</v>
      </c>
    </row>
    <row r="155" spans="1:9">
      <c r="A155" s="40">
        <v>43982</v>
      </c>
      <c r="B155" s="38">
        <f>1279.6+2285.9</f>
        <v>3565.5</v>
      </c>
      <c r="C155" s="38">
        <v>0</v>
      </c>
      <c r="D155" s="38">
        <f>8378.4+6244.3</f>
        <v>14622.7</v>
      </c>
      <c r="E155" s="38">
        <f>8534.6+102520.5</f>
        <v>111055.1</v>
      </c>
      <c r="F155" s="38">
        <f>2897.6+331.2</f>
        <v>3228.7999999999997</v>
      </c>
      <c r="G155" s="38">
        <f>887.1+23311.4-2752.8+25865.7+2256.7</f>
        <v>49568.1</v>
      </c>
      <c r="H155" s="39">
        <f>10629.5+2752.8+1640.7+20501.2</f>
        <v>35524.199999999997</v>
      </c>
      <c r="I155" s="38">
        <f t="shared" si="4"/>
        <v>217564.40000000002</v>
      </c>
    </row>
    <row r="156" spans="1:9">
      <c r="A156" s="40">
        <v>44012</v>
      </c>
      <c r="B156" s="38">
        <f>1287.7+2294.3</f>
        <v>3582</v>
      </c>
      <c r="C156" s="38">
        <v>0</v>
      </c>
      <c r="D156" s="38">
        <f>1291+6290.6</f>
        <v>7581.6</v>
      </c>
      <c r="E156" s="38">
        <f>17136.6+107279</f>
        <v>124415.6</v>
      </c>
      <c r="F156" s="38">
        <f>2929.4+331.2</f>
        <v>3260.6</v>
      </c>
      <c r="G156" s="38">
        <f>1308.8+23339.5-2776.5+25865.7+2876.4</f>
        <v>50613.9</v>
      </c>
      <c r="H156" s="39">
        <f>10659.6+2776.5+1879.6+20746.1</f>
        <v>36061.800000000003</v>
      </c>
      <c r="I156" s="38">
        <f t="shared" si="4"/>
        <v>225515.5</v>
      </c>
    </row>
    <row r="157" spans="1:9">
      <c r="A157" s="40">
        <v>44043</v>
      </c>
      <c r="B157" s="38">
        <f>1296.2+2325.7</f>
        <v>3621.8999999999996</v>
      </c>
      <c r="C157" s="38">
        <v>0</v>
      </c>
      <c r="D157" s="38">
        <f>3287.3+6254.4</f>
        <v>9541.7000000000007</v>
      </c>
      <c r="E157" s="38">
        <f>15175.7+114674.5</f>
        <v>129850.2</v>
      </c>
      <c r="F157" s="38">
        <f>2947+331.2</f>
        <v>3278.2</v>
      </c>
      <c r="G157" s="38">
        <f>1562.5+23326.7-2779.7+25865.8+3279.8</f>
        <v>51255.100000000006</v>
      </c>
      <c r="H157" s="39">
        <f>10731+2779.7+3370.5+21337.7</f>
        <v>38218.9</v>
      </c>
      <c r="I157" s="38">
        <f t="shared" si="4"/>
        <v>235766</v>
      </c>
    </row>
    <row r="158" spans="1:9">
      <c r="A158" s="40">
        <v>44074</v>
      </c>
      <c r="B158" s="38">
        <f>1304.7+2329.2</f>
        <v>3633.8999999999996</v>
      </c>
      <c r="C158" s="38">
        <v>0</v>
      </c>
      <c r="D158" s="38">
        <f>10453.9+6167.9</f>
        <v>16621.8</v>
      </c>
      <c r="E158" s="38">
        <f>8024.9+116166</f>
        <v>124190.9</v>
      </c>
      <c r="F158" s="38">
        <f>2964.6+331.2</f>
        <v>3295.7999999999997</v>
      </c>
      <c r="G158" s="38">
        <f>1783.5+23338.6-2786.2+25865.7+4350.6</f>
        <v>52552.2</v>
      </c>
      <c r="H158" s="39">
        <f>10704.6+2786.2+2173+21281.3</f>
        <v>36945.1</v>
      </c>
      <c r="I158" s="38">
        <f t="shared" si="4"/>
        <v>237239.69999999998</v>
      </c>
    </row>
    <row r="159" spans="1:9">
      <c r="A159" s="40">
        <v>44104</v>
      </c>
      <c r="B159" s="38">
        <f>1312.9+2333.9</f>
        <v>3646.8</v>
      </c>
      <c r="C159" s="38">
        <v>0</v>
      </c>
      <c r="D159" s="38">
        <f>3289.1+6230.2</f>
        <v>9519.2999999999993</v>
      </c>
      <c r="E159" s="38">
        <f>15222+121951</f>
        <v>137173</v>
      </c>
      <c r="F159" s="38">
        <f>3006.7+331.2</f>
        <v>3337.8999999999996</v>
      </c>
      <c r="G159" s="38">
        <f>2034.4+23352.7-2796.7+25865.7+5313.7</f>
        <v>53769.8</v>
      </c>
      <c r="H159" s="39">
        <f>10553.2+2796.7+2137.2+21347.6</f>
        <v>36834.699999999997</v>
      </c>
      <c r="I159" s="38">
        <f t="shared" si="4"/>
        <v>244281.5</v>
      </c>
    </row>
    <row r="160" spans="1:9">
      <c r="A160" s="40">
        <v>44135</v>
      </c>
      <c r="B160" s="38">
        <f>1321.4+2343.5</f>
        <v>3664.9</v>
      </c>
      <c r="C160" s="38">
        <v>0</v>
      </c>
      <c r="D160" s="38">
        <f>10502.9+6088.7</f>
        <v>16591.599999999999</v>
      </c>
      <c r="E160" s="38">
        <f>8049+124049.9</f>
        <v>132098.9</v>
      </c>
      <c r="F160" s="38">
        <f>3024.2+331.2</f>
        <v>3355.3999999999996</v>
      </c>
      <c r="G160" s="38">
        <f>2265.2+23393-2822.3+25865.7+6061.5</f>
        <v>54763.100000000006</v>
      </c>
      <c r="H160" s="39">
        <f>10411.4+2822.3+2876.7+21402.5</f>
        <v>37512.9</v>
      </c>
      <c r="I160" s="38">
        <f t="shared" si="4"/>
        <v>247986.8</v>
      </c>
    </row>
    <row r="161" spans="1:9">
      <c r="A161" s="40">
        <v>44165</v>
      </c>
      <c r="B161" s="38">
        <f>1329.6+2354.5</f>
        <v>3684.1</v>
      </c>
      <c r="C161" s="38">
        <v>0</v>
      </c>
      <c r="D161" s="38">
        <f>10526.4+10420.1</f>
        <v>20946.5</v>
      </c>
      <c r="E161" s="38">
        <f>8634.4+122714.6</f>
        <v>131349</v>
      </c>
      <c r="F161" s="38">
        <f>2746.8+331.2</f>
        <v>3078</v>
      </c>
      <c r="G161" s="38">
        <f>2566.1+22834.5-2361.8+25865.8+6879.8</f>
        <v>55784.4</v>
      </c>
      <c r="H161" s="39">
        <f>10666.8+2361.8+2823.8+21674.1</f>
        <v>37526.5</v>
      </c>
      <c r="I161" s="38">
        <f t="shared" si="4"/>
        <v>252368.5</v>
      </c>
    </row>
    <row r="162" spans="1:9">
      <c r="A162" s="40">
        <v>44196</v>
      </c>
      <c r="B162" s="38">
        <f>3540.3+2349.3</f>
        <v>5889.6</v>
      </c>
      <c r="C162" s="38">
        <v>0</v>
      </c>
      <c r="D162" s="38">
        <f>7500.1+10599.9</f>
        <v>18100</v>
      </c>
      <c r="E162" s="38">
        <f>12350.3+127854</f>
        <v>140204.29999999999</v>
      </c>
      <c r="F162" s="38">
        <f>2780.7+331.2</f>
        <v>3111.8999999999996</v>
      </c>
      <c r="G162" s="38">
        <f>2775.7+22620.3-2149.9+25865.8+7644.2</f>
        <v>56756.099999999991</v>
      </c>
      <c r="H162" s="39">
        <f>10286.8+2149.9+2229.5+21747.8</f>
        <v>36414</v>
      </c>
      <c r="I162" s="38">
        <f t="shared" si="4"/>
        <v>260475.89999999997</v>
      </c>
    </row>
    <row r="163" spans="1:9">
      <c r="A163" s="40">
        <v>44227</v>
      </c>
      <c r="B163" s="38">
        <v>6469.5</v>
      </c>
      <c r="C163" s="38">
        <v>0</v>
      </c>
      <c r="D163" s="38">
        <v>20956.099999999999</v>
      </c>
      <c r="E163" s="38">
        <v>141166.9</v>
      </c>
      <c r="F163" s="38">
        <v>3129.5</v>
      </c>
      <c r="G163" s="38">
        <v>56896.5</v>
      </c>
      <c r="H163" s="39">
        <v>37178.5</v>
      </c>
      <c r="I163" s="38">
        <f t="shared" si="4"/>
        <v>265797</v>
      </c>
    </row>
    <row r="164" spans="1:9" ht="19.5" customHeight="1">
      <c r="A164" s="40">
        <v>44255</v>
      </c>
      <c r="B164" s="38">
        <v>6590.1</v>
      </c>
      <c r="C164" s="38">
        <v>0</v>
      </c>
      <c r="D164" s="38">
        <v>20954.599999999999</v>
      </c>
      <c r="E164" s="38">
        <v>144076.40000000002</v>
      </c>
      <c r="F164" s="38">
        <v>3145.3999999999996</v>
      </c>
      <c r="G164" s="38">
        <v>57995.599999999991</v>
      </c>
      <c r="H164" s="39">
        <v>37069.699999999997</v>
      </c>
      <c r="I164" s="38">
        <f t="shared" si="4"/>
        <v>269831.80000000005</v>
      </c>
    </row>
    <row r="165" spans="1:9">
      <c r="A165" s="40">
        <v>44286</v>
      </c>
      <c r="B165" s="38">
        <v>10625.7</v>
      </c>
      <c r="C165" s="38">
        <v>0</v>
      </c>
      <c r="D165" s="38">
        <v>18910</v>
      </c>
      <c r="E165" s="38">
        <v>149526.5</v>
      </c>
      <c r="F165" s="38">
        <v>3183.2999999999997</v>
      </c>
      <c r="G165" s="38">
        <v>56395.899999999994</v>
      </c>
      <c r="H165" s="39">
        <v>37760.600000000006</v>
      </c>
      <c r="I165" s="38">
        <f t="shared" si="4"/>
        <v>276402</v>
      </c>
    </row>
    <row r="166" spans="1:9">
      <c r="A166" s="40">
        <v>44316</v>
      </c>
      <c r="B166" s="38">
        <v>12622.8</v>
      </c>
      <c r="C166" s="38">
        <v>0</v>
      </c>
      <c r="D166" s="38">
        <v>18870.5</v>
      </c>
      <c r="E166" s="38">
        <v>150906.5</v>
      </c>
      <c r="F166" s="38">
        <v>2894.1</v>
      </c>
      <c r="G166" s="38">
        <v>56867.80000000001</v>
      </c>
      <c r="H166" s="39">
        <v>37939.1</v>
      </c>
      <c r="I166" s="38">
        <f t="shared" si="4"/>
        <v>280100.8</v>
      </c>
    </row>
    <row r="167" spans="1:9">
      <c r="A167" s="40">
        <v>44347</v>
      </c>
      <c r="B167" s="38">
        <v>12739</v>
      </c>
      <c r="C167" s="38">
        <v>0</v>
      </c>
      <c r="D167" s="38">
        <v>18823.699999999997</v>
      </c>
      <c r="E167" s="38">
        <v>157669.79999999999</v>
      </c>
      <c r="F167" s="38">
        <v>2911.1</v>
      </c>
      <c r="G167" s="38">
        <v>57887.8</v>
      </c>
      <c r="H167" s="39">
        <v>39651.300000000003</v>
      </c>
      <c r="I167" s="38">
        <f t="shared" si="4"/>
        <v>289682.7</v>
      </c>
    </row>
    <row r="168" spans="1:9">
      <c r="A168" s="52" t="s">
        <v>38</v>
      </c>
      <c r="B168" s="38">
        <v>15819.7</v>
      </c>
      <c r="C168" s="38">
        <v>0</v>
      </c>
      <c r="D168" s="38">
        <v>23041.699999999997</v>
      </c>
      <c r="E168" s="38">
        <v>162521.5</v>
      </c>
      <c r="F168" s="38">
        <v>2623.4</v>
      </c>
      <c r="G168" s="38">
        <v>59841.1</v>
      </c>
      <c r="H168" s="39">
        <v>43392.7</v>
      </c>
      <c r="I168" s="38">
        <f t="shared" si="4"/>
        <v>307240.09999999998</v>
      </c>
    </row>
    <row r="169" spans="1:9">
      <c r="A169" s="52" t="s">
        <v>39</v>
      </c>
      <c r="B169" s="38">
        <v>19264.099999999999</v>
      </c>
      <c r="C169" s="38">
        <v>0</v>
      </c>
      <c r="D169" s="38">
        <v>23036.799999999999</v>
      </c>
      <c r="E169" s="38">
        <v>163743.1</v>
      </c>
      <c r="F169" s="38">
        <v>2641</v>
      </c>
      <c r="G169" s="38">
        <v>61131.5</v>
      </c>
      <c r="H169" s="39">
        <v>40499.100000000006</v>
      </c>
      <c r="I169" s="38">
        <f t="shared" si="4"/>
        <v>310315.59999999998</v>
      </c>
    </row>
    <row r="170" spans="1:9">
      <c r="A170" s="52" t="s">
        <v>40</v>
      </c>
      <c r="B170" s="38">
        <v>25168.400000000001</v>
      </c>
      <c r="C170" s="38">
        <v>0</v>
      </c>
      <c r="D170" s="38">
        <v>20928.5</v>
      </c>
      <c r="E170" s="38">
        <v>183051.69999999998</v>
      </c>
      <c r="F170" s="38">
        <v>2658.5</v>
      </c>
      <c r="G170" s="38">
        <v>63267.5</v>
      </c>
      <c r="H170" s="39">
        <v>44993.599999999999</v>
      </c>
      <c r="I170" s="38">
        <f t="shared" si="4"/>
        <v>340068.19999999995</v>
      </c>
    </row>
    <row r="171" spans="1:9">
      <c r="A171" s="52" t="s">
        <v>41</v>
      </c>
      <c r="B171" s="38">
        <v>17265</v>
      </c>
      <c r="C171" s="38">
        <v>0</v>
      </c>
      <c r="D171" s="38">
        <v>16502.599999999999</v>
      </c>
      <c r="E171" s="38">
        <v>10854.8</v>
      </c>
      <c r="F171" s="38">
        <v>2695.2</v>
      </c>
      <c r="G171" s="38">
        <v>27776.400000000001</v>
      </c>
      <c r="H171" s="39">
        <v>17351.100000000002</v>
      </c>
      <c r="I171" s="38">
        <f t="shared" si="4"/>
        <v>92445.1</v>
      </c>
    </row>
    <row r="172" spans="1:9">
      <c r="A172" s="52" t="s">
        <v>42</v>
      </c>
      <c r="B172" s="38">
        <v>17741.2</v>
      </c>
      <c r="C172" s="38">
        <v>0</v>
      </c>
      <c r="D172" s="38">
        <v>16453</v>
      </c>
      <c r="E172" s="38">
        <v>10940.8</v>
      </c>
      <c r="F172" s="38">
        <v>2490</v>
      </c>
      <c r="G172" s="38">
        <v>28115.399999999998</v>
      </c>
      <c r="H172" s="39">
        <v>16668.2</v>
      </c>
      <c r="I172" s="38">
        <f t="shared" si="4"/>
        <v>92408.599999999991</v>
      </c>
    </row>
    <row r="173" spans="1:9">
      <c r="A173" s="52" t="s">
        <v>43</v>
      </c>
      <c r="B173" s="38">
        <v>18356.5</v>
      </c>
      <c r="C173" s="38">
        <v>0</v>
      </c>
      <c r="D173" s="38">
        <v>16513.599999999999</v>
      </c>
      <c r="E173" s="38">
        <v>10900.5</v>
      </c>
      <c r="F173" s="38">
        <v>2426</v>
      </c>
      <c r="G173" s="38">
        <v>28513.699999999997</v>
      </c>
      <c r="H173" s="39">
        <v>16678</v>
      </c>
      <c r="I173" s="38">
        <f t="shared" si="4"/>
        <v>93388.299999999988</v>
      </c>
    </row>
    <row r="174" spans="1:9">
      <c r="A174" s="52" t="s">
        <v>44</v>
      </c>
      <c r="B174" s="38">
        <v>19315.899999999998</v>
      </c>
      <c r="C174" s="38">
        <v>0</v>
      </c>
      <c r="D174" s="38">
        <v>19417</v>
      </c>
      <c r="E174" s="38">
        <v>10925.7</v>
      </c>
      <c r="F174" s="38">
        <v>2453.8000000000002</v>
      </c>
      <c r="G174" s="38">
        <v>28788.2</v>
      </c>
      <c r="H174" s="39">
        <v>15671.9</v>
      </c>
      <c r="I174" s="38">
        <f t="shared" si="4"/>
        <v>96572.499999999985</v>
      </c>
    </row>
    <row r="175" spans="1:9">
      <c r="A175" s="52" t="s">
        <v>45</v>
      </c>
      <c r="B175" s="38">
        <v>20279.2</v>
      </c>
      <c r="C175" s="38">
        <v>0</v>
      </c>
      <c r="D175" s="38">
        <v>19479.8</v>
      </c>
      <c r="E175" s="38">
        <v>10953.3</v>
      </c>
      <c r="F175" s="38">
        <v>2467.8000000000002</v>
      </c>
      <c r="G175" s="38">
        <v>29019.599999999999</v>
      </c>
      <c r="H175" s="39">
        <v>16927.5</v>
      </c>
      <c r="I175" s="38">
        <f t="shared" si="4"/>
        <v>99127.200000000012</v>
      </c>
    </row>
    <row r="176" spans="1:9">
      <c r="A176" s="52" t="s">
        <v>46</v>
      </c>
      <c r="B176" s="38">
        <v>20840.900000000001</v>
      </c>
      <c r="C176" s="38">
        <v>0</v>
      </c>
      <c r="D176" s="38">
        <v>19531.599999999999</v>
      </c>
      <c r="E176" s="38">
        <v>11933.4</v>
      </c>
      <c r="F176" s="38">
        <v>2480.5</v>
      </c>
      <c r="G176" s="38">
        <v>29528</v>
      </c>
      <c r="H176" s="39">
        <v>16607.400000000001</v>
      </c>
      <c r="I176" s="38">
        <f t="shared" si="4"/>
        <v>100921.79999999999</v>
      </c>
    </row>
    <row r="177" spans="1:9">
      <c r="A177" s="52" t="s">
        <v>47</v>
      </c>
      <c r="B177" s="38">
        <v>21074.100000000002</v>
      </c>
      <c r="C177" s="38">
        <v>0</v>
      </c>
      <c r="D177" s="38">
        <v>19507.7</v>
      </c>
      <c r="E177" s="38">
        <v>14933.6</v>
      </c>
      <c r="F177" s="38">
        <v>2511.8000000000002</v>
      </c>
      <c r="G177" s="38">
        <v>29575.100000000002</v>
      </c>
      <c r="H177" s="39">
        <v>14917.2</v>
      </c>
      <c r="I177" s="38">
        <f t="shared" si="4"/>
        <v>102519.5</v>
      </c>
    </row>
    <row r="178" spans="1:9">
      <c r="A178" s="52" t="s">
        <v>48</v>
      </c>
      <c r="B178" s="38">
        <v>21919.1</v>
      </c>
      <c r="C178" s="38">
        <v>0</v>
      </c>
      <c r="D178" s="38">
        <v>19574.099999999999</v>
      </c>
      <c r="E178" s="38">
        <v>14989.9</v>
      </c>
      <c r="F178" s="38">
        <v>2244.9</v>
      </c>
      <c r="G178" s="38">
        <v>29907.599999999999</v>
      </c>
      <c r="H178" s="39">
        <v>15230.6</v>
      </c>
      <c r="I178" s="38">
        <f t="shared" si="4"/>
        <v>103866.20000000001</v>
      </c>
    </row>
    <row r="179" spans="1:9">
      <c r="A179" s="52" t="s">
        <v>49</v>
      </c>
      <c r="B179" s="38">
        <v>22445.3</v>
      </c>
      <c r="C179" s="38">
        <v>0</v>
      </c>
      <c r="D179" s="38">
        <v>19638.400000000001</v>
      </c>
      <c r="E179" s="38">
        <v>15000.9</v>
      </c>
      <c r="F179" s="38">
        <v>2257.4</v>
      </c>
      <c r="G179" s="38">
        <v>30269.8</v>
      </c>
      <c r="H179" s="39">
        <v>15612.9</v>
      </c>
      <c r="I179" s="38">
        <f t="shared" si="4"/>
        <v>105224.7</v>
      </c>
    </row>
    <row r="180" spans="1:9">
      <c r="A180" s="52" t="s">
        <v>50</v>
      </c>
      <c r="B180" s="38">
        <v>24591.899999999998</v>
      </c>
      <c r="C180" s="38">
        <v>0</v>
      </c>
      <c r="D180" s="38">
        <v>18622.400000000001</v>
      </c>
      <c r="E180" s="38">
        <v>15147.6</v>
      </c>
      <c r="F180" s="38">
        <v>2279.6999999999998</v>
      </c>
      <c r="G180" s="38">
        <v>30865.4</v>
      </c>
      <c r="H180" s="39">
        <v>17088.5</v>
      </c>
      <c r="I180" s="38">
        <f t="shared" si="4"/>
        <v>108595.5</v>
      </c>
    </row>
    <row r="181" spans="1:9">
      <c r="A181" s="52" t="s">
        <v>51</v>
      </c>
      <c r="B181" s="38">
        <v>25359.8</v>
      </c>
      <c r="C181" s="38">
        <v>0</v>
      </c>
      <c r="D181" s="38">
        <v>18427.7</v>
      </c>
      <c r="E181" s="38">
        <v>15203.7</v>
      </c>
      <c r="F181" s="38">
        <v>2292.6</v>
      </c>
      <c r="G181" s="38">
        <v>31312</v>
      </c>
      <c r="H181" s="39">
        <v>15202.8</v>
      </c>
      <c r="I181" s="38">
        <f t="shared" si="4"/>
        <v>107798.59999999999</v>
      </c>
    </row>
    <row r="182" spans="1:9">
      <c r="A182" s="52" t="s">
        <v>52</v>
      </c>
      <c r="B182" s="38">
        <v>26429.9</v>
      </c>
      <c r="C182" s="38">
        <v>0</v>
      </c>
      <c r="D182" s="38">
        <v>18504.400000000001</v>
      </c>
      <c r="E182" s="38">
        <v>14232.6</v>
      </c>
      <c r="F182" s="38">
        <v>2305.5</v>
      </c>
      <c r="G182" s="38">
        <v>31535.4</v>
      </c>
      <c r="H182" s="39">
        <v>16645.099999999999</v>
      </c>
      <c r="I182" s="38">
        <f t="shared" si="4"/>
        <v>109652.9</v>
      </c>
    </row>
    <row r="183" spans="1:9">
      <c r="A183" s="52" t="s">
        <v>53</v>
      </c>
      <c r="B183" s="38">
        <v>27560.100000000002</v>
      </c>
      <c r="C183" s="38">
        <v>0</v>
      </c>
      <c r="D183" s="38">
        <v>14402.7</v>
      </c>
      <c r="E183" s="38">
        <v>36044.200000000004</v>
      </c>
      <c r="F183" s="38">
        <v>2334.6999999999998</v>
      </c>
      <c r="G183" s="38">
        <v>31862.300000000003</v>
      </c>
      <c r="H183" s="39">
        <v>16412.2</v>
      </c>
      <c r="I183" s="38">
        <f t="shared" si="4"/>
        <v>128616.2</v>
      </c>
    </row>
    <row r="184" spans="1:9">
      <c r="A184" s="52" t="s">
        <v>54</v>
      </c>
      <c r="B184" s="38">
        <v>27550.799999999999</v>
      </c>
      <c r="C184" s="38">
        <v>0</v>
      </c>
      <c r="D184" s="38">
        <v>14250.1</v>
      </c>
      <c r="E184" s="38">
        <v>35982.300000000003</v>
      </c>
      <c r="F184" s="38">
        <v>2081.9</v>
      </c>
      <c r="G184" s="38">
        <v>32088.399999999998</v>
      </c>
      <c r="H184" s="39">
        <v>17983.099999999999</v>
      </c>
      <c r="I184" s="38">
        <f t="shared" si="4"/>
        <v>129936.6</v>
      </c>
    </row>
    <row r="185" spans="1:9">
      <c r="A185" s="52" t="s">
        <v>55</v>
      </c>
      <c r="B185" s="38">
        <v>28173.200000000001</v>
      </c>
      <c r="C185" s="38">
        <v>0</v>
      </c>
      <c r="D185" s="38">
        <v>14502.8</v>
      </c>
      <c r="E185" s="38">
        <v>35370.799999999996</v>
      </c>
      <c r="F185" s="38">
        <v>2092.9</v>
      </c>
      <c r="G185" s="38">
        <v>32599.799999999996</v>
      </c>
      <c r="H185" s="39">
        <v>19361.2</v>
      </c>
      <c r="I185" s="38">
        <f t="shared" si="4"/>
        <v>132100.69999999998</v>
      </c>
    </row>
    <row r="186" spans="1:9">
      <c r="A186" s="52" t="s">
        <v>56</v>
      </c>
      <c r="B186" s="38">
        <v>32857.200000000004</v>
      </c>
      <c r="C186" s="38">
        <v>0</v>
      </c>
      <c r="D186" s="38">
        <v>14439.7</v>
      </c>
      <c r="E186" s="38">
        <v>36658.800000000003</v>
      </c>
      <c r="F186" s="38">
        <v>2102.6</v>
      </c>
      <c r="G186" s="38">
        <v>39193.9</v>
      </c>
      <c r="H186" s="39">
        <v>20473</v>
      </c>
      <c r="I186" s="38">
        <f t="shared" si="4"/>
        <v>145725.20000000001</v>
      </c>
    </row>
    <row r="187" spans="1:9">
      <c r="A187" s="52" t="s">
        <v>57</v>
      </c>
      <c r="B187" s="38">
        <v>33474.9</v>
      </c>
      <c r="C187" s="38">
        <v>0</v>
      </c>
      <c r="D187" s="38">
        <v>14327.3</v>
      </c>
      <c r="E187" s="38">
        <v>36925.9</v>
      </c>
      <c r="F187" s="38">
        <v>2114.3000000000002</v>
      </c>
      <c r="G187" s="38">
        <v>39591.299999999996</v>
      </c>
      <c r="H187" s="39">
        <v>22459.3</v>
      </c>
      <c r="I187" s="38">
        <v>148893</v>
      </c>
    </row>
    <row r="188" spans="1:9">
      <c r="A188" s="52" t="s">
        <v>58</v>
      </c>
      <c r="B188" s="38">
        <v>35357.699999999997</v>
      </c>
      <c r="C188" s="38">
        <v>0</v>
      </c>
      <c r="D188" s="38">
        <v>14326.8</v>
      </c>
      <c r="E188" s="38">
        <v>37021.1</v>
      </c>
      <c r="F188" s="38">
        <v>2124.9</v>
      </c>
      <c r="G188" s="38">
        <v>39979.5</v>
      </c>
      <c r="H188" s="39">
        <v>22628</v>
      </c>
      <c r="I188" s="38">
        <v>151438</v>
      </c>
    </row>
    <row r="189" spans="1:9">
      <c r="A189" s="52" t="s">
        <v>59</v>
      </c>
      <c r="B189" s="38">
        <v>35439.1</v>
      </c>
      <c r="C189" s="38">
        <v>0</v>
      </c>
      <c r="D189" s="38">
        <v>18402</v>
      </c>
      <c r="E189" s="38">
        <v>40202.199999999997</v>
      </c>
      <c r="F189" s="38">
        <v>2136.6</v>
      </c>
      <c r="G189" s="38">
        <v>40068.1</v>
      </c>
      <c r="H189" s="39">
        <v>23491.7</v>
      </c>
      <c r="I189" s="38">
        <v>159739.70000000001</v>
      </c>
    </row>
    <row r="190" spans="1:9">
      <c r="A190" s="52" t="s">
        <v>60</v>
      </c>
      <c r="B190" s="38">
        <v>36498.299999999996</v>
      </c>
      <c r="C190" s="38">
        <v>0</v>
      </c>
      <c r="D190" s="38">
        <v>18371.8</v>
      </c>
      <c r="E190" s="38">
        <v>39598.100000000006</v>
      </c>
      <c r="F190" s="38">
        <v>1876.3</v>
      </c>
      <c r="G190" s="38">
        <v>40500.699999999997</v>
      </c>
      <c r="H190" s="39">
        <v>24764.7</v>
      </c>
      <c r="I190" s="38">
        <v>161609.90000000002</v>
      </c>
    </row>
    <row r="191" spans="1:9">
      <c r="A191" s="52" t="s">
        <v>61</v>
      </c>
      <c r="B191" s="38">
        <v>36921.800000000003</v>
      </c>
      <c r="C191" s="38">
        <v>0</v>
      </c>
      <c r="D191" s="38">
        <v>17403.7</v>
      </c>
      <c r="E191" s="38">
        <v>42744.800000000003</v>
      </c>
      <c r="F191" s="38">
        <v>2854.9</v>
      </c>
      <c r="G191" s="38">
        <v>40727.9</v>
      </c>
      <c r="H191" s="39">
        <v>22771.200000000001</v>
      </c>
      <c r="I191" s="38">
        <v>163424.30000000002</v>
      </c>
    </row>
    <row r="192" spans="1:9">
      <c r="A192" s="52" t="s">
        <v>62</v>
      </c>
      <c r="B192" s="38">
        <v>36260.699999999997</v>
      </c>
      <c r="C192" s="38">
        <v>0</v>
      </c>
      <c r="D192" s="38">
        <v>17417.7</v>
      </c>
      <c r="E192" s="38">
        <v>43915.1</v>
      </c>
      <c r="F192" s="38">
        <v>2865.1</v>
      </c>
      <c r="G192" s="38">
        <v>41441.9</v>
      </c>
      <c r="H192" s="39">
        <v>21504.400000000001</v>
      </c>
      <c r="I192" s="38">
        <v>163404.9</v>
      </c>
    </row>
    <row r="193" spans="1:9">
      <c r="A193" s="52" t="s">
        <v>63</v>
      </c>
      <c r="B193" s="38">
        <v>37247.199999999997</v>
      </c>
      <c r="C193" s="38">
        <v>0</v>
      </c>
      <c r="D193" s="38">
        <v>15461.3</v>
      </c>
      <c r="E193" s="38">
        <v>53304.4</v>
      </c>
      <c r="F193" s="38">
        <v>2875.7</v>
      </c>
      <c r="G193" s="38">
        <v>41263.4</v>
      </c>
      <c r="H193" s="39">
        <v>22801.4</v>
      </c>
      <c r="I193" s="38">
        <v>172953.4</v>
      </c>
    </row>
    <row r="194" spans="1:9">
      <c r="A194" s="52" t="s">
        <v>64</v>
      </c>
      <c r="B194" s="38">
        <v>36264.9</v>
      </c>
      <c r="C194" s="38">
        <v>0</v>
      </c>
      <c r="D194" s="38">
        <v>13446.5</v>
      </c>
      <c r="E194" s="38">
        <v>54042.799999999996</v>
      </c>
      <c r="F194" s="38">
        <v>2886.2</v>
      </c>
      <c r="G194" s="38">
        <v>41755.699999999997</v>
      </c>
      <c r="H194" s="39">
        <v>24996.899999999998</v>
      </c>
      <c r="I194" s="38">
        <v>173392.99999999997</v>
      </c>
    </row>
    <row r="195" spans="1:9">
      <c r="A195" s="52" t="s">
        <v>65</v>
      </c>
      <c r="B195" s="38">
        <v>37480.6</v>
      </c>
      <c r="C195" s="38">
        <v>0</v>
      </c>
      <c r="D195" s="38">
        <v>13471.1</v>
      </c>
      <c r="E195" s="38">
        <v>61970.600000000006</v>
      </c>
      <c r="F195" s="38">
        <v>2916.9</v>
      </c>
      <c r="G195" s="38">
        <v>42240.4</v>
      </c>
      <c r="H195" s="39">
        <v>25140.9</v>
      </c>
      <c r="I195" s="38">
        <v>183220.5</v>
      </c>
    </row>
    <row r="196" spans="1:9">
      <c r="A196" s="52" t="s">
        <v>66</v>
      </c>
      <c r="B196" s="38">
        <v>37429.5</v>
      </c>
      <c r="C196" s="38">
        <v>0</v>
      </c>
      <c r="D196" s="38">
        <v>16503.599999999999</v>
      </c>
      <c r="E196" s="38">
        <v>65884.5</v>
      </c>
      <c r="F196" s="38">
        <v>2594.8000000000002</v>
      </c>
      <c r="G196" s="38">
        <f>43529.3+4293.1-4762.8</f>
        <v>43059.6</v>
      </c>
      <c r="H196" s="39">
        <v>25820.6</v>
      </c>
      <c r="I196" s="38">
        <f t="shared" ref="I196:I198" si="5">SUM(B196:H196)</f>
        <v>191292.6</v>
      </c>
    </row>
    <row r="197" spans="1:9">
      <c r="A197" s="52" t="s">
        <v>67</v>
      </c>
      <c r="B197" s="38">
        <v>37514.1</v>
      </c>
      <c r="C197" s="38">
        <v>0</v>
      </c>
      <c r="D197" s="38">
        <v>21543.4</v>
      </c>
      <c r="E197" s="38">
        <v>66186.399999999994</v>
      </c>
      <c r="F197" s="38">
        <v>2603.5</v>
      </c>
      <c r="G197" s="38">
        <f>43915.2+4615.4-5175</f>
        <v>43355.6</v>
      </c>
      <c r="H197" s="39">
        <v>25080.3</v>
      </c>
      <c r="I197" s="38">
        <f t="shared" si="5"/>
        <v>196283.3</v>
      </c>
    </row>
    <row r="198" spans="1:9">
      <c r="A198" s="52" t="s">
        <v>68</v>
      </c>
      <c r="B198" s="38">
        <v>39449.5</v>
      </c>
      <c r="C198" s="38">
        <v>0</v>
      </c>
      <c r="D198" s="38">
        <v>23525.7</v>
      </c>
      <c r="E198" s="38">
        <v>57166.1</v>
      </c>
      <c r="F198" s="38">
        <v>2612.9</v>
      </c>
      <c r="G198" s="38">
        <f>43932.3+4579-5307.8</f>
        <v>43203.5</v>
      </c>
      <c r="H198" s="39">
        <v>23021</v>
      </c>
      <c r="I198" s="38">
        <f t="shared" si="5"/>
        <v>188978.69999999998</v>
      </c>
    </row>
    <row r="199" spans="1:9">
      <c r="A199" s="52" t="s">
        <v>69</v>
      </c>
      <c r="B199" s="38">
        <v>39490.700000000004</v>
      </c>
      <c r="C199" s="38">
        <v>0</v>
      </c>
      <c r="D199" s="38">
        <v>21552.6</v>
      </c>
      <c r="E199" s="38">
        <v>67560.2</v>
      </c>
      <c r="F199" s="38">
        <v>2622.3</v>
      </c>
      <c r="G199" s="38">
        <f>44922.3+4376.1-6296.6</f>
        <v>43001.8</v>
      </c>
      <c r="H199" s="39">
        <f>17296.2+6296.6</f>
        <v>23592.800000000003</v>
      </c>
      <c r="I199" s="38">
        <f t="shared" ref="I199:I200" si="6">SUM(B199:H199)</f>
        <v>197820.39999999997</v>
      </c>
    </row>
    <row r="200" spans="1:9">
      <c r="A200" s="52" t="s">
        <v>70</v>
      </c>
      <c r="B200" s="38">
        <v>39378.800000000003</v>
      </c>
      <c r="C200" s="38">
        <v>0</v>
      </c>
      <c r="D200" s="38">
        <v>24052.9</v>
      </c>
      <c r="E200" s="38">
        <v>70761</v>
      </c>
      <c r="F200" s="38">
        <v>2631</v>
      </c>
      <c r="G200" s="38">
        <f>44887.7+5019.2-6258.3</f>
        <v>43648.599999999991</v>
      </c>
      <c r="H200" s="39">
        <f>18337.6+6258.3</f>
        <v>24595.899999999998</v>
      </c>
      <c r="I200" s="38">
        <f t="shared" si="6"/>
        <v>205068.19999999998</v>
      </c>
    </row>
    <row r="201" spans="1:9">
      <c r="A201" s="52" t="s">
        <v>71</v>
      </c>
      <c r="B201" s="38">
        <v>39441.599999999999</v>
      </c>
      <c r="C201" s="38">
        <v>0</v>
      </c>
      <c r="D201" s="38">
        <v>24126.3</v>
      </c>
      <c r="E201" s="38">
        <v>65049.4</v>
      </c>
      <c r="F201" s="38">
        <v>2640.4</v>
      </c>
      <c r="G201" s="38">
        <f>48627.9+1160.2-5997.1</f>
        <v>43791</v>
      </c>
      <c r="H201" s="39">
        <f>19666.3+5997.1</f>
        <v>25663.4</v>
      </c>
      <c r="I201" s="38">
        <f t="shared" ref="I201:I203" si="7">SUM(B201:H201)</f>
        <v>200712.09999999998</v>
      </c>
    </row>
    <row r="202" spans="1:9">
      <c r="A202" s="52" t="s">
        <v>72</v>
      </c>
      <c r="B202" s="38">
        <v>40064.600000000006</v>
      </c>
      <c r="C202" s="38">
        <v>0</v>
      </c>
      <c r="D202" s="38">
        <v>24134.6</v>
      </c>
      <c r="E202" s="38">
        <v>64599.8</v>
      </c>
      <c r="F202" s="38">
        <v>2320.4</v>
      </c>
      <c r="G202" s="38">
        <f>48100.9+2085-5510.2</f>
        <v>44675.700000000004</v>
      </c>
      <c r="H202" s="39">
        <f>20549.2+5510.2</f>
        <v>26059.4</v>
      </c>
      <c r="I202" s="38">
        <f t="shared" si="7"/>
        <v>201854.5</v>
      </c>
    </row>
    <row r="203" spans="1:9">
      <c r="A203" s="52" t="s">
        <v>73</v>
      </c>
      <c r="B203" s="38">
        <v>41143.600000000006</v>
      </c>
      <c r="C203" s="38">
        <v>0</v>
      </c>
      <c r="D203" s="38">
        <v>24165.8</v>
      </c>
      <c r="E203" s="38">
        <v>64019.6</v>
      </c>
      <c r="F203" s="38">
        <v>2329.5</v>
      </c>
      <c r="G203" s="38">
        <f>48219.6+2733.2-5625.3</f>
        <v>45327.499999999993</v>
      </c>
      <c r="H203" s="39">
        <f>21206.8+5625.3</f>
        <v>26832.1</v>
      </c>
      <c r="I203" s="38">
        <f t="shared" si="7"/>
        <v>203818.1</v>
      </c>
    </row>
    <row r="204" spans="1:9">
      <c r="A204" s="52" t="s">
        <v>74</v>
      </c>
      <c r="B204" s="38">
        <v>36056.5</v>
      </c>
      <c r="C204" s="38">
        <v>0</v>
      </c>
      <c r="D204" s="38">
        <v>25691.7</v>
      </c>
      <c r="E204" s="38">
        <v>69494.5</v>
      </c>
      <c r="F204" s="38">
        <v>2051.3000000000002</v>
      </c>
      <c r="G204" s="38">
        <f>48299.5+3179.2-5702.2</f>
        <v>45776.5</v>
      </c>
      <c r="H204" s="39">
        <f>19703.4+5702.2</f>
        <v>25405.600000000002</v>
      </c>
      <c r="I204" s="38">
        <f t="shared" ref="I204" si="8">SUM(B204:H204)</f>
        <v>204476.1</v>
      </c>
    </row>
    <row r="205" spans="1:9">
      <c r="A205" s="52" t="s">
        <v>75</v>
      </c>
      <c r="B205" s="38">
        <v>36359.4</v>
      </c>
      <c r="C205" s="38">
        <v>0</v>
      </c>
      <c r="D205" s="38">
        <v>28735.5</v>
      </c>
      <c r="E205" s="38">
        <v>71194.900000000009</v>
      </c>
      <c r="F205" s="38">
        <v>2059.5</v>
      </c>
      <c r="G205" s="38">
        <f>48550.7+3514.5-5951.4</f>
        <v>46113.799999999996</v>
      </c>
      <c r="H205" s="39">
        <f>20107.6+5951.4</f>
        <v>26059</v>
      </c>
      <c r="I205" s="38">
        <f t="shared" ref="I205:I218" si="9">SUM(B205:H205)</f>
        <v>210522.1</v>
      </c>
    </row>
    <row r="206" spans="1:9">
      <c r="A206" s="52" t="s">
        <v>76</v>
      </c>
      <c r="B206" s="38">
        <v>36939.800000000003</v>
      </c>
      <c r="C206" s="38">
        <v>0</v>
      </c>
      <c r="D206" s="38">
        <v>28754.6</v>
      </c>
      <c r="E206" s="38">
        <v>72835.400000000009</v>
      </c>
      <c r="F206" s="38">
        <v>2067.6999999999998</v>
      </c>
      <c r="G206" s="38">
        <f>53175.7+3209.3-7391.6</f>
        <v>48993.4</v>
      </c>
      <c r="H206" s="39">
        <f>14935.9+7391.6</f>
        <v>22327.5</v>
      </c>
      <c r="I206" s="38">
        <f t="shared" si="9"/>
        <v>211918.4</v>
      </c>
    </row>
    <row r="207" spans="1:9">
      <c r="A207" s="52" t="s">
        <v>77</v>
      </c>
      <c r="B207" s="38">
        <v>36972.700000000004</v>
      </c>
      <c r="C207" s="38">
        <v>0</v>
      </c>
      <c r="D207" s="38">
        <v>28772.5</v>
      </c>
      <c r="E207" s="38">
        <v>71519</v>
      </c>
      <c r="F207" s="38">
        <v>2075.6999999999998</v>
      </c>
      <c r="G207" s="38">
        <f>51837.9+4617.7-6049.3</f>
        <v>50406.299999999996</v>
      </c>
      <c r="H207" s="39">
        <f>16948.1+6049.3</f>
        <v>22997.399999999998</v>
      </c>
      <c r="I207" s="38">
        <f t="shared" si="9"/>
        <v>212743.6</v>
      </c>
    </row>
    <row r="208" spans="1:9">
      <c r="A208" s="52" t="s">
        <v>78</v>
      </c>
      <c r="B208" s="38">
        <v>37154.6</v>
      </c>
      <c r="C208" s="38">
        <v>0</v>
      </c>
      <c r="D208" s="38">
        <v>29439.4</v>
      </c>
      <c r="E208" s="38">
        <v>71812.599999999991</v>
      </c>
      <c r="F208" s="38">
        <v>1757.1</v>
      </c>
      <c r="G208" s="38">
        <v>50847.900000000009</v>
      </c>
      <c r="H208" s="39">
        <v>22548.3</v>
      </c>
      <c r="I208" s="38">
        <f t="shared" si="9"/>
        <v>213559.89999999997</v>
      </c>
    </row>
    <row r="209" spans="1:9">
      <c r="A209" s="52" t="s">
        <v>79</v>
      </c>
      <c r="B209" s="38">
        <v>37433.699999999997</v>
      </c>
      <c r="C209" s="38">
        <v>0</v>
      </c>
      <c r="D209" s="38">
        <v>29467.4</v>
      </c>
      <c r="E209" s="38">
        <v>70882.8</v>
      </c>
      <c r="F209" s="38">
        <v>1805.4</v>
      </c>
      <c r="G209" s="38">
        <v>51629.500000000015</v>
      </c>
      <c r="H209" s="39">
        <v>23983.5</v>
      </c>
      <c r="I209" s="38">
        <f t="shared" si="9"/>
        <v>215202.30000000005</v>
      </c>
    </row>
    <row r="210" spans="1:9">
      <c r="A210" s="52" t="s">
        <v>80</v>
      </c>
      <c r="B210" s="38">
        <v>37568.800000000003</v>
      </c>
      <c r="C210" s="38">
        <v>0</v>
      </c>
      <c r="D210" s="38">
        <v>29483.3</v>
      </c>
      <c r="E210" s="38">
        <v>70022.100000000006</v>
      </c>
      <c r="F210" s="38">
        <v>1815.3</v>
      </c>
      <c r="G210" s="38">
        <v>54736.4</v>
      </c>
      <c r="H210" s="39">
        <v>22640.6</v>
      </c>
      <c r="I210" s="38">
        <f t="shared" si="9"/>
        <v>216266.5</v>
      </c>
    </row>
    <row r="211" spans="1:9">
      <c r="A211" s="52" t="s">
        <v>81</v>
      </c>
      <c r="B211" s="38">
        <v>37630.400000000001</v>
      </c>
      <c r="C211" s="38">
        <v>0</v>
      </c>
      <c r="D211" s="38">
        <v>34511.599999999999</v>
      </c>
      <c r="E211" s="38">
        <v>70621.899999999994</v>
      </c>
      <c r="F211" s="38">
        <v>1822.4</v>
      </c>
      <c r="G211" s="38">
        <v>55060.6</v>
      </c>
      <c r="H211" s="39">
        <v>22578.799999999999</v>
      </c>
      <c r="I211" s="38">
        <f t="shared" si="9"/>
        <v>222225.69999999998</v>
      </c>
    </row>
    <row r="212" spans="1:9">
      <c r="A212" s="52" t="s">
        <v>82</v>
      </c>
      <c r="B212" s="38">
        <v>42795.6</v>
      </c>
      <c r="C212" s="38">
        <v>0</v>
      </c>
      <c r="D212" s="38">
        <v>31571.9</v>
      </c>
      <c r="E212" s="38">
        <v>70561.100000000006</v>
      </c>
      <c r="F212" s="38">
        <v>1828.7</v>
      </c>
      <c r="G212" s="38">
        <v>55275.399999999994</v>
      </c>
      <c r="H212" s="39">
        <v>24121.7</v>
      </c>
      <c r="I212" s="38">
        <f t="shared" si="9"/>
        <v>226154.40000000002</v>
      </c>
    </row>
    <row r="213" spans="1:9">
      <c r="A213" s="52" t="s">
        <v>83</v>
      </c>
      <c r="B213" s="38">
        <v>43163.9</v>
      </c>
      <c r="C213" s="38">
        <v>0</v>
      </c>
      <c r="D213" s="38">
        <v>32638.799999999999</v>
      </c>
      <c r="E213" s="38">
        <v>72149.600000000006</v>
      </c>
      <c r="F213" s="38">
        <v>1835.7</v>
      </c>
      <c r="G213" s="38">
        <v>55020.7</v>
      </c>
      <c r="H213" s="39">
        <v>21496.6</v>
      </c>
      <c r="I213" s="38">
        <f t="shared" si="9"/>
        <v>226305.30000000002</v>
      </c>
    </row>
    <row r="214" spans="1:9">
      <c r="A214" s="52" t="s">
        <v>84</v>
      </c>
      <c r="B214" s="38">
        <v>38185</v>
      </c>
      <c r="C214" s="38">
        <v>0</v>
      </c>
      <c r="D214" s="38">
        <v>41917</v>
      </c>
      <c r="E214" s="38">
        <v>72357.600000000006</v>
      </c>
      <c r="F214" s="38">
        <v>1554.8</v>
      </c>
      <c r="G214" s="38">
        <v>55594.000000000007</v>
      </c>
      <c r="H214" s="39">
        <v>21911.7</v>
      </c>
      <c r="I214" s="38">
        <f t="shared" si="9"/>
        <v>231520.1</v>
      </c>
    </row>
    <row r="215" spans="1:9">
      <c r="A215" s="52" t="s">
        <v>85</v>
      </c>
      <c r="B215" s="38">
        <v>38260</v>
      </c>
      <c r="C215" s="38">
        <v>0</v>
      </c>
      <c r="D215" s="38">
        <v>45073.8</v>
      </c>
      <c r="E215" s="38">
        <v>70979</v>
      </c>
      <c r="F215" s="38">
        <v>9007.2999999999993</v>
      </c>
      <c r="G215" s="38">
        <v>56053.7</v>
      </c>
      <c r="H215" s="39">
        <v>23519.200000000001</v>
      </c>
      <c r="I215" s="38">
        <f t="shared" si="9"/>
        <v>242893</v>
      </c>
    </row>
    <row r="216" spans="1:9">
      <c r="A216" s="52" t="s">
        <v>86</v>
      </c>
      <c r="B216" s="38">
        <v>34911.5</v>
      </c>
      <c r="C216" s="38">
        <v>0</v>
      </c>
      <c r="D216" s="38">
        <v>40136.300000000003</v>
      </c>
      <c r="E216" s="38">
        <v>71259.599999999991</v>
      </c>
      <c r="F216" s="38">
        <v>8927.4</v>
      </c>
      <c r="G216" s="38">
        <v>56740.799999999996</v>
      </c>
      <c r="H216" s="39">
        <v>22417.5</v>
      </c>
      <c r="I216" s="38">
        <f t="shared" si="9"/>
        <v>234393.09999999998</v>
      </c>
    </row>
    <row r="217" spans="1:9">
      <c r="A217" s="52" t="s">
        <v>87</v>
      </c>
      <c r="B217" s="38">
        <v>32052</v>
      </c>
      <c r="C217" s="38">
        <v>0</v>
      </c>
      <c r="D217" s="38">
        <v>40281.5</v>
      </c>
      <c r="E217" s="38">
        <v>71740.399999999994</v>
      </c>
      <c r="F217" s="38">
        <v>8954.7999999999993</v>
      </c>
      <c r="G217" s="38">
        <v>57340.5</v>
      </c>
      <c r="H217" s="39">
        <v>23949.599999999999</v>
      </c>
      <c r="I217" s="38">
        <f t="shared" si="9"/>
        <v>234318.8</v>
      </c>
    </row>
    <row r="218" spans="1:9">
      <c r="A218" s="52" t="s">
        <v>91</v>
      </c>
      <c r="B218" s="38">
        <v>32128</v>
      </c>
      <c r="C218" s="38">
        <v>0</v>
      </c>
      <c r="D218" s="38">
        <v>40383</v>
      </c>
      <c r="E218" s="38">
        <v>74068.3</v>
      </c>
      <c r="F218" s="38">
        <v>8995</v>
      </c>
      <c r="G218" s="38">
        <v>59348.6</v>
      </c>
      <c r="H218" s="39">
        <v>25696.6</v>
      </c>
      <c r="I218" s="38">
        <f t="shared" si="9"/>
        <v>240619.5</v>
      </c>
    </row>
    <row r="219" spans="1:9">
      <c r="A219" s="52" t="s">
        <v>92</v>
      </c>
      <c r="B219" s="38">
        <v>32920.400000000001</v>
      </c>
      <c r="C219" s="38">
        <v>0</v>
      </c>
      <c r="D219" s="38">
        <v>42867.7</v>
      </c>
      <c r="E219" s="38">
        <v>76869</v>
      </c>
      <c r="F219" s="38">
        <v>9033.7999999999993</v>
      </c>
      <c r="G219" s="38">
        <v>59592.299999999996</v>
      </c>
      <c r="H219" s="39">
        <v>24429.699999999997</v>
      </c>
      <c r="I219" s="38">
        <v>245712.89999999997</v>
      </c>
    </row>
    <row r="220" spans="1:9">
      <c r="A220" s="52" t="s">
        <v>93</v>
      </c>
      <c r="B220" s="38">
        <v>33810.9</v>
      </c>
      <c r="C220" s="38">
        <v>0</v>
      </c>
      <c r="D220" s="38">
        <v>44619.6</v>
      </c>
      <c r="E220" s="38">
        <v>79120</v>
      </c>
      <c r="F220" s="38">
        <v>8747.1</v>
      </c>
      <c r="G220" s="38">
        <v>59965.099999999984</v>
      </c>
      <c r="H220" s="39">
        <v>24404.9</v>
      </c>
      <c r="I220" s="38">
        <f t="shared" ref="I220:I221" si="10">SUM(B220:H220)</f>
        <v>250667.59999999998</v>
      </c>
    </row>
    <row r="221" spans="1:9">
      <c r="A221" s="52" t="s">
        <v>94</v>
      </c>
      <c r="B221" s="38">
        <v>34043</v>
      </c>
      <c r="C221" s="38">
        <v>0</v>
      </c>
      <c r="D221" s="38">
        <v>44713.599999999999</v>
      </c>
      <c r="E221" s="38">
        <v>79018.399999999994</v>
      </c>
      <c r="F221" s="38">
        <v>16021.8</v>
      </c>
      <c r="G221" s="38">
        <v>60777.7</v>
      </c>
      <c r="H221" s="39">
        <v>24339.4</v>
      </c>
      <c r="I221" s="38">
        <f t="shared" si="10"/>
        <v>258913.9</v>
      </c>
    </row>
    <row r="222" spans="1:9">
      <c r="A222" s="52" t="s">
        <v>97</v>
      </c>
      <c r="B222" s="38">
        <v>32735.8</v>
      </c>
      <c r="C222" s="38">
        <v>0</v>
      </c>
      <c r="D222" s="38">
        <v>46446.1</v>
      </c>
      <c r="E222" s="38">
        <v>79414.900000000009</v>
      </c>
      <c r="F222" s="38">
        <v>16099.5</v>
      </c>
      <c r="G222" s="38">
        <v>65721.099999999991</v>
      </c>
      <c r="H222" s="39">
        <v>33059.699999999997</v>
      </c>
      <c r="I222" s="38">
        <v>273477.09999999998</v>
      </c>
    </row>
    <row r="223" spans="1:9">
      <c r="A223" s="52" t="s">
        <v>98</v>
      </c>
      <c r="B223" s="38">
        <v>33052.199999999997</v>
      </c>
      <c r="C223" s="38">
        <v>0</v>
      </c>
      <c r="D223" s="38">
        <v>46652.6</v>
      </c>
      <c r="E223" s="38">
        <v>79948.599999999991</v>
      </c>
      <c r="F223" s="38">
        <v>16172.8</v>
      </c>
      <c r="G223" s="38">
        <v>66054.799999999988</v>
      </c>
      <c r="H223" s="39">
        <v>28966.2</v>
      </c>
      <c r="I223" s="38">
        <v>270847.19999999995</v>
      </c>
    </row>
    <row r="224" spans="1:9">
      <c r="A224" s="41" t="s">
        <v>0</v>
      </c>
      <c r="B224" s="39"/>
      <c r="C224" s="39"/>
      <c r="D224" s="42"/>
      <c r="E224" s="39"/>
      <c r="F224" s="42"/>
      <c r="G224" s="42"/>
      <c r="H224" s="42"/>
      <c r="I224" s="38"/>
    </row>
    <row r="225" spans="1:9">
      <c r="A225" s="55" t="s">
        <v>36</v>
      </c>
      <c r="B225" s="56"/>
      <c r="C225" s="56"/>
      <c r="D225" s="56"/>
      <c r="E225" s="56"/>
      <c r="F225" s="56"/>
      <c r="G225" s="56"/>
      <c r="H225" s="56"/>
      <c r="I225" s="57"/>
    </row>
  </sheetData>
  <mergeCells count="2">
    <mergeCell ref="A4:I4"/>
    <mergeCell ref="A225:I22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80"/>
  <sheetViews>
    <sheetView workbookViewId="0">
      <pane xSplit="1" ySplit="6" topLeftCell="E58" activePane="bottomRight" state="frozen"/>
      <selection pane="topRight" activeCell="B1" sqref="B1"/>
      <selection pane="bottomLeft" activeCell="A7" sqref="A7"/>
      <selection pane="bottomRight" activeCell="K71" sqref="K71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22" style="23" customWidth="1"/>
    <col min="6" max="6" width="22.109375" style="23" customWidth="1"/>
    <col min="7" max="7" width="15.3320312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37">
        <v>39508</v>
      </c>
      <c r="B7" s="38" t="s">
        <v>1</v>
      </c>
      <c r="C7" s="38" t="s">
        <v>1</v>
      </c>
      <c r="D7" s="38">
        <f>903.4+6066.8</f>
        <v>6970.2</v>
      </c>
      <c r="E7" s="38">
        <f>5039.7+1470.8</f>
        <v>6510.5</v>
      </c>
      <c r="F7" s="38">
        <f>381.8+2175.6</f>
        <v>2557.4</v>
      </c>
      <c r="G7" s="38">
        <v>13271.300000000001</v>
      </c>
      <c r="H7" s="38">
        <v>4337.1000000000004</v>
      </c>
      <c r="I7" s="38">
        <f t="shared" ref="I7:I8" si="0">SUM(B7:H7)</f>
        <v>33646.5</v>
      </c>
    </row>
    <row r="8" spans="1:10">
      <c r="A8" s="37">
        <v>39600</v>
      </c>
      <c r="B8" s="38" t="s">
        <v>1</v>
      </c>
      <c r="C8" s="38" t="s">
        <v>1</v>
      </c>
      <c r="D8" s="38">
        <v>7739.8</v>
      </c>
      <c r="E8" s="38">
        <v>6537.9</v>
      </c>
      <c r="F8" s="38">
        <v>2576.5</v>
      </c>
      <c r="G8" s="38">
        <v>13806</v>
      </c>
      <c r="H8" s="38">
        <v>4641.6000000000004</v>
      </c>
      <c r="I8" s="38">
        <f t="shared" si="0"/>
        <v>35301.800000000003</v>
      </c>
    </row>
    <row r="9" spans="1:10">
      <c r="A9" s="37">
        <v>39692</v>
      </c>
      <c r="B9" s="38" t="s">
        <v>1</v>
      </c>
      <c r="C9" s="38" t="s">
        <v>1</v>
      </c>
      <c r="D9" s="38">
        <f>1082.5+7012.3</f>
        <v>8094.8</v>
      </c>
      <c r="E9" s="38">
        <f>5915.5+996.9</f>
        <v>6912.4</v>
      </c>
      <c r="F9" s="38">
        <f>381.8+2000.5</f>
        <v>2382.3000000000002</v>
      </c>
      <c r="G9" s="38">
        <v>14671.6</v>
      </c>
      <c r="H9" s="38">
        <v>4712.1000000000004</v>
      </c>
      <c r="I9" s="38">
        <f t="shared" ref="I9:I29" si="1">SUM(B9:H9)</f>
        <v>36773.199999999997</v>
      </c>
    </row>
    <row r="10" spans="1:10">
      <c r="A10" s="37">
        <v>39783</v>
      </c>
      <c r="B10" s="38" t="s">
        <v>1</v>
      </c>
      <c r="C10" s="38" t="s">
        <v>1</v>
      </c>
      <c r="D10" s="38">
        <f>1178.8+7166.2</f>
        <v>8345</v>
      </c>
      <c r="E10" s="38">
        <f>6019.6+1179.9</f>
        <v>7199.5</v>
      </c>
      <c r="F10" s="38">
        <f>374.8+1699</f>
        <v>2073.8000000000002</v>
      </c>
      <c r="G10" s="38">
        <v>14958.399999999998</v>
      </c>
      <c r="H10" s="38">
        <v>4600.8</v>
      </c>
      <c r="I10" s="38">
        <f t="shared" si="1"/>
        <v>37177.5</v>
      </c>
    </row>
    <row r="11" spans="1:10">
      <c r="A11" s="37">
        <v>39873</v>
      </c>
      <c r="B11" s="38" t="s">
        <v>1</v>
      </c>
      <c r="C11" s="38" t="s">
        <v>1</v>
      </c>
      <c r="D11" s="38">
        <v>8899.4</v>
      </c>
      <c r="E11" s="38">
        <v>7663.9</v>
      </c>
      <c r="F11" s="38">
        <v>1971.2</v>
      </c>
      <c r="G11" s="38">
        <v>15154.899999999998</v>
      </c>
      <c r="H11" s="38">
        <v>4362.5999999999995</v>
      </c>
      <c r="I11" s="38">
        <f t="shared" si="1"/>
        <v>38051.999999999993</v>
      </c>
    </row>
    <row r="12" spans="1:10">
      <c r="A12" s="37">
        <v>39965</v>
      </c>
      <c r="B12" s="38" t="s">
        <v>1</v>
      </c>
      <c r="C12" s="38" t="s">
        <v>1</v>
      </c>
      <c r="D12" s="38">
        <v>10110.4</v>
      </c>
      <c r="E12" s="38">
        <v>8227.1999999999989</v>
      </c>
      <c r="F12" s="38">
        <v>1746.8</v>
      </c>
      <c r="G12" s="38">
        <v>15396.600000000002</v>
      </c>
      <c r="H12" s="38">
        <v>4685.3</v>
      </c>
      <c r="I12" s="38">
        <f t="shared" si="1"/>
        <v>40166.300000000003</v>
      </c>
    </row>
    <row r="13" spans="1:10">
      <c r="A13" s="37">
        <v>40057</v>
      </c>
      <c r="B13" s="38" t="s">
        <v>1</v>
      </c>
      <c r="C13" s="38" t="s">
        <v>1</v>
      </c>
      <c r="D13" s="38">
        <v>11042.5</v>
      </c>
      <c r="E13" s="38">
        <v>8650.1</v>
      </c>
      <c r="F13" s="38">
        <v>1797</v>
      </c>
      <c r="G13" s="38">
        <v>15885.8</v>
      </c>
      <c r="H13" s="38">
        <v>5076.3</v>
      </c>
      <c r="I13" s="38">
        <f t="shared" si="1"/>
        <v>42451.7</v>
      </c>
    </row>
    <row r="14" spans="1:10">
      <c r="A14" s="37">
        <v>40148</v>
      </c>
      <c r="B14" s="38" t="s">
        <v>1</v>
      </c>
      <c r="C14" s="38" t="s">
        <v>1</v>
      </c>
      <c r="D14" s="38">
        <v>11783.1</v>
      </c>
      <c r="E14" s="38">
        <v>9015.5</v>
      </c>
      <c r="F14" s="38">
        <v>1764.8</v>
      </c>
      <c r="G14" s="38">
        <v>16252.4</v>
      </c>
      <c r="H14" s="38">
        <v>4715.3999999999996</v>
      </c>
      <c r="I14" s="38">
        <f t="shared" si="1"/>
        <v>43531.199999999997</v>
      </c>
    </row>
    <row r="15" spans="1:10">
      <c r="A15" s="37">
        <v>40238</v>
      </c>
      <c r="B15" s="38">
        <v>114.3</v>
      </c>
      <c r="C15" s="38" t="s">
        <v>1</v>
      </c>
      <c r="D15" s="38">
        <v>11843.4</v>
      </c>
      <c r="E15" s="38">
        <v>9795.9</v>
      </c>
      <c r="F15" s="38">
        <v>1670.6000000000001</v>
      </c>
      <c r="G15" s="38">
        <v>15942.199999999997</v>
      </c>
      <c r="H15" s="38">
        <v>5407.1</v>
      </c>
      <c r="I15" s="38">
        <v>44773.499999999993</v>
      </c>
    </row>
    <row r="16" spans="1:10">
      <c r="A16" s="37">
        <v>40330</v>
      </c>
      <c r="B16" s="38">
        <v>96.7</v>
      </c>
      <c r="C16" s="38" t="s">
        <v>1</v>
      </c>
      <c r="D16" s="38">
        <v>11913.4</v>
      </c>
      <c r="E16" s="38">
        <v>11195.6</v>
      </c>
      <c r="F16" s="38">
        <v>1275.9000000000001</v>
      </c>
      <c r="G16" s="38">
        <v>16080.800000000003</v>
      </c>
      <c r="H16" s="38">
        <v>5886.1</v>
      </c>
      <c r="I16" s="38">
        <v>46448.500000000007</v>
      </c>
    </row>
    <row r="17" spans="1:9">
      <c r="A17" s="37">
        <v>40422</v>
      </c>
      <c r="B17" s="38">
        <v>87.6</v>
      </c>
      <c r="C17" s="38" t="s">
        <v>1</v>
      </c>
      <c r="D17" s="38">
        <v>14902.400000000001</v>
      </c>
      <c r="E17" s="38">
        <v>13666.8</v>
      </c>
      <c r="F17" s="38">
        <v>1376.5</v>
      </c>
      <c r="G17" s="38">
        <v>15820.2</v>
      </c>
      <c r="H17" s="38">
        <v>8158</v>
      </c>
      <c r="I17" s="38">
        <v>54011.5</v>
      </c>
    </row>
    <row r="18" spans="1:9">
      <c r="A18" s="37">
        <v>40513</v>
      </c>
      <c r="B18" s="38">
        <v>2179</v>
      </c>
      <c r="C18" s="38" t="s">
        <v>1</v>
      </c>
      <c r="D18" s="38">
        <v>17033.199999999997</v>
      </c>
      <c r="E18" s="38">
        <v>11788.7</v>
      </c>
      <c r="F18" s="38">
        <v>1350.2</v>
      </c>
      <c r="G18" s="38">
        <v>17033.400000000001</v>
      </c>
      <c r="H18" s="38">
        <v>6942.7</v>
      </c>
      <c r="I18" s="38">
        <v>56327.199999999997</v>
      </c>
    </row>
    <row r="19" spans="1:9">
      <c r="A19" s="37">
        <v>40603</v>
      </c>
      <c r="B19" s="38">
        <v>3078.9</v>
      </c>
      <c r="C19" s="38" t="s">
        <v>1</v>
      </c>
      <c r="D19" s="38">
        <v>14949.599999999999</v>
      </c>
      <c r="E19" s="38">
        <v>14452.500000000002</v>
      </c>
      <c r="F19" s="38">
        <v>1417.5</v>
      </c>
      <c r="G19" s="38">
        <v>17533.900000000001</v>
      </c>
      <c r="H19" s="38">
        <v>6909.9</v>
      </c>
      <c r="I19" s="38">
        <f t="shared" si="1"/>
        <v>58342.3</v>
      </c>
    </row>
    <row r="20" spans="1:9">
      <c r="A20" s="37">
        <v>40695</v>
      </c>
      <c r="B20" s="38">
        <v>3063.7</v>
      </c>
      <c r="C20" s="38" t="s">
        <v>1</v>
      </c>
      <c r="D20" s="38">
        <v>13847.699999999999</v>
      </c>
      <c r="E20" s="38">
        <v>16086.900000000001</v>
      </c>
      <c r="F20" s="38">
        <v>1112.3</v>
      </c>
      <c r="G20" s="38">
        <v>19729.100000000002</v>
      </c>
      <c r="H20" s="38">
        <v>7389.6</v>
      </c>
      <c r="I20" s="38">
        <f t="shared" si="1"/>
        <v>61229.30000000001</v>
      </c>
    </row>
    <row r="21" spans="1:9">
      <c r="A21" s="37">
        <v>40787</v>
      </c>
      <c r="B21" s="38">
        <v>2988.7</v>
      </c>
      <c r="C21" s="38" t="s">
        <v>1</v>
      </c>
      <c r="D21" s="38">
        <v>14047.6</v>
      </c>
      <c r="E21" s="38">
        <v>16990.099999999999</v>
      </c>
      <c r="F21" s="38">
        <v>1082.5</v>
      </c>
      <c r="G21" s="38">
        <v>20413.199999999997</v>
      </c>
      <c r="H21" s="38">
        <v>7568.1</v>
      </c>
      <c r="I21" s="38">
        <f t="shared" si="1"/>
        <v>63090.19999999999</v>
      </c>
    </row>
    <row r="22" spans="1:9">
      <c r="A22" s="37">
        <v>40878</v>
      </c>
      <c r="B22" s="38">
        <v>2690.1</v>
      </c>
      <c r="C22" s="38" t="s">
        <v>1</v>
      </c>
      <c r="D22" s="38">
        <v>15478.699999999999</v>
      </c>
      <c r="E22" s="38">
        <v>16713.399999999998</v>
      </c>
      <c r="F22" s="38">
        <v>1087.9000000000001</v>
      </c>
      <c r="G22" s="38">
        <v>21153.000000000004</v>
      </c>
      <c r="H22" s="38">
        <v>7706.5999999999995</v>
      </c>
      <c r="I22" s="38">
        <f t="shared" si="1"/>
        <v>64829.700000000004</v>
      </c>
    </row>
    <row r="23" spans="1:9">
      <c r="A23" s="37">
        <v>40969</v>
      </c>
      <c r="B23" s="38">
        <v>2695</v>
      </c>
      <c r="C23" s="38" t="s">
        <v>1</v>
      </c>
      <c r="D23" s="38">
        <v>15152.7</v>
      </c>
      <c r="E23" s="38">
        <v>18414.5</v>
      </c>
      <c r="F23" s="38">
        <v>1126.9000000000001</v>
      </c>
      <c r="G23" s="38">
        <v>21200.700000000004</v>
      </c>
      <c r="H23" s="38">
        <v>7559.7999999999993</v>
      </c>
      <c r="I23" s="38">
        <f t="shared" si="1"/>
        <v>66149.600000000006</v>
      </c>
    </row>
    <row r="24" spans="1:9">
      <c r="A24" s="37">
        <v>41061</v>
      </c>
      <c r="B24" s="38">
        <v>2375.1000000000004</v>
      </c>
      <c r="C24" s="38" t="s">
        <v>1</v>
      </c>
      <c r="D24" s="38">
        <v>16658.5</v>
      </c>
      <c r="E24" s="38">
        <v>18869.799999999996</v>
      </c>
      <c r="F24" s="38">
        <v>767.6</v>
      </c>
      <c r="G24" s="38">
        <v>21803.300000000003</v>
      </c>
      <c r="H24" s="38">
        <v>7763.4999999999991</v>
      </c>
      <c r="I24" s="38">
        <f t="shared" si="1"/>
        <v>68237.799999999988</v>
      </c>
    </row>
    <row r="25" spans="1:9">
      <c r="A25" s="37">
        <v>41153</v>
      </c>
      <c r="B25" s="38">
        <v>2405</v>
      </c>
      <c r="C25" s="38" t="s">
        <v>1</v>
      </c>
      <c r="D25" s="38">
        <v>16658.5</v>
      </c>
      <c r="E25" s="38">
        <v>18518.100000000002</v>
      </c>
      <c r="F25" s="38">
        <v>767.6</v>
      </c>
      <c r="G25" s="38">
        <v>22876</v>
      </c>
      <c r="H25" s="38">
        <v>8995.0999999999985</v>
      </c>
      <c r="I25" s="38">
        <f t="shared" si="1"/>
        <v>70220.3</v>
      </c>
    </row>
    <row r="26" spans="1:9">
      <c r="A26" s="37">
        <v>41244</v>
      </c>
      <c r="B26" s="38">
        <v>2568.4</v>
      </c>
      <c r="C26" s="38" t="s">
        <v>1</v>
      </c>
      <c r="D26" s="38">
        <v>17471.5</v>
      </c>
      <c r="E26" s="38">
        <v>18859.3</v>
      </c>
      <c r="F26" s="38">
        <v>812.8</v>
      </c>
      <c r="G26" s="38">
        <v>23483</v>
      </c>
      <c r="H26" s="38">
        <v>9037.4000000000015</v>
      </c>
      <c r="I26" s="38">
        <f t="shared" si="1"/>
        <v>72232.399999999994</v>
      </c>
    </row>
    <row r="27" spans="1:9">
      <c r="A27" s="37">
        <v>41334</v>
      </c>
      <c r="B27" s="38">
        <v>2624.3</v>
      </c>
      <c r="C27" s="38" t="s">
        <v>1</v>
      </c>
      <c r="D27" s="38">
        <v>16658.899999999998</v>
      </c>
      <c r="E27" s="38">
        <v>20350.3</v>
      </c>
      <c r="F27" s="38">
        <v>806.9</v>
      </c>
      <c r="G27" s="38">
        <v>22994.399999999998</v>
      </c>
      <c r="H27" s="38">
        <v>9537.7999999999993</v>
      </c>
      <c r="I27" s="38">
        <f t="shared" si="1"/>
        <v>72972.600000000006</v>
      </c>
    </row>
    <row r="28" spans="1:9">
      <c r="A28" s="37">
        <v>41426</v>
      </c>
      <c r="B28" s="38">
        <v>2604.3000000000002</v>
      </c>
      <c r="C28" s="38" t="s">
        <v>1</v>
      </c>
      <c r="D28" s="38">
        <v>16658.899999999998</v>
      </c>
      <c r="E28" s="38">
        <v>21458.3</v>
      </c>
      <c r="F28" s="38">
        <v>805.1</v>
      </c>
      <c r="G28" s="38">
        <v>23630</v>
      </c>
      <c r="H28" s="38">
        <v>10010.799999999999</v>
      </c>
      <c r="I28" s="38">
        <f t="shared" si="1"/>
        <v>75167.399999999994</v>
      </c>
    </row>
    <row r="29" spans="1:9">
      <c r="A29" s="37">
        <v>41518</v>
      </c>
      <c r="B29" s="38">
        <v>2404.2999999999997</v>
      </c>
      <c r="C29" s="38" t="s">
        <v>1</v>
      </c>
      <c r="D29" s="38">
        <v>16711.8</v>
      </c>
      <c r="E29" s="38">
        <v>22735.200000000001</v>
      </c>
      <c r="F29" s="38">
        <v>346</v>
      </c>
      <c r="G29" s="38">
        <v>24563.899999999998</v>
      </c>
      <c r="H29" s="38">
        <v>11954.400000000001</v>
      </c>
      <c r="I29" s="38">
        <f t="shared" si="1"/>
        <v>78715.600000000006</v>
      </c>
    </row>
    <row r="30" spans="1:9">
      <c r="A30" s="37">
        <v>41609</v>
      </c>
      <c r="B30" s="38">
        <v>2430.7999999999997</v>
      </c>
      <c r="C30" s="38" t="s">
        <v>1</v>
      </c>
      <c r="D30" s="38">
        <v>17595.400000000001</v>
      </c>
      <c r="E30" s="38">
        <v>24760.100000000002</v>
      </c>
      <c r="F30" s="38">
        <v>331.2</v>
      </c>
      <c r="G30" s="38">
        <v>26593.3</v>
      </c>
      <c r="H30" s="38">
        <v>11397.8</v>
      </c>
      <c r="I30" s="38">
        <f t="shared" ref="I30:I46" si="2">SUM(B30:H30)</f>
        <v>83108.600000000006</v>
      </c>
    </row>
    <row r="31" spans="1:9">
      <c r="A31" s="37">
        <v>41699</v>
      </c>
      <c r="B31" s="38">
        <v>4553.8</v>
      </c>
      <c r="C31" s="38" t="s">
        <v>1</v>
      </c>
      <c r="D31" s="38">
        <v>17678.7</v>
      </c>
      <c r="E31" s="38">
        <v>25576.400000000005</v>
      </c>
      <c r="F31" s="38">
        <v>331.2</v>
      </c>
      <c r="G31" s="38">
        <v>25720</v>
      </c>
      <c r="H31" s="39">
        <v>11895</v>
      </c>
      <c r="I31" s="38">
        <f t="shared" si="2"/>
        <v>85755.1</v>
      </c>
    </row>
    <row r="32" spans="1:9">
      <c r="A32" s="37">
        <v>41791</v>
      </c>
      <c r="B32" s="38">
        <v>4562.2000000000007</v>
      </c>
      <c r="C32" s="38" t="s">
        <v>1</v>
      </c>
      <c r="D32" s="38">
        <v>18384.599999999999</v>
      </c>
      <c r="E32" s="38">
        <v>28649.899999999998</v>
      </c>
      <c r="F32" s="38">
        <v>331.2</v>
      </c>
      <c r="G32" s="38">
        <v>25639.1</v>
      </c>
      <c r="H32" s="39">
        <v>13489.4</v>
      </c>
      <c r="I32" s="38">
        <f t="shared" si="2"/>
        <v>91056.4</v>
      </c>
    </row>
    <row r="33" spans="1:9">
      <c r="A33" s="37">
        <v>41883</v>
      </c>
      <c r="B33" s="38">
        <v>4444.8</v>
      </c>
      <c r="C33" s="38" t="s">
        <v>1</v>
      </c>
      <c r="D33" s="38">
        <v>18608.3</v>
      </c>
      <c r="E33" s="38">
        <v>31166.500000000004</v>
      </c>
      <c r="F33" s="38">
        <v>331.2</v>
      </c>
      <c r="G33" s="38">
        <v>25635.800000000003</v>
      </c>
      <c r="H33" s="39">
        <v>15759.9</v>
      </c>
      <c r="I33" s="38">
        <f t="shared" si="2"/>
        <v>95946.5</v>
      </c>
    </row>
    <row r="34" spans="1:9">
      <c r="A34" s="37">
        <v>41974</v>
      </c>
      <c r="B34" s="38">
        <v>5732.2000000000007</v>
      </c>
      <c r="C34" s="38">
        <v>500</v>
      </c>
      <c r="D34" s="38">
        <v>18489.400000000001</v>
      </c>
      <c r="E34" s="38">
        <v>32440.199999999997</v>
      </c>
      <c r="F34" s="38">
        <v>331.2</v>
      </c>
      <c r="G34" s="38">
        <v>28003.899999999998</v>
      </c>
      <c r="H34" s="39">
        <v>16436.099999999999</v>
      </c>
      <c r="I34" s="38">
        <f t="shared" si="2"/>
        <v>101933</v>
      </c>
    </row>
    <row r="35" spans="1:9">
      <c r="A35" s="37">
        <v>42064</v>
      </c>
      <c r="B35" s="38">
        <v>5302</v>
      </c>
      <c r="C35" s="38">
        <v>500</v>
      </c>
      <c r="D35" s="38">
        <v>18108.099999999999</v>
      </c>
      <c r="E35" s="38">
        <v>33868.5</v>
      </c>
      <c r="F35" s="38">
        <v>331.2</v>
      </c>
      <c r="G35" s="38">
        <v>27023.299999999996</v>
      </c>
      <c r="H35" s="39">
        <v>17755.800000000003</v>
      </c>
      <c r="I35" s="38">
        <f t="shared" si="2"/>
        <v>102888.9</v>
      </c>
    </row>
    <row r="36" spans="1:9">
      <c r="A36" s="37">
        <v>42156</v>
      </c>
      <c r="B36" s="38">
        <v>5446.4</v>
      </c>
      <c r="C36" s="38" t="s">
        <v>1</v>
      </c>
      <c r="D36" s="38">
        <v>15873.099999999999</v>
      </c>
      <c r="E36" s="38">
        <v>36962.1</v>
      </c>
      <c r="F36" s="38">
        <v>331.2</v>
      </c>
      <c r="G36" s="38">
        <v>29002.6</v>
      </c>
      <c r="H36" s="39">
        <v>19640.900000000001</v>
      </c>
      <c r="I36" s="38">
        <f t="shared" si="2"/>
        <v>107256.29999999999</v>
      </c>
    </row>
    <row r="37" spans="1:9">
      <c r="A37" s="37">
        <v>42248</v>
      </c>
      <c r="B37" s="38">
        <v>5446.4</v>
      </c>
      <c r="C37" s="38" t="s">
        <v>1</v>
      </c>
      <c r="D37" s="38">
        <v>16259.899999999998</v>
      </c>
      <c r="E37" s="38">
        <v>37483.800000000003</v>
      </c>
      <c r="F37" s="38">
        <v>331.2</v>
      </c>
      <c r="G37" s="38">
        <v>31475.4</v>
      </c>
      <c r="H37" s="39">
        <v>21552.400000000001</v>
      </c>
      <c r="I37" s="38">
        <f t="shared" si="2"/>
        <v>112549.1</v>
      </c>
    </row>
    <row r="38" spans="1:9">
      <c r="A38" s="37">
        <v>42339</v>
      </c>
      <c r="B38" s="38">
        <v>4680.2</v>
      </c>
      <c r="C38" s="38" t="s">
        <v>1</v>
      </c>
      <c r="D38" s="38">
        <v>12527.599999999999</v>
      </c>
      <c r="E38" s="38">
        <v>48125.500000000015</v>
      </c>
      <c r="F38" s="38">
        <v>331.2</v>
      </c>
      <c r="G38" s="38">
        <v>36204.5</v>
      </c>
      <c r="H38" s="39">
        <v>17593</v>
      </c>
      <c r="I38" s="38">
        <f t="shared" si="2"/>
        <v>119462.00000000001</v>
      </c>
    </row>
    <row r="39" spans="1:9">
      <c r="A39" s="37">
        <v>42430</v>
      </c>
      <c r="B39" s="38">
        <v>4205.0999999999995</v>
      </c>
      <c r="C39" s="38" t="s">
        <v>1</v>
      </c>
      <c r="D39" s="38">
        <v>12645.4</v>
      </c>
      <c r="E39" s="38">
        <v>51896.3</v>
      </c>
      <c r="F39" s="38">
        <v>331.2</v>
      </c>
      <c r="G39" s="38">
        <v>35358.9</v>
      </c>
      <c r="H39" s="39">
        <v>22434.2</v>
      </c>
      <c r="I39" s="38">
        <f t="shared" si="2"/>
        <v>126871.09999999999</v>
      </c>
    </row>
    <row r="40" spans="1:9">
      <c r="A40" s="37">
        <v>42522</v>
      </c>
      <c r="B40" s="38">
        <v>3879.1</v>
      </c>
      <c r="C40" s="38">
        <v>301.60000000000014</v>
      </c>
      <c r="D40" s="38">
        <v>11194.099999999999</v>
      </c>
      <c r="E40" s="38">
        <v>52988.900000000009</v>
      </c>
      <c r="F40" s="38">
        <v>331.2</v>
      </c>
      <c r="G40" s="38">
        <v>36951.699999999997</v>
      </c>
      <c r="H40" s="39">
        <v>21983.199999999997</v>
      </c>
      <c r="I40" s="38">
        <f t="shared" si="2"/>
        <v>127629.8</v>
      </c>
    </row>
    <row r="41" spans="1:9">
      <c r="A41" s="37">
        <v>42614</v>
      </c>
      <c r="B41" s="38">
        <v>3910.7</v>
      </c>
      <c r="C41" s="38">
        <v>301.60000000000014</v>
      </c>
      <c r="D41" s="38">
        <v>27794.5</v>
      </c>
      <c r="E41" s="38">
        <v>31767.499999999996</v>
      </c>
      <c r="F41" s="38">
        <v>331.2</v>
      </c>
      <c r="G41" s="38">
        <v>38060</v>
      </c>
      <c r="H41" s="39">
        <v>32098.2</v>
      </c>
      <c r="I41" s="38">
        <f t="shared" si="2"/>
        <v>134263.70000000001</v>
      </c>
    </row>
    <row r="42" spans="1:9">
      <c r="A42" s="37">
        <v>42705</v>
      </c>
      <c r="B42" s="38">
        <v>5477.9</v>
      </c>
      <c r="C42" s="38">
        <v>301.79999999999995</v>
      </c>
      <c r="D42" s="38">
        <v>13744.4</v>
      </c>
      <c r="E42" s="38">
        <v>45799.7</v>
      </c>
      <c r="F42" s="38">
        <v>331.2</v>
      </c>
      <c r="G42" s="38">
        <v>38358</v>
      </c>
      <c r="H42" s="39">
        <v>34192.799999999996</v>
      </c>
      <c r="I42" s="38">
        <f t="shared" si="2"/>
        <v>138205.79999999999</v>
      </c>
    </row>
    <row r="43" spans="1:9">
      <c r="A43" s="40">
        <v>42825</v>
      </c>
      <c r="B43" s="38">
        <v>4213.8</v>
      </c>
      <c r="C43" s="38">
        <v>301.7</v>
      </c>
      <c r="D43" s="38">
        <v>14102.3</v>
      </c>
      <c r="E43" s="38">
        <v>48881.9</v>
      </c>
      <c r="F43" s="38">
        <v>331.2</v>
      </c>
      <c r="G43" s="38">
        <v>37732.800000000003</v>
      </c>
      <c r="H43" s="39">
        <v>33037.9</v>
      </c>
      <c r="I43" s="38">
        <f t="shared" si="2"/>
        <v>138601.60000000001</v>
      </c>
    </row>
    <row r="44" spans="1:9">
      <c r="A44" s="40">
        <v>42916</v>
      </c>
      <c r="B44" s="38">
        <v>4482.1000000000004</v>
      </c>
      <c r="C44" s="38">
        <v>1003</v>
      </c>
      <c r="D44" s="38">
        <v>13350.1</v>
      </c>
      <c r="E44" s="38">
        <v>51836.6</v>
      </c>
      <c r="F44" s="38">
        <v>2141.1999999999998</v>
      </c>
      <c r="G44" s="38">
        <v>37753</v>
      </c>
      <c r="H44" s="39">
        <v>33892.9</v>
      </c>
      <c r="I44" s="38">
        <f t="shared" si="2"/>
        <v>144458.9</v>
      </c>
    </row>
    <row r="45" spans="1:9">
      <c r="A45" s="40">
        <v>43008</v>
      </c>
      <c r="B45" s="38">
        <v>3567.3</v>
      </c>
      <c r="C45" s="38">
        <v>1002.5</v>
      </c>
      <c r="D45" s="38">
        <v>12501.7</v>
      </c>
      <c r="E45" s="38">
        <v>54306.1</v>
      </c>
      <c r="F45" s="38">
        <v>2247.6</v>
      </c>
      <c r="G45" s="38">
        <v>39233</v>
      </c>
      <c r="H45" s="39">
        <v>34801.599999999999</v>
      </c>
      <c r="I45" s="38">
        <f t="shared" si="2"/>
        <v>147659.80000000002</v>
      </c>
    </row>
    <row r="46" spans="1:9">
      <c r="A46" s="40">
        <v>43100</v>
      </c>
      <c r="B46" s="38">
        <v>3610.1000000000004</v>
      </c>
      <c r="C46" s="38">
        <v>1003.3</v>
      </c>
      <c r="D46" s="38">
        <v>12022.2</v>
      </c>
      <c r="E46" s="38">
        <v>55942.200000000004</v>
      </c>
      <c r="F46" s="38">
        <v>2484.5</v>
      </c>
      <c r="G46" s="38">
        <v>40889</v>
      </c>
      <c r="H46" s="39">
        <v>35250.6</v>
      </c>
      <c r="I46" s="38">
        <f t="shared" si="2"/>
        <v>151201.9</v>
      </c>
    </row>
    <row r="47" spans="1:9">
      <c r="A47" s="40">
        <v>43160</v>
      </c>
      <c r="B47" s="38">
        <f>1440.8+2121.5</f>
        <v>3562.3</v>
      </c>
      <c r="C47" s="38">
        <v>0</v>
      </c>
      <c r="D47" s="38">
        <f>7677.1+3607.8</f>
        <v>11284.900000000001</v>
      </c>
      <c r="E47" s="38">
        <f>57342.6+1299.5</f>
        <v>58642.1</v>
      </c>
      <c r="F47" s="38">
        <f>3641+331.2</f>
        <v>3972.2</v>
      </c>
      <c r="G47" s="38">
        <f>508.2+27819.1-11880.4+21194.5+613.3</f>
        <v>38254.700000000004</v>
      </c>
      <c r="H47" s="39">
        <f>11819.8+11880.4+1843.3+14028.1</f>
        <v>39571.599999999999</v>
      </c>
      <c r="I47" s="38">
        <f t="shared" ref="I47:I50" si="3">SUM(B47:H47)</f>
        <v>155287.80000000002</v>
      </c>
    </row>
    <row r="48" spans="1:9">
      <c r="A48" s="40">
        <v>43281</v>
      </c>
      <c r="B48" s="38">
        <f>1470.1+2136.3</f>
        <v>3606.4</v>
      </c>
      <c r="C48" s="38">
        <v>0</v>
      </c>
      <c r="D48" s="38">
        <f>7745+3684.7</f>
        <v>11429.7</v>
      </c>
      <c r="E48" s="38">
        <f>60992.3+1315.2</f>
        <v>62307.5</v>
      </c>
      <c r="F48" s="38">
        <f>3450.7+331.2</f>
        <v>3781.8999999999996</v>
      </c>
      <c r="G48" s="38">
        <f>924.3+28017.8-12050.9+21194.5+1623.7</f>
        <v>39709.399999999994</v>
      </c>
      <c r="H48" s="39">
        <f>11954+12050.9+1121.9+14269.2</f>
        <v>39396</v>
      </c>
      <c r="I48" s="38">
        <f t="shared" si="3"/>
        <v>160230.9</v>
      </c>
    </row>
    <row r="49" spans="1:9">
      <c r="A49" s="40">
        <v>43373</v>
      </c>
      <c r="B49" s="38">
        <f>1499.7+2161.5</f>
        <v>3661.2</v>
      </c>
      <c r="C49" s="38">
        <v>0</v>
      </c>
      <c r="D49" s="38">
        <f>4342.8+7814</f>
        <v>12156.8</v>
      </c>
      <c r="E49" s="38">
        <f>1365.4+63744.2</f>
        <v>65109.599999999999</v>
      </c>
      <c r="F49" s="38">
        <f>331.2+3536.3</f>
        <v>3867.5</v>
      </c>
      <c r="G49" s="38">
        <f>1502.5+26861.6-10883.5+21194.5+2469.1</f>
        <v>41144.199999999997</v>
      </c>
      <c r="H49" s="39">
        <f>12624.4+10883.5+2845.8+14807.3</f>
        <v>41161</v>
      </c>
      <c r="I49" s="38">
        <f t="shared" si="3"/>
        <v>167100.29999999999</v>
      </c>
    </row>
    <row r="50" spans="1:9">
      <c r="A50" s="40">
        <v>43435</v>
      </c>
      <c r="B50" s="38">
        <f>1532.5+2179.5</f>
        <v>3712</v>
      </c>
      <c r="C50" s="38">
        <v>0</v>
      </c>
      <c r="D50" s="38">
        <f>4736.7+7842.1</f>
        <v>12578.8</v>
      </c>
      <c r="E50" s="38">
        <f>1972.9+67401.4</f>
        <v>69374.299999999988</v>
      </c>
      <c r="F50" s="38">
        <f>331.2+3319.7</f>
        <v>3650.8999999999996</v>
      </c>
      <c r="G50" s="38">
        <f>2891.2+19940.3-3995.3+21194.6+3743.5</f>
        <v>43774.3</v>
      </c>
      <c r="H50" s="39">
        <f>12715.3+3995.3+2172.7+15442.7</f>
        <v>34326</v>
      </c>
      <c r="I50" s="38">
        <f t="shared" si="3"/>
        <v>167416.29999999999</v>
      </c>
    </row>
    <row r="51" spans="1:9">
      <c r="A51" s="40">
        <v>43555</v>
      </c>
      <c r="B51" s="38">
        <f>1564+2190.1</f>
        <v>3754.1</v>
      </c>
      <c r="C51" s="38">
        <v>0</v>
      </c>
      <c r="D51" s="38">
        <f>5998.8+7079.8</f>
        <v>13078.6</v>
      </c>
      <c r="E51" s="38">
        <f>2338.1+74854.3</f>
        <v>77192.400000000009</v>
      </c>
      <c r="F51" s="38">
        <f>331.2+3410.7</f>
        <v>3741.8999999999996</v>
      </c>
      <c r="G51" s="38">
        <f>504.3+21648.2-3215.1+23053.6+703.1</f>
        <v>42694.1</v>
      </c>
      <c r="H51" s="39">
        <f>12447.5+3215.1+3700.5+16833.1</f>
        <v>36196.199999999997</v>
      </c>
      <c r="I51" s="38">
        <f t="shared" ref="I51" si="4">SUM(B51:H51)</f>
        <v>176657.3</v>
      </c>
    </row>
    <row r="52" spans="1:9">
      <c r="A52" s="40">
        <v>43619</v>
      </c>
      <c r="B52" s="38">
        <f>1903.1+2213.2</f>
        <v>4116.2999999999993</v>
      </c>
      <c r="C52" s="38">
        <v>0</v>
      </c>
      <c r="D52" s="38">
        <f>6101.4+7150.4</f>
        <v>13251.8</v>
      </c>
      <c r="E52" s="38">
        <f>3523.3+78966.3</f>
        <v>82489.600000000006</v>
      </c>
      <c r="F52" s="38">
        <f>331.2+3196.9</f>
        <v>3528.1</v>
      </c>
      <c r="G52" s="38">
        <f>1304.9+21236.3-2776.4+23053.5+2192.6</f>
        <v>45010.9</v>
      </c>
      <c r="H52" s="39">
        <f>12630.2+2776.4+1710+17566.3</f>
        <v>34682.899999999994</v>
      </c>
      <c r="I52" s="38">
        <f t="shared" ref="I52" si="5">SUM(B52:H52)</f>
        <v>183079.6</v>
      </c>
    </row>
    <row r="53" spans="1:9">
      <c r="A53" s="40">
        <v>43738</v>
      </c>
      <c r="B53" s="38">
        <f>1231.3+2233.8</f>
        <v>3465.1000000000004</v>
      </c>
      <c r="C53" s="38">
        <v>0</v>
      </c>
      <c r="D53" s="38">
        <f>7221.7+6239.5</f>
        <v>13461.2</v>
      </c>
      <c r="E53" s="38">
        <f>3526.5+84281</f>
        <v>87807.5</v>
      </c>
      <c r="F53" s="38">
        <f>3227.9+331.2</f>
        <v>3559.1</v>
      </c>
      <c r="G53" s="38">
        <f>2060.6+21258-2833.1+23053.6+3660.8</f>
        <v>47199.9</v>
      </c>
      <c r="H53" s="39">
        <f>11328.5+2833.1+1945.6+18546.5</f>
        <v>34653.699999999997</v>
      </c>
      <c r="I53" s="38">
        <f t="shared" ref="I53:I54" si="6">SUM(B53:H53)</f>
        <v>190146.5</v>
      </c>
    </row>
    <row r="54" spans="1:9">
      <c r="A54" s="40">
        <v>43800</v>
      </c>
      <c r="B54" s="38">
        <f>1265.7+2249.9</f>
        <v>3515.6000000000004</v>
      </c>
      <c r="C54" s="38">
        <v>0</v>
      </c>
      <c r="D54" s="38">
        <f>7250.6+6107.1</f>
        <v>13357.7</v>
      </c>
      <c r="E54" s="38">
        <f>5506.9+92425.5</f>
        <v>97932.4</v>
      </c>
      <c r="F54" s="38">
        <f>3051.7+331.2</f>
        <v>3382.8999999999996</v>
      </c>
      <c r="G54" s="38">
        <f>2928.3+21176-2722.2+23053.6+5011.8</f>
        <v>49447.5</v>
      </c>
      <c r="H54" s="39">
        <f>11301+2722.2+1519.5+19174.1</f>
        <v>34716.800000000003</v>
      </c>
      <c r="I54" s="38">
        <f t="shared" si="6"/>
        <v>202352.89999999997</v>
      </c>
    </row>
    <row r="55" spans="1:9">
      <c r="A55" s="40">
        <v>43921</v>
      </c>
      <c r="B55" s="38">
        <f>1449.5+2270.3</f>
        <v>3719.8</v>
      </c>
      <c r="C55" s="38">
        <v>0</v>
      </c>
      <c r="D55" s="38">
        <f>7323.6+6202.5</f>
        <v>13526.1</v>
      </c>
      <c r="E55" s="38">
        <f>7493.3+98177.6</f>
        <v>105670.90000000001</v>
      </c>
      <c r="F55" s="38">
        <f>3107.3+331.2</f>
        <v>3438.5</v>
      </c>
      <c r="G55" s="38">
        <f>505.2+23162.6-2633+25865.7+1007.6</f>
        <v>47908.1</v>
      </c>
      <c r="H55" s="39">
        <f>12045.1+2633+2155.2+19962.9</f>
        <v>36796.199999999997</v>
      </c>
      <c r="I55" s="38">
        <f t="shared" ref="I55" si="7">SUM(B55:H55)</f>
        <v>211059.60000000003</v>
      </c>
    </row>
    <row r="56" spans="1:9">
      <c r="A56" s="40">
        <v>44012</v>
      </c>
      <c r="B56" s="38">
        <f>1287.7+2294.3</f>
        <v>3582</v>
      </c>
      <c r="C56" s="38">
        <v>0</v>
      </c>
      <c r="D56" s="38">
        <f>1291+6290.6</f>
        <v>7581.6</v>
      </c>
      <c r="E56" s="38">
        <f>17136.6+107279</f>
        <v>124415.6</v>
      </c>
      <c r="F56" s="38">
        <f>2929.4+331.2</f>
        <v>3260.6</v>
      </c>
      <c r="G56" s="38">
        <f>1308.8+23339.5-2776.5+25865.7+2876.4</f>
        <v>50613.9</v>
      </c>
      <c r="H56" s="39">
        <f>10659.6+2776.5+1879.6+20746.1</f>
        <v>36061.800000000003</v>
      </c>
      <c r="I56" s="38">
        <f t="shared" ref="I56" si="8">SUM(B56:H56)</f>
        <v>225515.5</v>
      </c>
    </row>
    <row r="57" spans="1:9">
      <c r="A57" s="40">
        <v>44104</v>
      </c>
      <c r="B57" s="38">
        <f>1312.9+2333.9</f>
        <v>3646.8</v>
      </c>
      <c r="C57" s="38">
        <v>0</v>
      </c>
      <c r="D57" s="38">
        <f>3289.1+6230.2</f>
        <v>9519.2999999999993</v>
      </c>
      <c r="E57" s="38">
        <f>15222+121951</f>
        <v>137173</v>
      </c>
      <c r="F57" s="38">
        <f>3006.7+331.2</f>
        <v>3337.8999999999996</v>
      </c>
      <c r="G57" s="38">
        <f>2034.4+23352.7-2796.7+25865.7+5313.7</f>
        <v>53769.8</v>
      </c>
      <c r="H57" s="39">
        <f>10553.2+2796.7+2137.2+21347.6</f>
        <v>36834.699999999997</v>
      </c>
      <c r="I57" s="38">
        <f t="shared" ref="I57:I74" si="9">SUM(B57:H57)</f>
        <v>244281.5</v>
      </c>
    </row>
    <row r="58" spans="1:9">
      <c r="A58" s="40">
        <v>44196</v>
      </c>
      <c r="B58" s="38">
        <f>3540.3+2349.3</f>
        <v>5889.6</v>
      </c>
      <c r="C58" s="38">
        <v>0</v>
      </c>
      <c r="D58" s="38">
        <f>7500.1+10599.9</f>
        <v>18100</v>
      </c>
      <c r="E58" s="38">
        <f>12350.3+127854</f>
        <v>140204.29999999999</v>
      </c>
      <c r="F58" s="38">
        <f>2780.7+331.2</f>
        <v>3111.8999999999996</v>
      </c>
      <c r="G58" s="38">
        <f>2775.7+22620.3-2149.9+25865.8+7644.2</f>
        <v>56756.099999999991</v>
      </c>
      <c r="H58" s="39">
        <f>10286.8+2149.9+2229.5+21747.8</f>
        <v>36414</v>
      </c>
      <c r="I58" s="38">
        <f t="shared" si="9"/>
        <v>260475.89999999997</v>
      </c>
    </row>
    <row r="59" spans="1:9">
      <c r="A59" s="40">
        <v>44286</v>
      </c>
      <c r="B59" s="38">
        <v>10625.7</v>
      </c>
      <c r="C59" s="38">
        <v>0</v>
      </c>
      <c r="D59" s="38">
        <v>18910</v>
      </c>
      <c r="E59" s="38">
        <v>149526.5</v>
      </c>
      <c r="F59" s="38">
        <v>3183.2999999999997</v>
      </c>
      <c r="G59" s="38">
        <v>56395.899999999994</v>
      </c>
      <c r="H59" s="39">
        <v>37760.600000000006</v>
      </c>
      <c r="I59" s="38">
        <f t="shared" si="9"/>
        <v>276402</v>
      </c>
    </row>
    <row r="60" spans="1:9">
      <c r="A60" s="40">
        <v>44377</v>
      </c>
      <c r="B60" s="38">
        <v>15819.7</v>
      </c>
      <c r="C60" s="38">
        <v>0</v>
      </c>
      <c r="D60" s="38">
        <v>23041.699999999997</v>
      </c>
      <c r="E60" s="38">
        <v>162521.5</v>
      </c>
      <c r="F60" s="38">
        <v>2623.4</v>
      </c>
      <c r="G60" s="38">
        <v>59841.1</v>
      </c>
      <c r="H60" s="39">
        <v>43392.7</v>
      </c>
      <c r="I60" s="38">
        <f t="shared" si="9"/>
        <v>307240.09999999998</v>
      </c>
    </row>
    <row r="61" spans="1:9">
      <c r="A61" s="40">
        <v>44440</v>
      </c>
      <c r="B61" s="38">
        <v>17265</v>
      </c>
      <c r="C61" s="38">
        <v>0</v>
      </c>
      <c r="D61" s="38">
        <v>16502.599999999999</v>
      </c>
      <c r="E61" s="38">
        <v>10854.8</v>
      </c>
      <c r="F61" s="38">
        <v>2695.2</v>
      </c>
      <c r="G61" s="38">
        <v>27776.400000000001</v>
      </c>
      <c r="H61" s="39">
        <v>17351.100000000002</v>
      </c>
      <c r="I61" s="38">
        <f t="shared" si="9"/>
        <v>92445.1</v>
      </c>
    </row>
    <row r="62" spans="1:9">
      <c r="A62" s="40">
        <v>44532</v>
      </c>
      <c r="B62" s="38">
        <v>19315.899999999998</v>
      </c>
      <c r="C62" s="38">
        <v>0</v>
      </c>
      <c r="D62" s="38">
        <v>19417</v>
      </c>
      <c r="E62" s="38">
        <v>10925.7</v>
      </c>
      <c r="F62" s="38">
        <v>2453.8000000000002</v>
      </c>
      <c r="G62" s="38">
        <v>28788.2</v>
      </c>
      <c r="H62" s="39">
        <v>15671.9</v>
      </c>
      <c r="I62" s="38">
        <f t="shared" si="9"/>
        <v>96572.499999999985</v>
      </c>
    </row>
    <row r="63" spans="1:9">
      <c r="A63" s="52" t="s">
        <v>47</v>
      </c>
      <c r="B63" s="38">
        <v>21074.100000000002</v>
      </c>
      <c r="C63" s="38">
        <v>0</v>
      </c>
      <c r="D63" s="38">
        <v>19507.7</v>
      </c>
      <c r="E63" s="38">
        <v>14933.6</v>
      </c>
      <c r="F63" s="38">
        <v>2511.8000000000002</v>
      </c>
      <c r="G63" s="38">
        <v>29575.100000000002</v>
      </c>
      <c r="H63" s="39">
        <v>14917.2</v>
      </c>
      <c r="I63" s="38">
        <f t="shared" si="9"/>
        <v>102519.5</v>
      </c>
    </row>
    <row r="64" spans="1:9">
      <c r="A64" s="52" t="s">
        <v>62</v>
      </c>
      <c r="B64" s="38">
        <v>24591.899999999998</v>
      </c>
      <c r="C64" s="38">
        <v>0</v>
      </c>
      <c r="D64" s="38">
        <v>18622.400000000001</v>
      </c>
      <c r="E64" s="38">
        <v>15147.6</v>
      </c>
      <c r="F64" s="38">
        <v>2279.6999999999998</v>
      </c>
      <c r="G64" s="38">
        <v>30865.4</v>
      </c>
      <c r="H64" s="39">
        <v>17088.5</v>
      </c>
      <c r="I64" s="38">
        <f t="shared" si="9"/>
        <v>108595.5</v>
      </c>
    </row>
    <row r="65" spans="1:9">
      <c r="A65" s="52" t="s">
        <v>53</v>
      </c>
      <c r="B65" s="38">
        <v>27560.100000000002</v>
      </c>
      <c r="C65" s="38">
        <v>0</v>
      </c>
      <c r="D65" s="38">
        <v>14402.7</v>
      </c>
      <c r="E65" s="38">
        <v>36044.200000000004</v>
      </c>
      <c r="F65" s="38">
        <v>2334.6999999999998</v>
      </c>
      <c r="G65" s="38">
        <v>31862.300000000003</v>
      </c>
      <c r="H65" s="39">
        <v>16412.2</v>
      </c>
      <c r="I65" s="38">
        <f t="shared" si="9"/>
        <v>128616.2</v>
      </c>
    </row>
    <row r="66" spans="1:9">
      <c r="A66" s="52" t="s">
        <v>56</v>
      </c>
      <c r="B66" s="38">
        <v>32857.200000000004</v>
      </c>
      <c r="C66" s="38">
        <v>0</v>
      </c>
      <c r="D66" s="38">
        <v>14439.7</v>
      </c>
      <c r="E66" s="38">
        <v>36658.800000000003</v>
      </c>
      <c r="F66" s="38">
        <v>2102.6</v>
      </c>
      <c r="G66" s="38">
        <v>39193.9</v>
      </c>
      <c r="H66" s="39">
        <v>20473</v>
      </c>
      <c r="I66" s="38">
        <f t="shared" si="9"/>
        <v>145725.20000000001</v>
      </c>
    </row>
    <row r="67" spans="1:9">
      <c r="A67" s="52" t="s">
        <v>59</v>
      </c>
      <c r="B67" s="38">
        <v>35439.1</v>
      </c>
      <c r="C67" s="38">
        <v>0</v>
      </c>
      <c r="D67" s="38">
        <v>18402</v>
      </c>
      <c r="E67" s="38">
        <v>40202.199999999997</v>
      </c>
      <c r="F67" s="38">
        <v>2136.6</v>
      </c>
      <c r="G67" s="38">
        <v>40068.1</v>
      </c>
      <c r="H67" s="39">
        <v>23491.7</v>
      </c>
      <c r="I67" s="38">
        <f t="shared" si="9"/>
        <v>159739.70000000001</v>
      </c>
    </row>
    <row r="68" spans="1:9">
      <c r="A68" s="52" t="s">
        <v>62</v>
      </c>
      <c r="B68" s="38">
        <v>36260.699999999997</v>
      </c>
      <c r="C68" s="38">
        <v>0</v>
      </c>
      <c r="D68" s="38">
        <v>17417.7</v>
      </c>
      <c r="E68" s="38">
        <v>43915.1</v>
      </c>
      <c r="F68" s="38">
        <v>2865.1</v>
      </c>
      <c r="G68" s="38">
        <v>41441.9</v>
      </c>
      <c r="H68" s="39">
        <v>21504.400000000001</v>
      </c>
      <c r="I68" s="38">
        <f t="shared" si="9"/>
        <v>163404.9</v>
      </c>
    </row>
    <row r="69" spans="1:9">
      <c r="A69" s="52" t="s">
        <v>65</v>
      </c>
      <c r="B69" s="38">
        <v>37480.6</v>
      </c>
      <c r="C69" s="38">
        <v>0</v>
      </c>
      <c r="D69" s="38">
        <v>13471.1</v>
      </c>
      <c r="E69" s="38">
        <v>61970.600000000006</v>
      </c>
      <c r="F69" s="38">
        <v>2916.9</v>
      </c>
      <c r="G69" s="38">
        <v>42240.4</v>
      </c>
      <c r="H69" s="39">
        <v>25140.9</v>
      </c>
      <c r="I69" s="38">
        <f t="shared" si="9"/>
        <v>183220.5</v>
      </c>
    </row>
    <row r="70" spans="1:9">
      <c r="A70" s="52" t="s">
        <v>68</v>
      </c>
      <c r="B70" s="38">
        <v>39449.5</v>
      </c>
      <c r="C70" s="38">
        <v>0</v>
      </c>
      <c r="D70" s="38">
        <v>23525.7</v>
      </c>
      <c r="E70" s="38">
        <v>57166.1</v>
      </c>
      <c r="F70" s="38">
        <v>2612.9</v>
      </c>
      <c r="G70" s="38">
        <f>43932.3+4579-5307.8</f>
        <v>43203.5</v>
      </c>
      <c r="H70" s="39">
        <f>17713.2+5307.8</f>
        <v>23021</v>
      </c>
      <c r="I70" s="38">
        <f t="shared" si="9"/>
        <v>188978.69999999998</v>
      </c>
    </row>
    <row r="71" spans="1:9">
      <c r="A71" s="52" t="s">
        <v>71</v>
      </c>
      <c r="B71" s="38">
        <v>39441.599999999999</v>
      </c>
      <c r="C71" s="38">
        <v>0</v>
      </c>
      <c r="D71" s="38">
        <v>24126.3</v>
      </c>
      <c r="E71" s="38">
        <v>65049.4</v>
      </c>
      <c r="F71" s="38">
        <v>2640.4</v>
      </c>
      <c r="G71" s="38">
        <v>43791</v>
      </c>
      <c r="H71" s="39">
        <v>25663.4</v>
      </c>
      <c r="I71" s="38">
        <f t="shared" si="9"/>
        <v>200712.09999999998</v>
      </c>
    </row>
    <row r="72" spans="1:9">
      <c r="A72" s="52" t="s">
        <v>74</v>
      </c>
      <c r="B72" s="38">
        <v>36056.5</v>
      </c>
      <c r="C72" s="38">
        <v>0</v>
      </c>
      <c r="D72" s="38">
        <v>25691.7</v>
      </c>
      <c r="E72" s="38">
        <v>69494.5</v>
      </c>
      <c r="F72" s="38">
        <v>2051.3000000000002</v>
      </c>
      <c r="G72" s="38">
        <v>45776.5</v>
      </c>
      <c r="H72" s="39">
        <v>25405.600000000002</v>
      </c>
      <c r="I72" s="38">
        <f t="shared" si="9"/>
        <v>204476.1</v>
      </c>
    </row>
    <row r="73" spans="1:9">
      <c r="A73" s="52" t="s">
        <v>77</v>
      </c>
      <c r="B73" s="38">
        <v>36972.700000000004</v>
      </c>
      <c r="C73" s="38">
        <v>0</v>
      </c>
      <c r="D73" s="38">
        <v>28772.5</v>
      </c>
      <c r="E73" s="38">
        <v>71519</v>
      </c>
      <c r="F73" s="38">
        <v>2075.6999999999998</v>
      </c>
      <c r="G73" s="38">
        <v>50406.299999999996</v>
      </c>
      <c r="H73" s="39">
        <v>22997.399999999998</v>
      </c>
      <c r="I73" s="38">
        <f t="shared" si="9"/>
        <v>212743.6</v>
      </c>
    </row>
    <row r="74" spans="1:9">
      <c r="A74" s="52" t="s">
        <v>80</v>
      </c>
      <c r="B74" s="38">
        <v>37568.800000000003</v>
      </c>
      <c r="C74" s="38">
        <v>0</v>
      </c>
      <c r="D74" s="38">
        <v>29483.3</v>
      </c>
      <c r="E74" s="38">
        <v>70022.100000000006</v>
      </c>
      <c r="F74" s="38">
        <v>1815.3</v>
      </c>
      <c r="G74" s="38">
        <v>54736.4</v>
      </c>
      <c r="H74" s="39">
        <v>22640.6</v>
      </c>
      <c r="I74" s="38">
        <f t="shared" si="9"/>
        <v>216266.5</v>
      </c>
    </row>
    <row r="75" spans="1:9">
      <c r="A75" s="52" t="s">
        <v>83</v>
      </c>
      <c r="B75" s="38">
        <v>43163.9</v>
      </c>
      <c r="C75" s="38">
        <v>0</v>
      </c>
      <c r="D75" s="38">
        <v>32638.799999999999</v>
      </c>
      <c r="E75" s="38">
        <v>72149.600000000006</v>
      </c>
      <c r="F75" s="38">
        <v>1835.7</v>
      </c>
      <c r="G75" s="38">
        <v>55020.7</v>
      </c>
      <c r="H75" s="39">
        <v>21496.6</v>
      </c>
      <c r="I75" s="38">
        <f t="shared" ref="I75:I76" si="10">SUM(B75:H75)</f>
        <v>226305.30000000002</v>
      </c>
    </row>
    <row r="76" spans="1:9">
      <c r="A76" s="52" t="s">
        <v>86</v>
      </c>
      <c r="B76" s="38">
        <v>34911.5</v>
      </c>
      <c r="C76" s="38">
        <v>0</v>
      </c>
      <c r="D76" s="38">
        <v>40136.300000000003</v>
      </c>
      <c r="E76" s="38">
        <v>71259.599999999991</v>
      </c>
      <c r="F76" s="38">
        <v>8927.4</v>
      </c>
      <c r="G76" s="38">
        <v>56740.799999999996</v>
      </c>
      <c r="H76" s="39">
        <v>22417.5</v>
      </c>
      <c r="I76" s="38">
        <f t="shared" si="10"/>
        <v>234393.09999999998</v>
      </c>
    </row>
    <row r="77" spans="1:9">
      <c r="A77" s="52" t="s">
        <v>92</v>
      </c>
      <c r="B77" s="38">
        <v>32920.400000000001</v>
      </c>
      <c r="C77" s="38">
        <v>0</v>
      </c>
      <c r="D77" s="38">
        <v>42867.7</v>
      </c>
      <c r="E77" s="38">
        <v>76869</v>
      </c>
      <c r="F77" s="38">
        <v>9033.7999999999993</v>
      </c>
      <c r="G77" s="38">
        <v>59592.299999999996</v>
      </c>
      <c r="H77" s="39">
        <v>24429.699999999997</v>
      </c>
      <c r="I77" s="38">
        <v>245712.89999999997</v>
      </c>
    </row>
    <row r="78" spans="1:9">
      <c r="A78" s="52" t="s">
        <v>97</v>
      </c>
      <c r="B78" s="38">
        <v>32735.8</v>
      </c>
      <c r="C78" s="38">
        <v>0</v>
      </c>
      <c r="D78" s="38">
        <v>46446.1</v>
      </c>
      <c r="E78" s="38">
        <v>79414.900000000009</v>
      </c>
      <c r="F78" s="38">
        <v>16099.5</v>
      </c>
      <c r="G78" s="38">
        <v>65721.099999999991</v>
      </c>
      <c r="H78" s="39">
        <v>33059.699999999997</v>
      </c>
      <c r="I78" s="38">
        <v>273477.09999999998</v>
      </c>
    </row>
    <row r="79" spans="1:9">
      <c r="A79" s="41" t="s">
        <v>0</v>
      </c>
      <c r="B79" s="39"/>
      <c r="C79" s="39"/>
      <c r="D79" s="42"/>
      <c r="E79" s="39"/>
      <c r="F79" s="42"/>
      <c r="G79" s="42"/>
      <c r="H79" s="42"/>
      <c r="I79" s="38"/>
    </row>
    <row r="80" spans="1:9">
      <c r="A80" s="55" t="s">
        <v>36</v>
      </c>
      <c r="B80" s="56"/>
      <c r="C80" s="56"/>
      <c r="D80" s="56"/>
      <c r="E80" s="56"/>
      <c r="F80" s="56"/>
      <c r="G80" s="56"/>
      <c r="H80" s="56"/>
      <c r="I80" s="57"/>
    </row>
  </sheetData>
  <mergeCells count="2">
    <mergeCell ref="A4:I4"/>
    <mergeCell ref="A80:I80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6"/>
  <sheetViews>
    <sheetView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J27" sqref="J27"/>
    </sheetView>
  </sheetViews>
  <sheetFormatPr baseColWidth="10" defaultColWidth="11.5546875" defaultRowHeight="15.75"/>
  <cols>
    <col min="1" max="1" width="48" style="23" customWidth="1"/>
    <col min="2" max="2" width="16.88671875" style="23" customWidth="1"/>
    <col min="3" max="3" width="30.88671875" style="23" bestFit="1" customWidth="1"/>
    <col min="4" max="4" width="38.5546875" style="23" bestFit="1" customWidth="1"/>
    <col min="5" max="5" width="30" style="23" bestFit="1" customWidth="1"/>
    <col min="6" max="6" width="31.109375" style="23" bestFit="1" customWidth="1"/>
    <col min="7" max="7" width="23.77734375" style="23" customWidth="1"/>
    <col min="8" max="8" width="39" style="23" customWidth="1"/>
    <col min="9" max="9" width="15.5546875" style="23" bestFit="1" customWidth="1"/>
    <col min="10" max="16384" width="11.5546875" style="23"/>
  </cols>
  <sheetData>
    <row r="1" spans="1:10">
      <c r="A1" s="20" t="s">
        <v>30</v>
      </c>
      <c r="B1" s="21"/>
      <c r="C1" s="21"/>
      <c r="D1" s="22"/>
      <c r="E1" s="21"/>
      <c r="F1" s="22"/>
      <c r="G1" s="22"/>
      <c r="H1" s="22"/>
      <c r="I1" s="50" t="s">
        <v>35</v>
      </c>
    </row>
    <row r="2" spans="1:10">
      <c r="A2" s="24"/>
      <c r="B2" s="25"/>
      <c r="C2" s="25"/>
      <c r="D2" s="26"/>
      <c r="E2" s="25"/>
      <c r="F2" s="26"/>
      <c r="G2" s="26"/>
      <c r="H2" s="26"/>
      <c r="I2" s="26"/>
      <c r="J2" s="27"/>
    </row>
    <row r="3" spans="1:10">
      <c r="A3" s="28"/>
      <c r="B3" s="29"/>
      <c r="C3" s="29"/>
      <c r="D3" s="30"/>
      <c r="E3" s="29"/>
      <c r="F3" s="30"/>
      <c r="G3" s="30"/>
      <c r="H3" s="30"/>
      <c r="I3" s="16"/>
      <c r="J3" s="27"/>
    </row>
    <row r="4" spans="1:10" s="32" customFormat="1" ht="18.75">
      <c r="A4" s="53" t="s">
        <v>31</v>
      </c>
      <c r="B4" s="54"/>
      <c r="C4" s="54"/>
      <c r="D4" s="54"/>
      <c r="E4" s="54"/>
      <c r="F4" s="54"/>
      <c r="G4" s="54"/>
      <c r="H4" s="54"/>
      <c r="I4" s="54"/>
      <c r="J4" s="31"/>
    </row>
    <row r="5" spans="1:10" s="32" customFormat="1" ht="18.75">
      <c r="A5" s="33"/>
      <c r="B5" s="34"/>
      <c r="C5" s="34"/>
      <c r="D5" s="34"/>
      <c r="E5" s="34"/>
      <c r="F5" s="34"/>
      <c r="G5" s="34"/>
      <c r="H5" s="34"/>
      <c r="I5" s="34"/>
      <c r="J5" s="31"/>
    </row>
    <row r="6" spans="1:10" s="36" customFormat="1" ht="57.75" customHeight="1">
      <c r="A6" s="35" t="s">
        <v>32</v>
      </c>
      <c r="B6" s="44" t="s">
        <v>18</v>
      </c>
      <c r="C6" s="44" t="s">
        <v>19</v>
      </c>
      <c r="D6" s="44" t="s">
        <v>20</v>
      </c>
      <c r="E6" s="45" t="s">
        <v>21</v>
      </c>
      <c r="F6" s="45" t="s">
        <v>22</v>
      </c>
      <c r="G6" s="44" t="s">
        <v>23</v>
      </c>
      <c r="H6" s="45" t="s">
        <v>24</v>
      </c>
      <c r="I6" s="46" t="s">
        <v>25</v>
      </c>
    </row>
    <row r="7" spans="1:10">
      <c r="A7" s="43">
        <v>2008</v>
      </c>
      <c r="B7" s="38" t="s">
        <v>1</v>
      </c>
      <c r="C7" s="38" t="s">
        <v>1</v>
      </c>
      <c r="D7" s="38">
        <f>1178.8+7166.2</f>
        <v>8345</v>
      </c>
      <c r="E7" s="38">
        <f>6019.6+1179.9</f>
        <v>7199.5</v>
      </c>
      <c r="F7" s="38">
        <f>374.8+1699</f>
        <v>2073.8000000000002</v>
      </c>
      <c r="G7" s="38">
        <v>14958.399999999998</v>
      </c>
      <c r="H7" s="38">
        <v>4600.8</v>
      </c>
      <c r="I7" s="38">
        <f t="shared" ref="I7:I16" si="0">SUM(B7:H7)</f>
        <v>37177.5</v>
      </c>
    </row>
    <row r="8" spans="1:10">
      <c r="A8" s="43">
        <v>2009</v>
      </c>
      <c r="B8" s="38" t="s">
        <v>1</v>
      </c>
      <c r="C8" s="38" t="s">
        <v>1</v>
      </c>
      <c r="D8" s="38">
        <v>11783.1</v>
      </c>
      <c r="E8" s="38">
        <v>9015.5</v>
      </c>
      <c r="F8" s="38">
        <v>1764.8</v>
      </c>
      <c r="G8" s="38">
        <v>16252.4</v>
      </c>
      <c r="H8" s="38">
        <v>4715.3999999999996</v>
      </c>
      <c r="I8" s="38">
        <f t="shared" si="0"/>
        <v>43531.199999999997</v>
      </c>
    </row>
    <row r="9" spans="1:10">
      <c r="A9" s="43">
        <v>2010</v>
      </c>
      <c r="B9" s="38">
        <v>2179</v>
      </c>
      <c r="C9" s="38" t="s">
        <v>1</v>
      </c>
      <c r="D9" s="38">
        <v>17033.199999999997</v>
      </c>
      <c r="E9" s="38">
        <v>11788.7</v>
      </c>
      <c r="F9" s="38">
        <v>1350.2</v>
      </c>
      <c r="G9" s="38">
        <v>17033.400000000001</v>
      </c>
      <c r="H9" s="38">
        <v>6942.7</v>
      </c>
      <c r="I9" s="38">
        <v>56327.199999999997</v>
      </c>
    </row>
    <row r="10" spans="1:10">
      <c r="A10" s="43">
        <v>2011</v>
      </c>
      <c r="B10" s="38">
        <v>2690.1</v>
      </c>
      <c r="C10" s="38" t="s">
        <v>1</v>
      </c>
      <c r="D10" s="38">
        <v>15478.699999999999</v>
      </c>
      <c r="E10" s="38">
        <v>16713.399999999998</v>
      </c>
      <c r="F10" s="38">
        <v>1087.9000000000001</v>
      </c>
      <c r="G10" s="38">
        <v>21153.000000000004</v>
      </c>
      <c r="H10" s="38">
        <v>7706.5999999999995</v>
      </c>
      <c r="I10" s="38">
        <f t="shared" si="0"/>
        <v>64829.700000000004</v>
      </c>
    </row>
    <row r="11" spans="1:10">
      <c r="A11" s="43">
        <v>2012</v>
      </c>
      <c r="B11" s="38">
        <v>2568.4</v>
      </c>
      <c r="C11" s="38" t="s">
        <v>1</v>
      </c>
      <c r="D11" s="38">
        <v>17471.5</v>
      </c>
      <c r="E11" s="38">
        <v>18859.3</v>
      </c>
      <c r="F11" s="38">
        <v>812.8</v>
      </c>
      <c r="G11" s="38">
        <v>23483</v>
      </c>
      <c r="H11" s="38">
        <v>9037.4000000000015</v>
      </c>
      <c r="I11" s="38">
        <f t="shared" si="0"/>
        <v>72232.399999999994</v>
      </c>
    </row>
    <row r="12" spans="1:10">
      <c r="A12" s="43">
        <v>2013</v>
      </c>
      <c r="B12" s="38">
        <v>2430.7999999999997</v>
      </c>
      <c r="C12" s="38" t="s">
        <v>1</v>
      </c>
      <c r="D12" s="38">
        <v>17595.400000000001</v>
      </c>
      <c r="E12" s="38">
        <v>24760.100000000002</v>
      </c>
      <c r="F12" s="38">
        <v>331.2</v>
      </c>
      <c r="G12" s="38">
        <v>26593.3</v>
      </c>
      <c r="H12" s="38">
        <v>11397.8</v>
      </c>
      <c r="I12" s="38">
        <f t="shared" si="0"/>
        <v>83108.600000000006</v>
      </c>
    </row>
    <row r="13" spans="1:10">
      <c r="A13" s="43">
        <v>2014</v>
      </c>
      <c r="B13" s="38">
        <v>5732.2000000000007</v>
      </c>
      <c r="C13" s="38">
        <v>500</v>
      </c>
      <c r="D13" s="38">
        <v>18489.400000000001</v>
      </c>
      <c r="E13" s="38">
        <v>32440.199999999997</v>
      </c>
      <c r="F13" s="38">
        <v>331.2</v>
      </c>
      <c r="G13" s="38">
        <v>28003.899999999998</v>
      </c>
      <c r="H13" s="39">
        <v>16436.099999999999</v>
      </c>
      <c r="I13" s="38">
        <f t="shared" si="0"/>
        <v>101933</v>
      </c>
    </row>
    <row r="14" spans="1:10">
      <c r="A14" s="43">
        <v>2015</v>
      </c>
      <c r="B14" s="38">
        <v>4680.2</v>
      </c>
      <c r="C14" s="38" t="s">
        <v>1</v>
      </c>
      <c r="D14" s="38">
        <v>12527.599999999999</v>
      </c>
      <c r="E14" s="38">
        <v>48125.500000000015</v>
      </c>
      <c r="F14" s="38">
        <v>331.2</v>
      </c>
      <c r="G14" s="38">
        <v>36204.5</v>
      </c>
      <c r="H14" s="39">
        <v>17593</v>
      </c>
      <c r="I14" s="38">
        <f t="shared" si="0"/>
        <v>119462.00000000001</v>
      </c>
    </row>
    <row r="15" spans="1:10">
      <c r="A15" s="43">
        <v>2016</v>
      </c>
      <c r="B15" s="38">
        <v>5477.9</v>
      </c>
      <c r="C15" s="38">
        <v>301.79999999999995</v>
      </c>
      <c r="D15" s="38">
        <v>13744.4</v>
      </c>
      <c r="E15" s="38">
        <v>45799.7</v>
      </c>
      <c r="F15" s="38">
        <v>331.2</v>
      </c>
      <c r="G15" s="38">
        <v>38358</v>
      </c>
      <c r="H15" s="39">
        <v>34192.799999999996</v>
      </c>
      <c r="I15" s="38">
        <f t="shared" si="0"/>
        <v>138205.79999999999</v>
      </c>
    </row>
    <row r="16" spans="1:10">
      <c r="A16" s="43">
        <v>2017</v>
      </c>
      <c r="B16" s="38">
        <v>3610.1000000000004</v>
      </c>
      <c r="C16" s="38">
        <v>1003.3</v>
      </c>
      <c r="D16" s="38">
        <v>12022.2</v>
      </c>
      <c r="E16" s="38">
        <v>55942.200000000004</v>
      </c>
      <c r="F16" s="38">
        <v>2484.5</v>
      </c>
      <c r="G16" s="38">
        <v>40889</v>
      </c>
      <c r="H16" s="39">
        <v>35250.6</v>
      </c>
      <c r="I16" s="38">
        <f t="shared" si="0"/>
        <v>151201.9</v>
      </c>
    </row>
    <row r="17" spans="1:9">
      <c r="A17" s="43">
        <v>2018</v>
      </c>
      <c r="B17" s="38">
        <f>1532.5+2179.5</f>
        <v>3712</v>
      </c>
      <c r="C17" s="38">
        <v>0</v>
      </c>
      <c r="D17" s="38">
        <f>4736.7+7842.1</f>
        <v>12578.8</v>
      </c>
      <c r="E17" s="38">
        <f>1972.9+67401.4</f>
        <v>69374.299999999988</v>
      </c>
      <c r="F17" s="38">
        <f>331.2+3319.7</f>
        <v>3650.8999999999996</v>
      </c>
      <c r="G17" s="38">
        <f>2891.2+19940.3-3995.3+21194.6+3743.5</f>
        <v>43774.3</v>
      </c>
      <c r="H17" s="39">
        <f>12715.3+3995.3+2172.7+15442.7</f>
        <v>34326</v>
      </c>
      <c r="I17" s="38">
        <f t="shared" ref="I17" si="1">SUM(B17:H17)</f>
        <v>167416.29999999999</v>
      </c>
    </row>
    <row r="18" spans="1:9">
      <c r="A18" s="43">
        <v>2019</v>
      </c>
      <c r="B18" s="38">
        <f>1265.7+2249.9</f>
        <v>3515.6000000000004</v>
      </c>
      <c r="C18" s="38">
        <v>0</v>
      </c>
      <c r="D18" s="38">
        <f>7250.6+6107.1</f>
        <v>13357.7</v>
      </c>
      <c r="E18" s="38">
        <f>5506.9+92425.5</f>
        <v>97932.4</v>
      </c>
      <c r="F18" s="38">
        <f>3051.7+331.2</f>
        <v>3382.8999999999996</v>
      </c>
      <c r="G18" s="38">
        <f>2928.3+21176-2722.2+23053.6+5011.8</f>
        <v>49447.5</v>
      </c>
      <c r="H18" s="39">
        <f>11301+2722.2+1519.5+19174.1</f>
        <v>34716.800000000003</v>
      </c>
      <c r="I18" s="38">
        <f t="shared" ref="I18" si="2">SUM(B18:H18)</f>
        <v>202352.89999999997</v>
      </c>
    </row>
    <row r="19" spans="1:9">
      <c r="A19" s="43">
        <v>2020</v>
      </c>
      <c r="B19" s="38">
        <f>3540.3+2349.3</f>
        <v>5889.6</v>
      </c>
      <c r="C19" s="38">
        <v>0</v>
      </c>
      <c r="D19" s="38">
        <f>7500.1+10599.9</f>
        <v>18100</v>
      </c>
      <c r="E19" s="38">
        <f>12350.3+127854</f>
        <v>140204.29999999999</v>
      </c>
      <c r="F19" s="38">
        <f>2780.7+331.2</f>
        <v>3111.8999999999996</v>
      </c>
      <c r="G19" s="38">
        <f>2775.7+22620.3-2149.9+25865.8+7644.2</f>
        <v>56756.099999999991</v>
      </c>
      <c r="H19" s="39">
        <f>10286.8+2149.9+2229.5+21747.8</f>
        <v>36414</v>
      </c>
      <c r="I19" s="38">
        <f t="shared" ref="I19" si="3">SUM(B19:H19)</f>
        <v>260475.89999999997</v>
      </c>
    </row>
    <row r="20" spans="1:9">
      <c r="A20" s="43" t="s">
        <v>88</v>
      </c>
      <c r="B20" s="38">
        <v>19315.899999999998</v>
      </c>
      <c r="C20" s="38">
        <v>0</v>
      </c>
      <c r="D20" s="38">
        <v>19417</v>
      </c>
      <c r="E20" s="38">
        <v>10925.7</v>
      </c>
      <c r="F20" s="38">
        <v>2453.8000000000002</v>
      </c>
      <c r="G20" s="38">
        <v>28788.2</v>
      </c>
      <c r="H20" s="39">
        <v>15671.9</v>
      </c>
      <c r="I20" s="38">
        <v>96572.499999999985</v>
      </c>
    </row>
    <row r="21" spans="1:9">
      <c r="A21" s="43" t="s">
        <v>89</v>
      </c>
      <c r="B21" s="38">
        <v>32857.200000000004</v>
      </c>
      <c r="C21" s="38">
        <v>0</v>
      </c>
      <c r="D21" s="38">
        <v>14439.7</v>
      </c>
      <c r="E21" s="38">
        <v>36658.800000000003</v>
      </c>
      <c r="F21" s="38">
        <v>2102.6</v>
      </c>
      <c r="G21" s="38">
        <v>39193.9</v>
      </c>
      <c r="H21" s="39">
        <v>20473</v>
      </c>
      <c r="I21" s="38">
        <v>145725.20000000001</v>
      </c>
    </row>
    <row r="22" spans="1:9">
      <c r="A22" s="43" t="s">
        <v>90</v>
      </c>
      <c r="B22" s="38">
        <v>39449.5</v>
      </c>
      <c r="C22" s="38">
        <v>0</v>
      </c>
      <c r="D22" s="38">
        <v>23525.7</v>
      </c>
      <c r="E22" s="38">
        <v>57166.1</v>
      </c>
      <c r="F22" s="38">
        <v>2612.9</v>
      </c>
      <c r="G22" s="38">
        <f>43932.3+4579-5307.8</f>
        <v>43203.5</v>
      </c>
      <c r="H22" s="39">
        <v>23021</v>
      </c>
      <c r="I22" s="38">
        <f t="shared" ref="I22" si="4">SUM(B22:H22)</f>
        <v>188978.69999999998</v>
      </c>
    </row>
    <row r="23" spans="1:9">
      <c r="A23" s="43" t="s">
        <v>37</v>
      </c>
      <c r="B23" s="38">
        <v>37568.800000000003</v>
      </c>
      <c r="C23" s="38">
        <v>0</v>
      </c>
      <c r="D23" s="38">
        <v>29483.3</v>
      </c>
      <c r="E23" s="38">
        <v>70022.100000000006</v>
      </c>
      <c r="F23" s="38">
        <v>1815.3</v>
      </c>
      <c r="G23" s="38">
        <v>54736.4</v>
      </c>
      <c r="H23" s="39">
        <v>22640.6</v>
      </c>
      <c r="I23" s="38">
        <v>216266.5</v>
      </c>
    </row>
    <row r="24" spans="1:9">
      <c r="A24" s="43" t="s">
        <v>96</v>
      </c>
      <c r="B24" s="38">
        <v>32735.8</v>
      </c>
      <c r="C24" s="38">
        <v>0</v>
      </c>
      <c r="D24" s="38">
        <v>46446.1</v>
      </c>
      <c r="E24" s="38">
        <v>79414.900000000009</v>
      </c>
      <c r="F24" s="38">
        <v>16099.5</v>
      </c>
      <c r="G24" s="38">
        <v>65721.099999999991</v>
      </c>
      <c r="H24" s="39">
        <v>33059.699999999997</v>
      </c>
      <c r="I24" s="38">
        <v>273477.09999999998</v>
      </c>
    </row>
    <row r="25" spans="1:9">
      <c r="A25" s="41" t="s">
        <v>0</v>
      </c>
      <c r="B25" s="39"/>
      <c r="C25" s="39"/>
      <c r="D25" s="42"/>
      <c r="E25" s="39"/>
      <c r="F25" s="42"/>
      <c r="G25" s="42"/>
      <c r="H25" s="42"/>
      <c r="I25" s="38"/>
    </row>
    <row r="26" spans="1:9">
      <c r="A26" s="55" t="s">
        <v>36</v>
      </c>
      <c r="B26" s="56"/>
      <c r="C26" s="56"/>
      <c r="D26" s="56"/>
      <c r="E26" s="56"/>
      <c r="F26" s="56"/>
      <c r="G26" s="56"/>
      <c r="H26" s="56"/>
      <c r="I26" s="57"/>
    </row>
  </sheetData>
  <mergeCells count="2">
    <mergeCell ref="A4:I4"/>
    <mergeCell ref="A26:I2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2026-03-10T15:06:58Z</dcterms:modified>
</cp:coreProperties>
</file>