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1381\Desktop\Tableaux site en français-JANVIER-2026\"/>
    </mc:Choice>
  </mc:AlternateContent>
  <bookViews>
    <workbookView xWindow="0" yWindow="0" windowWidth="12090" windowHeight="7860" firstSheet="1" activeTab="3"/>
  </bookViews>
  <sheets>
    <sheet name="Table de Matière" sheetId="7" r:id="rId1"/>
    <sheet name="Mensuelle" sheetId="4" r:id="rId2"/>
    <sheet name="Trimestrielle" sheetId="5" r:id="rId3"/>
    <sheet name="Annuelle" sheetId="6" r:id="rId4"/>
  </sheets>
  <calcPr calcId="162913"/>
</workbook>
</file>

<file path=xl/calcChain.xml><?xml version="1.0" encoding="utf-8"?>
<calcChain xmlns="http://schemas.openxmlformats.org/spreadsheetml/2006/main">
  <c r="M23" i="6" l="1"/>
  <c r="T23" i="6" s="1"/>
  <c r="M77" i="5"/>
  <c r="T77" i="5" s="1"/>
  <c r="T221" i="4"/>
  <c r="M221" i="4"/>
  <c r="M220" i="4"/>
  <c r="T220" i="4" s="1"/>
  <c r="M219" i="4"/>
  <c r="T219" i="4" s="1"/>
  <c r="M223" i="4"/>
  <c r="T223" i="4" s="1"/>
  <c r="M222" i="4"/>
  <c r="T222" i="4" s="1"/>
  <c r="M218" i="4" l="1"/>
  <c r="T218" i="4" s="1"/>
  <c r="M217" i="4"/>
  <c r="T217" i="4" s="1"/>
  <c r="M216" i="4"/>
  <c r="T216" i="4" s="1"/>
  <c r="M215" i="4"/>
  <c r="T215" i="4" s="1"/>
  <c r="M214" i="4"/>
  <c r="T214" i="4" s="1"/>
  <c r="M213" i="4"/>
  <c r="T213" i="4" s="1"/>
  <c r="M212" i="4"/>
  <c r="T212" i="4" s="1"/>
  <c r="M211" i="4"/>
  <c r="T211" i="4" s="1"/>
  <c r="M210" i="4"/>
  <c r="T210" i="4" s="1"/>
  <c r="M70" i="5" l="1"/>
  <c r="M71" i="5"/>
  <c r="M72" i="5"/>
  <c r="T72" i="5" s="1"/>
  <c r="M73" i="5"/>
  <c r="T73" i="5"/>
  <c r="M63" i="5" l="1"/>
  <c r="T63" i="5" s="1"/>
  <c r="M64" i="5"/>
  <c r="T64" i="5" s="1"/>
  <c r="M65" i="5"/>
  <c r="T65" i="5" s="1"/>
  <c r="M66" i="5"/>
  <c r="T66" i="5" s="1"/>
  <c r="M67" i="5"/>
  <c r="M68" i="5"/>
  <c r="M69" i="5"/>
  <c r="T70" i="5"/>
  <c r="T71" i="5"/>
  <c r="M56" i="5"/>
  <c r="T56" i="5" s="1"/>
  <c r="M57" i="5"/>
  <c r="T57" i="5" s="1"/>
  <c r="M58" i="5"/>
  <c r="T58" i="5" s="1"/>
  <c r="M59" i="5"/>
  <c r="T59" i="5" s="1"/>
  <c r="M60" i="5"/>
  <c r="M61" i="5"/>
  <c r="M62" i="5"/>
  <c r="T67" i="5"/>
  <c r="T68" i="5"/>
  <c r="T69" i="5"/>
  <c r="T60" i="5"/>
  <c r="T61" i="5"/>
  <c r="T62" i="5"/>
  <c r="M208" i="4" l="1"/>
  <c r="M209" i="4"/>
  <c r="T209" i="4"/>
  <c r="T208" i="4" l="1"/>
  <c r="M207" i="4"/>
  <c r="T207" i="4" s="1"/>
  <c r="M206" i="4"/>
  <c r="T206" i="4" s="1"/>
  <c r="M205" i="4"/>
  <c r="T205" i="4" s="1"/>
  <c r="M204" i="4"/>
  <c r="T204" i="4" s="1"/>
  <c r="M203" i="4"/>
  <c r="T203" i="4" s="1"/>
  <c r="M202" i="4"/>
  <c r="T202" i="4" s="1"/>
  <c r="M201" i="4"/>
  <c r="T201" i="4" s="1"/>
  <c r="M200" i="4"/>
  <c r="T200" i="4" s="1"/>
  <c r="M199" i="4"/>
  <c r="T199" i="4" s="1"/>
  <c r="M198" i="4"/>
  <c r="T198" i="4" s="1"/>
  <c r="L197" i="4" l="1"/>
  <c r="M197" i="4" s="1"/>
  <c r="T197" i="4" s="1"/>
  <c r="L196" i="4"/>
  <c r="K196" i="4"/>
  <c r="L195" i="4"/>
  <c r="M195" i="4" s="1"/>
  <c r="T195" i="4" s="1"/>
  <c r="S194" i="4"/>
  <c r="L194" i="4"/>
  <c r="K194" i="4"/>
  <c r="M194" i="4" s="1"/>
  <c r="T194" i="4" s="1"/>
  <c r="L193" i="4"/>
  <c r="K193" i="4"/>
  <c r="M193" i="4" s="1"/>
  <c r="T193" i="4" s="1"/>
  <c r="S192" i="4"/>
  <c r="M192" i="4"/>
  <c r="T192" i="4" s="1"/>
  <c r="S191" i="4"/>
  <c r="L191" i="4"/>
  <c r="M191" i="4" s="1"/>
  <c r="T191" i="4" s="1"/>
  <c r="M196" i="4" l="1"/>
  <c r="T196" i="4" s="1"/>
  <c r="S66" i="5"/>
  <c r="R66" i="5"/>
  <c r="N66" i="5"/>
  <c r="L66" i="5"/>
  <c r="K66" i="5"/>
  <c r="N190" i="4"/>
  <c r="M190" i="4"/>
  <c r="N189" i="4"/>
  <c r="M189" i="4"/>
  <c r="T189" i="4" s="1"/>
  <c r="N188" i="4"/>
  <c r="M188" i="4"/>
  <c r="T188" i="4" s="1"/>
  <c r="N187" i="4"/>
  <c r="N186" i="4"/>
  <c r="M186" i="4"/>
  <c r="B186" i="4"/>
  <c r="T186" i="4" l="1"/>
  <c r="M187" i="4"/>
  <c r="T187" i="4" s="1"/>
  <c r="T190" i="4"/>
  <c r="T183" i="4" l="1"/>
  <c r="T184" i="4"/>
  <c r="M162" i="4"/>
  <c r="T162" i="4" s="1"/>
  <c r="M163" i="4"/>
  <c r="T163" i="4" s="1"/>
  <c r="M164" i="4"/>
  <c r="T164" i="4" s="1"/>
  <c r="M165" i="4"/>
  <c r="T165" i="4" s="1"/>
  <c r="M166" i="4"/>
  <c r="T166" i="4" s="1"/>
  <c r="M167" i="4"/>
  <c r="T167" i="4" s="1"/>
  <c r="M168" i="4"/>
  <c r="T168" i="4" s="1"/>
  <c r="M169" i="4"/>
  <c r="T169" i="4" s="1"/>
  <c r="M170" i="4"/>
  <c r="T170" i="4" s="1"/>
  <c r="M171" i="4"/>
  <c r="T171" i="4" s="1"/>
  <c r="M172" i="4"/>
  <c r="T172" i="4" s="1"/>
  <c r="M173" i="4"/>
  <c r="T173" i="4" s="1"/>
  <c r="M174" i="4"/>
  <c r="T174" i="4" s="1"/>
  <c r="M175" i="4"/>
  <c r="T175" i="4" s="1"/>
  <c r="M176" i="4"/>
  <c r="T176" i="4" s="1"/>
  <c r="M177" i="4"/>
  <c r="T177" i="4" s="1"/>
  <c r="M178" i="4"/>
  <c r="T178" i="4" s="1"/>
  <c r="M179" i="4"/>
  <c r="T179" i="4" s="1"/>
  <c r="M180" i="4"/>
  <c r="T180" i="4" s="1"/>
  <c r="M181" i="4"/>
  <c r="T181" i="4" s="1"/>
  <c r="M182" i="4"/>
  <c r="T182" i="4" s="1"/>
  <c r="M183" i="4"/>
  <c r="M184" i="4"/>
  <c r="M185" i="4"/>
  <c r="T185" i="4" s="1"/>
  <c r="S18" i="6" l="1"/>
  <c r="R18" i="6"/>
  <c r="N18" i="6"/>
  <c r="L18" i="6"/>
  <c r="M18" i="6" s="1"/>
  <c r="T18" i="6"/>
  <c r="S57" i="5"/>
  <c r="R57" i="5"/>
  <c r="N57" i="5"/>
  <c r="L57" i="5"/>
  <c r="B57" i="5"/>
  <c r="S161" i="4"/>
  <c r="R161" i="4"/>
  <c r="N161" i="4"/>
  <c r="L161" i="4"/>
  <c r="M161" i="4" s="1"/>
  <c r="B161" i="4"/>
  <c r="S160" i="4"/>
  <c r="R160" i="4"/>
  <c r="N160" i="4"/>
  <c r="L160" i="4"/>
  <c r="M160" i="4" s="1"/>
  <c r="B160" i="4"/>
  <c r="S159" i="4"/>
  <c r="R159" i="4"/>
  <c r="N159" i="4"/>
  <c r="L159" i="4"/>
  <c r="M159" i="4" s="1"/>
  <c r="B159" i="4"/>
  <c r="T160" i="4" l="1"/>
  <c r="T161" i="4"/>
  <c r="T159" i="4"/>
  <c r="S56" i="5"/>
  <c r="R56" i="5"/>
  <c r="N56" i="5"/>
  <c r="L56" i="5"/>
  <c r="B56" i="5"/>
  <c r="S158" i="4"/>
  <c r="R158" i="4"/>
  <c r="N158" i="4"/>
  <c r="L158" i="4"/>
  <c r="M158" i="4" s="1"/>
  <c r="B158" i="4"/>
  <c r="T158" i="4" l="1"/>
  <c r="M7" i="6"/>
  <c r="M8" i="6"/>
  <c r="M9" i="6"/>
  <c r="M10" i="6"/>
  <c r="M11" i="6"/>
  <c r="M12" i="6"/>
  <c r="M13" i="6"/>
  <c r="M14" i="6"/>
  <c r="M15" i="6"/>
  <c r="M16" i="6"/>
  <c r="M17" i="6"/>
  <c r="M6" i="6"/>
  <c r="S55" i="5"/>
  <c r="R55" i="5"/>
  <c r="M55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6" i="5"/>
  <c r="T55" i="5" l="1"/>
  <c r="S157" i="4"/>
  <c r="R157" i="4"/>
  <c r="N157" i="4"/>
  <c r="M157" i="4"/>
  <c r="B157" i="4"/>
  <c r="S156" i="4"/>
  <c r="N156" i="4"/>
  <c r="M156" i="4"/>
  <c r="B156" i="4"/>
  <c r="T157" i="4" l="1"/>
  <c r="T156" i="4"/>
  <c r="S155" i="4"/>
  <c r="R155" i="4"/>
  <c r="M155" i="4"/>
  <c r="T155" i="4" l="1"/>
  <c r="S154" i="4"/>
  <c r="R154" i="4"/>
  <c r="M154" i="4"/>
  <c r="B154" i="4"/>
  <c r="T154" i="4" l="1"/>
  <c r="S153" i="4"/>
  <c r="R153" i="4"/>
  <c r="M153" i="4"/>
  <c r="B153" i="4"/>
  <c r="T153" i="4" s="1"/>
  <c r="S54" i="5" l="1"/>
  <c r="R54" i="5"/>
  <c r="B54" i="5"/>
  <c r="T54" i="5" s="1"/>
  <c r="S152" i="4"/>
  <c r="R152" i="4"/>
  <c r="M152" i="4"/>
  <c r="B152" i="4"/>
  <c r="T152" i="4" s="1"/>
  <c r="S151" i="4" l="1"/>
  <c r="R151" i="4"/>
  <c r="M151" i="4"/>
  <c r="B151" i="4"/>
  <c r="T151" i="4" l="1"/>
  <c r="S150" i="4"/>
  <c r="R150" i="4"/>
  <c r="M150" i="4"/>
  <c r="B150" i="4"/>
  <c r="T150" i="4" l="1"/>
  <c r="S17" i="6"/>
  <c r="R17" i="6"/>
  <c r="S53" i="5"/>
  <c r="R53" i="5"/>
  <c r="B53" i="5"/>
  <c r="T53" i="5" s="1"/>
  <c r="S149" i="4"/>
  <c r="R149" i="4"/>
  <c r="M149" i="4"/>
  <c r="B149" i="4"/>
  <c r="T149" i="4" l="1"/>
  <c r="T17" i="6"/>
  <c r="S148" i="4"/>
  <c r="R148" i="4"/>
  <c r="M148" i="4"/>
  <c r="B148" i="4"/>
  <c r="T148" i="4" l="1"/>
  <c r="S147" i="4"/>
  <c r="R147" i="4"/>
  <c r="M147" i="4"/>
  <c r="B147" i="4"/>
  <c r="T147" i="4" l="1"/>
  <c r="S52" i="5"/>
  <c r="R52" i="5"/>
  <c r="B52" i="5"/>
  <c r="S146" i="4"/>
  <c r="R146" i="4"/>
  <c r="M146" i="4"/>
  <c r="B146" i="4"/>
  <c r="T146" i="4" l="1"/>
  <c r="T52" i="5"/>
  <c r="S145" i="4"/>
  <c r="R145" i="4"/>
  <c r="M145" i="4"/>
  <c r="B145" i="4"/>
  <c r="T145" i="4" l="1"/>
  <c r="S51" i="5"/>
  <c r="R51" i="5"/>
  <c r="B51" i="5"/>
  <c r="S50" i="5"/>
  <c r="R50" i="5"/>
  <c r="B50" i="5"/>
  <c r="S49" i="5"/>
  <c r="R49" i="5"/>
  <c r="B49" i="5"/>
  <c r="T48" i="5"/>
  <c r="T47" i="5"/>
  <c r="T46" i="5"/>
  <c r="S144" i="4"/>
  <c r="R144" i="4"/>
  <c r="M144" i="4"/>
  <c r="B144" i="4"/>
  <c r="T144" i="4" l="1"/>
  <c r="T49" i="5"/>
  <c r="T50" i="5"/>
  <c r="T51" i="5"/>
  <c r="M143" i="4"/>
  <c r="S143" i="4"/>
  <c r="R143" i="4"/>
  <c r="B143" i="4"/>
  <c r="T143" i="4" l="1"/>
  <c r="M142" i="4"/>
  <c r="S142" i="4"/>
  <c r="R142" i="4"/>
  <c r="B142" i="4"/>
  <c r="T142" i="4" l="1"/>
  <c r="M141" i="4"/>
  <c r="S141" i="4"/>
  <c r="R141" i="4"/>
  <c r="B141" i="4"/>
  <c r="T141" i="4" l="1"/>
  <c r="M139" i="4"/>
  <c r="T139" i="4" s="1"/>
  <c r="M140" i="4"/>
  <c r="S140" i="4"/>
  <c r="R140" i="4"/>
  <c r="B140" i="4"/>
  <c r="T140" i="4" l="1"/>
  <c r="M138" i="4"/>
  <c r="T138" i="4"/>
  <c r="S16" i="6" l="1"/>
  <c r="R16" i="6"/>
  <c r="T16" i="6"/>
  <c r="S137" i="4"/>
  <c r="R137" i="4"/>
  <c r="M137" i="4"/>
  <c r="B137" i="4"/>
  <c r="T137" i="4" l="1"/>
  <c r="M136" i="4"/>
  <c r="S136" i="4"/>
  <c r="R136" i="4"/>
  <c r="B136" i="4"/>
  <c r="T136" i="4" l="1"/>
  <c r="M135" i="4"/>
  <c r="S135" i="4"/>
  <c r="R135" i="4"/>
  <c r="B135" i="4"/>
  <c r="T135" i="4" l="1"/>
  <c r="M134" i="4"/>
  <c r="T134" i="4" s="1"/>
  <c r="M133" i="4" l="1"/>
  <c r="T133" i="4" s="1"/>
  <c r="T15" i="6" l="1"/>
  <c r="T45" i="5" l="1"/>
  <c r="M132" i="4"/>
  <c r="T132" i="4" s="1"/>
  <c r="M125" i="4"/>
  <c r="M129" i="4" l="1"/>
  <c r="T129" i="4" s="1"/>
  <c r="M130" i="4"/>
  <c r="T130" i="4" s="1"/>
  <c r="M131" i="4"/>
  <c r="T131" i="4" s="1"/>
  <c r="M128" i="4" l="1"/>
  <c r="T128" i="4" s="1"/>
  <c r="T13" i="6" l="1"/>
  <c r="T14" i="6"/>
  <c r="T12" i="6"/>
  <c r="T11" i="6"/>
  <c r="T10" i="6"/>
  <c r="T9" i="6"/>
  <c r="T8" i="6"/>
  <c r="T7" i="6"/>
  <c r="T6" i="6"/>
  <c r="T44" i="5"/>
  <c r="T43" i="5"/>
  <c r="T42" i="5"/>
  <c r="T41" i="5"/>
  <c r="T40" i="5"/>
  <c r="T39" i="5"/>
  <c r="T38" i="5"/>
  <c r="T37" i="5"/>
  <c r="T36" i="5"/>
  <c r="T35" i="5"/>
  <c r="T34" i="5"/>
  <c r="T33" i="5"/>
  <c r="T32" i="5"/>
  <c r="T31" i="5"/>
  <c r="T30" i="5"/>
  <c r="T29" i="5"/>
  <c r="T28" i="5"/>
  <c r="T27" i="5"/>
  <c r="T26" i="5"/>
  <c r="T25" i="5"/>
  <c r="T24" i="5"/>
  <c r="T23" i="5"/>
  <c r="T22" i="5"/>
  <c r="T21" i="5"/>
  <c r="T20" i="5"/>
  <c r="T19" i="5"/>
  <c r="T18" i="5"/>
  <c r="T17" i="5"/>
  <c r="T16" i="5"/>
  <c r="T15" i="5"/>
  <c r="T14" i="5"/>
  <c r="T13" i="5"/>
  <c r="T12" i="5"/>
  <c r="T11" i="5"/>
  <c r="T10" i="5"/>
  <c r="T9" i="5"/>
  <c r="T8" i="5"/>
  <c r="T7" i="5"/>
  <c r="T6" i="5"/>
  <c r="M6" i="4"/>
  <c r="T6" i="4" s="1"/>
  <c r="M7" i="4"/>
  <c r="T7" i="4" s="1"/>
  <c r="M8" i="4"/>
  <c r="T8" i="4" s="1"/>
  <c r="M9" i="4"/>
  <c r="T9" i="4" s="1"/>
  <c r="M10" i="4"/>
  <c r="T10" i="4" s="1"/>
  <c r="M11" i="4"/>
  <c r="T11" i="4" s="1"/>
  <c r="M12" i="4"/>
  <c r="T12" i="4" s="1"/>
  <c r="M13" i="4"/>
  <c r="T13" i="4" s="1"/>
  <c r="M14" i="4"/>
  <c r="T14" i="4" s="1"/>
  <c r="M15" i="4"/>
  <c r="T15" i="4" s="1"/>
  <c r="M16" i="4"/>
  <c r="T16" i="4" s="1"/>
  <c r="M17" i="4"/>
  <c r="T17" i="4" s="1"/>
  <c r="M18" i="4"/>
  <c r="T18" i="4" s="1"/>
  <c r="M19" i="4"/>
  <c r="T19" i="4" s="1"/>
  <c r="M20" i="4"/>
  <c r="T20" i="4" s="1"/>
  <c r="M21" i="4"/>
  <c r="T21" i="4" s="1"/>
  <c r="M22" i="4"/>
  <c r="T22" i="4" s="1"/>
  <c r="M23" i="4"/>
  <c r="T23" i="4" s="1"/>
  <c r="M24" i="4"/>
  <c r="T24" i="4" s="1"/>
  <c r="M25" i="4"/>
  <c r="T25" i="4" s="1"/>
  <c r="M26" i="4"/>
  <c r="T26" i="4" s="1"/>
  <c r="M27" i="4"/>
  <c r="T27" i="4" s="1"/>
  <c r="M28" i="4"/>
  <c r="T28" i="4" s="1"/>
  <c r="M29" i="4"/>
  <c r="T29" i="4" s="1"/>
  <c r="M30" i="4"/>
  <c r="T30" i="4" s="1"/>
  <c r="M31" i="4"/>
  <c r="T31" i="4" s="1"/>
  <c r="M32" i="4"/>
  <c r="T32" i="4" s="1"/>
  <c r="M33" i="4"/>
  <c r="T33" i="4" s="1"/>
  <c r="M34" i="4"/>
  <c r="T34" i="4" s="1"/>
  <c r="M35" i="4"/>
  <c r="T35" i="4" s="1"/>
  <c r="M36" i="4"/>
  <c r="T36" i="4" s="1"/>
  <c r="M37" i="4"/>
  <c r="T37" i="4" s="1"/>
  <c r="M38" i="4"/>
  <c r="T38" i="4" s="1"/>
  <c r="M39" i="4"/>
  <c r="T39" i="4" s="1"/>
  <c r="M40" i="4"/>
  <c r="T40" i="4" s="1"/>
  <c r="M41" i="4"/>
  <c r="T41" i="4" s="1"/>
  <c r="M42" i="4"/>
  <c r="T42" i="4" s="1"/>
  <c r="M43" i="4"/>
  <c r="T43" i="4" s="1"/>
  <c r="M44" i="4"/>
  <c r="T44" i="4" s="1"/>
  <c r="M45" i="4"/>
  <c r="T45" i="4" s="1"/>
  <c r="M46" i="4"/>
  <c r="T46" i="4" s="1"/>
  <c r="M47" i="4"/>
  <c r="T47" i="4" s="1"/>
  <c r="M48" i="4"/>
  <c r="T48" i="4" s="1"/>
  <c r="M49" i="4"/>
  <c r="T49" i="4" s="1"/>
  <c r="M50" i="4"/>
  <c r="T50" i="4" s="1"/>
  <c r="M51" i="4"/>
  <c r="T51" i="4" s="1"/>
  <c r="M52" i="4"/>
  <c r="T52" i="4" s="1"/>
  <c r="M53" i="4"/>
  <c r="T53" i="4" s="1"/>
  <c r="M54" i="4"/>
  <c r="T54" i="4" s="1"/>
  <c r="M55" i="4"/>
  <c r="T55" i="4" s="1"/>
  <c r="M56" i="4"/>
  <c r="T56" i="4" s="1"/>
  <c r="M57" i="4"/>
  <c r="T57" i="4" s="1"/>
  <c r="M58" i="4"/>
  <c r="T58" i="4" s="1"/>
  <c r="M59" i="4"/>
  <c r="T59" i="4" s="1"/>
  <c r="M60" i="4"/>
  <c r="T60" i="4" s="1"/>
  <c r="M61" i="4"/>
  <c r="T61" i="4" s="1"/>
  <c r="M62" i="4"/>
  <c r="T62" i="4" s="1"/>
  <c r="M63" i="4"/>
  <c r="T63" i="4" s="1"/>
  <c r="M64" i="4"/>
  <c r="T64" i="4" s="1"/>
  <c r="M65" i="4"/>
  <c r="T65" i="4" s="1"/>
  <c r="M66" i="4"/>
  <c r="T66" i="4" s="1"/>
  <c r="M67" i="4"/>
  <c r="T67" i="4" s="1"/>
  <c r="M68" i="4"/>
  <c r="T68" i="4" s="1"/>
  <c r="M69" i="4"/>
  <c r="T69" i="4" s="1"/>
  <c r="M70" i="4"/>
  <c r="T70" i="4" s="1"/>
  <c r="M71" i="4"/>
  <c r="T71" i="4" s="1"/>
  <c r="M72" i="4"/>
  <c r="T72" i="4" s="1"/>
  <c r="M73" i="4"/>
  <c r="T73" i="4" s="1"/>
  <c r="M74" i="4"/>
  <c r="T74" i="4" s="1"/>
  <c r="M75" i="4"/>
  <c r="T75" i="4" s="1"/>
  <c r="M76" i="4"/>
  <c r="T76" i="4" s="1"/>
  <c r="M77" i="4"/>
  <c r="T77" i="4" s="1"/>
  <c r="M78" i="4"/>
  <c r="T78" i="4" s="1"/>
  <c r="M79" i="4"/>
  <c r="T79" i="4" s="1"/>
  <c r="M80" i="4"/>
  <c r="T80" i="4" s="1"/>
  <c r="M81" i="4"/>
  <c r="T81" i="4" s="1"/>
  <c r="M82" i="4"/>
  <c r="T82" i="4" s="1"/>
  <c r="M83" i="4"/>
  <c r="T83" i="4" s="1"/>
  <c r="M84" i="4"/>
  <c r="T84" i="4" s="1"/>
  <c r="M85" i="4"/>
  <c r="T85" i="4" s="1"/>
  <c r="M86" i="4"/>
  <c r="T86" i="4" s="1"/>
  <c r="M87" i="4"/>
  <c r="T87" i="4" s="1"/>
  <c r="M88" i="4"/>
  <c r="T88" i="4" s="1"/>
  <c r="M89" i="4"/>
  <c r="T89" i="4" s="1"/>
  <c r="M90" i="4"/>
  <c r="T90" i="4" s="1"/>
  <c r="M91" i="4"/>
  <c r="T91" i="4" s="1"/>
  <c r="M92" i="4"/>
  <c r="T92" i="4" s="1"/>
  <c r="M93" i="4"/>
  <c r="T93" i="4" s="1"/>
  <c r="M94" i="4"/>
  <c r="T94" i="4" s="1"/>
  <c r="M95" i="4"/>
  <c r="T95" i="4" s="1"/>
  <c r="M96" i="4"/>
  <c r="T96" i="4" s="1"/>
  <c r="M97" i="4"/>
  <c r="T97" i="4" s="1"/>
  <c r="M98" i="4"/>
  <c r="T98" i="4" s="1"/>
  <c r="M99" i="4"/>
  <c r="T99" i="4" s="1"/>
  <c r="M100" i="4"/>
  <c r="T100" i="4" s="1"/>
  <c r="M101" i="4"/>
  <c r="T101" i="4" s="1"/>
  <c r="M102" i="4"/>
  <c r="T102" i="4" s="1"/>
  <c r="M103" i="4"/>
  <c r="T103" i="4" s="1"/>
  <c r="M104" i="4"/>
  <c r="T104" i="4" s="1"/>
  <c r="M105" i="4"/>
  <c r="T105" i="4" s="1"/>
  <c r="M106" i="4"/>
  <c r="T106" i="4" s="1"/>
  <c r="M107" i="4"/>
  <c r="T107" i="4" s="1"/>
  <c r="M108" i="4"/>
  <c r="T108" i="4" s="1"/>
  <c r="M109" i="4"/>
  <c r="T109" i="4" s="1"/>
  <c r="M110" i="4"/>
  <c r="T110" i="4" s="1"/>
  <c r="M111" i="4"/>
  <c r="T111" i="4" s="1"/>
  <c r="M112" i="4"/>
  <c r="T112" i="4" s="1"/>
  <c r="M113" i="4"/>
  <c r="T113" i="4" s="1"/>
  <c r="M127" i="4"/>
  <c r="M126" i="4"/>
  <c r="M124" i="4"/>
  <c r="M123" i="4"/>
  <c r="T123" i="4" s="1"/>
  <c r="M122" i="4"/>
  <c r="M121" i="4"/>
  <c r="M120" i="4"/>
  <c r="T120" i="4" s="1"/>
  <c r="M119" i="4"/>
  <c r="M118" i="4"/>
  <c r="M117" i="4"/>
  <c r="M116" i="4"/>
  <c r="M115" i="4"/>
  <c r="M114" i="4"/>
  <c r="T114" i="4" s="1"/>
  <c r="T122" i="4" l="1"/>
  <c r="T127" i="4"/>
  <c r="T124" i="4"/>
  <c r="T126" i="4"/>
  <c r="T115" i="4"/>
  <c r="T117" i="4"/>
  <c r="T119" i="4"/>
  <c r="T121" i="4"/>
  <c r="T125" i="4"/>
  <c r="T116" i="4"/>
  <c r="T118" i="4"/>
</calcChain>
</file>

<file path=xl/sharedStrings.xml><?xml version="1.0" encoding="utf-8"?>
<sst xmlns="http://schemas.openxmlformats.org/spreadsheetml/2006/main" count="934" uniqueCount="116">
  <si>
    <t xml:space="preserve"> </t>
  </si>
  <si>
    <t>-</t>
  </si>
  <si>
    <t xml:space="preserve">                                           Créances sur l'Etat</t>
  </si>
  <si>
    <t>II.2.1</t>
  </si>
  <si>
    <t xml:space="preserve"> Avances  ordinaires</t>
  </si>
  <si>
    <t xml:space="preserve">   Autres   avances</t>
  </si>
  <si>
    <t xml:space="preserve"> Créances sur les établissements financiers</t>
  </si>
  <si>
    <t>Créances surles sociétés à participationpublique</t>
  </si>
  <si>
    <t>Créances surles administrationslocales</t>
  </si>
  <si>
    <t>TOTAL ACTIF</t>
  </si>
  <si>
    <t xml:space="preserve"> Avances    particulières</t>
  </si>
  <si>
    <t>SITUATION MENSUELLE DE LA BANQUE DE LA REPUBLIQUE DU BURUNDI-ACtif(en millions de BIF)</t>
  </si>
  <si>
    <t>Bons et Obligations du Trésor</t>
  </si>
  <si>
    <t xml:space="preserve">     Crédit spécial</t>
  </si>
  <si>
    <t xml:space="preserve">     Créances rééchellonnées</t>
  </si>
  <si>
    <t xml:space="preserve"> Créances sur le secteur bancaire</t>
  </si>
  <si>
    <t xml:space="preserve">   Autres actifs</t>
  </si>
  <si>
    <t xml:space="preserve">     Avances spéciales</t>
  </si>
  <si>
    <t xml:space="preserve">     Avances  B.E.I.</t>
  </si>
  <si>
    <t>Total</t>
  </si>
  <si>
    <t>Avoirs extérieurs</t>
  </si>
  <si>
    <t>Retour à la table de matière</t>
  </si>
  <si>
    <t>Excel File Name:</t>
  </si>
  <si>
    <t>Available from Web Page:</t>
  </si>
  <si>
    <t>http://www.brb.bi/fr/content/monnaie-et-cr%C3%A9dit</t>
  </si>
  <si>
    <t>Mensuelle</t>
  </si>
  <si>
    <t>Trimestrielle</t>
  </si>
  <si>
    <t>Annuelle</t>
  </si>
  <si>
    <t>Retour à la Table de Matière</t>
  </si>
  <si>
    <t>Nom des Feuilles</t>
  </si>
  <si>
    <t>Decription des données</t>
  </si>
  <si>
    <t>Fréquence</t>
  </si>
  <si>
    <t>Acif de la B.R.B</t>
  </si>
  <si>
    <t>Acrif de la  BRB</t>
  </si>
  <si>
    <t>Actif  de la BRB</t>
  </si>
  <si>
    <t>Date de Publication</t>
  </si>
  <si>
    <t>Dernière date de Publication</t>
  </si>
  <si>
    <t>Créances sur l'Etat(Total)</t>
  </si>
  <si>
    <t>Actif B.RB.xls</t>
  </si>
  <si>
    <t>Cliquez dans cette feuille pour voir les données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</si>
  <si>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</si>
  <si>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</si>
  <si>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</si>
  <si>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</si>
  <si>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Avances ordinaires consolidées</t>
  </si>
  <si>
    <t>Créances sur les établissements financiers</t>
  </si>
  <si>
    <t>Créances sur le   secteur privé</t>
  </si>
  <si>
    <t>Source: BRB</t>
  </si>
  <si>
    <t>Période         Rubliques</t>
  </si>
  <si>
    <t>Les données les plus récentes</t>
  </si>
  <si>
    <t>Table de Matière</t>
  </si>
  <si>
    <t>Actif B.R.B</t>
  </si>
  <si>
    <t xml:space="preserve"> Avances particulières</t>
  </si>
  <si>
    <t xml:space="preserve"> Avances ordinaires</t>
  </si>
  <si>
    <t>Avances spéciales</t>
  </si>
  <si>
    <t xml:space="preserve"> Autres avances</t>
  </si>
  <si>
    <t>Avances  B.E.I.</t>
  </si>
  <si>
    <t xml:space="preserve"> Créances sur le secteur privé</t>
  </si>
  <si>
    <t xml:space="preserve">  Avoirs extérieurs</t>
  </si>
  <si>
    <t xml:space="preserve">     Avances B.E.I.</t>
  </si>
  <si>
    <t xml:space="preserve">       Avances ordinaires consolidées</t>
  </si>
  <si>
    <t xml:space="preserve">   Autres avances</t>
  </si>
  <si>
    <t>Actif de la B.RB renseigne sur les contreparties  de l'ensemble des  engagements de la Banque Centrale</t>
  </si>
  <si>
    <t>Créances surles sociétés à participation publique</t>
  </si>
  <si>
    <t>Créances sur les administrations locales</t>
  </si>
  <si>
    <t>Campagne Café</t>
  </si>
  <si>
    <t>Financement  campagne café</t>
  </si>
  <si>
    <t>2024</t>
  </si>
  <si>
    <t>Août-22</t>
  </si>
  <si>
    <t>Septembre-22</t>
  </si>
  <si>
    <t>Octobre-22</t>
  </si>
  <si>
    <t>Novembre-22</t>
  </si>
  <si>
    <t>Décembre-22</t>
  </si>
  <si>
    <t>Janvier-23</t>
  </si>
  <si>
    <t>Février-23</t>
  </si>
  <si>
    <t>Mars-23</t>
  </si>
  <si>
    <t>Avril-23</t>
  </si>
  <si>
    <t>Mai-23</t>
  </si>
  <si>
    <t>Juin-23</t>
  </si>
  <si>
    <t>Juillet-23</t>
  </si>
  <si>
    <t>Aout-23</t>
  </si>
  <si>
    <t>Septembre-23</t>
  </si>
  <si>
    <t>Octobre-23</t>
  </si>
  <si>
    <t>Novembre-23</t>
  </si>
  <si>
    <t>Décembre-23</t>
  </si>
  <si>
    <t>Janvier-24</t>
  </si>
  <si>
    <t>Février-24</t>
  </si>
  <si>
    <t>Mars-24</t>
  </si>
  <si>
    <t>Avril-24</t>
  </si>
  <si>
    <t>Mai-24</t>
  </si>
  <si>
    <t>Juin-24</t>
  </si>
  <si>
    <t>Juillet-24</t>
  </si>
  <si>
    <t>Aout-24</t>
  </si>
  <si>
    <t>Septembre-24</t>
  </si>
  <si>
    <t>Octobre-24</t>
  </si>
  <si>
    <t>Novembre-24</t>
  </si>
  <si>
    <t>Décembre-24</t>
  </si>
  <si>
    <t>Janvier-25</t>
  </si>
  <si>
    <t>Février-25</t>
  </si>
  <si>
    <t>Mars-25</t>
  </si>
  <si>
    <t>Mars-22</t>
  </si>
  <si>
    <t>2022</t>
  </si>
  <si>
    <t xml:space="preserve">2023 </t>
  </si>
  <si>
    <t>Avril-25</t>
  </si>
  <si>
    <t>Mai-25</t>
  </si>
  <si>
    <t>Juin-25</t>
  </si>
  <si>
    <t>Juillet-25</t>
  </si>
  <si>
    <t>Aout-25</t>
  </si>
  <si>
    <t>Septembre-25</t>
  </si>
  <si>
    <t>Octobre-25</t>
  </si>
  <si>
    <t>Novembre-25</t>
  </si>
  <si>
    <t>Q4-2025</t>
  </si>
  <si>
    <t>2025</t>
  </si>
  <si>
    <t>Décembre-25</t>
  </si>
  <si>
    <t>Janvier-26</t>
  </si>
  <si>
    <t>Février-26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</si>
</sst>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_F_-;\-* #,##0.00\ _F_-;_-* &quot;-&quot;??\ _F_-;_-@_-"/>
    <numFmt numFmtId="165" formatCode="#,##0.0_);\(#,##0.0\)"/>
    <numFmt numFmtId="166" formatCode="#,##0.0"/>
    <numFmt numFmtId="167" formatCode="#,##0.0;[Red]#,##0.0"/>
    <numFmt numFmtId="168" formatCode="[$-40C]mmmm\-yy;@"/>
    <numFmt numFmtId="169" formatCode="[$-409]dd\-mmm\-yy;@"/>
    <numFmt numFmtId="170" formatCode="_-* #,##0.0\ _F_-;\-* #,##0.0\ _F_-;_-* &quot;-&quot;??\ _F_-;_-@_-"/>
  </numFmts>
  <fonts count="19" x14ac:knownFonts="1">
    <font>
      <sz val="12"/>
      <name val="Helv"/>
    </font>
    <font>
      <sz val="11"/>
      <name val="Courier New"/>
      <family val="3"/>
    </font>
    <font>
      <sz val="10"/>
      <name val="Helv"/>
    </font>
    <font>
      <b/>
      <sz val="10"/>
      <name val="Helv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Garamond"/>
      <family val="1"/>
    </font>
    <font>
      <b/>
      <sz val="12"/>
      <color theme="0"/>
      <name val="Garamond"/>
      <family val="1"/>
    </font>
    <font>
      <u/>
      <sz val="11"/>
      <color theme="10"/>
      <name val="Calibri"/>
      <family val="2"/>
    </font>
    <font>
      <sz val="12"/>
      <color rgb="FF0070C0"/>
      <name val="Garamond"/>
      <family val="1"/>
    </font>
    <font>
      <u/>
      <sz val="11"/>
      <color rgb="FF7030A0"/>
      <name val="Calibri"/>
      <family val="2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2"/>
      <name val="Calibri"/>
      <family val="2"/>
      <scheme val="minor"/>
    </font>
    <font>
      <b/>
      <sz val="14"/>
      <color rgb="FF002060"/>
      <name val="Garamond"/>
      <family val="1"/>
    </font>
    <font>
      <b/>
      <i/>
      <sz val="14"/>
      <color rgb="FF0070C0"/>
      <name val="Garamond"/>
      <family val="1"/>
    </font>
    <font>
      <sz val="12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165" fontId="0" fillId="0" borderId="0"/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85">
    <xf numFmtId="165" fontId="0" fillId="0" borderId="0" xfId="0"/>
    <xf numFmtId="165" fontId="2" fillId="0" borderId="0" xfId="0" applyFont="1" applyAlignment="1"/>
    <xf numFmtId="165" fontId="2" fillId="0" borderId="0" xfId="0" applyNumberFormat="1" applyFont="1" applyBorder="1" applyAlignment="1" applyProtection="1"/>
    <xf numFmtId="166" fontId="2" fillId="0" borderId="0" xfId="0" applyNumberFormat="1" applyFont="1" applyBorder="1" applyAlignment="1" applyProtection="1"/>
    <xf numFmtId="165" fontId="7" fillId="0" borderId="0" xfId="0" applyNumberFormat="1" applyFont="1" applyBorder="1" applyAlignment="1" applyProtection="1"/>
    <xf numFmtId="165" fontId="6" fillId="0" borderId="0" xfId="0" applyFont="1" applyBorder="1" applyAlignment="1"/>
    <xf numFmtId="165" fontId="6" fillId="0" borderId="0" xfId="0" applyNumberFormat="1" applyFont="1" applyBorder="1" applyAlignment="1" applyProtection="1"/>
    <xf numFmtId="166" fontId="6" fillId="0" borderId="0" xfId="0" applyNumberFormat="1" applyFont="1" applyBorder="1" applyAlignment="1"/>
    <xf numFmtId="165" fontId="6" fillId="0" borderId="0" xfId="0" applyFont="1" applyFill="1" applyBorder="1" applyAlignment="1"/>
    <xf numFmtId="165" fontId="2" fillId="0" borderId="0" xfId="0" applyNumberFormat="1" applyFont="1" applyBorder="1" applyAlignment="1" applyProtection="1">
      <alignment horizontal="center"/>
    </xf>
    <xf numFmtId="165" fontId="8" fillId="0" borderId="0" xfId="0" applyFont="1"/>
    <xf numFmtId="165" fontId="9" fillId="3" borderId="8" xfId="0" applyFont="1" applyFill="1" applyBorder="1"/>
    <xf numFmtId="165" fontId="8" fillId="4" borderId="0" xfId="0" applyFont="1" applyFill="1"/>
    <xf numFmtId="49" fontId="8" fillId="4" borderId="0" xfId="0" applyNumberFormat="1" applyFont="1" applyFill="1" applyAlignment="1">
      <alignment horizontal="right"/>
    </xf>
    <xf numFmtId="49" fontId="8" fillId="4" borderId="0" xfId="0" quotePrefix="1" applyNumberFormat="1" applyFont="1" applyFill="1" applyAlignment="1">
      <alignment horizontal="right"/>
    </xf>
    <xf numFmtId="165" fontId="8" fillId="4" borderId="9" xfId="0" applyFont="1" applyFill="1" applyBorder="1"/>
    <xf numFmtId="169" fontId="8" fillId="0" borderId="0" xfId="0" applyNumberFormat="1" applyFont="1" applyAlignment="1">
      <alignment horizontal="left"/>
    </xf>
    <xf numFmtId="0" fontId="10" fillId="0" borderId="0" xfId="2" applyAlignment="1" applyProtection="1"/>
    <xf numFmtId="165" fontId="10" fillId="0" borderId="1" xfId="2" applyNumberFormat="1" applyBorder="1" applyAlignment="1" applyProtection="1"/>
    <xf numFmtId="165" fontId="11" fillId="4" borderId="9" xfId="0" applyFont="1" applyFill="1" applyBorder="1"/>
    <xf numFmtId="0" fontId="12" fillId="4" borderId="0" xfId="2" applyFont="1" applyFill="1" applyAlignment="1" applyProtection="1"/>
    <xf numFmtId="165" fontId="3" fillId="0" borderId="0" xfId="0" applyFont="1" applyBorder="1" applyAlignment="1"/>
    <xf numFmtId="165" fontId="2" fillId="0" borderId="11" xfId="0" applyNumberFormat="1" applyFont="1" applyBorder="1" applyAlignment="1" applyProtection="1"/>
    <xf numFmtId="165" fontId="13" fillId="0" borderId="0" xfId="0" applyFont="1" applyAlignment="1">
      <alignment horizontal="justify" vertical="center"/>
    </xf>
    <xf numFmtId="165" fontId="3" fillId="0" borderId="10" xfId="0" applyFont="1" applyBorder="1" applyAlignment="1"/>
    <xf numFmtId="165" fontId="6" fillId="5" borderId="4" xfId="0" applyFont="1" applyFill="1" applyBorder="1" applyAlignment="1"/>
    <xf numFmtId="165" fontId="6" fillId="5" borderId="4" xfId="0" applyFont="1" applyFill="1" applyBorder="1" applyAlignment="1">
      <alignment vertical="center" wrapText="1"/>
    </xf>
    <xf numFmtId="166" fontId="6" fillId="5" borderId="4" xfId="0" applyNumberFormat="1" applyFont="1" applyFill="1" applyBorder="1" applyAlignment="1" applyProtection="1">
      <alignment horizontal="center" wrapText="1"/>
    </xf>
    <xf numFmtId="165" fontId="6" fillId="5" borderId="4" xfId="0" applyFont="1" applyFill="1" applyBorder="1" applyAlignment="1">
      <alignment horizontal="center" wrapText="1"/>
    </xf>
    <xf numFmtId="165" fontId="6" fillId="5" borderId="4" xfId="0" applyFont="1" applyFill="1" applyBorder="1" applyAlignment="1">
      <alignment horizontal="center"/>
    </xf>
    <xf numFmtId="165" fontId="6" fillId="5" borderId="4" xfId="0" applyFont="1" applyFill="1" applyBorder="1" applyAlignment="1">
      <alignment wrapText="1"/>
    </xf>
    <xf numFmtId="167" fontId="7" fillId="0" borderId="0" xfId="0" applyNumberFormat="1" applyFont="1" applyBorder="1" applyAlignment="1" applyProtection="1"/>
    <xf numFmtId="165" fontId="0" fillId="0" borderId="0" xfId="0" applyBorder="1"/>
    <xf numFmtId="167" fontId="2" fillId="0" borderId="0" xfId="0" applyNumberFormat="1" applyFont="1" applyBorder="1" applyAlignment="1" applyProtection="1">
      <alignment horizontal="center"/>
    </xf>
    <xf numFmtId="165" fontId="3" fillId="0" borderId="1" xfId="0" applyFont="1" applyBorder="1" applyAlignment="1"/>
    <xf numFmtId="165" fontId="0" fillId="0" borderId="11" xfId="0" applyBorder="1"/>
    <xf numFmtId="165" fontId="0" fillId="0" borderId="12" xfId="0" applyBorder="1"/>
    <xf numFmtId="165" fontId="16" fillId="0" borderId="0" xfId="0" applyFont="1" applyBorder="1"/>
    <xf numFmtId="165" fontId="17" fillId="0" borderId="0" xfId="0" applyFont="1" applyBorder="1"/>
    <xf numFmtId="168" fontId="4" fillId="2" borderId="4" xfId="0" quotePrefix="1" applyNumberFormat="1" applyFont="1" applyFill="1" applyBorder="1" applyAlignment="1" applyProtection="1">
      <alignment horizontal="left" vertical="top"/>
    </xf>
    <xf numFmtId="165" fontId="4" fillId="2" borderId="4" xfId="0" applyNumberFormat="1" applyFont="1" applyFill="1" applyBorder="1" applyAlignment="1" applyProtection="1"/>
    <xf numFmtId="166" fontId="4" fillId="0" borderId="4" xfId="0" applyNumberFormat="1" applyFont="1" applyBorder="1" applyAlignment="1" applyProtection="1">
      <alignment horizontal="right"/>
    </xf>
    <xf numFmtId="164" fontId="4" fillId="2" borderId="4" xfId="1" applyFont="1" applyFill="1" applyBorder="1" applyAlignment="1" applyProtection="1"/>
    <xf numFmtId="166" fontId="4" fillId="2" borderId="4" xfId="0" applyNumberFormat="1" applyFont="1" applyFill="1" applyBorder="1" applyAlignment="1" applyProtection="1">
      <alignment horizontal="right"/>
    </xf>
    <xf numFmtId="166" fontId="4" fillId="0" borderId="4" xfId="0" applyNumberFormat="1" applyFont="1" applyBorder="1" applyAlignment="1" applyProtection="1"/>
    <xf numFmtId="165" fontId="4" fillId="2" borderId="4" xfId="0" applyNumberFormat="1" applyFont="1" applyFill="1" applyBorder="1" applyAlignment="1" applyProtection="1">
      <alignment horizontal="right"/>
    </xf>
    <xf numFmtId="165" fontId="0" fillId="0" borderId="0" xfId="0" applyFont="1"/>
    <xf numFmtId="166" fontId="4" fillId="0" borderId="4" xfId="1" applyNumberFormat="1" applyFont="1" applyBorder="1" applyAlignment="1" applyProtection="1"/>
    <xf numFmtId="1" fontId="4" fillId="2" borderId="4" xfId="0" quotePrefix="1" applyNumberFormat="1" applyFont="1" applyFill="1" applyBorder="1" applyAlignment="1" applyProtection="1">
      <alignment horizontal="left" vertical="top"/>
    </xf>
    <xf numFmtId="165" fontId="4" fillId="0" borderId="4" xfId="0" applyFont="1" applyBorder="1" applyAlignment="1">
      <alignment horizontal="center"/>
    </xf>
    <xf numFmtId="165" fontId="15" fillId="0" borderId="4" xfId="0" applyFont="1" applyBorder="1" applyAlignment="1">
      <alignment horizontal="center"/>
    </xf>
    <xf numFmtId="166" fontId="4" fillId="0" borderId="16" xfId="0" applyNumberFormat="1" applyFont="1" applyBorder="1" applyAlignment="1" applyProtection="1"/>
    <xf numFmtId="166" fontId="4" fillId="0" borderId="16" xfId="0" applyNumberFormat="1" applyFont="1" applyBorder="1" applyAlignment="1" applyProtection="1">
      <alignment horizontal="right"/>
    </xf>
    <xf numFmtId="168" fontId="18" fillId="0" borderId="15" xfId="0" quotePrefix="1" applyNumberFormat="1" applyFont="1" applyFill="1" applyBorder="1" applyAlignment="1" applyProtection="1">
      <alignment horizontal="left"/>
    </xf>
    <xf numFmtId="165" fontId="5" fillId="0" borderId="0" xfId="0" applyFont="1" applyBorder="1" applyAlignment="1">
      <alignment horizontal="center" wrapText="1"/>
    </xf>
    <xf numFmtId="168" fontId="18" fillId="0" borderId="4" xfId="0" quotePrefix="1" applyNumberFormat="1" applyFont="1" applyFill="1" applyBorder="1" applyAlignment="1" applyProtection="1">
      <alignment horizontal="left"/>
    </xf>
    <xf numFmtId="166" fontId="4" fillId="0" borderId="5" xfId="0" applyNumberFormat="1" applyFont="1" applyBorder="1" applyAlignment="1" applyProtection="1">
      <alignment horizontal="right"/>
    </xf>
    <xf numFmtId="165" fontId="2" fillId="0" borderId="17" xfId="0" applyFont="1" applyBorder="1" applyAlignment="1">
      <alignment horizontal="center"/>
    </xf>
    <xf numFmtId="17" fontId="4" fillId="0" borderId="4" xfId="0" applyNumberFormat="1" applyFont="1" applyFill="1" applyBorder="1" applyAlignment="1" applyProtection="1">
      <alignment horizontal="left"/>
    </xf>
    <xf numFmtId="165" fontId="2" fillId="0" borderId="0" xfId="0" applyFont="1"/>
    <xf numFmtId="168" fontId="8" fillId="4" borderId="0" xfId="0" applyNumberFormat="1" applyFont="1" applyFill="1" applyAlignment="1">
      <alignment horizontal="right"/>
    </xf>
    <xf numFmtId="170" fontId="2" fillId="0" borderId="7" xfId="1" applyNumberFormat="1" applyFont="1" applyBorder="1" applyAlignment="1" applyProtection="1"/>
    <xf numFmtId="164" fontId="2" fillId="0" borderId="6" xfId="1" applyFont="1" applyBorder="1" applyAlignment="1" applyProtection="1"/>
    <xf numFmtId="166" fontId="2" fillId="0" borderId="6" xfId="0" applyNumberFormat="1" applyFont="1" applyBorder="1" applyAlignment="1" applyProtection="1"/>
    <xf numFmtId="165" fontId="2" fillId="0" borderId="5" xfId="0" applyNumberFormat="1" applyFont="1" applyBorder="1" applyAlignment="1" applyProtection="1"/>
    <xf numFmtId="170" fontId="2" fillId="0" borderId="6" xfId="1" applyNumberFormat="1" applyFont="1" applyBorder="1" applyAlignment="1" applyProtection="1"/>
    <xf numFmtId="165" fontId="2" fillId="0" borderId="6" xfId="0" applyNumberFormat="1" applyFont="1" applyBorder="1" applyAlignment="1" applyProtection="1"/>
    <xf numFmtId="165" fontId="7" fillId="0" borderId="1" xfId="0" applyFont="1" applyBorder="1" applyAlignment="1">
      <alignment horizontal="center"/>
    </xf>
    <xf numFmtId="165" fontId="7" fillId="0" borderId="0" xfId="0" applyFont="1" applyBorder="1" applyAlignment="1">
      <alignment horizontal="center"/>
    </xf>
    <xf numFmtId="165" fontId="7" fillId="5" borderId="10" xfId="0" applyFont="1" applyFill="1" applyBorder="1" applyAlignment="1">
      <alignment horizontal="center"/>
    </xf>
    <xf numFmtId="165" fontId="7" fillId="5" borderId="6" xfId="0" applyFont="1" applyFill="1" applyBorder="1" applyAlignment="1">
      <alignment horizontal="center"/>
    </xf>
    <xf numFmtId="165" fontId="7" fillId="5" borderId="7" xfId="0" applyFont="1" applyFill="1" applyBorder="1" applyAlignment="1">
      <alignment horizontal="center"/>
    </xf>
    <xf numFmtId="165" fontId="6" fillId="5" borderId="2" xfId="0" applyFont="1" applyFill="1" applyBorder="1" applyAlignment="1">
      <alignment horizontal="center"/>
    </xf>
    <xf numFmtId="165" fontId="6" fillId="5" borderId="3" xfId="0" applyFont="1" applyFill="1" applyBorder="1" applyAlignment="1">
      <alignment horizontal="center"/>
    </xf>
    <xf numFmtId="166" fontId="7" fillId="5" borderId="13" xfId="0" applyNumberFormat="1" applyFont="1" applyFill="1" applyBorder="1" applyAlignment="1" applyProtection="1">
      <alignment horizontal="center" vertical="center"/>
    </xf>
    <xf numFmtId="166" fontId="7" fillId="5" borderId="14" xfId="0" applyNumberFormat="1" applyFont="1" applyFill="1" applyBorder="1" applyAlignment="1" applyProtection="1">
      <alignment horizontal="center" vertical="center"/>
    </xf>
    <xf numFmtId="165" fontId="7" fillId="5" borderId="2" xfId="0" applyFont="1" applyFill="1" applyBorder="1" applyAlignment="1">
      <alignment horizontal="center" vertical="center" wrapText="1"/>
    </xf>
    <xf numFmtId="165" fontId="7" fillId="5" borderId="3" xfId="0" applyFont="1" applyFill="1" applyBorder="1" applyAlignment="1">
      <alignment horizontal="center" vertical="center" wrapText="1"/>
    </xf>
    <xf numFmtId="165" fontId="7" fillId="5" borderId="2" xfId="0" applyFont="1" applyFill="1" applyBorder="1" applyAlignment="1">
      <alignment horizontal="center" vertical="center"/>
    </xf>
    <xf numFmtId="165" fontId="7" fillId="5" borderId="3" xfId="0" applyFont="1" applyFill="1" applyBorder="1" applyAlignment="1">
      <alignment horizontal="center" vertical="center"/>
    </xf>
    <xf numFmtId="167" fontId="7" fillId="5" borderId="2" xfId="0" applyNumberFormat="1" applyFont="1" applyFill="1" applyBorder="1" applyAlignment="1">
      <alignment horizontal="center" vertical="center"/>
    </xf>
    <xf numFmtId="167" fontId="7" fillId="5" borderId="3" xfId="0" applyNumberFormat="1" applyFont="1" applyFill="1" applyBorder="1" applyAlignment="1">
      <alignment horizontal="center" vertical="center"/>
    </xf>
    <xf numFmtId="165" fontId="7" fillId="5" borderId="5" xfId="0" applyFont="1" applyFill="1" applyBorder="1" applyAlignment="1">
      <alignment horizontal="center"/>
    </xf>
    <xf numFmtId="166" fontId="15" fillId="5" borderId="13" xfId="0" applyNumberFormat="1" applyFont="1" applyFill="1" applyBorder="1" applyAlignment="1" applyProtection="1">
      <alignment horizontal="center" vertical="center"/>
    </xf>
    <xf numFmtId="166" fontId="15" fillId="5" borderId="14" xfId="0" applyNumberFormat="1" applyFont="1" applyFill="1" applyBorder="1" applyAlignment="1" applyProtection="1">
      <alignment horizontal="center" vertical="center"/>
    </xf>
  </cellXfs>
  <cellStyles count="3">
    <cellStyle name="Lien hypertexte" xfId="2" builtinId="8"/>
    <cellStyle name="Millier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3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monnaie-et-cr%C3%A9d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2"/>
  <sheetViews>
    <sheetView showGridLines="0" topLeftCell="C1" zoomScale="85" zoomScaleNormal="85" workbookViewId="0">
      <selection activeCell="F14" sqref="F14"/>
    </sheetView>
  </sheetViews>
  <sheetFormatPr baseColWidth="10" defaultColWidth="8.88671875" defaultRowHeight="15.75" x14ac:dyDescent="0.25"/>
  <cols>
    <col min="1" max="1" width="4.21875" style="10" customWidth="1"/>
    <col min="2" max="2" width="68.6640625" style="10" bestFit="1" customWidth="1"/>
    <col min="3" max="3" width="39.88671875" style="10" bestFit="1" customWidth="1"/>
    <col min="4" max="4" width="17.109375" style="10" bestFit="1" customWidth="1"/>
    <col min="5" max="5" width="24.88671875" style="10" customWidth="1"/>
    <col min="6" max="256" width="8.88671875" style="10"/>
    <col min="257" max="257" width="4.21875" style="10" customWidth="1"/>
    <col min="258" max="258" width="25.44140625" style="10" bestFit="1" customWidth="1"/>
    <col min="259" max="259" width="39.88671875" style="10" bestFit="1" customWidth="1"/>
    <col min="260" max="260" width="17.109375" style="10" bestFit="1" customWidth="1"/>
    <col min="261" max="261" width="15.88671875" style="10" customWidth="1"/>
    <col min="262" max="512" width="8.88671875" style="10"/>
    <col min="513" max="513" width="4.21875" style="10" customWidth="1"/>
    <col min="514" max="514" width="25.44140625" style="10" bestFit="1" customWidth="1"/>
    <col min="515" max="515" width="39.88671875" style="10" bestFit="1" customWidth="1"/>
    <col min="516" max="516" width="17.109375" style="10" bestFit="1" customWidth="1"/>
    <col min="517" max="517" width="15.88671875" style="10" customWidth="1"/>
    <col min="518" max="768" width="8.88671875" style="10"/>
    <col min="769" max="769" width="4.21875" style="10" customWidth="1"/>
    <col min="770" max="770" width="25.44140625" style="10" bestFit="1" customWidth="1"/>
    <col min="771" max="771" width="39.88671875" style="10" bestFit="1" customWidth="1"/>
    <col min="772" max="772" width="17.109375" style="10" bestFit="1" customWidth="1"/>
    <col min="773" max="773" width="15.88671875" style="10" customWidth="1"/>
    <col min="774" max="1024" width="8.88671875" style="10"/>
    <col min="1025" max="1025" width="4.21875" style="10" customWidth="1"/>
    <col min="1026" max="1026" width="25.44140625" style="10" bestFit="1" customWidth="1"/>
    <col min="1027" max="1027" width="39.88671875" style="10" bestFit="1" customWidth="1"/>
    <col min="1028" max="1028" width="17.109375" style="10" bestFit="1" customWidth="1"/>
    <col min="1029" max="1029" width="15.88671875" style="10" customWidth="1"/>
    <col min="1030" max="1280" width="8.88671875" style="10"/>
    <col min="1281" max="1281" width="4.21875" style="10" customWidth="1"/>
    <col min="1282" max="1282" width="25.44140625" style="10" bestFit="1" customWidth="1"/>
    <col min="1283" max="1283" width="39.88671875" style="10" bestFit="1" customWidth="1"/>
    <col min="1284" max="1284" width="17.109375" style="10" bestFit="1" customWidth="1"/>
    <col min="1285" max="1285" width="15.88671875" style="10" customWidth="1"/>
    <col min="1286" max="1536" width="8.88671875" style="10"/>
    <col min="1537" max="1537" width="4.21875" style="10" customWidth="1"/>
    <col min="1538" max="1538" width="25.44140625" style="10" bestFit="1" customWidth="1"/>
    <col min="1539" max="1539" width="39.88671875" style="10" bestFit="1" customWidth="1"/>
    <col min="1540" max="1540" width="17.109375" style="10" bestFit="1" customWidth="1"/>
    <col min="1541" max="1541" width="15.88671875" style="10" customWidth="1"/>
    <col min="1542" max="1792" width="8.88671875" style="10"/>
    <col min="1793" max="1793" width="4.21875" style="10" customWidth="1"/>
    <col min="1794" max="1794" width="25.44140625" style="10" bestFit="1" customWidth="1"/>
    <col min="1795" max="1795" width="39.88671875" style="10" bestFit="1" customWidth="1"/>
    <col min="1796" max="1796" width="17.109375" style="10" bestFit="1" customWidth="1"/>
    <col min="1797" max="1797" width="15.88671875" style="10" customWidth="1"/>
    <col min="1798" max="2048" width="8.88671875" style="10"/>
    <col min="2049" max="2049" width="4.21875" style="10" customWidth="1"/>
    <col min="2050" max="2050" width="25.44140625" style="10" bestFit="1" customWidth="1"/>
    <col min="2051" max="2051" width="39.88671875" style="10" bestFit="1" customWidth="1"/>
    <col min="2052" max="2052" width="17.109375" style="10" bestFit="1" customWidth="1"/>
    <col min="2053" max="2053" width="15.88671875" style="10" customWidth="1"/>
    <col min="2054" max="2304" width="8.88671875" style="10"/>
    <col min="2305" max="2305" width="4.21875" style="10" customWidth="1"/>
    <col min="2306" max="2306" width="25.44140625" style="10" bestFit="1" customWidth="1"/>
    <col min="2307" max="2307" width="39.88671875" style="10" bestFit="1" customWidth="1"/>
    <col min="2308" max="2308" width="17.109375" style="10" bestFit="1" customWidth="1"/>
    <col min="2309" max="2309" width="15.88671875" style="10" customWidth="1"/>
    <col min="2310" max="2560" width="8.88671875" style="10"/>
    <col min="2561" max="2561" width="4.21875" style="10" customWidth="1"/>
    <col min="2562" max="2562" width="25.44140625" style="10" bestFit="1" customWidth="1"/>
    <col min="2563" max="2563" width="39.88671875" style="10" bestFit="1" customWidth="1"/>
    <col min="2564" max="2564" width="17.109375" style="10" bestFit="1" customWidth="1"/>
    <col min="2565" max="2565" width="15.88671875" style="10" customWidth="1"/>
    <col min="2566" max="2816" width="8.88671875" style="10"/>
    <col min="2817" max="2817" width="4.21875" style="10" customWidth="1"/>
    <col min="2818" max="2818" width="25.44140625" style="10" bestFit="1" customWidth="1"/>
    <col min="2819" max="2819" width="39.88671875" style="10" bestFit="1" customWidth="1"/>
    <col min="2820" max="2820" width="17.109375" style="10" bestFit="1" customWidth="1"/>
    <col min="2821" max="2821" width="15.88671875" style="10" customWidth="1"/>
    <col min="2822" max="3072" width="8.88671875" style="10"/>
    <col min="3073" max="3073" width="4.21875" style="10" customWidth="1"/>
    <col min="3074" max="3074" width="25.44140625" style="10" bestFit="1" customWidth="1"/>
    <col min="3075" max="3075" width="39.88671875" style="10" bestFit="1" customWidth="1"/>
    <col min="3076" max="3076" width="17.109375" style="10" bestFit="1" customWidth="1"/>
    <col min="3077" max="3077" width="15.88671875" style="10" customWidth="1"/>
    <col min="3078" max="3328" width="8.88671875" style="10"/>
    <col min="3329" max="3329" width="4.21875" style="10" customWidth="1"/>
    <col min="3330" max="3330" width="25.44140625" style="10" bestFit="1" customWidth="1"/>
    <col min="3331" max="3331" width="39.88671875" style="10" bestFit="1" customWidth="1"/>
    <col min="3332" max="3332" width="17.109375" style="10" bestFit="1" customWidth="1"/>
    <col min="3333" max="3333" width="15.88671875" style="10" customWidth="1"/>
    <col min="3334" max="3584" width="8.88671875" style="10"/>
    <col min="3585" max="3585" width="4.21875" style="10" customWidth="1"/>
    <col min="3586" max="3586" width="25.44140625" style="10" bestFit="1" customWidth="1"/>
    <col min="3587" max="3587" width="39.88671875" style="10" bestFit="1" customWidth="1"/>
    <col min="3588" max="3588" width="17.109375" style="10" bestFit="1" customWidth="1"/>
    <col min="3589" max="3589" width="15.88671875" style="10" customWidth="1"/>
    <col min="3590" max="3840" width="8.88671875" style="10"/>
    <col min="3841" max="3841" width="4.21875" style="10" customWidth="1"/>
    <col min="3842" max="3842" width="25.44140625" style="10" bestFit="1" customWidth="1"/>
    <col min="3843" max="3843" width="39.88671875" style="10" bestFit="1" customWidth="1"/>
    <col min="3844" max="3844" width="17.109375" style="10" bestFit="1" customWidth="1"/>
    <col min="3845" max="3845" width="15.88671875" style="10" customWidth="1"/>
    <col min="3846" max="4096" width="8.88671875" style="10"/>
    <col min="4097" max="4097" width="4.21875" style="10" customWidth="1"/>
    <col min="4098" max="4098" width="25.44140625" style="10" bestFit="1" customWidth="1"/>
    <col min="4099" max="4099" width="39.88671875" style="10" bestFit="1" customWidth="1"/>
    <col min="4100" max="4100" width="17.109375" style="10" bestFit="1" customWidth="1"/>
    <col min="4101" max="4101" width="15.88671875" style="10" customWidth="1"/>
    <col min="4102" max="4352" width="8.88671875" style="10"/>
    <col min="4353" max="4353" width="4.21875" style="10" customWidth="1"/>
    <col min="4354" max="4354" width="25.44140625" style="10" bestFit="1" customWidth="1"/>
    <col min="4355" max="4355" width="39.88671875" style="10" bestFit="1" customWidth="1"/>
    <col min="4356" max="4356" width="17.109375" style="10" bestFit="1" customWidth="1"/>
    <col min="4357" max="4357" width="15.88671875" style="10" customWidth="1"/>
    <col min="4358" max="4608" width="8.88671875" style="10"/>
    <col min="4609" max="4609" width="4.21875" style="10" customWidth="1"/>
    <col min="4610" max="4610" width="25.44140625" style="10" bestFit="1" customWidth="1"/>
    <col min="4611" max="4611" width="39.88671875" style="10" bestFit="1" customWidth="1"/>
    <col min="4612" max="4612" width="17.109375" style="10" bestFit="1" customWidth="1"/>
    <col min="4613" max="4613" width="15.88671875" style="10" customWidth="1"/>
    <col min="4614" max="4864" width="8.88671875" style="10"/>
    <col min="4865" max="4865" width="4.21875" style="10" customWidth="1"/>
    <col min="4866" max="4866" width="25.44140625" style="10" bestFit="1" customWidth="1"/>
    <col min="4867" max="4867" width="39.88671875" style="10" bestFit="1" customWidth="1"/>
    <col min="4868" max="4868" width="17.109375" style="10" bestFit="1" customWidth="1"/>
    <col min="4869" max="4869" width="15.88671875" style="10" customWidth="1"/>
    <col min="4870" max="5120" width="8.88671875" style="10"/>
    <col min="5121" max="5121" width="4.21875" style="10" customWidth="1"/>
    <col min="5122" max="5122" width="25.44140625" style="10" bestFit="1" customWidth="1"/>
    <col min="5123" max="5123" width="39.88671875" style="10" bestFit="1" customWidth="1"/>
    <col min="5124" max="5124" width="17.109375" style="10" bestFit="1" customWidth="1"/>
    <col min="5125" max="5125" width="15.88671875" style="10" customWidth="1"/>
    <col min="5126" max="5376" width="8.88671875" style="10"/>
    <col min="5377" max="5377" width="4.21875" style="10" customWidth="1"/>
    <col min="5378" max="5378" width="25.44140625" style="10" bestFit="1" customWidth="1"/>
    <col min="5379" max="5379" width="39.88671875" style="10" bestFit="1" customWidth="1"/>
    <col min="5380" max="5380" width="17.109375" style="10" bestFit="1" customWidth="1"/>
    <col min="5381" max="5381" width="15.88671875" style="10" customWidth="1"/>
    <col min="5382" max="5632" width="8.88671875" style="10"/>
    <col min="5633" max="5633" width="4.21875" style="10" customWidth="1"/>
    <col min="5634" max="5634" width="25.44140625" style="10" bestFit="1" customWidth="1"/>
    <col min="5635" max="5635" width="39.88671875" style="10" bestFit="1" customWidth="1"/>
    <col min="5636" max="5636" width="17.109375" style="10" bestFit="1" customWidth="1"/>
    <col min="5637" max="5637" width="15.88671875" style="10" customWidth="1"/>
    <col min="5638" max="5888" width="8.88671875" style="10"/>
    <col min="5889" max="5889" width="4.21875" style="10" customWidth="1"/>
    <col min="5890" max="5890" width="25.44140625" style="10" bestFit="1" customWidth="1"/>
    <col min="5891" max="5891" width="39.88671875" style="10" bestFit="1" customWidth="1"/>
    <col min="5892" max="5892" width="17.109375" style="10" bestFit="1" customWidth="1"/>
    <col min="5893" max="5893" width="15.88671875" style="10" customWidth="1"/>
    <col min="5894" max="6144" width="8.88671875" style="10"/>
    <col min="6145" max="6145" width="4.21875" style="10" customWidth="1"/>
    <col min="6146" max="6146" width="25.44140625" style="10" bestFit="1" customWidth="1"/>
    <col min="6147" max="6147" width="39.88671875" style="10" bestFit="1" customWidth="1"/>
    <col min="6148" max="6148" width="17.109375" style="10" bestFit="1" customWidth="1"/>
    <col min="6149" max="6149" width="15.88671875" style="10" customWidth="1"/>
    <col min="6150" max="6400" width="8.88671875" style="10"/>
    <col min="6401" max="6401" width="4.21875" style="10" customWidth="1"/>
    <col min="6402" max="6402" width="25.44140625" style="10" bestFit="1" customWidth="1"/>
    <col min="6403" max="6403" width="39.88671875" style="10" bestFit="1" customWidth="1"/>
    <col min="6404" max="6404" width="17.109375" style="10" bestFit="1" customWidth="1"/>
    <col min="6405" max="6405" width="15.88671875" style="10" customWidth="1"/>
    <col min="6406" max="6656" width="8.88671875" style="10"/>
    <col min="6657" max="6657" width="4.21875" style="10" customWidth="1"/>
    <col min="6658" max="6658" width="25.44140625" style="10" bestFit="1" customWidth="1"/>
    <col min="6659" max="6659" width="39.88671875" style="10" bestFit="1" customWidth="1"/>
    <col min="6660" max="6660" width="17.109375" style="10" bestFit="1" customWidth="1"/>
    <col min="6661" max="6661" width="15.88671875" style="10" customWidth="1"/>
    <col min="6662" max="6912" width="8.88671875" style="10"/>
    <col min="6913" max="6913" width="4.21875" style="10" customWidth="1"/>
    <col min="6914" max="6914" width="25.44140625" style="10" bestFit="1" customWidth="1"/>
    <col min="6915" max="6915" width="39.88671875" style="10" bestFit="1" customWidth="1"/>
    <col min="6916" max="6916" width="17.109375" style="10" bestFit="1" customWidth="1"/>
    <col min="6917" max="6917" width="15.88671875" style="10" customWidth="1"/>
    <col min="6918" max="7168" width="8.88671875" style="10"/>
    <col min="7169" max="7169" width="4.21875" style="10" customWidth="1"/>
    <col min="7170" max="7170" width="25.44140625" style="10" bestFit="1" customWidth="1"/>
    <col min="7171" max="7171" width="39.88671875" style="10" bestFit="1" customWidth="1"/>
    <col min="7172" max="7172" width="17.109375" style="10" bestFit="1" customWidth="1"/>
    <col min="7173" max="7173" width="15.88671875" style="10" customWidth="1"/>
    <col min="7174" max="7424" width="8.88671875" style="10"/>
    <col min="7425" max="7425" width="4.21875" style="10" customWidth="1"/>
    <col min="7426" max="7426" width="25.44140625" style="10" bestFit="1" customWidth="1"/>
    <col min="7427" max="7427" width="39.88671875" style="10" bestFit="1" customWidth="1"/>
    <col min="7428" max="7428" width="17.109375" style="10" bestFit="1" customWidth="1"/>
    <col min="7429" max="7429" width="15.88671875" style="10" customWidth="1"/>
    <col min="7430" max="7680" width="8.88671875" style="10"/>
    <col min="7681" max="7681" width="4.21875" style="10" customWidth="1"/>
    <col min="7682" max="7682" width="25.44140625" style="10" bestFit="1" customWidth="1"/>
    <col min="7683" max="7683" width="39.88671875" style="10" bestFit="1" customWidth="1"/>
    <col min="7684" max="7684" width="17.109375" style="10" bestFit="1" customWidth="1"/>
    <col min="7685" max="7685" width="15.88671875" style="10" customWidth="1"/>
    <col min="7686" max="7936" width="8.88671875" style="10"/>
    <col min="7937" max="7937" width="4.21875" style="10" customWidth="1"/>
    <col min="7938" max="7938" width="25.44140625" style="10" bestFit="1" customWidth="1"/>
    <col min="7939" max="7939" width="39.88671875" style="10" bestFit="1" customWidth="1"/>
    <col min="7940" max="7940" width="17.109375" style="10" bestFit="1" customWidth="1"/>
    <col min="7941" max="7941" width="15.88671875" style="10" customWidth="1"/>
    <col min="7942" max="8192" width="8.88671875" style="10"/>
    <col min="8193" max="8193" width="4.21875" style="10" customWidth="1"/>
    <col min="8194" max="8194" width="25.44140625" style="10" bestFit="1" customWidth="1"/>
    <col min="8195" max="8195" width="39.88671875" style="10" bestFit="1" customWidth="1"/>
    <col min="8196" max="8196" width="17.109375" style="10" bestFit="1" customWidth="1"/>
    <col min="8197" max="8197" width="15.88671875" style="10" customWidth="1"/>
    <col min="8198" max="8448" width="8.88671875" style="10"/>
    <col min="8449" max="8449" width="4.21875" style="10" customWidth="1"/>
    <col min="8450" max="8450" width="25.44140625" style="10" bestFit="1" customWidth="1"/>
    <col min="8451" max="8451" width="39.88671875" style="10" bestFit="1" customWidth="1"/>
    <col min="8452" max="8452" width="17.109375" style="10" bestFit="1" customWidth="1"/>
    <col min="8453" max="8453" width="15.88671875" style="10" customWidth="1"/>
    <col min="8454" max="8704" width="8.88671875" style="10"/>
    <col min="8705" max="8705" width="4.21875" style="10" customWidth="1"/>
    <col min="8706" max="8706" width="25.44140625" style="10" bestFit="1" customWidth="1"/>
    <col min="8707" max="8707" width="39.88671875" style="10" bestFit="1" customWidth="1"/>
    <col min="8708" max="8708" width="17.109375" style="10" bestFit="1" customWidth="1"/>
    <col min="8709" max="8709" width="15.88671875" style="10" customWidth="1"/>
    <col min="8710" max="8960" width="8.88671875" style="10"/>
    <col min="8961" max="8961" width="4.21875" style="10" customWidth="1"/>
    <col min="8962" max="8962" width="25.44140625" style="10" bestFit="1" customWidth="1"/>
    <col min="8963" max="8963" width="39.88671875" style="10" bestFit="1" customWidth="1"/>
    <col min="8964" max="8964" width="17.109375" style="10" bestFit="1" customWidth="1"/>
    <col min="8965" max="8965" width="15.88671875" style="10" customWidth="1"/>
    <col min="8966" max="9216" width="8.88671875" style="10"/>
    <col min="9217" max="9217" width="4.21875" style="10" customWidth="1"/>
    <col min="9218" max="9218" width="25.44140625" style="10" bestFit="1" customWidth="1"/>
    <col min="9219" max="9219" width="39.88671875" style="10" bestFit="1" customWidth="1"/>
    <col min="9220" max="9220" width="17.109375" style="10" bestFit="1" customWidth="1"/>
    <col min="9221" max="9221" width="15.88671875" style="10" customWidth="1"/>
    <col min="9222" max="9472" width="8.88671875" style="10"/>
    <col min="9473" max="9473" width="4.21875" style="10" customWidth="1"/>
    <col min="9474" max="9474" width="25.44140625" style="10" bestFit="1" customWidth="1"/>
    <col min="9475" max="9475" width="39.88671875" style="10" bestFit="1" customWidth="1"/>
    <col min="9476" max="9476" width="17.109375" style="10" bestFit="1" customWidth="1"/>
    <col min="9477" max="9477" width="15.88671875" style="10" customWidth="1"/>
    <col min="9478" max="9728" width="8.88671875" style="10"/>
    <col min="9729" max="9729" width="4.21875" style="10" customWidth="1"/>
    <col min="9730" max="9730" width="25.44140625" style="10" bestFit="1" customWidth="1"/>
    <col min="9731" max="9731" width="39.88671875" style="10" bestFit="1" customWidth="1"/>
    <col min="9732" max="9732" width="17.109375" style="10" bestFit="1" customWidth="1"/>
    <col min="9733" max="9733" width="15.88671875" style="10" customWidth="1"/>
    <col min="9734" max="9984" width="8.88671875" style="10"/>
    <col min="9985" max="9985" width="4.21875" style="10" customWidth="1"/>
    <col min="9986" max="9986" width="25.44140625" style="10" bestFit="1" customWidth="1"/>
    <col min="9987" max="9987" width="39.88671875" style="10" bestFit="1" customWidth="1"/>
    <col min="9988" max="9988" width="17.109375" style="10" bestFit="1" customWidth="1"/>
    <col min="9989" max="9989" width="15.88671875" style="10" customWidth="1"/>
    <col min="9990" max="10240" width="8.88671875" style="10"/>
    <col min="10241" max="10241" width="4.21875" style="10" customWidth="1"/>
    <col min="10242" max="10242" width="25.44140625" style="10" bestFit="1" customWidth="1"/>
    <col min="10243" max="10243" width="39.88671875" style="10" bestFit="1" customWidth="1"/>
    <col min="10244" max="10244" width="17.109375" style="10" bestFit="1" customWidth="1"/>
    <col min="10245" max="10245" width="15.88671875" style="10" customWidth="1"/>
    <col min="10246" max="10496" width="8.88671875" style="10"/>
    <col min="10497" max="10497" width="4.21875" style="10" customWidth="1"/>
    <col min="10498" max="10498" width="25.44140625" style="10" bestFit="1" customWidth="1"/>
    <col min="10499" max="10499" width="39.88671875" style="10" bestFit="1" customWidth="1"/>
    <col min="10500" max="10500" width="17.109375" style="10" bestFit="1" customWidth="1"/>
    <col min="10501" max="10501" width="15.88671875" style="10" customWidth="1"/>
    <col min="10502" max="10752" width="8.88671875" style="10"/>
    <col min="10753" max="10753" width="4.21875" style="10" customWidth="1"/>
    <col min="10754" max="10754" width="25.44140625" style="10" bestFit="1" customWidth="1"/>
    <col min="10755" max="10755" width="39.88671875" style="10" bestFit="1" customWidth="1"/>
    <col min="10756" max="10756" width="17.109375" style="10" bestFit="1" customWidth="1"/>
    <col min="10757" max="10757" width="15.88671875" style="10" customWidth="1"/>
    <col min="10758" max="11008" width="8.88671875" style="10"/>
    <col min="11009" max="11009" width="4.21875" style="10" customWidth="1"/>
    <col min="11010" max="11010" width="25.44140625" style="10" bestFit="1" customWidth="1"/>
    <col min="11011" max="11011" width="39.88671875" style="10" bestFit="1" customWidth="1"/>
    <col min="11012" max="11012" width="17.109375" style="10" bestFit="1" customWidth="1"/>
    <col min="11013" max="11013" width="15.88671875" style="10" customWidth="1"/>
    <col min="11014" max="11264" width="8.88671875" style="10"/>
    <col min="11265" max="11265" width="4.21875" style="10" customWidth="1"/>
    <col min="11266" max="11266" width="25.44140625" style="10" bestFit="1" customWidth="1"/>
    <col min="11267" max="11267" width="39.88671875" style="10" bestFit="1" customWidth="1"/>
    <col min="11268" max="11268" width="17.109375" style="10" bestFit="1" customWidth="1"/>
    <col min="11269" max="11269" width="15.88671875" style="10" customWidth="1"/>
    <col min="11270" max="11520" width="8.88671875" style="10"/>
    <col min="11521" max="11521" width="4.21875" style="10" customWidth="1"/>
    <col min="11522" max="11522" width="25.44140625" style="10" bestFit="1" customWidth="1"/>
    <col min="11523" max="11523" width="39.88671875" style="10" bestFit="1" customWidth="1"/>
    <col min="11524" max="11524" width="17.109375" style="10" bestFit="1" customWidth="1"/>
    <col min="11525" max="11525" width="15.88671875" style="10" customWidth="1"/>
    <col min="11526" max="11776" width="8.88671875" style="10"/>
    <col min="11777" max="11777" width="4.21875" style="10" customWidth="1"/>
    <col min="11778" max="11778" width="25.44140625" style="10" bestFit="1" customWidth="1"/>
    <col min="11779" max="11779" width="39.88671875" style="10" bestFit="1" customWidth="1"/>
    <col min="11780" max="11780" width="17.109375" style="10" bestFit="1" customWidth="1"/>
    <col min="11781" max="11781" width="15.88671875" style="10" customWidth="1"/>
    <col min="11782" max="12032" width="8.88671875" style="10"/>
    <col min="12033" max="12033" width="4.21875" style="10" customWidth="1"/>
    <col min="12034" max="12034" width="25.44140625" style="10" bestFit="1" customWidth="1"/>
    <col min="12035" max="12035" width="39.88671875" style="10" bestFit="1" customWidth="1"/>
    <col min="12036" max="12036" width="17.109375" style="10" bestFit="1" customWidth="1"/>
    <col min="12037" max="12037" width="15.88671875" style="10" customWidth="1"/>
    <col min="12038" max="12288" width="8.88671875" style="10"/>
    <col min="12289" max="12289" width="4.21875" style="10" customWidth="1"/>
    <col min="12290" max="12290" width="25.44140625" style="10" bestFit="1" customWidth="1"/>
    <col min="12291" max="12291" width="39.88671875" style="10" bestFit="1" customWidth="1"/>
    <col min="12292" max="12292" width="17.109375" style="10" bestFit="1" customWidth="1"/>
    <col min="12293" max="12293" width="15.88671875" style="10" customWidth="1"/>
    <col min="12294" max="12544" width="8.88671875" style="10"/>
    <col min="12545" max="12545" width="4.21875" style="10" customWidth="1"/>
    <col min="12546" max="12546" width="25.44140625" style="10" bestFit="1" customWidth="1"/>
    <col min="12547" max="12547" width="39.88671875" style="10" bestFit="1" customWidth="1"/>
    <col min="12548" max="12548" width="17.109375" style="10" bestFit="1" customWidth="1"/>
    <col min="12549" max="12549" width="15.88671875" style="10" customWidth="1"/>
    <col min="12550" max="12800" width="8.88671875" style="10"/>
    <col min="12801" max="12801" width="4.21875" style="10" customWidth="1"/>
    <col min="12802" max="12802" width="25.44140625" style="10" bestFit="1" customWidth="1"/>
    <col min="12803" max="12803" width="39.88671875" style="10" bestFit="1" customWidth="1"/>
    <col min="12804" max="12804" width="17.109375" style="10" bestFit="1" customWidth="1"/>
    <col min="12805" max="12805" width="15.88671875" style="10" customWidth="1"/>
    <col min="12806" max="13056" width="8.88671875" style="10"/>
    <col min="13057" max="13057" width="4.21875" style="10" customWidth="1"/>
    <col min="13058" max="13058" width="25.44140625" style="10" bestFit="1" customWidth="1"/>
    <col min="13059" max="13059" width="39.88671875" style="10" bestFit="1" customWidth="1"/>
    <col min="13060" max="13060" width="17.109375" style="10" bestFit="1" customWidth="1"/>
    <col min="13061" max="13061" width="15.88671875" style="10" customWidth="1"/>
    <col min="13062" max="13312" width="8.88671875" style="10"/>
    <col min="13313" max="13313" width="4.21875" style="10" customWidth="1"/>
    <col min="13314" max="13314" width="25.44140625" style="10" bestFit="1" customWidth="1"/>
    <col min="13315" max="13315" width="39.88671875" style="10" bestFit="1" customWidth="1"/>
    <col min="13316" max="13316" width="17.109375" style="10" bestFit="1" customWidth="1"/>
    <col min="13317" max="13317" width="15.88671875" style="10" customWidth="1"/>
    <col min="13318" max="13568" width="8.88671875" style="10"/>
    <col min="13569" max="13569" width="4.21875" style="10" customWidth="1"/>
    <col min="13570" max="13570" width="25.44140625" style="10" bestFit="1" customWidth="1"/>
    <col min="13571" max="13571" width="39.88671875" style="10" bestFit="1" customWidth="1"/>
    <col min="13572" max="13572" width="17.109375" style="10" bestFit="1" customWidth="1"/>
    <col min="13573" max="13573" width="15.88671875" style="10" customWidth="1"/>
    <col min="13574" max="13824" width="8.88671875" style="10"/>
    <col min="13825" max="13825" width="4.21875" style="10" customWidth="1"/>
    <col min="13826" max="13826" width="25.44140625" style="10" bestFit="1" customWidth="1"/>
    <col min="13827" max="13827" width="39.88671875" style="10" bestFit="1" customWidth="1"/>
    <col min="13828" max="13828" width="17.109375" style="10" bestFit="1" customWidth="1"/>
    <col min="13829" max="13829" width="15.88671875" style="10" customWidth="1"/>
    <col min="13830" max="14080" width="8.88671875" style="10"/>
    <col min="14081" max="14081" width="4.21875" style="10" customWidth="1"/>
    <col min="14082" max="14082" width="25.44140625" style="10" bestFit="1" customWidth="1"/>
    <col min="14083" max="14083" width="39.88671875" style="10" bestFit="1" customWidth="1"/>
    <col min="14084" max="14084" width="17.109375" style="10" bestFit="1" customWidth="1"/>
    <col min="14085" max="14085" width="15.88671875" style="10" customWidth="1"/>
    <col min="14086" max="14336" width="8.88671875" style="10"/>
    <col min="14337" max="14337" width="4.21875" style="10" customWidth="1"/>
    <col min="14338" max="14338" width="25.44140625" style="10" bestFit="1" customWidth="1"/>
    <col min="14339" max="14339" width="39.88671875" style="10" bestFit="1" customWidth="1"/>
    <col min="14340" max="14340" width="17.109375" style="10" bestFit="1" customWidth="1"/>
    <col min="14341" max="14341" width="15.88671875" style="10" customWidth="1"/>
    <col min="14342" max="14592" width="8.88671875" style="10"/>
    <col min="14593" max="14593" width="4.21875" style="10" customWidth="1"/>
    <col min="14594" max="14594" width="25.44140625" style="10" bestFit="1" customWidth="1"/>
    <col min="14595" max="14595" width="39.88671875" style="10" bestFit="1" customWidth="1"/>
    <col min="14596" max="14596" width="17.109375" style="10" bestFit="1" customWidth="1"/>
    <col min="14597" max="14597" width="15.88671875" style="10" customWidth="1"/>
    <col min="14598" max="14848" width="8.88671875" style="10"/>
    <col min="14849" max="14849" width="4.21875" style="10" customWidth="1"/>
    <col min="14850" max="14850" width="25.44140625" style="10" bestFit="1" customWidth="1"/>
    <col min="14851" max="14851" width="39.88671875" style="10" bestFit="1" customWidth="1"/>
    <col min="14852" max="14852" width="17.109375" style="10" bestFit="1" customWidth="1"/>
    <col min="14853" max="14853" width="15.88671875" style="10" customWidth="1"/>
    <col min="14854" max="15104" width="8.88671875" style="10"/>
    <col min="15105" max="15105" width="4.21875" style="10" customWidth="1"/>
    <col min="15106" max="15106" width="25.44140625" style="10" bestFit="1" customWidth="1"/>
    <col min="15107" max="15107" width="39.88671875" style="10" bestFit="1" customWidth="1"/>
    <col min="15108" max="15108" width="17.109375" style="10" bestFit="1" customWidth="1"/>
    <col min="15109" max="15109" width="15.88671875" style="10" customWidth="1"/>
    <col min="15110" max="15360" width="8.88671875" style="10"/>
    <col min="15361" max="15361" width="4.21875" style="10" customWidth="1"/>
    <col min="15362" max="15362" width="25.44140625" style="10" bestFit="1" customWidth="1"/>
    <col min="15363" max="15363" width="39.88671875" style="10" bestFit="1" customWidth="1"/>
    <col min="15364" max="15364" width="17.109375" style="10" bestFit="1" customWidth="1"/>
    <col min="15365" max="15365" width="15.88671875" style="10" customWidth="1"/>
    <col min="15366" max="15616" width="8.88671875" style="10"/>
    <col min="15617" max="15617" width="4.21875" style="10" customWidth="1"/>
    <col min="15618" max="15618" width="25.44140625" style="10" bestFit="1" customWidth="1"/>
    <col min="15619" max="15619" width="39.88671875" style="10" bestFit="1" customWidth="1"/>
    <col min="15620" max="15620" width="17.109375" style="10" bestFit="1" customWidth="1"/>
    <col min="15621" max="15621" width="15.88671875" style="10" customWidth="1"/>
    <col min="15622" max="15872" width="8.88671875" style="10"/>
    <col min="15873" max="15873" width="4.21875" style="10" customWidth="1"/>
    <col min="15874" max="15874" width="25.44140625" style="10" bestFit="1" customWidth="1"/>
    <col min="15875" max="15875" width="39.88671875" style="10" bestFit="1" customWidth="1"/>
    <col min="15876" max="15876" width="17.109375" style="10" bestFit="1" customWidth="1"/>
    <col min="15877" max="15877" width="15.88671875" style="10" customWidth="1"/>
    <col min="15878" max="16128" width="8.88671875" style="10"/>
    <col min="16129" max="16129" width="4.21875" style="10" customWidth="1"/>
    <col min="16130" max="16130" width="25.44140625" style="10" bestFit="1" customWidth="1"/>
    <col min="16131" max="16131" width="39.88671875" style="10" bestFit="1" customWidth="1"/>
    <col min="16132" max="16132" width="17.109375" style="10" bestFit="1" customWidth="1"/>
    <col min="16133" max="16133" width="15.88671875" style="10" customWidth="1"/>
    <col min="16134" max="16384" width="8.88671875" style="10"/>
  </cols>
  <sheetData>
    <row r="2" spans="1:5" x14ac:dyDescent="0.25">
      <c r="B2" s="23" t="s">
        <v>40</v>
      </c>
    </row>
    <row r="3" spans="1:5" x14ac:dyDescent="0.25">
      <c r="B3" s="23" t="s">
        <v>41</v>
      </c>
      <c r="C3"/>
    </row>
    <row r="4" spans="1:5" x14ac:dyDescent="0.25">
      <c r="B4" s="23" t="s">
        <v>42</v>
      </c>
    </row>
    <row r="5" spans="1:5" x14ac:dyDescent="0.25">
      <c r="B5" s="23" t="s">
        <v>43</v>
      </c>
    </row>
    <row r="6" spans="1:5" x14ac:dyDescent="0.25">
      <c r="B6" s="23"/>
    </row>
    <row r="7" spans="1:5" ht="18.75" x14ac:dyDescent="0.3">
      <c r="A7" s="37" t="s">
        <v>50</v>
      </c>
      <c r="B7" s="23"/>
    </row>
    <row r="8" spans="1:5" ht="18.75" x14ac:dyDescent="0.3">
      <c r="A8" s="38" t="s">
        <v>51</v>
      </c>
      <c r="B8" s="23"/>
    </row>
    <row r="9" spans="1:5" x14ac:dyDescent="0.25">
      <c r="B9"/>
    </row>
    <row r="10" spans="1:5" x14ac:dyDescent="0.25">
      <c r="B10" s="10" t="s">
        <v>39</v>
      </c>
    </row>
    <row r="11" spans="1:5" ht="16.5" thickBot="1" x14ac:dyDescent="0.3">
      <c r="B11" s="11" t="s">
        <v>29</v>
      </c>
      <c r="C11" s="11" t="s">
        <v>30</v>
      </c>
      <c r="D11" s="11" t="s">
        <v>31</v>
      </c>
      <c r="E11" s="11" t="s">
        <v>49</v>
      </c>
    </row>
    <row r="12" spans="1:5" x14ac:dyDescent="0.25">
      <c r="B12" s="20" t="s">
        <v>25</v>
      </c>
      <c r="C12" s="12" t="s">
        <v>32</v>
      </c>
      <c r="D12" s="12" t="s">
        <v>25</v>
      </c>
      <c r="E12" s="60">
        <v>46054</v>
      </c>
    </row>
    <row r="13" spans="1:5" x14ac:dyDescent="0.25">
      <c r="B13" s="20" t="s">
        <v>26</v>
      </c>
      <c r="C13" s="12" t="s">
        <v>33</v>
      </c>
      <c r="D13" s="12" t="s">
        <v>26</v>
      </c>
      <c r="E13" s="14" t="s">
        <v>111</v>
      </c>
    </row>
    <row r="14" spans="1:5" x14ac:dyDescent="0.25">
      <c r="B14" s="20" t="s">
        <v>27</v>
      </c>
      <c r="C14" s="12" t="s">
        <v>34</v>
      </c>
      <c r="D14" s="12" t="s">
        <v>27</v>
      </c>
      <c r="E14" s="13" t="s">
        <v>112</v>
      </c>
    </row>
    <row r="15" spans="1:5" ht="16.5" thickBot="1" x14ac:dyDescent="0.3">
      <c r="B15" s="19"/>
      <c r="C15" s="15"/>
      <c r="D15" s="15"/>
      <c r="E15" s="15"/>
    </row>
    <row r="17" spans="2:3" x14ac:dyDescent="0.25">
      <c r="B17" s="10" t="s">
        <v>35</v>
      </c>
      <c r="C17" s="16"/>
    </row>
    <row r="18" spans="2:3" x14ac:dyDescent="0.25">
      <c r="B18" s="10" t="s">
        <v>36</v>
      </c>
      <c r="C18" s="16"/>
    </row>
    <row r="20" spans="2:3" x14ac:dyDescent="0.25">
      <c r="B20" s="10" t="s">
        <v>22</v>
      </c>
      <c r="C20" s="10" t="s">
        <v>38</v>
      </c>
    </row>
    <row r="21" spans="2:3" x14ac:dyDescent="0.25">
      <c r="B21" s="10" t="s">
        <v>23</v>
      </c>
      <c r="C21" s="17" t="s">
        <v>24</v>
      </c>
    </row>
    <row r="24" spans="2:3" ht="31.5" x14ac:dyDescent="0.25">
      <c r="B24" s="54" t="s">
        <v>62</v>
      </c>
    </row>
    <row r="25" spans="2:3" x14ac:dyDescent="0.25">
      <c r="B25" s="50" t="s">
        <v>37</v>
      </c>
    </row>
    <row r="26" spans="2:3" x14ac:dyDescent="0.25">
      <c r="B26" s="49" t="s">
        <v>58</v>
      </c>
    </row>
    <row r="27" spans="2:3" x14ac:dyDescent="0.25">
      <c r="B27" s="49" t="s">
        <v>4</v>
      </c>
    </row>
    <row r="28" spans="2:3" x14ac:dyDescent="0.25">
      <c r="B28" s="49" t="s">
        <v>17</v>
      </c>
    </row>
    <row r="29" spans="2:3" x14ac:dyDescent="0.25">
      <c r="B29" s="49" t="s">
        <v>59</v>
      </c>
    </row>
    <row r="30" spans="2:3" x14ac:dyDescent="0.25">
      <c r="B30" s="49" t="s">
        <v>52</v>
      </c>
    </row>
    <row r="31" spans="2:3" x14ac:dyDescent="0.25">
      <c r="B31" s="49" t="s">
        <v>60</v>
      </c>
    </row>
    <row r="32" spans="2:3" x14ac:dyDescent="0.25">
      <c r="B32" s="49" t="s">
        <v>12</v>
      </c>
    </row>
    <row r="33" spans="2:2" x14ac:dyDescent="0.25">
      <c r="B33" s="49" t="s">
        <v>61</v>
      </c>
    </row>
    <row r="34" spans="2:2" x14ac:dyDescent="0.25">
      <c r="B34" s="49" t="s">
        <v>13</v>
      </c>
    </row>
    <row r="35" spans="2:2" x14ac:dyDescent="0.25">
      <c r="B35" s="49" t="s">
        <v>14</v>
      </c>
    </row>
    <row r="36" spans="2:2" x14ac:dyDescent="0.25">
      <c r="B36" s="50" t="s">
        <v>15</v>
      </c>
    </row>
    <row r="37" spans="2:2" x14ac:dyDescent="0.25">
      <c r="B37" s="50" t="s">
        <v>6</v>
      </c>
    </row>
    <row r="38" spans="2:2" x14ac:dyDescent="0.25">
      <c r="B38" s="50" t="s">
        <v>7</v>
      </c>
    </row>
    <row r="39" spans="2:2" x14ac:dyDescent="0.25">
      <c r="B39" s="50" t="s">
        <v>8</v>
      </c>
    </row>
    <row r="40" spans="2:2" x14ac:dyDescent="0.25">
      <c r="B40" s="50" t="s">
        <v>57</v>
      </c>
    </row>
    <row r="41" spans="2:2" x14ac:dyDescent="0.25">
      <c r="B41" s="50" t="s">
        <v>16</v>
      </c>
    </row>
    <row r="42" spans="2:2" x14ac:dyDescent="0.25">
      <c r="B42" s="50" t="s">
        <v>9</v>
      </c>
    </row>
  </sheetData>
  <hyperlinks>
    <hyperlink ref="B12" location="Mensuelle!A1" display="Mensuelle"/>
    <hyperlink ref="B13" location="Trimestrielle!A1" display="Trimestrielle"/>
    <hyperlink ref="B14" location="Annuelle!A1" display="Annuelle"/>
    <hyperlink ref="C21" r:id="rId1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V224"/>
  <sheetViews>
    <sheetView workbookViewId="0">
      <pane xSplit="1" ySplit="5" topLeftCell="B208" activePane="bottomRight" state="frozen"/>
      <selection pane="topRight" activeCell="B1" sqref="B1"/>
      <selection pane="bottomLeft" activeCell="A6" sqref="A6"/>
      <selection pane="bottomRight" activeCell="A221" sqref="A221:XFD221"/>
    </sheetView>
  </sheetViews>
  <sheetFormatPr baseColWidth="10" defaultColWidth="11.5546875" defaultRowHeight="15.75" x14ac:dyDescent="0.25"/>
  <cols>
    <col min="1" max="1" width="20.5546875" customWidth="1"/>
    <col min="2" max="2" width="15.44140625" bestFit="1" customWidth="1"/>
    <col min="3" max="3" width="18.6640625" customWidth="1"/>
    <col min="4" max="4" width="18.5546875" bestFit="1" customWidth="1"/>
    <col min="5" max="5" width="15.6640625" bestFit="1" customWidth="1"/>
    <col min="6" max="6" width="11.33203125" customWidth="1"/>
    <col min="7" max="7" width="18.33203125" customWidth="1"/>
    <col min="8" max="8" width="19.88671875" customWidth="1"/>
    <col min="9" max="9" width="16.33203125" bestFit="1" customWidth="1"/>
    <col min="10" max="10" width="14.5546875" bestFit="1" customWidth="1"/>
    <col min="11" max="12" width="14" customWidth="1"/>
    <col min="14" max="14" width="14.44140625" customWidth="1"/>
    <col min="15" max="15" width="15.109375" customWidth="1"/>
    <col min="16" max="17" width="21.44140625" customWidth="1"/>
    <col min="18" max="18" width="12.77734375" customWidth="1"/>
    <col min="19" max="19" width="15.33203125" customWidth="1"/>
    <col min="20" max="20" width="13.44140625" customWidth="1"/>
  </cols>
  <sheetData>
    <row r="1" spans="1:20" ht="18.75" x14ac:dyDescent="0.3">
      <c r="A1" s="18" t="s">
        <v>28</v>
      </c>
      <c r="B1" s="4"/>
      <c r="C1" s="5"/>
      <c r="D1" s="5"/>
      <c r="E1" s="5"/>
      <c r="F1" s="6" t="s">
        <v>0</v>
      </c>
      <c r="G1" s="5"/>
      <c r="H1" s="7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31" t="s">
        <v>3</v>
      </c>
    </row>
    <row r="2" spans="1:20" ht="18.75" x14ac:dyDescent="0.3">
      <c r="A2" s="67" t="s">
        <v>11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spans="1:20" s="1" customFormat="1" ht="12.75" x14ac:dyDescent="0.2">
      <c r="A3" s="21"/>
      <c r="B3" s="2"/>
      <c r="C3" s="22"/>
      <c r="D3" s="2"/>
      <c r="E3" s="2"/>
      <c r="F3" s="2"/>
      <c r="G3" s="2"/>
      <c r="H3" s="3"/>
      <c r="I3" s="2"/>
      <c r="J3" s="2"/>
      <c r="K3" s="2"/>
      <c r="L3" s="2"/>
      <c r="M3" s="2"/>
      <c r="N3" s="9"/>
      <c r="O3" s="9"/>
      <c r="P3" s="9"/>
      <c r="Q3" s="9"/>
      <c r="R3" s="2"/>
      <c r="S3" s="9"/>
      <c r="T3" s="33"/>
    </row>
    <row r="4" spans="1:20" s="1" customFormat="1" ht="75" customHeight="1" x14ac:dyDescent="0.3">
      <c r="A4" s="74" t="s">
        <v>48</v>
      </c>
      <c r="B4" s="72" t="s">
        <v>20</v>
      </c>
      <c r="C4" s="69" t="s">
        <v>2</v>
      </c>
      <c r="D4" s="70"/>
      <c r="E4" s="70"/>
      <c r="F4" s="70"/>
      <c r="G4" s="70"/>
      <c r="H4" s="70"/>
      <c r="I4" s="70"/>
      <c r="J4" s="70"/>
      <c r="K4" s="70"/>
      <c r="L4" s="70"/>
      <c r="M4" s="71"/>
      <c r="N4" s="76" t="s">
        <v>15</v>
      </c>
      <c r="O4" s="76" t="s">
        <v>45</v>
      </c>
      <c r="P4" s="76" t="s">
        <v>63</v>
      </c>
      <c r="Q4" s="76" t="s">
        <v>64</v>
      </c>
      <c r="R4" s="76" t="s">
        <v>46</v>
      </c>
      <c r="S4" s="78" t="s">
        <v>16</v>
      </c>
      <c r="T4" s="80" t="s">
        <v>9</v>
      </c>
    </row>
    <row r="5" spans="1:20" s="1" customFormat="1" ht="56.25" x14ac:dyDescent="0.3">
      <c r="A5" s="75"/>
      <c r="B5" s="73"/>
      <c r="C5" s="25" t="s">
        <v>4</v>
      </c>
      <c r="D5" s="25" t="s">
        <v>17</v>
      </c>
      <c r="E5" s="25" t="s">
        <v>18</v>
      </c>
      <c r="F5" s="30" t="s">
        <v>10</v>
      </c>
      <c r="G5" s="26" t="s">
        <v>44</v>
      </c>
      <c r="H5" s="27" t="s">
        <v>12</v>
      </c>
      <c r="I5" s="25" t="s">
        <v>5</v>
      </c>
      <c r="J5" s="25" t="s">
        <v>13</v>
      </c>
      <c r="K5" s="28" t="s">
        <v>14</v>
      </c>
      <c r="L5" s="28" t="s">
        <v>66</v>
      </c>
      <c r="M5" s="29" t="s">
        <v>19</v>
      </c>
      <c r="N5" s="77"/>
      <c r="O5" s="77"/>
      <c r="P5" s="77"/>
      <c r="Q5" s="77"/>
      <c r="R5" s="77"/>
      <c r="S5" s="79"/>
      <c r="T5" s="81"/>
    </row>
    <row r="6" spans="1:20" s="46" customFormat="1" x14ac:dyDescent="0.25">
      <c r="A6" s="39">
        <v>39448</v>
      </c>
      <c r="B6" s="40">
        <v>228560.99999999997</v>
      </c>
      <c r="C6" s="41">
        <v>5542.2</v>
      </c>
      <c r="D6" s="40">
        <v>3044.4</v>
      </c>
      <c r="E6" s="40">
        <v>14722.5</v>
      </c>
      <c r="F6" s="42">
        <v>0</v>
      </c>
      <c r="G6" s="40">
        <v>75320.399999999994</v>
      </c>
      <c r="H6" s="43" t="s">
        <v>1</v>
      </c>
      <c r="I6" s="40">
        <v>59510.2</v>
      </c>
      <c r="J6" s="43" t="s">
        <v>1</v>
      </c>
      <c r="K6" s="43" t="s">
        <v>1</v>
      </c>
      <c r="L6" s="57" t="s">
        <v>65</v>
      </c>
      <c r="M6" s="44">
        <f t="shared" ref="M6:M69" si="0">SUM(C6:K6)</f>
        <v>158139.70000000001</v>
      </c>
      <c r="N6" s="45">
        <v>1804</v>
      </c>
      <c r="O6" s="45" t="s">
        <v>1</v>
      </c>
      <c r="P6" s="40">
        <v>25</v>
      </c>
      <c r="Q6" s="40"/>
      <c r="R6" s="40">
        <v>5235.7999999999993</v>
      </c>
      <c r="S6" s="40">
        <v>4379.6000000000349</v>
      </c>
      <c r="T6" s="44">
        <f t="shared" ref="T6:T37" si="1">SUM(B6,M6:S6)</f>
        <v>398145.1</v>
      </c>
    </row>
    <row r="7" spans="1:20" s="46" customFormat="1" x14ac:dyDescent="0.25">
      <c r="A7" s="39">
        <v>39479</v>
      </c>
      <c r="B7" s="40">
        <v>221904.40000000002</v>
      </c>
      <c r="C7" s="41">
        <v>11906.1</v>
      </c>
      <c r="D7" s="40">
        <v>3044.4</v>
      </c>
      <c r="E7" s="40">
        <v>14523.3</v>
      </c>
      <c r="F7" s="42">
        <v>0</v>
      </c>
      <c r="G7" s="40">
        <v>74951.3</v>
      </c>
      <c r="H7" s="43" t="s">
        <v>1</v>
      </c>
      <c r="I7" s="40">
        <v>59376.9</v>
      </c>
      <c r="J7" s="43" t="s">
        <v>1</v>
      </c>
      <c r="K7" s="43" t="s">
        <v>1</v>
      </c>
      <c r="L7" s="1"/>
      <c r="M7" s="44">
        <f t="shared" si="0"/>
        <v>163802</v>
      </c>
      <c r="N7" s="45">
        <v>1000</v>
      </c>
      <c r="O7" s="45" t="s">
        <v>1</v>
      </c>
      <c r="P7" s="40">
        <v>25</v>
      </c>
      <c r="Q7" s="40"/>
      <c r="R7" s="40">
        <v>5249</v>
      </c>
      <c r="S7" s="40">
        <v>3000.9999999999764</v>
      </c>
      <c r="T7" s="44">
        <f t="shared" si="1"/>
        <v>394981.4</v>
      </c>
    </row>
    <row r="8" spans="1:20" s="46" customFormat="1" x14ac:dyDescent="0.25">
      <c r="A8" s="39">
        <v>39508</v>
      </c>
      <c r="B8" s="40">
        <v>228695</v>
      </c>
      <c r="C8" s="41">
        <v>23202.6</v>
      </c>
      <c r="D8" s="40">
        <v>3044.4</v>
      </c>
      <c r="E8" s="40">
        <v>13544.2</v>
      </c>
      <c r="F8" s="42">
        <v>0</v>
      </c>
      <c r="G8" s="40">
        <v>74582.100000000006</v>
      </c>
      <c r="H8" s="43" t="s">
        <v>1</v>
      </c>
      <c r="I8" s="40">
        <v>59243.6</v>
      </c>
      <c r="J8" s="43" t="s">
        <v>1</v>
      </c>
      <c r="K8" s="43" t="s">
        <v>1</v>
      </c>
      <c r="L8" s="43"/>
      <c r="M8" s="44">
        <f t="shared" si="0"/>
        <v>173616.9</v>
      </c>
      <c r="N8" s="45">
        <v>1000</v>
      </c>
      <c r="O8" s="45" t="s">
        <v>1</v>
      </c>
      <c r="P8" s="40">
        <v>25</v>
      </c>
      <c r="Q8" s="40"/>
      <c r="R8" s="40">
        <v>5383.2999999999993</v>
      </c>
      <c r="S8" s="40">
        <v>3023.2000000000062</v>
      </c>
      <c r="T8" s="44">
        <f t="shared" si="1"/>
        <v>411743.4</v>
      </c>
    </row>
    <row r="9" spans="1:20" s="46" customFormat="1" x14ac:dyDescent="0.25">
      <c r="A9" s="39">
        <v>39539</v>
      </c>
      <c r="B9" s="40">
        <v>229113.49999999997</v>
      </c>
      <c r="C9" s="41">
        <v>30407.599999999999</v>
      </c>
      <c r="D9" s="40">
        <v>3044.4</v>
      </c>
      <c r="E9" s="40">
        <v>13345</v>
      </c>
      <c r="F9" s="42">
        <v>0</v>
      </c>
      <c r="G9" s="40">
        <v>74213.100000000006</v>
      </c>
      <c r="H9" s="43" t="s">
        <v>1</v>
      </c>
      <c r="I9" s="40">
        <v>58662</v>
      </c>
      <c r="J9" s="43" t="s">
        <v>1</v>
      </c>
      <c r="K9" s="43" t="s">
        <v>1</v>
      </c>
      <c r="L9" s="43"/>
      <c r="M9" s="44">
        <f t="shared" si="0"/>
        <v>179672.1</v>
      </c>
      <c r="N9" s="45">
        <v>1000</v>
      </c>
      <c r="O9" s="45" t="s">
        <v>1</v>
      </c>
      <c r="P9" s="40">
        <v>25</v>
      </c>
      <c r="Q9" s="40"/>
      <c r="R9" s="40">
        <v>5404.9999999999991</v>
      </c>
      <c r="S9" s="40">
        <v>3019.8000000000347</v>
      </c>
      <c r="T9" s="44">
        <f t="shared" si="1"/>
        <v>418235.4</v>
      </c>
    </row>
    <row r="10" spans="1:20" s="46" customFormat="1" x14ac:dyDescent="0.25">
      <c r="A10" s="39">
        <v>39569</v>
      </c>
      <c r="B10" s="40">
        <v>225037.40000000002</v>
      </c>
      <c r="C10" s="41">
        <v>34467.599999999999</v>
      </c>
      <c r="D10" s="40">
        <v>3044.4</v>
      </c>
      <c r="E10" s="40">
        <v>13145.8</v>
      </c>
      <c r="F10" s="42">
        <v>0</v>
      </c>
      <c r="G10" s="40">
        <v>73843.899999999994</v>
      </c>
      <c r="H10" s="43" t="s">
        <v>1</v>
      </c>
      <c r="I10" s="40">
        <v>58080.6</v>
      </c>
      <c r="J10" s="43" t="s">
        <v>1</v>
      </c>
      <c r="K10" s="43" t="s">
        <v>1</v>
      </c>
      <c r="L10" s="43"/>
      <c r="M10" s="44">
        <f t="shared" si="0"/>
        <v>182582.3</v>
      </c>
      <c r="N10" s="45" t="s">
        <v>1</v>
      </c>
      <c r="O10" s="45" t="s">
        <v>1</v>
      </c>
      <c r="P10" s="40">
        <v>25</v>
      </c>
      <c r="Q10" s="40"/>
      <c r="R10" s="40">
        <v>5530.2</v>
      </c>
      <c r="S10" s="40">
        <v>3082.1999999999771</v>
      </c>
      <c r="T10" s="44">
        <f t="shared" si="1"/>
        <v>416257.1</v>
      </c>
    </row>
    <row r="11" spans="1:20" s="46" customFormat="1" x14ac:dyDescent="0.25">
      <c r="A11" s="39">
        <v>39600</v>
      </c>
      <c r="B11" s="40">
        <v>223062</v>
      </c>
      <c r="C11" s="41">
        <v>38928.800000000003</v>
      </c>
      <c r="D11" s="40">
        <v>3044.4</v>
      </c>
      <c r="E11" s="40">
        <v>12166.7</v>
      </c>
      <c r="F11" s="42">
        <v>0</v>
      </c>
      <c r="G11" s="40">
        <v>73474.8</v>
      </c>
      <c r="H11" s="43" t="s">
        <v>1</v>
      </c>
      <c r="I11" s="40">
        <v>57499.1</v>
      </c>
      <c r="J11" s="43" t="s">
        <v>1</v>
      </c>
      <c r="K11" s="43" t="s">
        <v>1</v>
      </c>
      <c r="L11" s="43"/>
      <c r="M11" s="44">
        <f t="shared" si="0"/>
        <v>185113.80000000002</v>
      </c>
      <c r="N11" s="45">
        <v>1474.9</v>
      </c>
      <c r="O11" s="45" t="s">
        <v>1</v>
      </c>
      <c r="P11" s="40">
        <v>25</v>
      </c>
      <c r="Q11" s="40"/>
      <c r="R11" s="40">
        <v>5569.4</v>
      </c>
      <c r="S11" s="40">
        <v>4503.5000000000055</v>
      </c>
      <c r="T11" s="44">
        <f t="shared" si="1"/>
        <v>419748.60000000009</v>
      </c>
    </row>
    <row r="12" spans="1:20" s="46" customFormat="1" x14ac:dyDescent="0.25">
      <c r="A12" s="39">
        <v>39630</v>
      </c>
      <c r="B12" s="40">
        <v>247877.4</v>
      </c>
      <c r="C12" s="41">
        <v>32957.9</v>
      </c>
      <c r="D12" s="40">
        <v>2975.6</v>
      </c>
      <c r="E12" s="40">
        <v>11967.5</v>
      </c>
      <c r="F12" s="42">
        <v>0</v>
      </c>
      <c r="G12" s="40">
        <v>73105.7</v>
      </c>
      <c r="H12" s="43" t="s">
        <v>1</v>
      </c>
      <c r="I12" s="40">
        <v>56917.599999999999</v>
      </c>
      <c r="J12" s="43" t="s">
        <v>1</v>
      </c>
      <c r="K12" s="43" t="s">
        <v>1</v>
      </c>
      <c r="L12" s="43"/>
      <c r="M12" s="44">
        <f t="shared" si="0"/>
        <v>177924.3</v>
      </c>
      <c r="N12" s="45">
        <v>3006.3</v>
      </c>
      <c r="O12" s="45" t="s">
        <v>1</v>
      </c>
      <c r="P12" s="40">
        <v>25</v>
      </c>
      <c r="Q12" s="40"/>
      <c r="R12" s="40">
        <v>5528.5</v>
      </c>
      <c r="S12" s="40">
        <v>6056.8000000000065</v>
      </c>
      <c r="T12" s="44">
        <f t="shared" si="1"/>
        <v>440418.29999999993</v>
      </c>
    </row>
    <row r="13" spans="1:20" s="46" customFormat="1" x14ac:dyDescent="0.25">
      <c r="A13" s="39">
        <v>39661</v>
      </c>
      <c r="B13" s="40">
        <v>250006.90000000002</v>
      </c>
      <c r="C13" s="41">
        <v>37677.9</v>
      </c>
      <c r="D13" s="40">
        <v>2975.6</v>
      </c>
      <c r="E13" s="40">
        <v>11768.3</v>
      </c>
      <c r="F13" s="42">
        <v>0</v>
      </c>
      <c r="G13" s="40">
        <v>72736.5</v>
      </c>
      <c r="H13" s="43" t="s">
        <v>1</v>
      </c>
      <c r="I13" s="40">
        <v>56336.2</v>
      </c>
      <c r="J13" s="43" t="s">
        <v>1</v>
      </c>
      <c r="K13" s="43" t="s">
        <v>1</v>
      </c>
      <c r="L13" s="43"/>
      <c r="M13" s="44">
        <f t="shared" si="0"/>
        <v>181494.5</v>
      </c>
      <c r="N13" s="45">
        <v>6000</v>
      </c>
      <c r="O13" s="45" t="s">
        <v>1</v>
      </c>
      <c r="P13" s="40">
        <v>25</v>
      </c>
      <c r="Q13" s="40"/>
      <c r="R13" s="40">
        <v>5487</v>
      </c>
      <c r="S13" s="40">
        <v>4581.3999999999769</v>
      </c>
      <c r="T13" s="44">
        <f t="shared" si="1"/>
        <v>447594.8</v>
      </c>
    </row>
    <row r="14" spans="1:20" s="46" customFormat="1" x14ac:dyDescent="0.25">
      <c r="A14" s="39">
        <v>39692</v>
      </c>
      <c r="B14" s="40">
        <v>248003.19999999998</v>
      </c>
      <c r="C14" s="41">
        <v>23869.8</v>
      </c>
      <c r="D14" s="40">
        <v>2975.6</v>
      </c>
      <c r="E14" s="40">
        <v>11768.3</v>
      </c>
      <c r="F14" s="42">
        <v>0</v>
      </c>
      <c r="G14" s="40">
        <v>72736.5</v>
      </c>
      <c r="H14" s="43" t="s">
        <v>1</v>
      </c>
      <c r="I14" s="40">
        <v>56336.2</v>
      </c>
      <c r="J14" s="43" t="s">
        <v>1</v>
      </c>
      <c r="K14" s="43" t="s">
        <v>1</v>
      </c>
      <c r="L14" s="43"/>
      <c r="M14" s="44">
        <f t="shared" si="0"/>
        <v>167686.39999999999</v>
      </c>
      <c r="N14" s="45">
        <v>10622.1</v>
      </c>
      <c r="O14" s="45" t="s">
        <v>1</v>
      </c>
      <c r="P14" s="40">
        <v>25</v>
      </c>
      <c r="Q14" s="40"/>
      <c r="R14" s="40">
        <v>5397.1</v>
      </c>
      <c r="S14" s="40">
        <v>4471.900000000006</v>
      </c>
      <c r="T14" s="44">
        <f t="shared" si="1"/>
        <v>436205.69999999995</v>
      </c>
    </row>
    <row r="15" spans="1:20" s="46" customFormat="1" x14ac:dyDescent="0.25">
      <c r="A15" s="39">
        <v>39722</v>
      </c>
      <c r="B15" s="40">
        <v>262774.2</v>
      </c>
      <c r="C15" s="41">
        <v>20909.3</v>
      </c>
      <c r="D15" s="40">
        <v>2975.6</v>
      </c>
      <c r="E15" s="40">
        <v>10590</v>
      </c>
      <c r="F15" s="42">
        <v>0</v>
      </c>
      <c r="G15" s="40">
        <v>71998.3</v>
      </c>
      <c r="H15" s="43" t="s">
        <v>1</v>
      </c>
      <c r="I15" s="40">
        <v>55173.2</v>
      </c>
      <c r="J15" s="43" t="s">
        <v>1</v>
      </c>
      <c r="K15" s="43" t="s">
        <v>1</v>
      </c>
      <c r="L15" s="43"/>
      <c r="M15" s="44">
        <f t="shared" si="0"/>
        <v>161646.39999999999</v>
      </c>
      <c r="N15" s="45">
        <v>5355.8</v>
      </c>
      <c r="O15" s="45" t="s">
        <v>1</v>
      </c>
      <c r="P15" s="40">
        <v>25</v>
      </c>
      <c r="Q15" s="40"/>
      <c r="R15" s="40">
        <v>5443.6</v>
      </c>
      <c r="S15" s="40">
        <v>4968.5999999999767</v>
      </c>
      <c r="T15" s="44">
        <f t="shared" si="1"/>
        <v>440213.59999999992</v>
      </c>
    </row>
    <row r="16" spans="1:20" s="46" customFormat="1" x14ac:dyDescent="0.25">
      <c r="A16" s="39">
        <v>39753</v>
      </c>
      <c r="B16" s="40">
        <v>277128.90000000002</v>
      </c>
      <c r="C16" s="41">
        <v>7252.5</v>
      </c>
      <c r="D16" s="40">
        <v>2975.6</v>
      </c>
      <c r="E16" s="40">
        <v>10390.799999999999</v>
      </c>
      <c r="F16" s="42">
        <v>0</v>
      </c>
      <c r="G16" s="40">
        <v>71629.2</v>
      </c>
      <c r="H16" s="43" t="s">
        <v>1</v>
      </c>
      <c r="I16" s="40">
        <v>54591.8</v>
      </c>
      <c r="J16" s="43" t="s">
        <v>1</v>
      </c>
      <c r="K16" s="43" t="s">
        <v>1</v>
      </c>
      <c r="L16" s="43"/>
      <c r="M16" s="44">
        <f t="shared" si="0"/>
        <v>146839.90000000002</v>
      </c>
      <c r="N16" s="45">
        <v>5508.8</v>
      </c>
      <c r="O16" s="45" t="s">
        <v>1</v>
      </c>
      <c r="P16" s="40">
        <v>25</v>
      </c>
      <c r="Q16" s="40"/>
      <c r="R16" s="40">
        <v>5431.3</v>
      </c>
      <c r="S16" s="40">
        <v>4572.2999999999765</v>
      </c>
      <c r="T16" s="44">
        <f t="shared" si="1"/>
        <v>439506.2</v>
      </c>
    </row>
    <row r="17" spans="1:20" s="46" customFormat="1" x14ac:dyDescent="0.25">
      <c r="A17" s="39">
        <v>39783</v>
      </c>
      <c r="B17" s="40">
        <v>334489.89999999997</v>
      </c>
      <c r="C17" s="41">
        <v>32841.300000000003</v>
      </c>
      <c r="D17" s="40">
        <v>2975.6</v>
      </c>
      <c r="E17" s="40">
        <v>9561.7000000000007</v>
      </c>
      <c r="F17" s="42">
        <v>0</v>
      </c>
      <c r="G17" s="40">
        <v>71410</v>
      </c>
      <c r="H17" s="43" t="s">
        <v>1</v>
      </c>
      <c r="I17" s="40">
        <v>54010.3</v>
      </c>
      <c r="J17" s="43" t="s">
        <v>1</v>
      </c>
      <c r="K17" s="43" t="s">
        <v>1</v>
      </c>
      <c r="L17" s="43"/>
      <c r="M17" s="44">
        <f t="shared" si="0"/>
        <v>170798.90000000002</v>
      </c>
      <c r="N17" s="45" t="s">
        <v>1</v>
      </c>
      <c r="O17" s="45" t="s">
        <v>1</v>
      </c>
      <c r="P17" s="40">
        <v>25</v>
      </c>
      <c r="Q17" s="40"/>
      <c r="R17" s="40">
        <v>5317</v>
      </c>
      <c r="S17" s="40">
        <v>2979.6000000000931</v>
      </c>
      <c r="T17" s="44">
        <f t="shared" si="1"/>
        <v>513610.40000000008</v>
      </c>
    </row>
    <row r="18" spans="1:20" s="46" customFormat="1" x14ac:dyDescent="0.25">
      <c r="A18" s="39">
        <v>39814</v>
      </c>
      <c r="B18" s="44">
        <v>312053.3</v>
      </c>
      <c r="C18" s="44">
        <v>11563.1</v>
      </c>
      <c r="D18" s="44">
        <v>2885.4</v>
      </c>
      <c r="E18" s="44">
        <v>9362.5</v>
      </c>
      <c r="F18" s="47">
        <v>0</v>
      </c>
      <c r="G18" s="44">
        <v>70950.7</v>
      </c>
      <c r="H18" s="44" t="s">
        <v>1</v>
      </c>
      <c r="I18" s="44">
        <v>53428.800000000003</v>
      </c>
      <c r="J18" s="41" t="s">
        <v>1</v>
      </c>
      <c r="K18" s="41" t="s">
        <v>1</v>
      </c>
      <c r="L18" s="41"/>
      <c r="M18" s="44">
        <f t="shared" si="0"/>
        <v>148190.5</v>
      </c>
      <c r="N18" s="41" t="s">
        <v>1</v>
      </c>
      <c r="O18" s="41" t="s">
        <v>1</v>
      </c>
      <c r="P18" s="44">
        <v>25</v>
      </c>
      <c r="Q18" s="44"/>
      <c r="R18" s="44">
        <v>6081.0999999999995</v>
      </c>
      <c r="S18" s="44">
        <v>2988.2000000000353</v>
      </c>
      <c r="T18" s="44">
        <f t="shared" si="1"/>
        <v>469338.1</v>
      </c>
    </row>
    <row r="19" spans="1:20" s="46" customFormat="1" x14ac:dyDescent="0.25">
      <c r="A19" s="39">
        <v>39845</v>
      </c>
      <c r="B19" s="44">
        <v>303604.7</v>
      </c>
      <c r="C19" s="44">
        <v>18760.599999999999</v>
      </c>
      <c r="D19" s="44">
        <v>2885.4</v>
      </c>
      <c r="E19" s="44">
        <v>9163.2999999999993</v>
      </c>
      <c r="F19" s="47">
        <v>0</v>
      </c>
      <c r="G19" s="44">
        <v>70491.3</v>
      </c>
      <c r="H19" s="44" t="s">
        <v>1</v>
      </c>
      <c r="I19" s="44">
        <v>52847.3</v>
      </c>
      <c r="J19" s="41" t="s">
        <v>1</v>
      </c>
      <c r="K19" s="41" t="s">
        <v>1</v>
      </c>
      <c r="L19" s="41"/>
      <c r="M19" s="44">
        <f t="shared" si="0"/>
        <v>154147.90000000002</v>
      </c>
      <c r="N19" s="41" t="s">
        <v>1</v>
      </c>
      <c r="O19" s="41" t="s">
        <v>1</v>
      </c>
      <c r="P19" s="44">
        <v>25</v>
      </c>
      <c r="Q19" s="44"/>
      <c r="R19" s="44">
        <v>5998.8</v>
      </c>
      <c r="S19" s="44">
        <v>3557.0999999999767</v>
      </c>
      <c r="T19" s="44">
        <f t="shared" si="1"/>
        <v>467333.5</v>
      </c>
    </row>
    <row r="20" spans="1:20" s="46" customFormat="1" x14ac:dyDescent="0.25">
      <c r="A20" s="39">
        <v>39873</v>
      </c>
      <c r="B20" s="44">
        <v>286649.10000000003</v>
      </c>
      <c r="C20" s="44">
        <v>22137.8</v>
      </c>
      <c r="D20" s="44">
        <v>2885.4</v>
      </c>
      <c r="E20" s="44">
        <v>9163.2999999999993</v>
      </c>
      <c r="F20" s="47">
        <v>0</v>
      </c>
      <c r="G20" s="44">
        <v>70491.3</v>
      </c>
      <c r="H20" s="44" t="s">
        <v>1</v>
      </c>
      <c r="I20" s="44">
        <v>52847.3</v>
      </c>
      <c r="J20" s="41" t="s">
        <v>1</v>
      </c>
      <c r="K20" s="41" t="s">
        <v>1</v>
      </c>
      <c r="L20" s="41"/>
      <c r="M20" s="44">
        <f t="shared" si="0"/>
        <v>157525.1</v>
      </c>
      <c r="N20" s="41" t="s">
        <v>1</v>
      </c>
      <c r="O20" s="41" t="s">
        <v>1</v>
      </c>
      <c r="P20" s="44">
        <v>25</v>
      </c>
      <c r="Q20" s="44"/>
      <c r="R20" s="44">
        <v>5991.4</v>
      </c>
      <c r="S20" s="44">
        <v>7086.1999999999771</v>
      </c>
      <c r="T20" s="44">
        <f t="shared" si="1"/>
        <v>457276.80000000005</v>
      </c>
    </row>
    <row r="21" spans="1:20" s="46" customFormat="1" x14ac:dyDescent="0.25">
      <c r="A21" s="39">
        <v>39904</v>
      </c>
      <c r="B21" s="44">
        <v>271927.8</v>
      </c>
      <c r="C21" s="44">
        <v>31416.400000000001</v>
      </c>
      <c r="D21" s="44">
        <v>2885.4</v>
      </c>
      <c r="E21" s="44">
        <v>8135</v>
      </c>
      <c r="F21" s="47">
        <v>0</v>
      </c>
      <c r="G21" s="44">
        <v>69572.5</v>
      </c>
      <c r="H21" s="44" t="s">
        <v>1</v>
      </c>
      <c r="I21" s="44">
        <v>51684.4</v>
      </c>
      <c r="J21" s="41" t="s">
        <v>1</v>
      </c>
      <c r="K21" s="41" t="s">
        <v>1</v>
      </c>
      <c r="L21" s="41"/>
      <c r="M21" s="44">
        <f t="shared" si="0"/>
        <v>163693.70000000001</v>
      </c>
      <c r="N21" s="41" t="s">
        <v>1</v>
      </c>
      <c r="O21" s="41" t="s">
        <v>1</v>
      </c>
      <c r="P21" s="44">
        <v>25</v>
      </c>
      <c r="Q21" s="44"/>
      <c r="R21" s="44">
        <v>5997.7999999999993</v>
      </c>
      <c r="S21" s="44">
        <v>3819.4000000000351</v>
      </c>
      <c r="T21" s="44">
        <f t="shared" si="1"/>
        <v>445463.7</v>
      </c>
    </row>
    <row r="22" spans="1:20" s="46" customFormat="1" x14ac:dyDescent="0.25">
      <c r="A22" s="39">
        <v>39934</v>
      </c>
      <c r="B22" s="44">
        <v>281111.7</v>
      </c>
      <c r="C22" s="44" t="s">
        <v>1</v>
      </c>
      <c r="D22" s="44">
        <v>2885.4</v>
      </c>
      <c r="E22" s="44">
        <v>7935.8</v>
      </c>
      <c r="F22" s="47">
        <v>0</v>
      </c>
      <c r="G22" s="44">
        <v>69113.100000000006</v>
      </c>
      <c r="H22" s="44">
        <v>32841.199999999997</v>
      </c>
      <c r="I22" s="44">
        <v>51102.9</v>
      </c>
      <c r="J22" s="41" t="s">
        <v>1</v>
      </c>
      <c r="K22" s="41" t="s">
        <v>1</v>
      </c>
      <c r="L22" s="41"/>
      <c r="M22" s="44">
        <f t="shared" si="0"/>
        <v>163878.39999999999</v>
      </c>
      <c r="N22" s="41" t="s">
        <v>1</v>
      </c>
      <c r="O22" s="41" t="s">
        <v>1</v>
      </c>
      <c r="P22" s="44">
        <v>25</v>
      </c>
      <c r="Q22" s="44"/>
      <c r="R22" s="44">
        <v>6081.3</v>
      </c>
      <c r="S22" s="44">
        <v>3895.1999999999771</v>
      </c>
      <c r="T22" s="44">
        <f t="shared" si="1"/>
        <v>454991.59999999992</v>
      </c>
    </row>
    <row r="23" spans="1:20" s="46" customFormat="1" x14ac:dyDescent="0.25">
      <c r="A23" s="39">
        <v>39965</v>
      </c>
      <c r="B23" s="44">
        <v>275910.89999999997</v>
      </c>
      <c r="C23" s="44">
        <v>23978.1</v>
      </c>
      <c r="D23" s="44">
        <v>2885.4</v>
      </c>
      <c r="E23" s="44">
        <v>7106.7</v>
      </c>
      <c r="F23" s="47">
        <v>0</v>
      </c>
      <c r="G23" s="44">
        <v>68653.7</v>
      </c>
      <c r="H23" s="44">
        <v>32841.199999999997</v>
      </c>
      <c r="I23" s="44">
        <v>50521.4</v>
      </c>
      <c r="J23" s="41" t="s">
        <v>1</v>
      </c>
      <c r="K23" s="41" t="s">
        <v>1</v>
      </c>
      <c r="L23" s="41"/>
      <c r="M23" s="44">
        <f t="shared" si="0"/>
        <v>185986.49999999997</v>
      </c>
      <c r="N23" s="41" t="s">
        <v>1</v>
      </c>
      <c r="O23" s="41" t="s">
        <v>1</v>
      </c>
      <c r="P23" s="44">
        <v>25</v>
      </c>
      <c r="Q23" s="44"/>
      <c r="R23" s="44">
        <v>6106.8</v>
      </c>
      <c r="S23" s="44">
        <v>3794.2000000000353</v>
      </c>
      <c r="T23" s="44">
        <f t="shared" si="1"/>
        <v>471823.39999999991</v>
      </c>
    </row>
    <row r="24" spans="1:20" s="46" customFormat="1" x14ac:dyDescent="0.25">
      <c r="A24" s="39">
        <v>39995</v>
      </c>
      <c r="B24" s="44">
        <v>272188.10000000003</v>
      </c>
      <c r="C24" s="44">
        <v>19199.599999999999</v>
      </c>
      <c r="D24" s="44">
        <v>2816.6</v>
      </c>
      <c r="E24" s="44">
        <v>6907.5</v>
      </c>
      <c r="F24" s="47">
        <v>0</v>
      </c>
      <c r="G24" s="44">
        <v>68194.399999999994</v>
      </c>
      <c r="H24" s="44">
        <v>32841.199999999997</v>
      </c>
      <c r="I24" s="44">
        <v>49939.9</v>
      </c>
      <c r="J24" s="41" t="s">
        <v>1</v>
      </c>
      <c r="K24" s="41" t="s">
        <v>1</v>
      </c>
      <c r="L24" s="41"/>
      <c r="M24" s="44">
        <f t="shared" si="0"/>
        <v>179899.19999999998</v>
      </c>
      <c r="N24" s="41" t="s">
        <v>1</v>
      </c>
      <c r="O24" s="41" t="s">
        <v>1</v>
      </c>
      <c r="P24" s="44">
        <v>25</v>
      </c>
      <c r="Q24" s="44"/>
      <c r="R24" s="44">
        <v>6096.7</v>
      </c>
      <c r="S24" s="44">
        <v>3821.7999999999765</v>
      </c>
      <c r="T24" s="44">
        <f t="shared" si="1"/>
        <v>462030.80000000005</v>
      </c>
    </row>
    <row r="25" spans="1:20" s="46" customFormat="1" x14ac:dyDescent="0.25">
      <c r="A25" s="39">
        <v>40026</v>
      </c>
      <c r="B25" s="44">
        <v>366666.19999999995</v>
      </c>
      <c r="C25" s="44">
        <v>29723.3</v>
      </c>
      <c r="D25" s="44">
        <v>2816.5</v>
      </c>
      <c r="E25" s="44">
        <v>6708.3</v>
      </c>
      <c r="F25" s="47">
        <v>0</v>
      </c>
      <c r="G25" s="44">
        <v>67735</v>
      </c>
      <c r="H25" s="44">
        <v>33723.899999999994</v>
      </c>
      <c r="I25" s="44">
        <v>49358.5</v>
      </c>
      <c r="J25" s="41" t="s">
        <v>1</v>
      </c>
      <c r="K25" s="41" t="s">
        <v>1</v>
      </c>
      <c r="L25" s="41"/>
      <c r="M25" s="44">
        <f t="shared" si="0"/>
        <v>190065.5</v>
      </c>
      <c r="N25" s="41" t="s">
        <v>1</v>
      </c>
      <c r="O25" s="41" t="s">
        <v>1</v>
      </c>
      <c r="P25" s="44">
        <v>25</v>
      </c>
      <c r="Q25" s="44"/>
      <c r="R25" s="44">
        <v>6075.9</v>
      </c>
      <c r="S25" s="44">
        <v>3906.4000000000351</v>
      </c>
      <c r="T25" s="44">
        <f t="shared" si="1"/>
        <v>566739</v>
      </c>
    </row>
    <row r="26" spans="1:20" s="46" customFormat="1" x14ac:dyDescent="0.25">
      <c r="A26" s="39">
        <v>40057</v>
      </c>
      <c r="B26" s="44">
        <v>393262.6</v>
      </c>
      <c r="C26" s="44">
        <v>13325.8</v>
      </c>
      <c r="D26" s="44">
        <v>2816.5</v>
      </c>
      <c r="E26" s="44">
        <v>5879.2</v>
      </c>
      <c r="F26" s="47">
        <v>0</v>
      </c>
      <c r="G26" s="44">
        <v>67275.600000000006</v>
      </c>
      <c r="H26" s="44">
        <v>33966.799999999996</v>
      </c>
      <c r="I26" s="44">
        <v>48777</v>
      </c>
      <c r="J26" s="41" t="s">
        <v>1</v>
      </c>
      <c r="K26" s="41" t="s">
        <v>1</v>
      </c>
      <c r="L26" s="41"/>
      <c r="M26" s="44">
        <f t="shared" si="0"/>
        <v>172040.9</v>
      </c>
      <c r="N26" s="41" t="s">
        <v>1</v>
      </c>
      <c r="O26" s="41" t="s">
        <v>1</v>
      </c>
      <c r="P26" s="44">
        <v>25</v>
      </c>
      <c r="Q26" s="44"/>
      <c r="R26" s="44">
        <v>6035.7999999999993</v>
      </c>
      <c r="S26" s="44">
        <v>3770.4000000000351</v>
      </c>
      <c r="T26" s="44">
        <f t="shared" si="1"/>
        <v>575134.70000000007</v>
      </c>
    </row>
    <row r="27" spans="1:20" s="46" customFormat="1" x14ac:dyDescent="0.25">
      <c r="A27" s="39">
        <v>40087</v>
      </c>
      <c r="B27" s="44">
        <v>389967.10000000003</v>
      </c>
      <c r="C27" s="44">
        <v>25022.7</v>
      </c>
      <c r="D27" s="44">
        <v>2816.6</v>
      </c>
      <c r="E27" s="44">
        <v>5680</v>
      </c>
      <c r="F27" s="47">
        <v>0</v>
      </c>
      <c r="G27" s="44">
        <v>66816.2</v>
      </c>
      <c r="H27" s="44">
        <v>34209.699999999997</v>
      </c>
      <c r="I27" s="44">
        <v>48195.5</v>
      </c>
      <c r="J27" s="41" t="s">
        <v>1</v>
      </c>
      <c r="K27" s="41" t="s">
        <v>1</v>
      </c>
      <c r="L27" s="41"/>
      <c r="M27" s="44">
        <f t="shared" si="0"/>
        <v>182740.7</v>
      </c>
      <c r="N27" s="41" t="s">
        <v>1</v>
      </c>
      <c r="O27" s="41" t="s">
        <v>1</v>
      </c>
      <c r="P27" s="44">
        <v>25</v>
      </c>
      <c r="Q27" s="44"/>
      <c r="R27" s="44">
        <v>5954.4999999999991</v>
      </c>
      <c r="S27" s="44">
        <v>3817.1999999999771</v>
      </c>
      <c r="T27" s="44">
        <f t="shared" si="1"/>
        <v>582504.5</v>
      </c>
    </row>
    <row r="28" spans="1:20" s="46" customFormat="1" x14ac:dyDescent="0.25">
      <c r="A28" s="39">
        <v>40118</v>
      </c>
      <c r="B28" s="44">
        <v>384234.3</v>
      </c>
      <c r="C28" s="44">
        <v>52307.5</v>
      </c>
      <c r="D28" s="44">
        <v>2816.6</v>
      </c>
      <c r="E28" s="44">
        <v>5480.8</v>
      </c>
      <c r="F28" s="47">
        <v>0</v>
      </c>
      <c r="G28" s="44">
        <v>66356.800000000003</v>
      </c>
      <c r="H28" s="44">
        <v>34460.799999999996</v>
      </c>
      <c r="I28" s="44">
        <v>47614.1</v>
      </c>
      <c r="J28" s="41" t="s">
        <v>1</v>
      </c>
      <c r="K28" s="41" t="s">
        <v>1</v>
      </c>
      <c r="L28" s="41"/>
      <c r="M28" s="44">
        <f t="shared" si="0"/>
        <v>209036.6</v>
      </c>
      <c r="N28" s="41" t="s">
        <v>1</v>
      </c>
      <c r="O28" s="41" t="s">
        <v>1</v>
      </c>
      <c r="P28" s="44">
        <v>25</v>
      </c>
      <c r="Q28" s="44"/>
      <c r="R28" s="44">
        <v>5883.4999999999991</v>
      </c>
      <c r="S28" s="44">
        <v>3860.3000000000347</v>
      </c>
      <c r="T28" s="44">
        <f t="shared" si="1"/>
        <v>603039.70000000007</v>
      </c>
    </row>
    <row r="29" spans="1:20" s="46" customFormat="1" x14ac:dyDescent="0.25">
      <c r="A29" s="39">
        <v>40148</v>
      </c>
      <c r="B29" s="44">
        <v>400951.3</v>
      </c>
      <c r="C29" s="44">
        <v>95224</v>
      </c>
      <c r="D29" s="44">
        <v>2816.6</v>
      </c>
      <c r="E29" s="44">
        <v>4651.7</v>
      </c>
      <c r="F29" s="47">
        <v>0</v>
      </c>
      <c r="G29" s="44">
        <v>65897.399999999994</v>
      </c>
      <c r="H29" s="44">
        <v>34711.799999999996</v>
      </c>
      <c r="I29" s="44">
        <v>47032.6</v>
      </c>
      <c r="J29" s="41" t="s">
        <v>1</v>
      </c>
      <c r="K29" s="41" t="s">
        <v>1</v>
      </c>
      <c r="L29" s="41"/>
      <c r="M29" s="44">
        <f t="shared" si="0"/>
        <v>250334.1</v>
      </c>
      <c r="N29" s="41" t="s">
        <v>1</v>
      </c>
      <c r="O29" s="41" t="s">
        <v>1</v>
      </c>
      <c r="P29" s="44">
        <v>20</v>
      </c>
      <c r="Q29" s="44"/>
      <c r="R29" s="44">
        <v>5750.7</v>
      </c>
      <c r="S29" s="44">
        <v>2918.8000000000347</v>
      </c>
      <c r="T29" s="44">
        <f t="shared" si="1"/>
        <v>659974.9</v>
      </c>
    </row>
    <row r="30" spans="1:20" s="46" customFormat="1" x14ac:dyDescent="0.25">
      <c r="A30" s="39">
        <v>40179</v>
      </c>
      <c r="B30" s="44">
        <v>407989.20000000007</v>
      </c>
      <c r="C30" s="41">
        <v>42756.1</v>
      </c>
      <c r="D30" s="41">
        <v>2726.3</v>
      </c>
      <c r="E30" s="41">
        <v>4452.5</v>
      </c>
      <c r="F30" s="47">
        <v>0</v>
      </c>
      <c r="G30" s="41">
        <v>65438.1</v>
      </c>
      <c r="H30" s="41">
        <v>34962.799999999996</v>
      </c>
      <c r="I30" s="41">
        <v>46451.1</v>
      </c>
      <c r="J30" s="44">
        <v>6525</v>
      </c>
      <c r="K30" s="44" t="s">
        <v>1</v>
      </c>
      <c r="L30" s="44"/>
      <c r="M30" s="44">
        <f t="shared" si="0"/>
        <v>203311.9</v>
      </c>
      <c r="N30" s="41" t="s">
        <v>1</v>
      </c>
      <c r="O30" s="41" t="s">
        <v>1</v>
      </c>
      <c r="P30" s="44">
        <v>20</v>
      </c>
      <c r="Q30" s="44"/>
      <c r="R30" s="44">
        <v>6593.9</v>
      </c>
      <c r="S30" s="44">
        <v>3026.4999999999181</v>
      </c>
      <c r="T30" s="44">
        <f t="shared" si="1"/>
        <v>620941.5</v>
      </c>
    </row>
    <row r="31" spans="1:20" s="46" customFormat="1" x14ac:dyDescent="0.25">
      <c r="A31" s="39">
        <v>40210</v>
      </c>
      <c r="B31" s="44">
        <v>412010.10000000003</v>
      </c>
      <c r="C31" s="41">
        <v>53606.7</v>
      </c>
      <c r="D31" s="41">
        <v>2726.3</v>
      </c>
      <c r="E31" s="41">
        <v>4253.3</v>
      </c>
      <c r="F31" s="47">
        <v>0</v>
      </c>
      <c r="G31" s="41">
        <v>64978.6</v>
      </c>
      <c r="H31" s="41">
        <v>35189.599999999999</v>
      </c>
      <c r="I31" s="41">
        <v>45869.7</v>
      </c>
      <c r="J31" s="44">
        <v>6525</v>
      </c>
      <c r="K31" s="44" t="s">
        <v>1</v>
      </c>
      <c r="L31" s="44"/>
      <c r="M31" s="44">
        <f t="shared" si="0"/>
        <v>213149.2</v>
      </c>
      <c r="N31" s="41" t="s">
        <v>1</v>
      </c>
      <c r="O31" s="41" t="s">
        <v>1</v>
      </c>
      <c r="P31" s="44">
        <v>20</v>
      </c>
      <c r="Q31" s="44"/>
      <c r="R31" s="44">
        <v>6546.2999999999993</v>
      </c>
      <c r="S31" s="44">
        <v>3048.4999999999764</v>
      </c>
      <c r="T31" s="44">
        <f t="shared" si="1"/>
        <v>634774.10000000009</v>
      </c>
    </row>
    <row r="32" spans="1:20" s="46" customFormat="1" x14ac:dyDescent="0.25">
      <c r="A32" s="39">
        <v>40238</v>
      </c>
      <c r="B32" s="44">
        <v>396544.5</v>
      </c>
      <c r="C32" s="41">
        <v>38983.599999999999</v>
      </c>
      <c r="D32" s="41">
        <v>2726.3</v>
      </c>
      <c r="E32" s="41">
        <v>3424.2</v>
      </c>
      <c r="F32" s="47">
        <v>0</v>
      </c>
      <c r="G32" s="41">
        <v>64519.3</v>
      </c>
      <c r="H32" s="41">
        <v>35476.699999999997</v>
      </c>
      <c r="I32" s="41">
        <v>45288.2</v>
      </c>
      <c r="J32" s="44">
        <v>18525</v>
      </c>
      <c r="K32" s="44" t="s">
        <v>1</v>
      </c>
      <c r="L32" s="44"/>
      <c r="M32" s="44">
        <f t="shared" si="0"/>
        <v>208943.3</v>
      </c>
      <c r="N32" s="41" t="s">
        <v>1</v>
      </c>
      <c r="O32" s="41" t="s">
        <v>1</v>
      </c>
      <c r="P32" s="44">
        <v>20</v>
      </c>
      <c r="Q32" s="44"/>
      <c r="R32" s="44">
        <v>6381.0999999999985</v>
      </c>
      <c r="S32" s="44">
        <v>2992.0999999999767</v>
      </c>
      <c r="T32" s="44">
        <f t="shared" si="1"/>
        <v>614881</v>
      </c>
    </row>
    <row r="33" spans="1:20" s="46" customFormat="1" x14ac:dyDescent="0.25">
      <c r="A33" s="39">
        <v>40269</v>
      </c>
      <c r="B33" s="44">
        <v>382639.60000000003</v>
      </c>
      <c r="C33" s="41">
        <v>44626.400000000001</v>
      </c>
      <c r="D33" s="41" t="s">
        <v>1</v>
      </c>
      <c r="E33" s="41">
        <v>895</v>
      </c>
      <c r="F33" s="47">
        <v>0</v>
      </c>
      <c r="G33" s="41" t="s">
        <v>1</v>
      </c>
      <c r="H33" s="41" t="s">
        <v>1</v>
      </c>
      <c r="I33" s="41" t="s">
        <v>1</v>
      </c>
      <c r="J33" s="44">
        <v>18525</v>
      </c>
      <c r="K33" s="44">
        <v>147596</v>
      </c>
      <c r="L33" s="44"/>
      <c r="M33" s="44">
        <f t="shared" si="0"/>
        <v>211642.4</v>
      </c>
      <c r="N33" s="41" t="s">
        <v>1</v>
      </c>
      <c r="O33" s="41" t="s">
        <v>1</v>
      </c>
      <c r="P33" s="44">
        <v>20</v>
      </c>
      <c r="Q33" s="44"/>
      <c r="R33" s="44">
        <v>6363.8999999999987</v>
      </c>
      <c r="S33" s="44">
        <v>3054.9999999999764</v>
      </c>
      <c r="T33" s="44">
        <f t="shared" si="1"/>
        <v>603720.9</v>
      </c>
    </row>
    <row r="34" spans="1:20" s="46" customFormat="1" x14ac:dyDescent="0.25">
      <c r="A34" s="39">
        <v>40299</v>
      </c>
      <c r="B34" s="44">
        <v>362432.6</v>
      </c>
      <c r="C34" s="41">
        <v>23770.799999999999</v>
      </c>
      <c r="D34" s="41" t="s">
        <v>1</v>
      </c>
      <c r="E34" s="41">
        <v>895</v>
      </c>
      <c r="F34" s="47"/>
      <c r="G34" s="41" t="s">
        <v>1</v>
      </c>
      <c r="H34" s="41" t="s">
        <v>1</v>
      </c>
      <c r="I34" s="41" t="s">
        <v>1</v>
      </c>
      <c r="J34" s="44">
        <v>18525</v>
      </c>
      <c r="K34" s="44">
        <v>147287.9</v>
      </c>
      <c r="L34" s="44"/>
      <c r="M34" s="44">
        <f t="shared" si="0"/>
        <v>190478.7</v>
      </c>
      <c r="N34" s="41" t="s">
        <v>1</v>
      </c>
      <c r="O34" s="41" t="s">
        <v>1</v>
      </c>
      <c r="P34" s="44">
        <v>20</v>
      </c>
      <c r="Q34" s="44"/>
      <c r="R34" s="44">
        <v>6312.8</v>
      </c>
      <c r="S34" s="44">
        <v>3267.4000000000351</v>
      </c>
      <c r="T34" s="44">
        <f t="shared" si="1"/>
        <v>562511.50000000012</v>
      </c>
    </row>
    <row r="35" spans="1:20" s="46" customFormat="1" x14ac:dyDescent="0.25">
      <c r="A35" s="39">
        <v>40330</v>
      </c>
      <c r="B35" s="44">
        <v>346259.1</v>
      </c>
      <c r="C35" s="41">
        <v>33066.199999999997</v>
      </c>
      <c r="D35" s="41" t="s">
        <v>1</v>
      </c>
      <c r="E35" s="41">
        <v>265</v>
      </c>
      <c r="F35" s="47"/>
      <c r="G35" s="41" t="s">
        <v>1</v>
      </c>
      <c r="H35" s="41" t="s">
        <v>1</v>
      </c>
      <c r="I35" s="41" t="s">
        <v>1</v>
      </c>
      <c r="J35" s="44">
        <v>40525</v>
      </c>
      <c r="K35" s="44">
        <v>146979.70000000001</v>
      </c>
      <c r="L35" s="44"/>
      <c r="M35" s="44">
        <f t="shared" si="0"/>
        <v>220835.90000000002</v>
      </c>
      <c r="N35" s="41" t="s">
        <v>1</v>
      </c>
      <c r="O35" s="41" t="s">
        <v>1</v>
      </c>
      <c r="P35" s="44">
        <v>20</v>
      </c>
      <c r="Q35" s="44"/>
      <c r="R35" s="44">
        <v>6213.3999999999987</v>
      </c>
      <c r="S35" s="44">
        <v>3040.5000000000346</v>
      </c>
      <c r="T35" s="44">
        <f t="shared" si="1"/>
        <v>576368.9</v>
      </c>
    </row>
    <row r="36" spans="1:20" s="46" customFormat="1" x14ac:dyDescent="0.25">
      <c r="A36" s="39">
        <v>40360</v>
      </c>
      <c r="B36" s="44">
        <v>352027.89999999997</v>
      </c>
      <c r="C36" s="41">
        <v>29996.7</v>
      </c>
      <c r="D36" s="41" t="s">
        <v>1</v>
      </c>
      <c r="E36" s="41">
        <v>265</v>
      </c>
      <c r="F36" s="47"/>
      <c r="G36" s="41" t="s">
        <v>1</v>
      </c>
      <c r="H36" s="41" t="s">
        <v>1</v>
      </c>
      <c r="I36" s="41" t="s">
        <v>1</v>
      </c>
      <c r="J36" s="44">
        <v>50525</v>
      </c>
      <c r="K36" s="44">
        <v>146671.6</v>
      </c>
      <c r="L36" s="44"/>
      <c r="M36" s="44">
        <f t="shared" si="0"/>
        <v>227458.3</v>
      </c>
      <c r="N36" s="41" t="s">
        <v>1</v>
      </c>
      <c r="O36" s="41" t="s">
        <v>1</v>
      </c>
      <c r="P36" s="44">
        <v>20</v>
      </c>
      <c r="Q36" s="44"/>
      <c r="R36" s="44">
        <v>6178.3999999999987</v>
      </c>
      <c r="S36" s="44">
        <v>2965.7000000000353</v>
      </c>
      <c r="T36" s="44">
        <f t="shared" si="1"/>
        <v>588650.30000000005</v>
      </c>
    </row>
    <row r="37" spans="1:20" s="46" customFormat="1" x14ac:dyDescent="0.25">
      <c r="A37" s="39">
        <v>40391</v>
      </c>
      <c r="B37" s="44">
        <v>354270.1</v>
      </c>
      <c r="C37" s="41">
        <v>37576.9</v>
      </c>
      <c r="D37" s="41" t="s">
        <v>1</v>
      </c>
      <c r="E37" s="41">
        <v>265</v>
      </c>
      <c r="F37" s="47"/>
      <c r="G37" s="41" t="s">
        <v>1</v>
      </c>
      <c r="H37" s="41" t="s">
        <v>1</v>
      </c>
      <c r="I37" s="41" t="s">
        <v>1</v>
      </c>
      <c r="J37" s="44">
        <v>50525</v>
      </c>
      <c r="K37" s="44">
        <v>146363.5</v>
      </c>
      <c r="L37" s="44"/>
      <c r="M37" s="44">
        <f t="shared" si="0"/>
        <v>234730.4</v>
      </c>
      <c r="N37" s="41">
        <v>598.6</v>
      </c>
      <c r="O37" s="41" t="s">
        <v>1</v>
      </c>
      <c r="P37" s="44">
        <v>20</v>
      </c>
      <c r="Q37" s="44"/>
      <c r="R37" s="44">
        <v>6119.8999999999987</v>
      </c>
      <c r="S37" s="44">
        <v>3025.3000000000347</v>
      </c>
      <c r="T37" s="44">
        <f t="shared" si="1"/>
        <v>598764.30000000005</v>
      </c>
    </row>
    <row r="38" spans="1:20" s="46" customFormat="1" x14ac:dyDescent="0.25">
      <c r="A38" s="39">
        <v>40422</v>
      </c>
      <c r="B38" s="44">
        <v>348756.89999999997</v>
      </c>
      <c r="C38" s="41">
        <v>37014.199999999997</v>
      </c>
      <c r="D38" s="41" t="s">
        <v>1</v>
      </c>
      <c r="E38" s="41" t="s">
        <v>1</v>
      </c>
      <c r="F38" s="47"/>
      <c r="G38" s="41" t="s">
        <v>1</v>
      </c>
      <c r="H38" s="41" t="s">
        <v>1</v>
      </c>
      <c r="I38" s="41" t="s">
        <v>1</v>
      </c>
      <c r="J38" s="44">
        <v>50525</v>
      </c>
      <c r="K38" s="44">
        <v>146055.29999999999</v>
      </c>
      <c r="L38" s="44"/>
      <c r="M38" s="44">
        <f t="shared" si="0"/>
        <v>233594.5</v>
      </c>
      <c r="N38" s="41" t="s">
        <v>1</v>
      </c>
      <c r="O38" s="41" t="s">
        <v>1</v>
      </c>
      <c r="P38" s="44">
        <v>20</v>
      </c>
      <c r="Q38" s="44"/>
      <c r="R38" s="44">
        <v>6126.6999999999989</v>
      </c>
      <c r="S38" s="44">
        <v>3062.8000000000347</v>
      </c>
      <c r="T38" s="44">
        <f t="shared" ref="T38:T69" si="2">SUM(B38,M38:S38)</f>
        <v>591560.89999999991</v>
      </c>
    </row>
    <row r="39" spans="1:20" s="46" customFormat="1" x14ac:dyDescent="0.25">
      <c r="A39" s="39">
        <v>40452</v>
      </c>
      <c r="B39" s="44">
        <v>347779.4</v>
      </c>
      <c r="C39" s="41">
        <v>25932</v>
      </c>
      <c r="D39" s="41" t="s">
        <v>1</v>
      </c>
      <c r="E39" s="41" t="s">
        <v>1</v>
      </c>
      <c r="F39" s="47"/>
      <c r="G39" s="41" t="s">
        <v>1</v>
      </c>
      <c r="H39" s="41" t="s">
        <v>1</v>
      </c>
      <c r="I39" s="41" t="s">
        <v>1</v>
      </c>
      <c r="J39" s="44">
        <v>50525</v>
      </c>
      <c r="K39" s="44">
        <v>145747.20000000001</v>
      </c>
      <c r="L39" s="44"/>
      <c r="M39" s="44">
        <f t="shared" si="0"/>
        <v>222204.2</v>
      </c>
      <c r="N39" s="41">
        <v>3740.2</v>
      </c>
      <c r="O39" s="41" t="s">
        <v>1</v>
      </c>
      <c r="P39" s="44">
        <v>20</v>
      </c>
      <c r="Q39" s="44"/>
      <c r="R39" s="44">
        <v>6002.1999999999989</v>
      </c>
      <c r="S39" s="44">
        <v>3057.0999999999767</v>
      </c>
      <c r="T39" s="44">
        <f t="shared" si="2"/>
        <v>582803.1</v>
      </c>
    </row>
    <row r="40" spans="1:20" s="46" customFormat="1" x14ac:dyDescent="0.25">
      <c r="A40" s="39">
        <v>40483</v>
      </c>
      <c r="B40" s="44">
        <v>349199.30000000005</v>
      </c>
      <c r="C40" s="41">
        <v>35424.1</v>
      </c>
      <c r="D40" s="41" t="s">
        <v>1</v>
      </c>
      <c r="E40" s="41" t="s">
        <v>1</v>
      </c>
      <c r="F40" s="47"/>
      <c r="G40" s="41" t="s">
        <v>1</v>
      </c>
      <c r="H40" s="41" t="s">
        <v>1</v>
      </c>
      <c r="I40" s="41" t="s">
        <v>1</v>
      </c>
      <c r="J40" s="44">
        <v>50525</v>
      </c>
      <c r="K40" s="44">
        <v>145439.1</v>
      </c>
      <c r="L40" s="44"/>
      <c r="M40" s="44">
        <f t="shared" si="0"/>
        <v>231388.2</v>
      </c>
      <c r="N40" s="41" t="s">
        <v>1</v>
      </c>
      <c r="O40" s="41" t="s">
        <v>1</v>
      </c>
      <c r="P40" s="44">
        <v>20</v>
      </c>
      <c r="Q40" s="44"/>
      <c r="R40" s="44">
        <v>5875.2999999999993</v>
      </c>
      <c r="S40" s="44">
        <v>3093.7999999999765</v>
      </c>
      <c r="T40" s="44">
        <f t="shared" si="2"/>
        <v>589576.6</v>
      </c>
    </row>
    <row r="41" spans="1:20" s="46" customFormat="1" x14ac:dyDescent="0.25">
      <c r="A41" s="39">
        <v>40513</v>
      </c>
      <c r="B41" s="44">
        <v>418272.20000000007</v>
      </c>
      <c r="C41" s="41">
        <v>19134.2</v>
      </c>
      <c r="D41" s="41" t="s">
        <v>1</v>
      </c>
      <c r="E41" s="41" t="s">
        <v>1</v>
      </c>
      <c r="F41" s="47"/>
      <c r="G41" s="41" t="s">
        <v>1</v>
      </c>
      <c r="H41" s="41" t="s">
        <v>1</v>
      </c>
      <c r="I41" s="41" t="s">
        <v>1</v>
      </c>
      <c r="J41" s="44">
        <v>88925</v>
      </c>
      <c r="K41" s="44">
        <v>145130.9</v>
      </c>
      <c r="L41" s="44"/>
      <c r="M41" s="44">
        <f t="shared" si="0"/>
        <v>253190.09999999998</v>
      </c>
      <c r="N41" s="41" t="s">
        <v>1</v>
      </c>
      <c r="O41" s="41" t="s">
        <v>1</v>
      </c>
      <c r="P41" s="44">
        <v>20</v>
      </c>
      <c r="Q41" s="44"/>
      <c r="R41" s="44">
        <v>5970.5999999999995</v>
      </c>
      <c r="S41" s="44">
        <v>2976.0999999999185</v>
      </c>
      <c r="T41" s="44">
        <f t="shared" si="2"/>
        <v>680429</v>
      </c>
    </row>
    <row r="42" spans="1:20" s="46" customFormat="1" x14ac:dyDescent="0.25">
      <c r="A42" s="39">
        <v>40544</v>
      </c>
      <c r="B42" s="44">
        <v>413034</v>
      </c>
      <c r="C42" s="41" t="s">
        <v>1</v>
      </c>
      <c r="D42" s="41" t="s">
        <v>1</v>
      </c>
      <c r="E42" s="41" t="s">
        <v>1</v>
      </c>
      <c r="F42" s="47"/>
      <c r="G42" s="41" t="s">
        <v>1</v>
      </c>
      <c r="H42" s="41" t="s">
        <v>1</v>
      </c>
      <c r="I42" s="41" t="s">
        <v>1</v>
      </c>
      <c r="J42" s="44">
        <v>88925</v>
      </c>
      <c r="K42" s="44">
        <v>144822.79999999999</v>
      </c>
      <c r="L42" s="44"/>
      <c r="M42" s="44">
        <f t="shared" si="0"/>
        <v>233747.8</v>
      </c>
      <c r="N42" s="41" t="s">
        <v>1</v>
      </c>
      <c r="O42" s="41" t="s">
        <v>1</v>
      </c>
      <c r="P42" s="44">
        <v>20</v>
      </c>
      <c r="Q42" s="44"/>
      <c r="R42" s="44">
        <v>6869.8999999999987</v>
      </c>
      <c r="S42" s="44">
        <v>3106.0999999999767</v>
      </c>
      <c r="T42" s="44">
        <f t="shared" si="2"/>
        <v>656777.80000000005</v>
      </c>
    </row>
    <row r="43" spans="1:20" s="46" customFormat="1" x14ac:dyDescent="0.25">
      <c r="A43" s="39">
        <v>40575</v>
      </c>
      <c r="B43" s="44">
        <v>437928.80000000005</v>
      </c>
      <c r="C43" s="41" t="s">
        <v>1</v>
      </c>
      <c r="D43" s="41" t="s">
        <v>1</v>
      </c>
      <c r="E43" s="41" t="s">
        <v>1</v>
      </c>
      <c r="F43" s="47"/>
      <c r="G43" s="41" t="s">
        <v>1</v>
      </c>
      <c r="H43" s="41" t="s">
        <v>1</v>
      </c>
      <c r="I43" s="41" t="s">
        <v>1</v>
      </c>
      <c r="J43" s="44">
        <v>88925</v>
      </c>
      <c r="K43" s="44">
        <v>144514.70000000001</v>
      </c>
      <c r="L43" s="44"/>
      <c r="M43" s="44">
        <f t="shared" si="0"/>
        <v>233439.7</v>
      </c>
      <c r="N43" s="41">
        <v>1723.4</v>
      </c>
      <c r="O43" s="41" t="s">
        <v>1</v>
      </c>
      <c r="P43" s="44">
        <v>20</v>
      </c>
      <c r="Q43" s="44"/>
      <c r="R43" s="44">
        <v>6927.7999999999984</v>
      </c>
      <c r="S43" s="44">
        <v>3042.3999999999769</v>
      </c>
      <c r="T43" s="44">
        <f t="shared" si="2"/>
        <v>683082.10000000009</v>
      </c>
    </row>
    <row r="44" spans="1:20" s="46" customFormat="1" x14ac:dyDescent="0.25">
      <c r="A44" s="39">
        <v>40603</v>
      </c>
      <c r="B44" s="44">
        <v>426628.60000000003</v>
      </c>
      <c r="C44" s="41">
        <v>2480.5</v>
      </c>
      <c r="D44" s="41" t="s">
        <v>1</v>
      </c>
      <c r="E44" s="41" t="s">
        <v>1</v>
      </c>
      <c r="F44" s="47"/>
      <c r="G44" s="41" t="s">
        <v>1</v>
      </c>
      <c r="H44" s="41" t="s">
        <v>1</v>
      </c>
      <c r="I44" s="41" t="s">
        <v>1</v>
      </c>
      <c r="J44" s="44">
        <v>74325</v>
      </c>
      <c r="K44" s="44">
        <v>144206.6</v>
      </c>
      <c r="L44" s="44"/>
      <c r="M44" s="44">
        <f t="shared" si="0"/>
        <v>221012.1</v>
      </c>
      <c r="N44" s="41">
        <v>3410.3</v>
      </c>
      <c r="O44" s="41" t="s">
        <v>1</v>
      </c>
      <c r="P44" s="44">
        <v>20</v>
      </c>
      <c r="Q44" s="44"/>
      <c r="R44" s="44">
        <v>6843.0999999999995</v>
      </c>
      <c r="S44" s="44">
        <v>2952.3999999999769</v>
      </c>
      <c r="T44" s="44">
        <f t="shared" si="2"/>
        <v>660866.50000000012</v>
      </c>
    </row>
    <row r="45" spans="1:20" s="46" customFormat="1" x14ac:dyDescent="0.25">
      <c r="A45" s="39">
        <v>40634</v>
      </c>
      <c r="B45" s="44">
        <v>455684.39999999997</v>
      </c>
      <c r="C45" s="41" t="s">
        <v>1</v>
      </c>
      <c r="D45" s="41" t="s">
        <v>1</v>
      </c>
      <c r="E45" s="41" t="s">
        <v>1</v>
      </c>
      <c r="F45" s="47"/>
      <c r="G45" s="41" t="s">
        <v>1</v>
      </c>
      <c r="H45" s="41" t="s">
        <v>1</v>
      </c>
      <c r="I45" s="41" t="s">
        <v>1</v>
      </c>
      <c r="J45" s="44">
        <v>74325</v>
      </c>
      <c r="K45" s="44">
        <v>143898.4</v>
      </c>
      <c r="L45" s="44"/>
      <c r="M45" s="44">
        <f t="shared" si="0"/>
        <v>218223.4</v>
      </c>
      <c r="N45" s="41">
        <v>4017</v>
      </c>
      <c r="O45" s="41" t="s">
        <v>1</v>
      </c>
      <c r="P45" s="44">
        <v>20</v>
      </c>
      <c r="Q45" s="44"/>
      <c r="R45" s="44">
        <v>6828.8999999999987</v>
      </c>
      <c r="S45" s="44">
        <v>2987.4000000000351</v>
      </c>
      <c r="T45" s="44">
        <f t="shared" si="2"/>
        <v>687761.1</v>
      </c>
    </row>
    <row r="46" spans="1:20" s="46" customFormat="1" x14ac:dyDescent="0.25">
      <c r="A46" s="39">
        <v>40664</v>
      </c>
      <c r="B46" s="44">
        <v>444611.20000000007</v>
      </c>
      <c r="C46" s="41">
        <v>12986.3</v>
      </c>
      <c r="D46" s="41" t="s">
        <v>1</v>
      </c>
      <c r="E46" s="41" t="s">
        <v>1</v>
      </c>
      <c r="F46" s="47"/>
      <c r="G46" s="41" t="s">
        <v>1</v>
      </c>
      <c r="H46" s="41" t="s">
        <v>1</v>
      </c>
      <c r="I46" s="41" t="s">
        <v>1</v>
      </c>
      <c r="J46" s="44">
        <v>74325</v>
      </c>
      <c r="K46" s="44">
        <v>143590.29999999999</v>
      </c>
      <c r="L46" s="44"/>
      <c r="M46" s="44">
        <f t="shared" si="0"/>
        <v>230901.59999999998</v>
      </c>
      <c r="N46" s="41">
        <v>8670.2999999999993</v>
      </c>
      <c r="O46" s="41" t="s">
        <v>1</v>
      </c>
      <c r="P46" s="44">
        <v>20</v>
      </c>
      <c r="Q46" s="44"/>
      <c r="R46" s="44">
        <v>6941.4999999999991</v>
      </c>
      <c r="S46" s="44">
        <v>3038.6999999999189</v>
      </c>
      <c r="T46" s="44">
        <f t="shared" si="2"/>
        <v>694183.3</v>
      </c>
    </row>
    <row r="47" spans="1:20" s="46" customFormat="1" x14ac:dyDescent="0.25">
      <c r="A47" s="39">
        <v>40695</v>
      </c>
      <c r="B47" s="44">
        <v>434242</v>
      </c>
      <c r="C47" s="41">
        <v>24462.799999999999</v>
      </c>
      <c r="D47" s="41" t="s">
        <v>1</v>
      </c>
      <c r="E47" s="41" t="s">
        <v>1</v>
      </c>
      <c r="F47" s="47"/>
      <c r="G47" s="41" t="s">
        <v>1</v>
      </c>
      <c r="H47" s="41" t="s">
        <v>1</v>
      </c>
      <c r="I47" s="41" t="s">
        <v>1</v>
      </c>
      <c r="J47" s="44">
        <v>74325</v>
      </c>
      <c r="K47" s="44">
        <v>143282.1</v>
      </c>
      <c r="L47" s="44"/>
      <c r="M47" s="44">
        <f t="shared" si="0"/>
        <v>242069.90000000002</v>
      </c>
      <c r="N47" s="41">
        <v>21978.1</v>
      </c>
      <c r="O47" s="41" t="s">
        <v>1</v>
      </c>
      <c r="P47" s="44">
        <v>20</v>
      </c>
      <c r="Q47" s="44"/>
      <c r="R47" s="44">
        <v>7198.0999999999995</v>
      </c>
      <c r="S47" s="44">
        <v>3398.1999999999771</v>
      </c>
      <c r="T47" s="44">
        <f t="shared" si="2"/>
        <v>708906.29999999993</v>
      </c>
    </row>
    <row r="48" spans="1:20" s="46" customFormat="1" x14ac:dyDescent="0.25">
      <c r="A48" s="39">
        <v>40725</v>
      </c>
      <c r="B48" s="44">
        <v>436973.5</v>
      </c>
      <c r="C48" s="41">
        <v>31447.8</v>
      </c>
      <c r="D48" s="41" t="s">
        <v>1</v>
      </c>
      <c r="E48" s="41" t="s">
        <v>1</v>
      </c>
      <c r="F48" s="47"/>
      <c r="G48" s="41" t="s">
        <v>1</v>
      </c>
      <c r="H48" s="41" t="s">
        <v>1</v>
      </c>
      <c r="I48" s="41" t="s">
        <v>1</v>
      </c>
      <c r="J48" s="44">
        <v>74325</v>
      </c>
      <c r="K48" s="44">
        <v>142974</v>
      </c>
      <c r="L48" s="44"/>
      <c r="M48" s="44">
        <f t="shared" si="0"/>
        <v>248746.8</v>
      </c>
      <c r="N48" s="41">
        <v>28323</v>
      </c>
      <c r="O48" s="41" t="s">
        <v>1</v>
      </c>
      <c r="P48" s="44">
        <v>20</v>
      </c>
      <c r="Q48" s="44"/>
      <c r="R48" s="44">
        <v>7176.9999999999982</v>
      </c>
      <c r="S48" s="44">
        <v>3684.3999999999769</v>
      </c>
      <c r="T48" s="44">
        <f t="shared" si="2"/>
        <v>724924.70000000007</v>
      </c>
    </row>
    <row r="49" spans="1:20" s="46" customFormat="1" x14ac:dyDescent="0.25">
      <c r="A49" s="39">
        <v>40756</v>
      </c>
      <c r="B49" s="44">
        <v>420092.9</v>
      </c>
      <c r="C49" s="41">
        <v>35035.800000000003</v>
      </c>
      <c r="D49" s="41" t="s">
        <v>1</v>
      </c>
      <c r="E49" s="41" t="s">
        <v>1</v>
      </c>
      <c r="F49" s="47"/>
      <c r="G49" s="41" t="s">
        <v>1</v>
      </c>
      <c r="H49" s="41" t="s">
        <v>1</v>
      </c>
      <c r="I49" s="41" t="s">
        <v>1</v>
      </c>
      <c r="J49" s="44">
        <v>74325</v>
      </c>
      <c r="K49" s="44">
        <v>142665.9</v>
      </c>
      <c r="L49" s="44"/>
      <c r="M49" s="44">
        <f t="shared" si="0"/>
        <v>252026.7</v>
      </c>
      <c r="N49" s="41">
        <v>30627.200000000001</v>
      </c>
      <c r="O49" s="41" t="s">
        <v>1</v>
      </c>
      <c r="P49" s="44">
        <v>20</v>
      </c>
      <c r="Q49" s="44"/>
      <c r="R49" s="44">
        <v>7193.8999999999987</v>
      </c>
      <c r="S49" s="44">
        <v>4038.5999999999767</v>
      </c>
      <c r="T49" s="44">
        <f t="shared" si="2"/>
        <v>713999.3</v>
      </c>
    </row>
    <row r="50" spans="1:20" s="46" customFormat="1" x14ac:dyDescent="0.25">
      <c r="A50" s="39">
        <v>40787</v>
      </c>
      <c r="B50" s="44">
        <v>394890.3</v>
      </c>
      <c r="C50" s="41">
        <v>29256.3</v>
      </c>
      <c r="D50" s="41" t="s">
        <v>1</v>
      </c>
      <c r="E50" s="41" t="s">
        <v>1</v>
      </c>
      <c r="F50" s="47"/>
      <c r="G50" s="41" t="s">
        <v>1</v>
      </c>
      <c r="H50" s="41" t="s">
        <v>1</v>
      </c>
      <c r="I50" s="41" t="s">
        <v>1</v>
      </c>
      <c r="J50" s="44">
        <v>74325</v>
      </c>
      <c r="K50" s="44">
        <v>142357.70000000001</v>
      </c>
      <c r="L50" s="44"/>
      <c r="M50" s="44">
        <f t="shared" si="0"/>
        <v>245939</v>
      </c>
      <c r="N50" s="41">
        <v>41214.800000000003</v>
      </c>
      <c r="O50" s="41" t="s">
        <v>1</v>
      </c>
      <c r="P50" s="44">
        <v>20</v>
      </c>
      <c r="Q50" s="44"/>
      <c r="R50" s="44">
        <v>7550.1999999999989</v>
      </c>
      <c r="S50" s="44">
        <v>4223.3000000000347</v>
      </c>
      <c r="T50" s="44">
        <f t="shared" si="2"/>
        <v>693837.60000000009</v>
      </c>
    </row>
    <row r="51" spans="1:20" s="46" customFormat="1" x14ac:dyDescent="0.25">
      <c r="A51" s="39">
        <v>40817</v>
      </c>
      <c r="B51" s="44">
        <v>388609.7</v>
      </c>
      <c r="C51" s="41">
        <v>29858.9</v>
      </c>
      <c r="D51" s="41" t="s">
        <v>1</v>
      </c>
      <c r="E51" s="41" t="s">
        <v>1</v>
      </c>
      <c r="F51" s="47"/>
      <c r="G51" s="41" t="s">
        <v>1</v>
      </c>
      <c r="H51" s="41" t="s">
        <v>1</v>
      </c>
      <c r="I51" s="41" t="s">
        <v>1</v>
      </c>
      <c r="J51" s="44">
        <v>94325</v>
      </c>
      <c r="K51" s="44">
        <v>142049.60000000001</v>
      </c>
      <c r="L51" s="44"/>
      <c r="M51" s="44">
        <f t="shared" si="0"/>
        <v>266233.5</v>
      </c>
      <c r="N51" s="41">
        <v>33892.300000000003</v>
      </c>
      <c r="O51" s="41"/>
      <c r="P51" s="44">
        <v>20</v>
      </c>
      <c r="Q51" s="44"/>
      <c r="R51" s="44">
        <v>7444.9</v>
      </c>
      <c r="S51" s="44">
        <v>4388.1999999999771</v>
      </c>
      <c r="T51" s="44">
        <f t="shared" si="2"/>
        <v>700588.6</v>
      </c>
    </row>
    <row r="52" spans="1:20" s="46" customFormat="1" x14ac:dyDescent="0.25">
      <c r="A52" s="39">
        <v>40848</v>
      </c>
      <c r="B52" s="44">
        <v>388023.6</v>
      </c>
      <c r="C52" s="41">
        <v>13631.5</v>
      </c>
      <c r="D52" s="41" t="s">
        <v>1</v>
      </c>
      <c r="E52" s="41" t="s">
        <v>1</v>
      </c>
      <c r="F52" s="47"/>
      <c r="G52" s="41" t="s">
        <v>1</v>
      </c>
      <c r="H52" s="41" t="s">
        <v>1</v>
      </c>
      <c r="I52" s="41" t="s">
        <v>1</v>
      </c>
      <c r="J52" s="44">
        <v>94325</v>
      </c>
      <c r="K52" s="44">
        <v>142049.60000000001</v>
      </c>
      <c r="L52" s="44"/>
      <c r="M52" s="44">
        <f t="shared" si="0"/>
        <v>250006.1</v>
      </c>
      <c r="N52" s="41">
        <v>39419.1</v>
      </c>
      <c r="O52" s="41"/>
      <c r="P52" s="44">
        <v>20</v>
      </c>
      <c r="Q52" s="44"/>
      <c r="R52" s="44">
        <v>7420.1999999999989</v>
      </c>
      <c r="S52" s="44">
        <v>4112.6000000000349</v>
      </c>
      <c r="T52" s="44">
        <f t="shared" si="2"/>
        <v>689001.59999999986</v>
      </c>
    </row>
    <row r="53" spans="1:20" s="46" customFormat="1" x14ac:dyDescent="0.25">
      <c r="A53" s="39">
        <v>40878</v>
      </c>
      <c r="B53" s="44">
        <v>412743.80000000005</v>
      </c>
      <c r="C53" s="41">
        <v>86260.6</v>
      </c>
      <c r="D53" s="41" t="s">
        <v>1</v>
      </c>
      <c r="E53" s="41" t="s">
        <v>1</v>
      </c>
      <c r="F53" s="47"/>
      <c r="G53" s="41" t="s">
        <v>1</v>
      </c>
      <c r="H53" s="41" t="s">
        <v>1</v>
      </c>
      <c r="I53" s="41" t="s">
        <v>1</v>
      </c>
      <c r="J53" s="44">
        <v>94325</v>
      </c>
      <c r="K53" s="44">
        <v>141433.29999999999</v>
      </c>
      <c r="L53" s="44"/>
      <c r="M53" s="44">
        <f t="shared" si="0"/>
        <v>322018.90000000002</v>
      </c>
      <c r="N53" s="41">
        <v>25301.3</v>
      </c>
      <c r="O53" s="41"/>
      <c r="P53" s="44">
        <v>20</v>
      </c>
      <c r="Q53" s="44"/>
      <c r="R53" s="44">
        <v>7467.3999999999987</v>
      </c>
      <c r="S53" s="44">
        <v>4483.1999999999771</v>
      </c>
      <c r="T53" s="44">
        <f t="shared" si="2"/>
        <v>772034.60000000009</v>
      </c>
    </row>
    <row r="54" spans="1:20" s="46" customFormat="1" x14ac:dyDescent="0.25">
      <c r="A54" s="39">
        <v>40909</v>
      </c>
      <c r="B54" s="44">
        <v>460100.90000000008</v>
      </c>
      <c r="C54" s="41">
        <v>23225.200000000001</v>
      </c>
      <c r="D54" s="41" t="s">
        <v>1</v>
      </c>
      <c r="E54" s="41" t="s">
        <v>1</v>
      </c>
      <c r="F54" s="47"/>
      <c r="G54" s="41" t="s">
        <v>1</v>
      </c>
      <c r="H54" s="41" t="s">
        <v>1</v>
      </c>
      <c r="I54" s="41" t="s">
        <v>1</v>
      </c>
      <c r="J54" s="44">
        <v>94325</v>
      </c>
      <c r="K54" s="44">
        <v>141125.20000000001</v>
      </c>
      <c r="L54" s="44"/>
      <c r="M54" s="44">
        <f t="shared" si="0"/>
        <v>258675.40000000002</v>
      </c>
      <c r="N54" s="41">
        <v>17713.400000000001</v>
      </c>
      <c r="O54" s="41"/>
      <c r="P54" s="44">
        <v>20</v>
      </c>
      <c r="Q54" s="44"/>
      <c r="R54" s="44">
        <v>8299.4999999999982</v>
      </c>
      <c r="S54" s="44">
        <v>6370.7999999999183</v>
      </c>
      <c r="T54" s="44">
        <f t="shared" si="2"/>
        <v>751180</v>
      </c>
    </row>
    <row r="55" spans="1:20" s="46" customFormat="1" x14ac:dyDescent="0.25">
      <c r="A55" s="39">
        <v>40940</v>
      </c>
      <c r="B55" s="44">
        <v>453162.9</v>
      </c>
      <c r="C55" s="41">
        <v>19733.599999999999</v>
      </c>
      <c r="D55" s="41" t="s">
        <v>1</v>
      </c>
      <c r="E55" s="41" t="s">
        <v>1</v>
      </c>
      <c r="F55" s="47"/>
      <c r="G55" s="41" t="s">
        <v>1</v>
      </c>
      <c r="H55" s="41" t="s">
        <v>1</v>
      </c>
      <c r="I55" s="41" t="s">
        <v>1</v>
      </c>
      <c r="J55" s="44">
        <v>94325</v>
      </c>
      <c r="K55" s="44">
        <v>140817.1</v>
      </c>
      <c r="L55" s="44"/>
      <c r="M55" s="44">
        <f t="shared" si="0"/>
        <v>254875.7</v>
      </c>
      <c r="N55" s="41">
        <v>29586.1</v>
      </c>
      <c r="O55" s="41"/>
      <c r="P55" s="44">
        <v>20</v>
      </c>
      <c r="Q55" s="44"/>
      <c r="R55" s="44">
        <v>8455.7999999999993</v>
      </c>
      <c r="S55" s="44">
        <v>5032.5999999999767</v>
      </c>
      <c r="T55" s="44">
        <f t="shared" si="2"/>
        <v>751133.10000000009</v>
      </c>
    </row>
    <row r="56" spans="1:20" s="46" customFormat="1" x14ac:dyDescent="0.25">
      <c r="A56" s="39">
        <v>40969</v>
      </c>
      <c r="B56" s="44">
        <v>419222.4</v>
      </c>
      <c r="C56" s="41">
        <v>41361.199999999997</v>
      </c>
      <c r="D56" s="41" t="s">
        <v>1</v>
      </c>
      <c r="E56" s="41" t="s">
        <v>1</v>
      </c>
      <c r="F56" s="47"/>
      <c r="G56" s="41" t="s">
        <v>1</v>
      </c>
      <c r="H56" s="41" t="s">
        <v>1</v>
      </c>
      <c r="I56" s="41" t="s">
        <v>1</v>
      </c>
      <c r="J56" s="44">
        <v>94325</v>
      </c>
      <c r="K56" s="44">
        <v>140508.9</v>
      </c>
      <c r="L56" s="44"/>
      <c r="M56" s="44">
        <f t="shared" si="0"/>
        <v>276195.09999999998</v>
      </c>
      <c r="N56" s="41">
        <v>31811.4</v>
      </c>
      <c r="O56" s="41"/>
      <c r="P56" s="44">
        <v>20</v>
      </c>
      <c r="Q56" s="44"/>
      <c r="R56" s="44">
        <v>8398.6</v>
      </c>
      <c r="S56" s="44">
        <v>4735.1999999999771</v>
      </c>
      <c r="T56" s="44">
        <f t="shared" si="2"/>
        <v>740382.7</v>
      </c>
    </row>
    <row r="57" spans="1:20" s="46" customFormat="1" x14ac:dyDescent="0.25">
      <c r="A57" s="39">
        <v>41000</v>
      </c>
      <c r="B57" s="44">
        <v>409988.69999999995</v>
      </c>
      <c r="C57" s="41">
        <v>51796.5</v>
      </c>
      <c r="D57" s="41" t="s">
        <v>1</v>
      </c>
      <c r="E57" s="41" t="s">
        <v>1</v>
      </c>
      <c r="F57" s="47"/>
      <c r="G57" s="41" t="s">
        <v>1</v>
      </c>
      <c r="H57" s="41" t="s">
        <v>1</v>
      </c>
      <c r="I57" s="41" t="s">
        <v>1</v>
      </c>
      <c r="J57" s="44">
        <v>94325</v>
      </c>
      <c r="K57" s="44">
        <v>140200.79999999999</v>
      </c>
      <c r="L57" s="44"/>
      <c r="M57" s="44">
        <f t="shared" si="0"/>
        <v>286322.3</v>
      </c>
      <c r="N57" s="41">
        <v>44281</v>
      </c>
      <c r="O57" s="41"/>
      <c r="P57" s="44">
        <v>20</v>
      </c>
      <c r="Q57" s="44"/>
      <c r="R57" s="44">
        <v>8505.1</v>
      </c>
      <c r="S57" s="44">
        <v>4810.5000000000346</v>
      </c>
      <c r="T57" s="44">
        <f t="shared" si="2"/>
        <v>753927.6</v>
      </c>
    </row>
    <row r="58" spans="1:20" s="46" customFormat="1" x14ac:dyDescent="0.25">
      <c r="A58" s="39">
        <v>41030</v>
      </c>
      <c r="B58" s="44">
        <v>407031.99999999994</v>
      </c>
      <c r="C58" s="41">
        <v>32561.9</v>
      </c>
      <c r="D58" s="41" t="s">
        <v>1</v>
      </c>
      <c r="E58" s="41" t="s">
        <v>1</v>
      </c>
      <c r="F58" s="47"/>
      <c r="G58" s="41" t="s">
        <v>1</v>
      </c>
      <c r="H58" s="41" t="s">
        <v>1</v>
      </c>
      <c r="I58" s="41" t="s">
        <v>1</v>
      </c>
      <c r="J58" s="44">
        <v>94325</v>
      </c>
      <c r="K58" s="44">
        <v>140200.79999999999</v>
      </c>
      <c r="L58" s="44"/>
      <c r="M58" s="44">
        <f t="shared" si="0"/>
        <v>267087.69999999995</v>
      </c>
      <c r="N58" s="41">
        <v>51288.800000000003</v>
      </c>
      <c r="O58" s="41"/>
      <c r="P58" s="44">
        <v>20</v>
      </c>
      <c r="Q58" s="44"/>
      <c r="R58" s="44">
        <v>8260.2000000000007</v>
      </c>
      <c r="S58" s="44">
        <v>4934.2000000000353</v>
      </c>
      <c r="T58" s="44">
        <f t="shared" si="2"/>
        <v>738622.9</v>
      </c>
    </row>
    <row r="59" spans="1:20" s="46" customFormat="1" x14ac:dyDescent="0.25">
      <c r="A59" s="39">
        <v>41061</v>
      </c>
      <c r="B59" s="44">
        <v>402417.6</v>
      </c>
      <c r="C59" s="41">
        <v>49375</v>
      </c>
      <c r="D59" s="41" t="s">
        <v>1</v>
      </c>
      <c r="E59" s="41" t="s">
        <v>1</v>
      </c>
      <c r="F59" s="47"/>
      <c r="G59" s="41" t="s">
        <v>1</v>
      </c>
      <c r="H59" s="41" t="s">
        <v>1</v>
      </c>
      <c r="I59" s="41" t="s">
        <v>1</v>
      </c>
      <c r="J59" s="44">
        <v>94325</v>
      </c>
      <c r="K59" s="44">
        <v>139584.5</v>
      </c>
      <c r="L59" s="44"/>
      <c r="M59" s="44">
        <f t="shared" si="0"/>
        <v>283284.5</v>
      </c>
      <c r="N59" s="41">
        <v>60598.8</v>
      </c>
      <c r="O59" s="41"/>
      <c r="P59" s="44">
        <v>20</v>
      </c>
      <c r="Q59" s="44"/>
      <c r="R59" s="44">
        <v>8390.4</v>
      </c>
      <c r="S59" s="44">
        <v>5100.5000000000346</v>
      </c>
      <c r="T59" s="44">
        <f t="shared" si="2"/>
        <v>759811.8</v>
      </c>
    </row>
    <row r="60" spans="1:20" s="46" customFormat="1" x14ac:dyDescent="0.25">
      <c r="A60" s="39">
        <v>41091</v>
      </c>
      <c r="B60" s="44">
        <v>408385.5</v>
      </c>
      <c r="C60" s="41">
        <v>53695.7</v>
      </c>
      <c r="D60" s="41" t="s">
        <v>1</v>
      </c>
      <c r="E60" s="41" t="s">
        <v>1</v>
      </c>
      <c r="F60" s="47"/>
      <c r="G60" s="41" t="s">
        <v>1</v>
      </c>
      <c r="H60" s="41" t="s">
        <v>1</v>
      </c>
      <c r="I60" s="41" t="s">
        <v>1</v>
      </c>
      <c r="J60" s="44">
        <v>108925</v>
      </c>
      <c r="K60" s="44">
        <v>139276.4</v>
      </c>
      <c r="L60" s="44"/>
      <c r="M60" s="44">
        <f t="shared" si="0"/>
        <v>301897.09999999998</v>
      </c>
      <c r="N60" s="41">
        <v>53762</v>
      </c>
      <c r="O60" s="41"/>
      <c r="P60" s="44">
        <v>20</v>
      </c>
      <c r="Q60" s="44"/>
      <c r="R60" s="44">
        <v>8476.7000000000007</v>
      </c>
      <c r="S60" s="44">
        <v>5760.2999999999765</v>
      </c>
      <c r="T60" s="44">
        <f t="shared" si="2"/>
        <v>778301.59999999986</v>
      </c>
    </row>
    <row r="61" spans="1:20" s="46" customFormat="1" x14ac:dyDescent="0.25">
      <c r="A61" s="39">
        <v>41122</v>
      </c>
      <c r="B61" s="44">
        <v>412945.4</v>
      </c>
      <c r="C61" s="41">
        <v>65092</v>
      </c>
      <c r="D61" s="41" t="s">
        <v>1</v>
      </c>
      <c r="E61" s="41" t="s">
        <v>1</v>
      </c>
      <c r="F61" s="47"/>
      <c r="G61" s="41" t="s">
        <v>1</v>
      </c>
      <c r="H61" s="41" t="s">
        <v>1</v>
      </c>
      <c r="I61" s="41" t="s">
        <v>1</v>
      </c>
      <c r="J61" s="44">
        <v>108925</v>
      </c>
      <c r="K61" s="44">
        <v>138968.29999999999</v>
      </c>
      <c r="L61" s="44"/>
      <c r="M61" s="44">
        <f t="shared" si="0"/>
        <v>312985.3</v>
      </c>
      <c r="N61" s="41">
        <v>40499.300000000003</v>
      </c>
      <c r="O61" s="41"/>
      <c r="P61" s="44">
        <v>20</v>
      </c>
      <c r="Q61" s="44"/>
      <c r="R61" s="44">
        <v>8611.3000000000011</v>
      </c>
      <c r="S61" s="44">
        <v>6493.5999999999767</v>
      </c>
      <c r="T61" s="44">
        <f t="shared" si="2"/>
        <v>781554.9</v>
      </c>
    </row>
    <row r="62" spans="1:20" s="46" customFormat="1" x14ac:dyDescent="0.25">
      <c r="A62" s="39">
        <v>41153</v>
      </c>
      <c r="B62" s="44">
        <v>432825.59999999998</v>
      </c>
      <c r="C62" s="41">
        <v>51763.199999999997</v>
      </c>
      <c r="D62" s="41" t="s">
        <v>1</v>
      </c>
      <c r="E62" s="41" t="s">
        <v>1</v>
      </c>
      <c r="F62" s="47"/>
      <c r="G62" s="41" t="s">
        <v>1</v>
      </c>
      <c r="H62" s="41" t="s">
        <v>1</v>
      </c>
      <c r="I62" s="41" t="s">
        <v>1</v>
      </c>
      <c r="J62" s="44">
        <v>108925</v>
      </c>
      <c r="K62" s="44">
        <v>138968.29999999999</v>
      </c>
      <c r="L62" s="44"/>
      <c r="M62" s="44">
        <f t="shared" si="0"/>
        <v>299656.5</v>
      </c>
      <c r="N62" s="41">
        <v>29808.6</v>
      </c>
      <c r="O62" s="41"/>
      <c r="P62" s="44">
        <v>20</v>
      </c>
      <c r="Q62" s="44"/>
      <c r="R62" s="44">
        <v>8990.3000000000011</v>
      </c>
      <c r="S62" s="44">
        <v>6733.2000000000353</v>
      </c>
      <c r="T62" s="44">
        <f t="shared" si="2"/>
        <v>778034.20000000007</v>
      </c>
    </row>
    <row r="63" spans="1:20" s="46" customFormat="1" x14ac:dyDescent="0.25">
      <c r="A63" s="39">
        <v>41183</v>
      </c>
      <c r="B63" s="44">
        <v>423492.60000000003</v>
      </c>
      <c r="C63" s="41">
        <v>78836.5</v>
      </c>
      <c r="D63" s="41" t="s">
        <v>1</v>
      </c>
      <c r="E63" s="41" t="s">
        <v>1</v>
      </c>
      <c r="F63" s="47"/>
      <c r="G63" s="41" t="s">
        <v>1</v>
      </c>
      <c r="H63" s="41" t="s">
        <v>1</v>
      </c>
      <c r="I63" s="41" t="s">
        <v>1</v>
      </c>
      <c r="J63" s="44">
        <v>108925</v>
      </c>
      <c r="K63" s="44">
        <v>138352</v>
      </c>
      <c r="L63" s="44"/>
      <c r="M63" s="44">
        <f t="shared" si="0"/>
        <v>326113.5</v>
      </c>
      <c r="N63" s="41">
        <v>15843.6</v>
      </c>
      <c r="O63" s="41"/>
      <c r="P63" s="44">
        <v>20</v>
      </c>
      <c r="Q63" s="44"/>
      <c r="R63" s="44">
        <v>9064.0999999999985</v>
      </c>
      <c r="S63" s="44">
        <v>7394.0999999999767</v>
      </c>
      <c r="T63" s="44">
        <f t="shared" si="2"/>
        <v>781927.9</v>
      </c>
    </row>
    <row r="64" spans="1:20" s="46" customFormat="1" x14ac:dyDescent="0.25">
      <c r="A64" s="39">
        <v>41214</v>
      </c>
      <c r="B64" s="44">
        <v>428672.29999999993</v>
      </c>
      <c r="C64" s="41">
        <v>104206.5</v>
      </c>
      <c r="D64" s="41" t="s">
        <v>1</v>
      </c>
      <c r="E64" s="41" t="s">
        <v>1</v>
      </c>
      <c r="F64" s="47"/>
      <c r="G64" s="41" t="s">
        <v>1</v>
      </c>
      <c r="H64" s="41" t="s">
        <v>1</v>
      </c>
      <c r="I64" s="41" t="s">
        <v>1</v>
      </c>
      <c r="J64" s="44">
        <v>108925</v>
      </c>
      <c r="K64" s="44">
        <v>138043.9</v>
      </c>
      <c r="L64" s="44"/>
      <c r="M64" s="44">
        <f t="shared" si="0"/>
        <v>351175.4</v>
      </c>
      <c r="N64" s="41">
        <v>9108</v>
      </c>
      <c r="O64" s="41"/>
      <c r="P64" s="44">
        <v>20</v>
      </c>
      <c r="Q64" s="44"/>
      <c r="R64" s="44">
        <v>9032.5999999999985</v>
      </c>
      <c r="S64" s="44">
        <v>7680.1000000000931</v>
      </c>
      <c r="T64" s="44">
        <f t="shared" si="2"/>
        <v>805688.4</v>
      </c>
    </row>
    <row r="65" spans="1:20" s="46" customFormat="1" x14ac:dyDescent="0.25">
      <c r="A65" s="39">
        <v>41244</v>
      </c>
      <c r="B65" s="44">
        <v>485025.5</v>
      </c>
      <c r="C65" s="41" t="s">
        <v>1</v>
      </c>
      <c r="D65" s="41" t="s">
        <v>1</v>
      </c>
      <c r="E65" s="41" t="s">
        <v>1</v>
      </c>
      <c r="F65" s="47"/>
      <c r="G65" s="41" t="s">
        <v>1</v>
      </c>
      <c r="H65" s="41" t="s">
        <v>1</v>
      </c>
      <c r="I65" s="41" t="s">
        <v>1</v>
      </c>
      <c r="J65" s="44">
        <v>117037.4</v>
      </c>
      <c r="K65" s="44">
        <v>292987.59999999998</v>
      </c>
      <c r="L65" s="44"/>
      <c r="M65" s="44">
        <f t="shared" si="0"/>
        <v>410025</v>
      </c>
      <c r="N65" s="41" t="s">
        <v>1</v>
      </c>
      <c r="O65" s="41"/>
      <c r="P65" s="44">
        <v>20</v>
      </c>
      <c r="Q65" s="44"/>
      <c r="R65" s="44">
        <v>9039.4</v>
      </c>
      <c r="S65" s="44">
        <v>7843.899999999976</v>
      </c>
      <c r="T65" s="44">
        <f t="shared" si="2"/>
        <v>911953.8</v>
      </c>
    </row>
    <row r="66" spans="1:20" s="46" customFormat="1" x14ac:dyDescent="0.25">
      <c r="A66" s="39">
        <v>41275</v>
      </c>
      <c r="B66" s="44">
        <v>484932.90000000008</v>
      </c>
      <c r="C66" s="41" t="s">
        <v>1</v>
      </c>
      <c r="D66" s="41" t="s">
        <v>1</v>
      </c>
      <c r="E66" s="41" t="s">
        <v>1</v>
      </c>
      <c r="F66" s="47"/>
      <c r="G66" s="41" t="s">
        <v>1</v>
      </c>
      <c r="H66" s="41" t="s">
        <v>1</v>
      </c>
      <c r="I66" s="41" t="s">
        <v>1</v>
      </c>
      <c r="J66" s="44">
        <v>117037.4</v>
      </c>
      <c r="K66" s="44">
        <v>291286.19999999995</v>
      </c>
      <c r="L66" s="44"/>
      <c r="M66" s="44">
        <f t="shared" si="0"/>
        <v>408323.6</v>
      </c>
      <c r="N66" s="41" t="s">
        <v>1</v>
      </c>
      <c r="O66" s="41"/>
      <c r="P66" s="44">
        <v>20</v>
      </c>
      <c r="Q66" s="44"/>
      <c r="R66" s="44">
        <v>9763.9</v>
      </c>
      <c r="S66" s="44">
        <v>8743.5999999999185</v>
      </c>
      <c r="T66" s="44">
        <f t="shared" si="2"/>
        <v>911784</v>
      </c>
    </row>
    <row r="67" spans="1:20" s="46" customFormat="1" x14ac:dyDescent="0.25">
      <c r="A67" s="39">
        <v>41306</v>
      </c>
      <c r="B67" s="44">
        <v>549006.4</v>
      </c>
      <c r="C67" s="41" t="s">
        <v>1</v>
      </c>
      <c r="D67" s="41" t="s">
        <v>1</v>
      </c>
      <c r="E67" s="41" t="s">
        <v>1</v>
      </c>
      <c r="F67" s="47"/>
      <c r="G67" s="41" t="s">
        <v>1</v>
      </c>
      <c r="H67" s="41" t="s">
        <v>1</v>
      </c>
      <c r="I67" s="41" t="s">
        <v>1</v>
      </c>
      <c r="J67" s="44">
        <v>114250.8</v>
      </c>
      <c r="K67" s="44">
        <v>292371.40000000002</v>
      </c>
      <c r="L67" s="44"/>
      <c r="M67" s="44">
        <f t="shared" si="0"/>
        <v>406622.2</v>
      </c>
      <c r="N67" s="41">
        <v>11804.3</v>
      </c>
      <c r="O67" s="41"/>
      <c r="P67" s="44">
        <v>20</v>
      </c>
      <c r="Q67" s="44"/>
      <c r="R67" s="44">
        <v>9758.0999999999985</v>
      </c>
      <c r="S67" s="44">
        <v>11041.99999999986</v>
      </c>
      <c r="T67" s="44">
        <f t="shared" si="2"/>
        <v>988253</v>
      </c>
    </row>
    <row r="68" spans="1:20" s="46" customFormat="1" x14ac:dyDescent="0.25">
      <c r="A68" s="39">
        <v>41334</v>
      </c>
      <c r="B68" s="44">
        <v>456575.60000000003</v>
      </c>
      <c r="C68" s="41" t="s">
        <v>1</v>
      </c>
      <c r="D68" s="41" t="s">
        <v>1</v>
      </c>
      <c r="E68" s="41" t="s">
        <v>1</v>
      </c>
      <c r="F68" s="47"/>
      <c r="G68" s="41" t="s">
        <v>1</v>
      </c>
      <c r="H68" s="41" t="s">
        <v>1</v>
      </c>
      <c r="I68" s="41" t="s">
        <v>1</v>
      </c>
      <c r="J68" s="44">
        <v>112857.5</v>
      </c>
      <c r="K68" s="44">
        <v>292063.09999999998</v>
      </c>
      <c r="L68" s="44"/>
      <c r="M68" s="44">
        <f t="shared" si="0"/>
        <v>404920.6</v>
      </c>
      <c r="N68" s="41">
        <v>7592</v>
      </c>
      <c r="O68" s="41"/>
      <c r="P68" s="44">
        <v>20</v>
      </c>
      <c r="Q68" s="44"/>
      <c r="R68" s="44">
        <v>9638</v>
      </c>
      <c r="S68" s="44">
        <v>11346.900000000036</v>
      </c>
      <c r="T68" s="44">
        <f t="shared" si="2"/>
        <v>890093.1</v>
      </c>
    </row>
    <row r="69" spans="1:20" s="46" customFormat="1" x14ac:dyDescent="0.25">
      <c r="A69" s="39">
        <v>41365</v>
      </c>
      <c r="B69" s="44">
        <v>450584.80000000005</v>
      </c>
      <c r="C69" s="41">
        <v>11186</v>
      </c>
      <c r="D69" s="41" t="s">
        <v>1</v>
      </c>
      <c r="E69" s="41" t="s">
        <v>1</v>
      </c>
      <c r="F69" s="47"/>
      <c r="G69" s="41" t="s">
        <v>1</v>
      </c>
      <c r="H69" s="41" t="s">
        <v>1</v>
      </c>
      <c r="I69" s="41" t="s">
        <v>1</v>
      </c>
      <c r="J69" s="44">
        <v>111464.2</v>
      </c>
      <c r="K69" s="44">
        <v>291755.09999999998</v>
      </c>
      <c r="L69" s="44"/>
      <c r="M69" s="44">
        <f t="shared" si="0"/>
        <v>414405.3</v>
      </c>
      <c r="N69" s="41" t="s">
        <v>1</v>
      </c>
      <c r="O69" s="41"/>
      <c r="P69" s="44">
        <v>20</v>
      </c>
      <c r="Q69" s="44"/>
      <c r="R69" s="44">
        <v>9597.9</v>
      </c>
      <c r="S69" s="44">
        <v>11407.099999999919</v>
      </c>
      <c r="T69" s="44">
        <f t="shared" si="2"/>
        <v>886015.10000000009</v>
      </c>
    </row>
    <row r="70" spans="1:20" s="46" customFormat="1" x14ac:dyDescent="0.25">
      <c r="A70" s="39">
        <v>41395</v>
      </c>
      <c r="B70" s="44">
        <v>463775.29999999987</v>
      </c>
      <c r="C70" s="41" t="s">
        <v>1</v>
      </c>
      <c r="D70" s="41" t="s">
        <v>1</v>
      </c>
      <c r="E70" s="41" t="s">
        <v>1</v>
      </c>
      <c r="F70" s="47"/>
      <c r="G70" s="41" t="s">
        <v>1</v>
      </c>
      <c r="H70" s="41" t="s">
        <v>1</v>
      </c>
      <c r="I70" s="41" t="s">
        <v>1</v>
      </c>
      <c r="J70" s="44">
        <v>110070.9</v>
      </c>
      <c r="K70" s="44">
        <v>291446.90000000002</v>
      </c>
      <c r="L70" s="44"/>
      <c r="M70" s="44">
        <f t="shared" ref="M70:M113" si="3">SUM(C70:K70)</f>
        <v>401517.80000000005</v>
      </c>
      <c r="N70" s="41" t="s">
        <v>1</v>
      </c>
      <c r="O70" s="41"/>
      <c r="P70" s="44">
        <v>20</v>
      </c>
      <c r="Q70" s="44"/>
      <c r="R70" s="44">
        <v>9828.6</v>
      </c>
      <c r="S70" s="44">
        <v>11468.600000000093</v>
      </c>
      <c r="T70" s="44">
        <f t="shared" ref="T70:T101" si="4">SUM(B70,M70:S70)</f>
        <v>886610.29999999993</v>
      </c>
    </row>
    <row r="71" spans="1:20" s="46" customFormat="1" x14ac:dyDescent="0.25">
      <c r="A71" s="39">
        <v>41426</v>
      </c>
      <c r="B71" s="44">
        <v>427795.10000000003</v>
      </c>
      <c r="C71" s="41" t="s">
        <v>1</v>
      </c>
      <c r="D71" s="41" t="s">
        <v>1</v>
      </c>
      <c r="E71" s="41" t="s">
        <v>1</v>
      </c>
      <c r="F71" s="47"/>
      <c r="G71" s="41" t="s">
        <v>1</v>
      </c>
      <c r="H71" s="41" t="s">
        <v>1</v>
      </c>
      <c r="I71" s="41" t="s">
        <v>1</v>
      </c>
      <c r="J71" s="44">
        <v>108677.6</v>
      </c>
      <c r="K71" s="44">
        <v>291138.8</v>
      </c>
      <c r="L71" s="44"/>
      <c r="M71" s="44">
        <f t="shared" si="3"/>
        <v>399816.4</v>
      </c>
      <c r="N71" s="41" t="s">
        <v>1</v>
      </c>
      <c r="O71" s="41"/>
      <c r="P71" s="44">
        <v>20</v>
      </c>
      <c r="Q71" s="44"/>
      <c r="R71" s="44">
        <v>9998</v>
      </c>
      <c r="S71" s="44">
        <v>11268.099999999977</v>
      </c>
      <c r="T71" s="44">
        <f t="shared" si="4"/>
        <v>848897.6</v>
      </c>
    </row>
    <row r="72" spans="1:20" s="46" customFormat="1" x14ac:dyDescent="0.25">
      <c r="A72" s="39">
        <v>41456</v>
      </c>
      <c r="B72" s="44">
        <v>459491.9</v>
      </c>
      <c r="C72" s="41" t="s">
        <v>1</v>
      </c>
      <c r="D72" s="41" t="s">
        <v>1</v>
      </c>
      <c r="E72" s="41" t="s">
        <v>1</v>
      </c>
      <c r="F72" s="47"/>
      <c r="G72" s="41" t="s">
        <v>1</v>
      </c>
      <c r="H72" s="41" t="s">
        <v>1</v>
      </c>
      <c r="I72" s="41" t="s">
        <v>1</v>
      </c>
      <c r="J72" s="44">
        <v>107284.3</v>
      </c>
      <c r="K72" s="44">
        <v>290830.7</v>
      </c>
      <c r="L72" s="44"/>
      <c r="M72" s="44">
        <f t="shared" si="3"/>
        <v>398115</v>
      </c>
      <c r="N72" s="41">
        <v>2619.6999999999998</v>
      </c>
      <c r="O72" s="41"/>
      <c r="P72" s="44">
        <v>20</v>
      </c>
      <c r="Q72" s="44"/>
      <c r="R72" s="44">
        <v>10448.699999999999</v>
      </c>
      <c r="S72" s="44">
        <v>11885.899999999976</v>
      </c>
      <c r="T72" s="44">
        <f t="shared" si="4"/>
        <v>882581.2</v>
      </c>
    </row>
    <row r="73" spans="1:20" s="46" customFormat="1" x14ac:dyDescent="0.25">
      <c r="A73" s="39">
        <v>41487</v>
      </c>
      <c r="B73" s="44">
        <v>445616.2</v>
      </c>
      <c r="C73" s="41" t="s">
        <v>1</v>
      </c>
      <c r="D73" s="41" t="s">
        <v>1</v>
      </c>
      <c r="E73" s="41" t="s">
        <v>1</v>
      </c>
      <c r="F73" s="47"/>
      <c r="G73" s="41" t="s">
        <v>1</v>
      </c>
      <c r="H73" s="41" t="s">
        <v>1</v>
      </c>
      <c r="I73" s="41" t="s">
        <v>1</v>
      </c>
      <c r="J73" s="44">
        <v>107284.3</v>
      </c>
      <c r="K73" s="44">
        <v>290830.7</v>
      </c>
      <c r="L73" s="44"/>
      <c r="M73" s="44">
        <f t="shared" si="3"/>
        <v>398115</v>
      </c>
      <c r="N73" s="41" t="s">
        <v>1</v>
      </c>
      <c r="O73" s="41"/>
      <c r="P73" s="44">
        <v>20</v>
      </c>
      <c r="Q73" s="44"/>
      <c r="R73" s="44">
        <v>10728.099999999999</v>
      </c>
      <c r="S73" s="44">
        <v>12193.099999999977</v>
      </c>
      <c r="T73" s="44">
        <f t="shared" si="4"/>
        <v>866672.39999999991</v>
      </c>
    </row>
    <row r="74" spans="1:20" s="46" customFormat="1" x14ac:dyDescent="0.25">
      <c r="A74" s="39">
        <v>41518</v>
      </c>
      <c r="B74" s="44">
        <v>459354.19999999995</v>
      </c>
      <c r="C74" s="41" t="s">
        <v>1</v>
      </c>
      <c r="D74" s="41" t="s">
        <v>1</v>
      </c>
      <c r="E74" s="41" t="s">
        <v>1</v>
      </c>
      <c r="F74" s="47"/>
      <c r="G74" s="41" t="s">
        <v>1</v>
      </c>
      <c r="H74" s="41" t="s">
        <v>1</v>
      </c>
      <c r="I74" s="41" t="s">
        <v>1</v>
      </c>
      <c r="J74" s="44">
        <v>107284.3</v>
      </c>
      <c r="K74" s="44">
        <v>290214.40000000002</v>
      </c>
      <c r="L74" s="44"/>
      <c r="M74" s="44">
        <f t="shared" si="3"/>
        <v>397498.7</v>
      </c>
      <c r="N74" s="41">
        <v>61.3</v>
      </c>
      <c r="O74" s="41"/>
      <c r="P74" s="44">
        <v>20</v>
      </c>
      <c r="Q74" s="44"/>
      <c r="R74" s="44">
        <v>10811.199999999999</v>
      </c>
      <c r="S74" s="44">
        <v>12197.000000000035</v>
      </c>
      <c r="T74" s="44">
        <f t="shared" si="4"/>
        <v>879942.39999999991</v>
      </c>
    </row>
    <row r="75" spans="1:20" s="46" customFormat="1" x14ac:dyDescent="0.25">
      <c r="A75" s="39">
        <v>41548</v>
      </c>
      <c r="B75" s="44">
        <v>480821.6</v>
      </c>
      <c r="C75" s="41">
        <v>6525.5</v>
      </c>
      <c r="D75" s="41" t="s">
        <v>1</v>
      </c>
      <c r="E75" s="41" t="s">
        <v>1</v>
      </c>
      <c r="F75" s="47"/>
      <c r="G75" s="41" t="s">
        <v>1</v>
      </c>
      <c r="H75" s="41" t="s">
        <v>1</v>
      </c>
      <c r="I75" s="41" t="s">
        <v>1</v>
      </c>
      <c r="J75" s="44">
        <v>107284.3</v>
      </c>
      <c r="K75" s="44">
        <v>289906.3</v>
      </c>
      <c r="L75" s="44"/>
      <c r="M75" s="44">
        <f t="shared" si="3"/>
        <v>403716.1</v>
      </c>
      <c r="N75" s="41" t="s">
        <v>1</v>
      </c>
      <c r="O75" s="41"/>
      <c r="P75" s="44">
        <v>20</v>
      </c>
      <c r="Q75" s="44"/>
      <c r="R75" s="44">
        <v>10933</v>
      </c>
      <c r="S75" s="44">
        <v>13482.999999999978</v>
      </c>
      <c r="T75" s="44">
        <f t="shared" si="4"/>
        <v>908973.7</v>
      </c>
    </row>
    <row r="76" spans="1:20" s="46" customFormat="1" x14ac:dyDescent="0.25">
      <c r="A76" s="39">
        <v>41579</v>
      </c>
      <c r="B76" s="44">
        <v>461477.3</v>
      </c>
      <c r="C76" s="41">
        <v>20947.400000000001</v>
      </c>
      <c r="D76" s="41" t="s">
        <v>1</v>
      </c>
      <c r="E76" s="41" t="s">
        <v>1</v>
      </c>
      <c r="F76" s="47"/>
      <c r="G76" s="41" t="s">
        <v>1</v>
      </c>
      <c r="H76" s="41" t="s">
        <v>1</v>
      </c>
      <c r="I76" s="41" t="s">
        <v>1</v>
      </c>
      <c r="J76" s="44">
        <v>107284.3</v>
      </c>
      <c r="K76" s="44">
        <v>289906.3</v>
      </c>
      <c r="L76" s="44"/>
      <c r="M76" s="44">
        <f t="shared" si="3"/>
        <v>418138</v>
      </c>
      <c r="N76" s="41" t="s">
        <v>1</v>
      </c>
      <c r="O76" s="41"/>
      <c r="P76" s="44">
        <v>20</v>
      </c>
      <c r="Q76" s="44"/>
      <c r="R76" s="44">
        <v>11059.899999999998</v>
      </c>
      <c r="S76" s="44">
        <v>13585.2</v>
      </c>
      <c r="T76" s="44">
        <f t="shared" si="4"/>
        <v>904280.4</v>
      </c>
    </row>
    <row r="77" spans="1:20" s="46" customFormat="1" x14ac:dyDescent="0.25">
      <c r="A77" s="39">
        <v>41609</v>
      </c>
      <c r="B77" s="44">
        <v>501323.49999999994</v>
      </c>
      <c r="C77" s="41" t="s">
        <v>1</v>
      </c>
      <c r="D77" s="41" t="s">
        <v>1</v>
      </c>
      <c r="E77" s="41" t="s">
        <v>1</v>
      </c>
      <c r="F77" s="47"/>
      <c r="G77" s="41" t="s">
        <v>1</v>
      </c>
      <c r="H77" s="41" t="s">
        <v>1</v>
      </c>
      <c r="I77" s="41" t="s">
        <v>1</v>
      </c>
      <c r="J77" s="44">
        <v>107284.3</v>
      </c>
      <c r="K77" s="44">
        <v>289290</v>
      </c>
      <c r="L77" s="44"/>
      <c r="M77" s="44">
        <f t="shared" si="3"/>
        <v>396574.3</v>
      </c>
      <c r="N77" s="41" t="s">
        <v>1</v>
      </c>
      <c r="O77" s="41"/>
      <c r="P77" s="44">
        <v>20</v>
      </c>
      <c r="Q77" s="44"/>
      <c r="R77" s="44">
        <v>11039.999999999998</v>
      </c>
      <c r="S77" s="44">
        <v>14789.2</v>
      </c>
      <c r="T77" s="44">
        <f t="shared" si="4"/>
        <v>923746.99999999988</v>
      </c>
    </row>
    <row r="78" spans="1:20" s="46" customFormat="1" x14ac:dyDescent="0.25">
      <c r="A78" s="39">
        <v>41640</v>
      </c>
      <c r="B78" s="44">
        <v>476420.8</v>
      </c>
      <c r="C78" s="41" t="s">
        <v>1</v>
      </c>
      <c r="D78" s="41" t="s">
        <v>1</v>
      </c>
      <c r="E78" s="41" t="s">
        <v>1</v>
      </c>
      <c r="F78" s="47"/>
      <c r="G78" s="41" t="s">
        <v>1</v>
      </c>
      <c r="H78" s="41" t="s">
        <v>1</v>
      </c>
      <c r="I78" s="41" t="s">
        <v>1</v>
      </c>
      <c r="J78" s="44">
        <v>107284.3</v>
      </c>
      <c r="K78" s="44">
        <v>289290</v>
      </c>
      <c r="L78" s="44"/>
      <c r="M78" s="44">
        <f t="shared" si="3"/>
        <v>396574.3</v>
      </c>
      <c r="N78" s="41" t="s">
        <v>1</v>
      </c>
      <c r="O78" s="41"/>
      <c r="P78" s="44">
        <v>20</v>
      </c>
      <c r="Q78" s="44"/>
      <c r="R78" s="44">
        <v>12077.8</v>
      </c>
      <c r="S78" s="44">
        <v>14948.7</v>
      </c>
      <c r="T78" s="44">
        <f t="shared" si="4"/>
        <v>900041.6</v>
      </c>
    </row>
    <row r="79" spans="1:20" s="46" customFormat="1" x14ac:dyDescent="0.25">
      <c r="A79" s="39">
        <v>41671</v>
      </c>
      <c r="B79" s="44">
        <v>476946.10000000003</v>
      </c>
      <c r="C79" s="41" t="s">
        <v>1</v>
      </c>
      <c r="D79" s="41" t="s">
        <v>1</v>
      </c>
      <c r="E79" s="41" t="s">
        <v>1</v>
      </c>
      <c r="F79" s="47"/>
      <c r="G79" s="41" t="s">
        <v>1</v>
      </c>
      <c r="H79" s="41" t="s">
        <v>1</v>
      </c>
      <c r="I79" s="41" t="s">
        <v>1</v>
      </c>
      <c r="J79" s="44">
        <v>107284.3</v>
      </c>
      <c r="K79" s="44">
        <v>288673.7</v>
      </c>
      <c r="L79" s="44"/>
      <c r="M79" s="44">
        <f t="shared" si="3"/>
        <v>395958</v>
      </c>
      <c r="N79" s="41">
        <v>2029.8</v>
      </c>
      <c r="O79" s="41"/>
      <c r="P79" s="44">
        <v>20</v>
      </c>
      <c r="Q79" s="44"/>
      <c r="R79" s="44">
        <v>12534</v>
      </c>
      <c r="S79" s="44">
        <v>14906.1</v>
      </c>
      <c r="T79" s="44">
        <f t="shared" si="4"/>
        <v>902394.00000000012</v>
      </c>
    </row>
    <row r="80" spans="1:20" s="46" customFormat="1" x14ac:dyDescent="0.25">
      <c r="A80" s="39">
        <v>41699</v>
      </c>
      <c r="B80" s="44">
        <v>491562.9</v>
      </c>
      <c r="C80" s="41">
        <v>8513</v>
      </c>
      <c r="D80" s="41" t="s">
        <v>1</v>
      </c>
      <c r="E80" s="41" t="s">
        <v>1</v>
      </c>
      <c r="F80" s="47"/>
      <c r="G80" s="41" t="s">
        <v>1</v>
      </c>
      <c r="H80" s="41" t="s">
        <v>1</v>
      </c>
      <c r="I80" s="41" t="s">
        <v>1</v>
      </c>
      <c r="J80" s="44">
        <v>107284.3</v>
      </c>
      <c r="K80" s="44">
        <v>288673.7</v>
      </c>
      <c r="L80" s="44"/>
      <c r="M80" s="44">
        <f t="shared" si="3"/>
        <v>404471</v>
      </c>
      <c r="N80" s="41">
        <v>2239.9</v>
      </c>
      <c r="O80" s="41"/>
      <c r="P80" s="44">
        <v>20</v>
      </c>
      <c r="Q80" s="44"/>
      <c r="R80" s="44">
        <v>12667.3</v>
      </c>
      <c r="S80" s="44">
        <v>15190.699999999999</v>
      </c>
      <c r="T80" s="44">
        <f t="shared" si="4"/>
        <v>926151.8</v>
      </c>
    </row>
    <row r="81" spans="1:20" s="46" customFormat="1" x14ac:dyDescent="0.25">
      <c r="A81" s="39">
        <v>41730</v>
      </c>
      <c r="B81" s="44">
        <v>493629.5</v>
      </c>
      <c r="C81" s="41">
        <v>14256.4</v>
      </c>
      <c r="D81" s="41" t="s">
        <v>1</v>
      </c>
      <c r="E81" s="41" t="s">
        <v>1</v>
      </c>
      <c r="F81" s="47"/>
      <c r="G81" s="41" t="s">
        <v>1</v>
      </c>
      <c r="H81" s="41" t="s">
        <v>1</v>
      </c>
      <c r="I81" s="41" t="s">
        <v>1</v>
      </c>
      <c r="J81" s="44">
        <v>107284.3</v>
      </c>
      <c r="K81" s="44">
        <v>288365.59999999998</v>
      </c>
      <c r="L81" s="44"/>
      <c r="M81" s="44">
        <f t="shared" si="3"/>
        <v>409906.3</v>
      </c>
      <c r="N81" s="41">
        <v>1914.8</v>
      </c>
      <c r="O81" s="41"/>
      <c r="P81" s="44">
        <v>20</v>
      </c>
      <c r="Q81" s="44"/>
      <c r="R81" s="44">
        <v>12846.599999999999</v>
      </c>
      <c r="S81" s="44">
        <v>46511.199999999997</v>
      </c>
      <c r="T81" s="44">
        <f t="shared" si="4"/>
        <v>964828.4</v>
      </c>
    </row>
    <row r="82" spans="1:20" s="46" customFormat="1" x14ac:dyDescent="0.25">
      <c r="A82" s="39">
        <v>41760</v>
      </c>
      <c r="B82" s="44">
        <v>482440</v>
      </c>
      <c r="C82" s="41">
        <v>16076.5</v>
      </c>
      <c r="D82" s="41" t="s">
        <v>1</v>
      </c>
      <c r="E82" s="41" t="s">
        <v>1</v>
      </c>
      <c r="F82" s="47"/>
      <c r="G82" s="41" t="s">
        <v>1</v>
      </c>
      <c r="H82" s="41" t="s">
        <v>1</v>
      </c>
      <c r="I82" s="41" t="s">
        <v>1</v>
      </c>
      <c r="J82" s="44">
        <v>107284.3</v>
      </c>
      <c r="K82" s="44">
        <v>287749.3</v>
      </c>
      <c r="L82" s="44"/>
      <c r="M82" s="44">
        <f t="shared" si="3"/>
        <v>411110.1</v>
      </c>
      <c r="N82" s="41">
        <v>1914.8</v>
      </c>
      <c r="O82" s="41"/>
      <c r="P82" s="44">
        <v>20</v>
      </c>
      <c r="Q82" s="44"/>
      <c r="R82" s="44">
        <v>12882.9</v>
      </c>
      <c r="S82" s="44">
        <v>46641.799999999996</v>
      </c>
      <c r="T82" s="44">
        <f t="shared" si="4"/>
        <v>955009.60000000009</v>
      </c>
    </row>
    <row r="83" spans="1:20" s="46" customFormat="1" x14ac:dyDescent="0.25">
      <c r="A83" s="39">
        <v>41791</v>
      </c>
      <c r="B83" s="44">
        <v>486604.30000000005</v>
      </c>
      <c r="C83" s="41">
        <v>39309.599999999999</v>
      </c>
      <c r="D83" s="41" t="s">
        <v>1</v>
      </c>
      <c r="E83" s="41" t="s">
        <v>1</v>
      </c>
      <c r="F83" s="47"/>
      <c r="G83" s="41" t="s">
        <v>1</v>
      </c>
      <c r="H83" s="41" t="s">
        <v>1</v>
      </c>
      <c r="I83" s="41" t="s">
        <v>1</v>
      </c>
      <c r="J83" s="44">
        <v>107284.3</v>
      </c>
      <c r="K83" s="44">
        <v>287441.2</v>
      </c>
      <c r="L83" s="44"/>
      <c r="M83" s="44">
        <f t="shared" si="3"/>
        <v>434035.1</v>
      </c>
      <c r="N83" s="41">
        <v>1914.8</v>
      </c>
      <c r="O83" s="41"/>
      <c r="P83" s="44">
        <v>20</v>
      </c>
      <c r="Q83" s="44"/>
      <c r="R83" s="44">
        <v>13409.899999999998</v>
      </c>
      <c r="S83" s="44">
        <v>44868.7</v>
      </c>
      <c r="T83" s="44">
        <f t="shared" si="4"/>
        <v>980852.8</v>
      </c>
    </row>
    <row r="84" spans="1:20" s="46" customFormat="1" x14ac:dyDescent="0.25">
      <c r="A84" s="39">
        <v>41821</v>
      </c>
      <c r="B84" s="44">
        <v>456597.2</v>
      </c>
      <c r="C84" s="41">
        <v>52779.8</v>
      </c>
      <c r="D84" s="41" t="s">
        <v>1</v>
      </c>
      <c r="E84" s="41" t="s">
        <v>1</v>
      </c>
      <c r="F84" s="47"/>
      <c r="G84" s="41" t="s">
        <v>1</v>
      </c>
      <c r="H84" s="41" t="s">
        <v>1</v>
      </c>
      <c r="I84" s="41" t="s">
        <v>1</v>
      </c>
      <c r="J84" s="44">
        <v>107284.3</v>
      </c>
      <c r="K84" s="44">
        <v>287441.2</v>
      </c>
      <c r="L84" s="44"/>
      <c r="M84" s="44">
        <f t="shared" si="3"/>
        <v>447505.30000000005</v>
      </c>
      <c r="N84" s="41">
        <v>1914.8</v>
      </c>
      <c r="O84" s="41"/>
      <c r="P84" s="44">
        <v>20</v>
      </c>
      <c r="Q84" s="44"/>
      <c r="R84" s="44">
        <v>13428.499999999998</v>
      </c>
      <c r="S84" s="44">
        <v>55001.7</v>
      </c>
      <c r="T84" s="44">
        <f t="shared" si="4"/>
        <v>974467.5</v>
      </c>
    </row>
    <row r="85" spans="1:20" s="46" customFormat="1" x14ac:dyDescent="0.25">
      <c r="A85" s="39">
        <v>41852</v>
      </c>
      <c r="B85" s="44">
        <v>461809.60000000003</v>
      </c>
      <c r="C85" s="41">
        <v>43358.6</v>
      </c>
      <c r="D85" s="41" t="s">
        <v>1</v>
      </c>
      <c r="E85" s="41" t="s">
        <v>1</v>
      </c>
      <c r="F85" s="47"/>
      <c r="G85" s="41" t="s">
        <v>1</v>
      </c>
      <c r="H85" s="41" t="s">
        <v>1</v>
      </c>
      <c r="I85" s="41" t="s">
        <v>1</v>
      </c>
      <c r="J85" s="44">
        <v>107284.3</v>
      </c>
      <c r="K85" s="44">
        <v>286825</v>
      </c>
      <c r="L85" s="44"/>
      <c r="M85" s="44">
        <f t="shared" si="3"/>
        <v>437467.9</v>
      </c>
      <c r="N85" s="41">
        <v>2000</v>
      </c>
      <c r="O85" s="41"/>
      <c r="P85" s="44">
        <v>20</v>
      </c>
      <c r="Q85" s="44"/>
      <c r="R85" s="44">
        <v>13311.999999999998</v>
      </c>
      <c r="S85" s="44">
        <v>55478.5</v>
      </c>
      <c r="T85" s="44">
        <f t="shared" si="4"/>
        <v>970088</v>
      </c>
    </row>
    <row r="86" spans="1:20" s="46" customFormat="1" x14ac:dyDescent="0.25">
      <c r="A86" s="39">
        <v>41883</v>
      </c>
      <c r="B86" s="44">
        <v>524904.80000000005</v>
      </c>
      <c r="C86" s="41">
        <v>27300.1</v>
      </c>
      <c r="D86" s="41" t="s">
        <v>1</v>
      </c>
      <c r="E86" s="41" t="s">
        <v>1</v>
      </c>
      <c r="F86" s="47"/>
      <c r="G86" s="41" t="s">
        <v>1</v>
      </c>
      <c r="H86" s="41" t="s">
        <v>1</v>
      </c>
      <c r="I86" s="41" t="s">
        <v>1</v>
      </c>
      <c r="J86" s="44">
        <v>107284.3</v>
      </c>
      <c r="K86" s="44">
        <v>286825</v>
      </c>
      <c r="L86" s="44"/>
      <c r="M86" s="44">
        <f t="shared" si="3"/>
        <v>421409.4</v>
      </c>
      <c r="N86" s="41">
        <v>2231.9</v>
      </c>
      <c r="O86" s="41"/>
      <c r="P86" s="44">
        <v>20</v>
      </c>
      <c r="Q86" s="44"/>
      <c r="R86" s="44">
        <v>13318.8</v>
      </c>
      <c r="S86" s="44">
        <v>56231.6</v>
      </c>
      <c r="T86" s="44">
        <f t="shared" si="4"/>
        <v>1018116.5000000001</v>
      </c>
    </row>
    <row r="87" spans="1:20" s="46" customFormat="1" x14ac:dyDescent="0.25">
      <c r="A87" s="39">
        <v>41913</v>
      </c>
      <c r="B87" s="44">
        <v>519131.10000000003</v>
      </c>
      <c r="C87" s="41">
        <v>74347</v>
      </c>
      <c r="D87" s="41" t="s">
        <v>1</v>
      </c>
      <c r="E87" s="41" t="s">
        <v>1</v>
      </c>
      <c r="F87" s="47"/>
      <c r="G87" s="41" t="s">
        <v>1</v>
      </c>
      <c r="H87" s="41" t="s">
        <v>1</v>
      </c>
      <c r="I87" s="41" t="s">
        <v>1</v>
      </c>
      <c r="J87" s="44">
        <v>107284.3</v>
      </c>
      <c r="K87" s="44">
        <v>286516.8</v>
      </c>
      <c r="L87" s="44"/>
      <c r="M87" s="44">
        <f t="shared" si="3"/>
        <v>468148.1</v>
      </c>
      <c r="N87" s="41">
        <v>2000</v>
      </c>
      <c r="O87" s="41"/>
      <c r="P87" s="44">
        <v>20</v>
      </c>
      <c r="Q87" s="44"/>
      <c r="R87" s="44">
        <v>13176.999999999998</v>
      </c>
      <c r="S87" s="44">
        <v>58626.9</v>
      </c>
      <c r="T87" s="44">
        <f t="shared" si="4"/>
        <v>1061103.0999999999</v>
      </c>
    </row>
    <row r="88" spans="1:20" s="46" customFormat="1" x14ac:dyDescent="0.25">
      <c r="A88" s="39">
        <v>41944</v>
      </c>
      <c r="B88" s="44">
        <v>510232.80000000005</v>
      </c>
      <c r="C88" s="41">
        <v>41502.5</v>
      </c>
      <c r="D88" s="41" t="s">
        <v>1</v>
      </c>
      <c r="E88" s="41" t="s">
        <v>1</v>
      </c>
      <c r="F88" s="47"/>
      <c r="G88" s="41" t="s">
        <v>1</v>
      </c>
      <c r="H88" s="41" t="s">
        <v>1</v>
      </c>
      <c r="I88" s="41" t="s">
        <v>1</v>
      </c>
      <c r="J88" s="44">
        <v>106976.2</v>
      </c>
      <c r="K88" s="44">
        <v>286208.59999999998</v>
      </c>
      <c r="L88" s="44"/>
      <c r="M88" s="44">
        <f t="shared" si="3"/>
        <v>434687.3</v>
      </c>
      <c r="N88" s="41">
        <v>2565.8000000000002</v>
      </c>
      <c r="O88" s="41"/>
      <c r="P88" s="44">
        <v>20</v>
      </c>
      <c r="Q88" s="44"/>
      <c r="R88" s="44">
        <v>13162.899999999998</v>
      </c>
      <c r="S88" s="44">
        <v>60314.5</v>
      </c>
      <c r="T88" s="44">
        <f t="shared" si="4"/>
        <v>1020983.3000000002</v>
      </c>
    </row>
    <row r="89" spans="1:20" s="46" customFormat="1" x14ac:dyDescent="0.25">
      <c r="A89" s="39">
        <v>41974</v>
      </c>
      <c r="B89" s="44">
        <v>501214.7</v>
      </c>
      <c r="C89" s="41">
        <v>55186.9</v>
      </c>
      <c r="D89" s="41" t="s">
        <v>1</v>
      </c>
      <c r="E89" s="41" t="s">
        <v>1</v>
      </c>
      <c r="F89" s="47"/>
      <c r="G89" s="41" t="s">
        <v>1</v>
      </c>
      <c r="H89" s="41" t="s">
        <v>1</v>
      </c>
      <c r="I89" s="41" t="s">
        <v>1</v>
      </c>
      <c r="J89" s="44">
        <v>106976.2</v>
      </c>
      <c r="K89" s="44">
        <v>285900.5</v>
      </c>
      <c r="L89" s="44"/>
      <c r="M89" s="44">
        <f t="shared" si="3"/>
        <v>448063.6</v>
      </c>
      <c r="N89" s="41">
        <v>2000</v>
      </c>
      <c r="O89" s="41"/>
      <c r="P89" s="44">
        <v>20</v>
      </c>
      <c r="Q89" s="44"/>
      <c r="R89" s="44">
        <v>13012.499999999998</v>
      </c>
      <c r="S89" s="44">
        <v>64355.9</v>
      </c>
      <c r="T89" s="44">
        <f t="shared" si="4"/>
        <v>1028666.7000000001</v>
      </c>
    </row>
    <row r="90" spans="1:20" s="46" customFormat="1" x14ac:dyDescent="0.25">
      <c r="A90" s="39">
        <v>42005</v>
      </c>
      <c r="B90" s="44">
        <v>484397.9</v>
      </c>
      <c r="C90" s="41">
        <v>22472.2</v>
      </c>
      <c r="D90" s="41" t="s">
        <v>1</v>
      </c>
      <c r="E90" s="41" t="s">
        <v>1</v>
      </c>
      <c r="F90" s="47"/>
      <c r="G90" s="41" t="s">
        <v>1</v>
      </c>
      <c r="H90" s="41" t="s">
        <v>1</v>
      </c>
      <c r="I90" s="41" t="s">
        <v>1</v>
      </c>
      <c r="J90" s="44">
        <v>106976.2</v>
      </c>
      <c r="K90" s="44">
        <v>285900.5</v>
      </c>
      <c r="L90" s="44"/>
      <c r="M90" s="44">
        <f t="shared" si="3"/>
        <v>415348.9</v>
      </c>
      <c r="N90" s="41">
        <v>2463.6999999999998</v>
      </c>
      <c r="O90" s="41"/>
      <c r="P90" s="44">
        <v>20</v>
      </c>
      <c r="Q90" s="44"/>
      <c r="R90" s="44">
        <v>13812.599999999999</v>
      </c>
      <c r="S90" s="44">
        <v>66790.900000000009</v>
      </c>
      <c r="T90" s="44">
        <f t="shared" si="4"/>
        <v>982834</v>
      </c>
    </row>
    <row r="91" spans="1:20" s="46" customFormat="1" x14ac:dyDescent="0.25">
      <c r="A91" s="39">
        <v>42036</v>
      </c>
      <c r="B91" s="44">
        <v>476571.7</v>
      </c>
      <c r="C91" s="41">
        <v>72202.7</v>
      </c>
      <c r="D91" s="41" t="s">
        <v>1</v>
      </c>
      <c r="E91" s="41" t="s">
        <v>1</v>
      </c>
      <c r="F91" s="47"/>
      <c r="G91" s="41" t="s">
        <v>1</v>
      </c>
      <c r="H91" s="41" t="s">
        <v>1</v>
      </c>
      <c r="I91" s="41" t="s">
        <v>1</v>
      </c>
      <c r="J91" s="44">
        <v>105891</v>
      </c>
      <c r="K91" s="44">
        <v>284644.40000000002</v>
      </c>
      <c r="L91" s="44"/>
      <c r="M91" s="44">
        <f t="shared" si="3"/>
        <v>462738.10000000003</v>
      </c>
      <c r="N91" s="41">
        <v>2000</v>
      </c>
      <c r="O91" s="41"/>
      <c r="P91" s="44">
        <v>20</v>
      </c>
      <c r="Q91" s="44"/>
      <c r="R91" s="44">
        <v>13680.599999999999</v>
      </c>
      <c r="S91" s="44">
        <v>68262.8</v>
      </c>
      <c r="T91" s="44">
        <f t="shared" si="4"/>
        <v>1023273.2000000001</v>
      </c>
    </row>
    <row r="92" spans="1:20" s="46" customFormat="1" x14ac:dyDescent="0.25">
      <c r="A92" s="39">
        <v>42064</v>
      </c>
      <c r="B92" s="44">
        <v>472511</v>
      </c>
      <c r="C92" s="41">
        <v>23590.1</v>
      </c>
      <c r="D92" s="41" t="s">
        <v>1</v>
      </c>
      <c r="E92" s="41" t="s">
        <v>1</v>
      </c>
      <c r="F92" s="47"/>
      <c r="G92" s="41" t="s">
        <v>1</v>
      </c>
      <c r="H92" s="41" t="s">
        <v>1</v>
      </c>
      <c r="I92" s="41" t="s">
        <v>1</v>
      </c>
      <c r="J92" s="44">
        <v>104166</v>
      </c>
      <c r="K92" s="44">
        <v>284644.40000000002</v>
      </c>
      <c r="L92" s="44"/>
      <c r="M92" s="44">
        <f t="shared" si="3"/>
        <v>412400.5</v>
      </c>
      <c r="N92" s="41">
        <v>3178.9</v>
      </c>
      <c r="O92" s="41"/>
      <c r="P92" s="44">
        <v>20</v>
      </c>
      <c r="Q92" s="44"/>
      <c r="R92" s="44">
        <v>13563.399999999998</v>
      </c>
      <c r="S92" s="44">
        <v>69216.900000000009</v>
      </c>
      <c r="T92" s="44">
        <f t="shared" si="4"/>
        <v>970890.70000000007</v>
      </c>
    </row>
    <row r="93" spans="1:20" s="46" customFormat="1" x14ac:dyDescent="0.25">
      <c r="A93" s="39">
        <v>42095</v>
      </c>
      <c r="B93" s="44">
        <v>453607.9</v>
      </c>
      <c r="C93" s="41">
        <v>54107.7</v>
      </c>
      <c r="D93" s="41" t="s">
        <v>1</v>
      </c>
      <c r="E93" s="41" t="s">
        <v>1</v>
      </c>
      <c r="F93" s="47"/>
      <c r="G93" s="41" t="s">
        <v>1</v>
      </c>
      <c r="H93" s="41" t="s">
        <v>1</v>
      </c>
      <c r="I93" s="41" t="s">
        <v>1</v>
      </c>
      <c r="J93" s="44">
        <v>102772.7</v>
      </c>
      <c r="K93" s="44">
        <v>284004.5</v>
      </c>
      <c r="L93" s="44"/>
      <c r="M93" s="44">
        <f t="shared" si="3"/>
        <v>440884.9</v>
      </c>
      <c r="N93" s="41">
        <v>12000</v>
      </c>
      <c r="O93" s="41"/>
      <c r="P93" s="44">
        <v>20</v>
      </c>
      <c r="Q93" s="44"/>
      <c r="R93" s="44">
        <v>13404.199999999999</v>
      </c>
      <c r="S93" s="44">
        <v>71217.900000000009</v>
      </c>
      <c r="T93" s="44">
        <f t="shared" si="4"/>
        <v>991134.9</v>
      </c>
    </row>
    <row r="94" spans="1:20" s="46" customFormat="1" x14ac:dyDescent="0.25">
      <c r="A94" s="39">
        <v>42125</v>
      </c>
      <c r="B94" s="44">
        <v>453191.4</v>
      </c>
      <c r="C94" s="41">
        <v>79625</v>
      </c>
      <c r="D94" s="41" t="s">
        <v>1</v>
      </c>
      <c r="E94" s="41" t="s">
        <v>1</v>
      </c>
      <c r="F94" s="47"/>
      <c r="G94" s="41" t="s">
        <v>1</v>
      </c>
      <c r="H94" s="41" t="s">
        <v>1</v>
      </c>
      <c r="I94" s="41" t="s">
        <v>1</v>
      </c>
      <c r="J94" s="44">
        <v>101379.3</v>
      </c>
      <c r="K94" s="44">
        <v>283364.7</v>
      </c>
      <c r="L94" s="44"/>
      <c r="M94" s="44">
        <f t="shared" si="3"/>
        <v>464369</v>
      </c>
      <c r="N94" s="41">
        <v>2911.5</v>
      </c>
      <c r="O94" s="41"/>
      <c r="P94" s="44">
        <v>20</v>
      </c>
      <c r="Q94" s="44"/>
      <c r="R94" s="44">
        <v>13723.699999999999</v>
      </c>
      <c r="S94" s="44">
        <v>72556</v>
      </c>
      <c r="T94" s="44">
        <f t="shared" si="4"/>
        <v>1006771.6</v>
      </c>
    </row>
    <row r="95" spans="1:20" s="46" customFormat="1" x14ac:dyDescent="0.25">
      <c r="A95" s="39">
        <v>42156</v>
      </c>
      <c r="B95" s="44">
        <v>373217.2</v>
      </c>
      <c r="C95" s="41">
        <v>121700.8</v>
      </c>
      <c r="D95" s="41" t="s">
        <v>1</v>
      </c>
      <c r="E95" s="41" t="s">
        <v>1</v>
      </c>
      <c r="F95" s="47"/>
      <c r="G95" s="41" t="s">
        <v>1</v>
      </c>
      <c r="H95" s="41" t="s">
        <v>1</v>
      </c>
      <c r="I95" s="41" t="s">
        <v>1</v>
      </c>
      <c r="J95" s="44">
        <v>100317.8</v>
      </c>
      <c r="K95" s="44">
        <v>282393.09999999998</v>
      </c>
      <c r="L95" s="44"/>
      <c r="M95" s="44">
        <f t="shared" si="3"/>
        <v>504411.69999999995</v>
      </c>
      <c r="N95" s="41">
        <v>22000</v>
      </c>
      <c r="O95" s="41"/>
      <c r="P95" s="44">
        <v>20</v>
      </c>
      <c r="Q95" s="44"/>
      <c r="R95" s="44">
        <v>14077.699999999999</v>
      </c>
      <c r="S95" s="44">
        <v>71416.800000000003</v>
      </c>
      <c r="T95" s="44">
        <f t="shared" si="4"/>
        <v>985143.39999999991</v>
      </c>
    </row>
    <row r="96" spans="1:20" s="46" customFormat="1" x14ac:dyDescent="0.25">
      <c r="A96" s="39">
        <v>42186</v>
      </c>
      <c r="B96" s="44">
        <v>353943.7</v>
      </c>
      <c r="C96" s="41">
        <v>124466.2</v>
      </c>
      <c r="D96" s="41" t="s">
        <v>1</v>
      </c>
      <c r="E96" s="41" t="s">
        <v>1</v>
      </c>
      <c r="F96" s="47"/>
      <c r="G96" s="41" t="s">
        <v>1</v>
      </c>
      <c r="H96" s="41" t="s">
        <v>1</v>
      </c>
      <c r="I96" s="41" t="s">
        <v>1</v>
      </c>
      <c r="J96" s="44">
        <v>98924.5</v>
      </c>
      <c r="K96" s="44">
        <v>281753.2</v>
      </c>
      <c r="L96" s="44"/>
      <c r="M96" s="44">
        <f t="shared" si="3"/>
        <v>505143.9</v>
      </c>
      <c r="N96" s="41">
        <v>8000</v>
      </c>
      <c r="O96" s="41"/>
      <c r="P96" s="44">
        <v>20</v>
      </c>
      <c r="Q96" s="44"/>
      <c r="R96" s="44">
        <v>14635.599999999999</v>
      </c>
      <c r="S96" s="44">
        <v>69056.100000000006</v>
      </c>
      <c r="T96" s="44">
        <f t="shared" si="4"/>
        <v>950799.3</v>
      </c>
    </row>
    <row r="97" spans="1:20" s="46" customFormat="1" x14ac:dyDescent="0.25">
      <c r="A97" s="39">
        <v>42217</v>
      </c>
      <c r="B97" s="44">
        <v>312523.90000000002</v>
      </c>
      <c r="C97" s="41">
        <v>162684.9</v>
      </c>
      <c r="D97" s="41" t="s">
        <v>1</v>
      </c>
      <c r="E97" s="41" t="s">
        <v>1</v>
      </c>
      <c r="F97" s="47"/>
      <c r="G97" s="41" t="s">
        <v>1</v>
      </c>
      <c r="H97" s="41" t="s">
        <v>1</v>
      </c>
      <c r="I97" s="41" t="s">
        <v>1</v>
      </c>
      <c r="J97" s="44">
        <v>97531.199999999997</v>
      </c>
      <c r="K97" s="44">
        <v>281113.3</v>
      </c>
      <c r="L97" s="44"/>
      <c r="M97" s="44">
        <f t="shared" si="3"/>
        <v>541329.39999999991</v>
      </c>
      <c r="N97" s="41">
        <v>12000</v>
      </c>
      <c r="O97" s="41"/>
      <c r="P97" s="44">
        <v>20</v>
      </c>
      <c r="Q97" s="44"/>
      <c r="R97" s="44">
        <v>15190.699999999999</v>
      </c>
      <c r="S97" s="44">
        <v>69894.100000000006</v>
      </c>
      <c r="T97" s="44">
        <f t="shared" si="4"/>
        <v>950958.09999999986</v>
      </c>
    </row>
    <row r="98" spans="1:20" s="46" customFormat="1" x14ac:dyDescent="0.25">
      <c r="A98" s="39">
        <v>42248</v>
      </c>
      <c r="B98" s="44">
        <v>274254.7</v>
      </c>
      <c r="C98" s="41">
        <v>201450.1</v>
      </c>
      <c r="D98" s="41" t="s">
        <v>1</v>
      </c>
      <c r="E98" s="41" t="s">
        <v>1</v>
      </c>
      <c r="F98" s="47"/>
      <c r="G98" s="41" t="s">
        <v>1</v>
      </c>
      <c r="H98" s="41" t="s">
        <v>1</v>
      </c>
      <c r="I98" s="41" t="s">
        <v>1</v>
      </c>
      <c r="J98" s="44">
        <v>96137.9</v>
      </c>
      <c r="K98" s="44">
        <v>280473.5</v>
      </c>
      <c r="L98" s="44"/>
      <c r="M98" s="44">
        <f t="shared" si="3"/>
        <v>578061.5</v>
      </c>
      <c r="N98" s="41">
        <v>6840.3</v>
      </c>
      <c r="O98" s="41"/>
      <c r="P98" s="44">
        <v>20</v>
      </c>
      <c r="Q98" s="44"/>
      <c r="R98" s="44">
        <v>15663.199999999999</v>
      </c>
      <c r="S98" s="44">
        <v>68563.8</v>
      </c>
      <c r="T98" s="44">
        <f t="shared" si="4"/>
        <v>943403.5</v>
      </c>
    </row>
    <row r="99" spans="1:20" s="46" customFormat="1" x14ac:dyDescent="0.25">
      <c r="A99" s="39">
        <v>42278</v>
      </c>
      <c r="B99" s="44">
        <v>290627.40000000002</v>
      </c>
      <c r="C99" s="41">
        <v>227827.20000000001</v>
      </c>
      <c r="D99" s="41" t="s">
        <v>1</v>
      </c>
      <c r="E99" s="41" t="s">
        <v>1</v>
      </c>
      <c r="F99" s="47"/>
      <c r="G99" s="41" t="s">
        <v>1</v>
      </c>
      <c r="H99" s="41" t="s">
        <v>1</v>
      </c>
      <c r="I99" s="41" t="s">
        <v>1</v>
      </c>
      <c r="J99" s="44">
        <v>95660.7</v>
      </c>
      <c r="K99" s="44">
        <v>279193.7</v>
      </c>
      <c r="L99" s="44"/>
      <c r="M99" s="44">
        <f t="shared" si="3"/>
        <v>602681.60000000009</v>
      </c>
      <c r="N99" s="41">
        <v>2000</v>
      </c>
      <c r="O99" s="41"/>
      <c r="P99" s="44">
        <v>20</v>
      </c>
      <c r="Q99" s="44"/>
      <c r="R99" s="44">
        <v>15820.999999999998</v>
      </c>
      <c r="S99" s="44">
        <v>67796.100000000006</v>
      </c>
      <c r="T99" s="44">
        <f t="shared" si="4"/>
        <v>978946.10000000009</v>
      </c>
    </row>
    <row r="100" spans="1:20" s="46" customFormat="1" x14ac:dyDescent="0.25">
      <c r="A100" s="39">
        <v>42309</v>
      </c>
      <c r="B100" s="44">
        <v>237497.1</v>
      </c>
      <c r="C100" s="41">
        <v>236897.9</v>
      </c>
      <c r="D100" s="41" t="s">
        <v>1</v>
      </c>
      <c r="E100" s="41" t="s">
        <v>1</v>
      </c>
      <c r="F100" s="47"/>
      <c r="G100" s="41" t="s">
        <v>1</v>
      </c>
      <c r="H100" s="41" t="s">
        <v>1</v>
      </c>
      <c r="I100" s="41" t="s">
        <v>1</v>
      </c>
      <c r="J100" s="44">
        <v>94267.4</v>
      </c>
      <c r="K100" s="44">
        <v>278553.90000000002</v>
      </c>
      <c r="L100" s="44"/>
      <c r="M100" s="44">
        <f t="shared" si="3"/>
        <v>609719.19999999995</v>
      </c>
      <c r="N100" s="41">
        <v>18493.2</v>
      </c>
      <c r="O100" s="41"/>
      <c r="P100" s="44">
        <v>20</v>
      </c>
      <c r="Q100" s="44"/>
      <c r="R100" s="44">
        <v>15918.599999999999</v>
      </c>
      <c r="S100" s="44">
        <v>67934.600000000006</v>
      </c>
      <c r="T100" s="44">
        <f t="shared" si="4"/>
        <v>949582.69999999984</v>
      </c>
    </row>
    <row r="101" spans="1:20" s="46" customFormat="1" x14ac:dyDescent="0.25">
      <c r="A101" s="39">
        <v>42339</v>
      </c>
      <c r="B101" s="44">
        <v>221829.6</v>
      </c>
      <c r="C101" s="41">
        <v>273246</v>
      </c>
      <c r="D101" s="41" t="s">
        <v>1</v>
      </c>
      <c r="E101" s="41" t="s">
        <v>1</v>
      </c>
      <c r="F101" s="47"/>
      <c r="G101" s="41" t="s">
        <v>1</v>
      </c>
      <c r="H101" s="41" t="s">
        <v>1</v>
      </c>
      <c r="I101" s="41" t="s">
        <v>1</v>
      </c>
      <c r="J101" s="44">
        <v>90564.7</v>
      </c>
      <c r="K101" s="44">
        <v>277913.90000000002</v>
      </c>
      <c r="L101" s="44"/>
      <c r="M101" s="44">
        <f t="shared" si="3"/>
        <v>641724.60000000009</v>
      </c>
      <c r="N101" s="41">
        <v>21800</v>
      </c>
      <c r="O101" s="41"/>
      <c r="P101" s="44">
        <v>20</v>
      </c>
      <c r="Q101" s="44"/>
      <c r="R101" s="44">
        <v>15870.099999999999</v>
      </c>
      <c r="S101" s="44">
        <v>69542.200000000012</v>
      </c>
      <c r="T101" s="44">
        <f t="shared" si="4"/>
        <v>970786.5</v>
      </c>
    </row>
    <row r="102" spans="1:20" s="46" customFormat="1" x14ac:dyDescent="0.25">
      <c r="A102" s="39">
        <v>42370</v>
      </c>
      <c r="B102" s="44">
        <v>215273.1</v>
      </c>
      <c r="C102" s="41">
        <v>0</v>
      </c>
      <c r="D102" s="41" t="s">
        <v>1</v>
      </c>
      <c r="E102" s="41" t="s">
        <v>1</v>
      </c>
      <c r="F102" s="47"/>
      <c r="G102" s="41" t="s">
        <v>1</v>
      </c>
      <c r="H102" s="41" t="s">
        <v>1</v>
      </c>
      <c r="I102" s="41" t="s">
        <v>1</v>
      </c>
      <c r="J102" s="44">
        <v>90564.7</v>
      </c>
      <c r="K102" s="44">
        <v>508147.4</v>
      </c>
      <c r="L102" s="44"/>
      <c r="M102" s="44">
        <f t="shared" si="3"/>
        <v>598712.1</v>
      </c>
      <c r="N102" s="41">
        <v>39705</v>
      </c>
      <c r="O102" s="41"/>
      <c r="P102" s="44">
        <v>20</v>
      </c>
      <c r="Q102" s="44"/>
      <c r="R102" s="44">
        <v>16450.5</v>
      </c>
      <c r="S102" s="44">
        <v>70396.900000000009</v>
      </c>
      <c r="T102" s="44">
        <f t="shared" ref="T102:T133" si="5">SUM(B102,M102:S102)</f>
        <v>940557.6</v>
      </c>
    </row>
    <row r="103" spans="1:20" s="46" customFormat="1" x14ac:dyDescent="0.25">
      <c r="A103" s="39">
        <v>42401</v>
      </c>
      <c r="B103" s="44">
        <v>178145.6</v>
      </c>
      <c r="C103" s="41">
        <v>0</v>
      </c>
      <c r="D103" s="41" t="s">
        <v>1</v>
      </c>
      <c r="E103" s="41" t="s">
        <v>1</v>
      </c>
      <c r="F103" s="47"/>
      <c r="G103" s="41" t="s">
        <v>1</v>
      </c>
      <c r="H103" s="41" t="s">
        <v>1</v>
      </c>
      <c r="I103" s="41" t="s">
        <v>1</v>
      </c>
      <c r="J103" s="44">
        <v>89171.4</v>
      </c>
      <c r="K103" s="44">
        <v>537669</v>
      </c>
      <c r="L103" s="44"/>
      <c r="M103" s="44">
        <f t="shared" si="3"/>
        <v>626840.4</v>
      </c>
      <c r="N103" s="41">
        <v>45964.800000000003</v>
      </c>
      <c r="O103" s="41"/>
      <c r="P103" s="44">
        <v>20</v>
      </c>
      <c r="Q103" s="44"/>
      <c r="R103" s="44">
        <v>16479.300000000003</v>
      </c>
      <c r="S103" s="44">
        <v>70913.600000000006</v>
      </c>
      <c r="T103" s="44">
        <f t="shared" si="5"/>
        <v>938363.70000000007</v>
      </c>
    </row>
    <row r="104" spans="1:20" s="46" customFormat="1" x14ac:dyDescent="0.25">
      <c r="A104" s="39">
        <v>42430</v>
      </c>
      <c r="B104" s="44">
        <v>155219.79999999999</v>
      </c>
      <c r="C104" s="41">
        <v>0</v>
      </c>
      <c r="D104" s="41" t="s">
        <v>1</v>
      </c>
      <c r="E104" s="41" t="s">
        <v>1</v>
      </c>
      <c r="F104" s="47"/>
      <c r="G104" s="41" t="s">
        <v>1</v>
      </c>
      <c r="H104" s="41" t="s">
        <v>1</v>
      </c>
      <c r="I104" s="41" t="s">
        <v>1</v>
      </c>
      <c r="J104" s="44">
        <v>86384.8</v>
      </c>
      <c r="K104" s="44">
        <v>549240.30000000005</v>
      </c>
      <c r="L104" s="44"/>
      <c r="M104" s="44">
        <f t="shared" si="3"/>
        <v>635625.10000000009</v>
      </c>
      <c r="N104" s="41">
        <v>73850</v>
      </c>
      <c r="O104" s="41"/>
      <c r="P104" s="44">
        <v>20</v>
      </c>
      <c r="Q104" s="44"/>
      <c r="R104" s="44">
        <v>16829.2</v>
      </c>
      <c r="S104" s="44">
        <v>70835.099999999977</v>
      </c>
      <c r="T104" s="44">
        <f t="shared" si="5"/>
        <v>952379.20000000007</v>
      </c>
    </row>
    <row r="105" spans="1:20" s="46" customFormat="1" x14ac:dyDescent="0.25">
      <c r="A105" s="39">
        <v>42461</v>
      </c>
      <c r="B105" s="44">
        <v>179533.4</v>
      </c>
      <c r="C105" s="41">
        <v>4780.1000000000004</v>
      </c>
      <c r="D105" s="41" t="s">
        <v>1</v>
      </c>
      <c r="E105" s="41" t="s">
        <v>1</v>
      </c>
      <c r="F105" s="47"/>
      <c r="G105" s="41" t="s">
        <v>1</v>
      </c>
      <c r="H105" s="41" t="s">
        <v>1</v>
      </c>
      <c r="I105" s="41" t="s">
        <v>1</v>
      </c>
      <c r="J105" s="44">
        <v>86384.8</v>
      </c>
      <c r="K105" s="44">
        <v>549240.30000000005</v>
      </c>
      <c r="L105" s="44"/>
      <c r="M105" s="44">
        <f t="shared" si="3"/>
        <v>640405.20000000007</v>
      </c>
      <c r="N105" s="41">
        <v>74200</v>
      </c>
      <c r="O105" s="41"/>
      <c r="P105" s="44">
        <v>20</v>
      </c>
      <c r="Q105" s="44"/>
      <c r="R105" s="44">
        <v>17046.600000000002</v>
      </c>
      <c r="S105" s="44">
        <v>71350</v>
      </c>
      <c r="T105" s="44">
        <f t="shared" si="5"/>
        <v>982555.20000000007</v>
      </c>
    </row>
    <row r="106" spans="1:20" s="46" customFormat="1" x14ac:dyDescent="0.25">
      <c r="A106" s="39">
        <v>42491</v>
      </c>
      <c r="B106" s="44">
        <v>156712.9</v>
      </c>
      <c r="C106" s="41">
        <v>21652.3</v>
      </c>
      <c r="D106" s="41" t="s">
        <v>1</v>
      </c>
      <c r="E106" s="41" t="s">
        <v>1</v>
      </c>
      <c r="F106" s="47"/>
      <c r="G106" s="41" t="s">
        <v>1</v>
      </c>
      <c r="H106" s="41" t="s">
        <v>1</v>
      </c>
      <c r="I106" s="41" t="s">
        <v>1</v>
      </c>
      <c r="J106" s="44">
        <v>84991.5</v>
      </c>
      <c r="K106" s="44">
        <v>548600.5</v>
      </c>
      <c r="L106" s="44"/>
      <c r="M106" s="44">
        <f t="shared" si="3"/>
        <v>655244.30000000005</v>
      </c>
      <c r="N106" s="41">
        <v>84000</v>
      </c>
      <c r="O106" s="41"/>
      <c r="P106" s="44">
        <v>20</v>
      </c>
      <c r="Q106" s="44"/>
      <c r="R106" s="44">
        <v>17281.100000000002</v>
      </c>
      <c r="S106" s="44">
        <v>71995.700000000012</v>
      </c>
      <c r="T106" s="44">
        <f t="shared" si="5"/>
        <v>985254</v>
      </c>
    </row>
    <row r="107" spans="1:20" s="46" customFormat="1" x14ac:dyDescent="0.25">
      <c r="A107" s="39">
        <v>42522</v>
      </c>
      <c r="B107" s="44">
        <v>165835.4</v>
      </c>
      <c r="C107" s="41">
        <v>19504.7</v>
      </c>
      <c r="D107" s="41"/>
      <c r="E107" s="41"/>
      <c r="F107" s="47"/>
      <c r="G107" s="41"/>
      <c r="H107" s="41"/>
      <c r="I107" s="41"/>
      <c r="J107" s="44">
        <v>83598.2</v>
      </c>
      <c r="K107" s="44">
        <v>547320.69999999995</v>
      </c>
      <c r="L107" s="44"/>
      <c r="M107" s="44">
        <f t="shared" si="3"/>
        <v>650423.6</v>
      </c>
      <c r="N107" s="41">
        <v>103000</v>
      </c>
      <c r="O107" s="41"/>
      <c r="P107" s="44">
        <v>20</v>
      </c>
      <c r="Q107" s="44"/>
      <c r="R107" s="44">
        <v>17514.300000000003</v>
      </c>
      <c r="S107" s="44">
        <v>71544.3</v>
      </c>
      <c r="T107" s="44">
        <f t="shared" si="5"/>
        <v>1008337.6000000001</v>
      </c>
    </row>
    <row r="108" spans="1:20" s="46" customFormat="1" x14ac:dyDescent="0.25">
      <c r="A108" s="39">
        <v>42552</v>
      </c>
      <c r="B108" s="44">
        <v>160561.29999999999</v>
      </c>
      <c r="C108" s="41">
        <v>17403.2</v>
      </c>
      <c r="D108" s="41"/>
      <c r="E108" s="41"/>
      <c r="F108" s="47"/>
      <c r="G108" s="41"/>
      <c r="H108" s="41"/>
      <c r="I108" s="41"/>
      <c r="J108" s="44">
        <v>82204.899999999994</v>
      </c>
      <c r="K108" s="44">
        <v>546680.9</v>
      </c>
      <c r="L108" s="44"/>
      <c r="M108" s="44">
        <f t="shared" si="3"/>
        <v>646289</v>
      </c>
      <c r="N108" s="41">
        <v>113437</v>
      </c>
      <c r="O108" s="41"/>
      <c r="P108" s="44">
        <v>20</v>
      </c>
      <c r="Q108" s="44"/>
      <c r="R108" s="44">
        <v>17452.000000000004</v>
      </c>
      <c r="S108" s="44">
        <v>71931.900000000009</v>
      </c>
      <c r="T108" s="44">
        <f t="shared" si="5"/>
        <v>1009691.2000000001</v>
      </c>
    </row>
    <row r="109" spans="1:20" s="46" customFormat="1" x14ac:dyDescent="0.25">
      <c r="A109" s="39">
        <v>42583</v>
      </c>
      <c r="B109" s="44">
        <v>147801.69999999998</v>
      </c>
      <c r="C109" s="41">
        <v>10113</v>
      </c>
      <c r="D109" s="41"/>
      <c r="E109" s="41"/>
      <c r="F109" s="47"/>
      <c r="G109" s="41"/>
      <c r="H109" s="41"/>
      <c r="I109" s="41"/>
      <c r="J109" s="44">
        <v>80811.600000000006</v>
      </c>
      <c r="K109" s="44">
        <v>546041</v>
      </c>
      <c r="L109" s="44"/>
      <c r="M109" s="44">
        <f t="shared" si="3"/>
        <v>636965.6</v>
      </c>
      <c r="N109" s="41">
        <v>103883</v>
      </c>
      <c r="O109" s="41"/>
      <c r="P109" s="44">
        <v>20</v>
      </c>
      <c r="Q109" s="44"/>
      <c r="R109" s="44">
        <v>17443.900000000001</v>
      </c>
      <c r="S109" s="44">
        <v>71894.900000000009</v>
      </c>
      <c r="T109" s="44">
        <f t="shared" si="5"/>
        <v>978009.1</v>
      </c>
    </row>
    <row r="110" spans="1:20" s="46" customFormat="1" x14ac:dyDescent="0.25">
      <c r="A110" s="39">
        <v>42614</v>
      </c>
      <c r="B110" s="44">
        <v>157393.5</v>
      </c>
      <c r="C110" s="41">
        <v>18972.7</v>
      </c>
      <c r="D110" s="41"/>
      <c r="E110" s="41"/>
      <c r="F110" s="47"/>
      <c r="G110" s="41"/>
      <c r="H110" s="41"/>
      <c r="I110" s="41"/>
      <c r="J110" s="44">
        <v>79418.3</v>
      </c>
      <c r="K110" s="44">
        <v>546041</v>
      </c>
      <c r="L110" s="44"/>
      <c r="M110" s="44">
        <f t="shared" si="3"/>
        <v>644432</v>
      </c>
      <c r="N110" s="41">
        <v>120705</v>
      </c>
      <c r="O110" s="41"/>
      <c r="P110" s="44">
        <v>20</v>
      </c>
      <c r="Q110" s="44"/>
      <c r="R110" s="44">
        <v>17282.099999999999</v>
      </c>
      <c r="S110" s="44">
        <v>71569.3</v>
      </c>
      <c r="T110" s="44">
        <f t="shared" si="5"/>
        <v>1011401.9</v>
      </c>
    </row>
    <row r="111" spans="1:20" s="46" customFormat="1" x14ac:dyDescent="0.25">
      <c r="A111" s="39">
        <v>42644</v>
      </c>
      <c r="B111" s="44">
        <v>154471.69999999998</v>
      </c>
      <c r="C111" s="41">
        <v>37280.9</v>
      </c>
      <c r="D111" s="41"/>
      <c r="E111" s="41"/>
      <c r="F111" s="47"/>
      <c r="G111" s="41"/>
      <c r="H111" s="41"/>
      <c r="I111" s="41"/>
      <c r="J111" s="44">
        <v>78024.899999999994</v>
      </c>
      <c r="K111" s="44">
        <v>545401.19999999995</v>
      </c>
      <c r="L111" s="44"/>
      <c r="M111" s="44">
        <f t="shared" si="3"/>
        <v>660707</v>
      </c>
      <c r="N111" s="41">
        <v>103274</v>
      </c>
      <c r="O111" s="41"/>
      <c r="P111" s="44">
        <v>20</v>
      </c>
      <c r="Q111" s="44"/>
      <c r="R111" s="44">
        <v>17027</v>
      </c>
      <c r="S111" s="44">
        <v>71385.900000000009</v>
      </c>
      <c r="T111" s="44">
        <f t="shared" si="5"/>
        <v>1006885.6</v>
      </c>
    </row>
    <row r="112" spans="1:20" s="46" customFormat="1" x14ac:dyDescent="0.25">
      <c r="A112" s="39">
        <v>42675</v>
      </c>
      <c r="B112" s="44">
        <v>156467.79999999999</v>
      </c>
      <c r="C112" s="41">
        <v>69788.2</v>
      </c>
      <c r="D112" s="41"/>
      <c r="E112" s="41"/>
      <c r="F112" s="47"/>
      <c r="G112" s="41"/>
      <c r="H112" s="41"/>
      <c r="I112" s="41"/>
      <c r="J112" s="44">
        <v>75238.3</v>
      </c>
      <c r="K112" s="44">
        <v>544121.5</v>
      </c>
      <c r="L112" s="44"/>
      <c r="M112" s="44">
        <f t="shared" si="3"/>
        <v>689148</v>
      </c>
      <c r="N112" s="41">
        <v>103050</v>
      </c>
      <c r="O112" s="41"/>
      <c r="P112" s="44">
        <v>20</v>
      </c>
      <c r="Q112" s="44"/>
      <c r="R112" s="44">
        <v>16926.7</v>
      </c>
      <c r="S112" s="44">
        <v>75909.5</v>
      </c>
      <c r="T112" s="44">
        <f t="shared" si="5"/>
        <v>1041522</v>
      </c>
    </row>
    <row r="113" spans="1:20" s="46" customFormat="1" x14ac:dyDescent="0.25">
      <c r="A113" s="39">
        <v>42705</v>
      </c>
      <c r="B113" s="44">
        <v>166434.69999999998</v>
      </c>
      <c r="C113" s="41">
        <v>134973.1</v>
      </c>
      <c r="D113" s="41"/>
      <c r="E113" s="41"/>
      <c r="F113" s="47"/>
      <c r="G113" s="41"/>
      <c r="H113" s="41"/>
      <c r="I113" s="41"/>
      <c r="J113" s="44">
        <v>73845.100000000006</v>
      </c>
      <c r="K113" s="44">
        <v>543481.59999999998</v>
      </c>
      <c r="L113" s="44"/>
      <c r="M113" s="44">
        <f t="shared" si="3"/>
        <v>752299.8</v>
      </c>
      <c r="N113" s="41">
        <v>89000</v>
      </c>
      <c r="O113" s="41"/>
      <c r="P113" s="44">
        <v>20</v>
      </c>
      <c r="Q113" s="44"/>
      <c r="R113" s="44">
        <v>16702.099999999999</v>
      </c>
      <c r="S113" s="44">
        <v>82875.700000000012</v>
      </c>
      <c r="T113" s="44">
        <f t="shared" si="5"/>
        <v>1107332.3</v>
      </c>
    </row>
    <row r="114" spans="1:20" s="46" customFormat="1" x14ac:dyDescent="0.25">
      <c r="A114" s="39">
        <v>42766</v>
      </c>
      <c r="B114" s="44">
        <v>191054.3</v>
      </c>
      <c r="C114" s="41">
        <v>91642.3</v>
      </c>
      <c r="D114" s="41"/>
      <c r="E114" s="41"/>
      <c r="F114" s="47"/>
      <c r="G114" s="41"/>
      <c r="H114" s="41"/>
      <c r="I114" s="41"/>
      <c r="J114" s="44">
        <v>73845</v>
      </c>
      <c r="K114" s="44">
        <v>543481.59999999998</v>
      </c>
      <c r="L114" s="44"/>
      <c r="M114" s="44">
        <f t="shared" ref="M114:M143" si="6">SUM(C114:K114)</f>
        <v>708968.89999999991</v>
      </c>
      <c r="N114" s="41">
        <v>116936.4</v>
      </c>
      <c r="O114" s="41"/>
      <c r="P114" s="44">
        <v>20</v>
      </c>
      <c r="Q114" s="44"/>
      <c r="R114" s="44">
        <v>17272</v>
      </c>
      <c r="S114" s="44">
        <v>93200.700000000012</v>
      </c>
      <c r="T114" s="44">
        <f t="shared" si="5"/>
        <v>1127452.3</v>
      </c>
    </row>
    <row r="115" spans="1:20" s="46" customFormat="1" x14ac:dyDescent="0.25">
      <c r="A115" s="39">
        <v>42794</v>
      </c>
      <c r="B115" s="44">
        <v>215295.6</v>
      </c>
      <c r="C115" s="41">
        <v>107598.6</v>
      </c>
      <c r="D115" s="41"/>
      <c r="E115" s="41"/>
      <c r="F115" s="47"/>
      <c r="G115" s="41"/>
      <c r="H115" s="41"/>
      <c r="I115" s="41"/>
      <c r="J115" s="44">
        <v>71058.399999999994</v>
      </c>
      <c r="K115" s="44">
        <v>542201.9</v>
      </c>
      <c r="L115" s="44"/>
      <c r="M115" s="44">
        <f t="shared" si="6"/>
        <v>720858.9</v>
      </c>
      <c r="N115" s="41">
        <v>96000</v>
      </c>
      <c r="O115" s="41"/>
      <c r="P115" s="44">
        <v>20</v>
      </c>
      <c r="Q115" s="44"/>
      <c r="R115" s="44">
        <v>19767.8</v>
      </c>
      <c r="S115" s="44">
        <v>92885.400000000009</v>
      </c>
      <c r="T115" s="44">
        <f t="shared" si="5"/>
        <v>1144827.7</v>
      </c>
    </row>
    <row r="116" spans="1:20" s="46" customFormat="1" x14ac:dyDescent="0.25">
      <c r="A116" s="39">
        <v>42825</v>
      </c>
      <c r="B116" s="44">
        <v>194792.3</v>
      </c>
      <c r="C116" s="41">
        <v>130042.5</v>
      </c>
      <c r="D116" s="41"/>
      <c r="E116" s="41"/>
      <c r="F116" s="47"/>
      <c r="G116" s="41"/>
      <c r="H116" s="41"/>
      <c r="I116" s="41"/>
      <c r="J116" s="44">
        <v>69665.100000000006</v>
      </c>
      <c r="K116" s="44">
        <v>541562</v>
      </c>
      <c r="L116" s="44"/>
      <c r="M116" s="44">
        <f t="shared" si="6"/>
        <v>741269.6</v>
      </c>
      <c r="N116" s="41">
        <v>88840</v>
      </c>
      <c r="O116" s="41"/>
      <c r="P116" s="44">
        <v>20</v>
      </c>
      <c r="Q116" s="44"/>
      <c r="R116" s="44">
        <v>21498.1</v>
      </c>
      <c r="S116" s="44">
        <v>92789.900000000009</v>
      </c>
      <c r="T116" s="44">
        <f t="shared" si="5"/>
        <v>1139209.8999999999</v>
      </c>
    </row>
    <row r="117" spans="1:20" s="46" customFormat="1" x14ac:dyDescent="0.25">
      <c r="A117" s="39">
        <v>42855</v>
      </c>
      <c r="B117" s="44">
        <v>190113.69999999998</v>
      </c>
      <c r="C117" s="41">
        <v>122074.2</v>
      </c>
      <c r="D117" s="41"/>
      <c r="E117" s="41"/>
      <c r="F117" s="47"/>
      <c r="G117" s="41"/>
      <c r="H117" s="41"/>
      <c r="I117" s="41"/>
      <c r="J117" s="44">
        <v>69665.100000000006</v>
      </c>
      <c r="K117" s="44">
        <v>541562</v>
      </c>
      <c r="L117" s="44"/>
      <c r="M117" s="44">
        <f t="shared" si="6"/>
        <v>733301.3</v>
      </c>
      <c r="N117" s="41">
        <v>101000</v>
      </c>
      <c r="O117" s="41"/>
      <c r="P117" s="44">
        <v>20</v>
      </c>
      <c r="Q117" s="44"/>
      <c r="R117" s="44">
        <v>22219.4</v>
      </c>
      <c r="S117" s="44">
        <v>94418.900000000009</v>
      </c>
      <c r="T117" s="44">
        <f t="shared" si="5"/>
        <v>1141073.3</v>
      </c>
    </row>
    <row r="118" spans="1:20" s="46" customFormat="1" x14ac:dyDescent="0.25">
      <c r="A118" s="39">
        <v>42886</v>
      </c>
      <c r="B118" s="44">
        <v>234121.4</v>
      </c>
      <c r="C118" s="41">
        <v>139502.5</v>
      </c>
      <c r="D118" s="41"/>
      <c r="E118" s="41"/>
      <c r="F118" s="47"/>
      <c r="G118" s="41"/>
      <c r="H118" s="41"/>
      <c r="I118" s="41"/>
      <c r="J118" s="44">
        <v>68271.8</v>
      </c>
      <c r="K118" s="44">
        <v>540922.1</v>
      </c>
      <c r="L118" s="44"/>
      <c r="M118" s="44">
        <f t="shared" si="6"/>
        <v>748696.39999999991</v>
      </c>
      <c r="N118" s="41">
        <v>101165.4</v>
      </c>
      <c r="O118" s="41"/>
      <c r="P118" s="44">
        <v>20</v>
      </c>
      <c r="Q118" s="44"/>
      <c r="R118" s="44">
        <v>23134.5</v>
      </c>
      <c r="S118" s="44">
        <v>95434.6</v>
      </c>
      <c r="T118" s="44">
        <f t="shared" si="5"/>
        <v>1202572.3</v>
      </c>
    </row>
    <row r="119" spans="1:20" s="46" customFormat="1" x14ac:dyDescent="0.25">
      <c r="A119" s="39">
        <v>42916</v>
      </c>
      <c r="B119" s="44">
        <v>200827.6</v>
      </c>
      <c r="C119" s="41">
        <v>141652.79999999999</v>
      </c>
      <c r="D119" s="41"/>
      <c r="E119" s="41"/>
      <c r="F119" s="47"/>
      <c r="G119" s="41"/>
      <c r="H119" s="41"/>
      <c r="I119" s="41"/>
      <c r="J119" s="44">
        <v>66878.5</v>
      </c>
      <c r="K119" s="44">
        <v>540282.30000000005</v>
      </c>
      <c r="L119" s="44"/>
      <c r="M119" s="44">
        <f t="shared" si="6"/>
        <v>748813.60000000009</v>
      </c>
      <c r="N119" s="41">
        <v>70737.5</v>
      </c>
      <c r="O119" s="41"/>
      <c r="P119" s="44">
        <v>20</v>
      </c>
      <c r="Q119" s="44"/>
      <c r="R119" s="44">
        <v>23499</v>
      </c>
      <c r="S119" s="44">
        <v>98725</v>
      </c>
      <c r="T119" s="44">
        <f t="shared" si="5"/>
        <v>1142622.7000000002</v>
      </c>
    </row>
    <row r="120" spans="1:20" s="46" customFormat="1" x14ac:dyDescent="0.25">
      <c r="A120" s="39">
        <v>42947</v>
      </c>
      <c r="B120" s="44">
        <v>178268.5</v>
      </c>
      <c r="C120" s="41">
        <v>126976.7</v>
      </c>
      <c r="D120" s="41"/>
      <c r="E120" s="41"/>
      <c r="F120" s="47"/>
      <c r="G120" s="41"/>
      <c r="H120" s="41"/>
      <c r="I120" s="41"/>
      <c r="J120" s="44">
        <v>65485.2</v>
      </c>
      <c r="K120" s="44">
        <v>539642.4</v>
      </c>
      <c r="L120" s="44"/>
      <c r="M120" s="44">
        <f t="shared" si="6"/>
        <v>732104.3</v>
      </c>
      <c r="N120" s="41">
        <v>112898.5</v>
      </c>
      <c r="O120" s="41"/>
      <c r="P120" s="44">
        <v>20</v>
      </c>
      <c r="Q120" s="44"/>
      <c r="R120" s="44">
        <v>24642.799999999999</v>
      </c>
      <c r="S120" s="44">
        <v>107191.6</v>
      </c>
      <c r="T120" s="44">
        <f t="shared" si="5"/>
        <v>1155125.7000000002</v>
      </c>
    </row>
    <row r="121" spans="1:20" s="46" customFormat="1" x14ac:dyDescent="0.25">
      <c r="A121" s="39">
        <v>42978</v>
      </c>
      <c r="B121" s="44">
        <v>201871.8</v>
      </c>
      <c r="C121" s="41">
        <v>129280.9</v>
      </c>
      <c r="D121" s="41"/>
      <c r="E121" s="41"/>
      <c r="F121" s="47"/>
      <c r="G121" s="41"/>
      <c r="H121" s="41"/>
      <c r="I121" s="41"/>
      <c r="J121" s="44">
        <v>62698.6</v>
      </c>
      <c r="K121" s="44">
        <v>538362.6</v>
      </c>
      <c r="L121" s="44"/>
      <c r="M121" s="44">
        <f t="shared" si="6"/>
        <v>730342.1</v>
      </c>
      <c r="N121" s="41">
        <v>107910</v>
      </c>
      <c r="O121" s="41"/>
      <c r="P121" s="44">
        <v>20</v>
      </c>
      <c r="Q121" s="44"/>
      <c r="R121" s="44">
        <v>24173.4</v>
      </c>
      <c r="S121" s="44">
        <v>117855.20000000001</v>
      </c>
      <c r="T121" s="44">
        <f t="shared" si="5"/>
        <v>1182172.4999999998</v>
      </c>
    </row>
    <row r="122" spans="1:20" s="46" customFormat="1" x14ac:dyDescent="0.25">
      <c r="A122" s="39">
        <v>43008</v>
      </c>
      <c r="B122" s="44">
        <v>198728.4</v>
      </c>
      <c r="C122" s="41">
        <v>112382.3</v>
      </c>
      <c r="D122" s="41"/>
      <c r="E122" s="41"/>
      <c r="F122" s="47"/>
      <c r="G122" s="41"/>
      <c r="H122" s="41"/>
      <c r="I122" s="41"/>
      <c r="J122" s="44">
        <v>62698.6</v>
      </c>
      <c r="K122" s="44">
        <v>538362.6</v>
      </c>
      <c r="L122" s="44"/>
      <c r="M122" s="44">
        <f t="shared" si="6"/>
        <v>713443.5</v>
      </c>
      <c r="N122" s="41">
        <v>123150</v>
      </c>
      <c r="O122" s="41"/>
      <c r="P122" s="44">
        <v>20</v>
      </c>
      <c r="Q122" s="44"/>
      <c r="R122" s="44">
        <v>24296.199999999997</v>
      </c>
      <c r="S122" s="44">
        <v>133118</v>
      </c>
      <c r="T122" s="44">
        <f t="shared" si="5"/>
        <v>1192756.1000000001</v>
      </c>
    </row>
    <row r="123" spans="1:20" s="46" customFormat="1" x14ac:dyDescent="0.25">
      <c r="A123" s="39">
        <v>43039</v>
      </c>
      <c r="B123" s="44">
        <v>212522.3</v>
      </c>
      <c r="C123" s="41">
        <v>144881.70000000001</v>
      </c>
      <c r="D123" s="41"/>
      <c r="E123" s="41"/>
      <c r="F123" s="47"/>
      <c r="G123" s="41"/>
      <c r="H123" s="41"/>
      <c r="I123" s="41"/>
      <c r="J123" s="44">
        <v>59912</v>
      </c>
      <c r="K123" s="44">
        <v>537082.9</v>
      </c>
      <c r="L123" s="44"/>
      <c r="M123" s="44">
        <f t="shared" si="6"/>
        <v>741876.60000000009</v>
      </c>
      <c r="N123" s="41">
        <v>118810</v>
      </c>
      <c r="O123" s="41"/>
      <c r="P123" s="44">
        <v>20</v>
      </c>
      <c r="Q123" s="44"/>
      <c r="R123" s="44">
        <v>23898.799999999999</v>
      </c>
      <c r="S123" s="44">
        <v>113957.5</v>
      </c>
      <c r="T123" s="44">
        <f t="shared" si="5"/>
        <v>1211085.2000000002</v>
      </c>
    </row>
    <row r="124" spans="1:20" s="46" customFormat="1" x14ac:dyDescent="0.25">
      <c r="A124" s="39">
        <v>43069</v>
      </c>
      <c r="B124" s="44">
        <v>191321.1</v>
      </c>
      <c r="C124" s="41">
        <v>150659</v>
      </c>
      <c r="D124" s="41"/>
      <c r="E124" s="41"/>
      <c r="F124" s="47"/>
      <c r="G124" s="41"/>
      <c r="H124" s="41"/>
      <c r="I124" s="41"/>
      <c r="J124" s="44">
        <v>59912</v>
      </c>
      <c r="K124" s="44">
        <v>536443</v>
      </c>
      <c r="L124" s="44"/>
      <c r="M124" s="44">
        <f t="shared" si="6"/>
        <v>747014</v>
      </c>
      <c r="N124" s="41">
        <v>134100</v>
      </c>
      <c r="O124" s="41"/>
      <c r="P124" s="44">
        <v>20</v>
      </c>
      <c r="Q124" s="44"/>
      <c r="R124" s="44">
        <v>23834.199999999997</v>
      </c>
      <c r="S124" s="44">
        <v>128888.20000000001</v>
      </c>
      <c r="T124" s="44">
        <f t="shared" si="5"/>
        <v>1225177.5</v>
      </c>
    </row>
    <row r="125" spans="1:20" s="46" customFormat="1" x14ac:dyDescent="0.25">
      <c r="A125" s="39">
        <v>43100</v>
      </c>
      <c r="B125" s="44">
        <v>194000.2</v>
      </c>
      <c r="C125" s="41">
        <v>194279.4</v>
      </c>
      <c r="D125" s="41"/>
      <c r="E125" s="41"/>
      <c r="F125" s="47"/>
      <c r="G125" s="41"/>
      <c r="H125" s="41"/>
      <c r="I125" s="41"/>
      <c r="J125" s="44">
        <v>57125.4</v>
      </c>
      <c r="K125" s="44">
        <v>535803.19999999995</v>
      </c>
      <c r="L125" s="44"/>
      <c r="M125" s="44">
        <f t="shared" si="6"/>
        <v>787208</v>
      </c>
      <c r="N125" s="41">
        <v>159990</v>
      </c>
      <c r="O125" s="41"/>
      <c r="P125" s="44">
        <v>20</v>
      </c>
      <c r="Q125" s="44"/>
      <c r="R125" s="44">
        <v>23657.199999999997</v>
      </c>
      <c r="S125" s="44">
        <v>108892.20000000001</v>
      </c>
      <c r="T125" s="44">
        <f t="shared" si="5"/>
        <v>1273767.5999999999</v>
      </c>
    </row>
    <row r="126" spans="1:20" s="46" customFormat="1" x14ac:dyDescent="0.25">
      <c r="A126" s="39">
        <v>43131</v>
      </c>
      <c r="B126" s="44">
        <v>175547.2</v>
      </c>
      <c r="C126" s="41">
        <v>154611.4</v>
      </c>
      <c r="D126" s="41"/>
      <c r="E126" s="41"/>
      <c r="F126" s="47"/>
      <c r="G126" s="41"/>
      <c r="H126" s="41"/>
      <c r="I126" s="41"/>
      <c r="J126" s="44">
        <v>55732.1</v>
      </c>
      <c r="K126" s="44">
        <v>535163.30000000005</v>
      </c>
      <c r="L126" s="44"/>
      <c r="M126" s="44">
        <f t="shared" si="6"/>
        <v>745506.8</v>
      </c>
      <c r="N126" s="41">
        <v>174680</v>
      </c>
      <c r="O126" s="41"/>
      <c r="P126" s="44">
        <v>20</v>
      </c>
      <c r="Q126" s="44"/>
      <c r="R126" s="44">
        <v>24085.899999999998</v>
      </c>
      <c r="S126" s="44">
        <v>152280.6</v>
      </c>
      <c r="T126" s="44">
        <f t="shared" si="5"/>
        <v>1272120.5</v>
      </c>
    </row>
    <row r="127" spans="1:20" s="46" customFormat="1" x14ac:dyDescent="0.25">
      <c r="A127" s="39">
        <v>43159</v>
      </c>
      <c r="B127" s="44">
        <v>202730.09999999998</v>
      </c>
      <c r="C127" s="41">
        <v>156799.4</v>
      </c>
      <c r="D127" s="41"/>
      <c r="E127" s="41"/>
      <c r="F127" s="47"/>
      <c r="G127" s="41"/>
      <c r="H127" s="41"/>
      <c r="I127" s="41"/>
      <c r="J127" s="44">
        <v>54338.8</v>
      </c>
      <c r="K127" s="44">
        <v>534523.4</v>
      </c>
      <c r="L127" s="44"/>
      <c r="M127" s="44">
        <f t="shared" si="6"/>
        <v>745661.60000000009</v>
      </c>
      <c r="N127" s="41">
        <v>172670</v>
      </c>
      <c r="O127" s="41"/>
      <c r="P127" s="44">
        <v>20</v>
      </c>
      <c r="Q127" s="44"/>
      <c r="R127" s="44">
        <v>23854.699999999997</v>
      </c>
      <c r="S127" s="44">
        <v>126111.90000000001</v>
      </c>
      <c r="T127" s="44">
        <f t="shared" si="5"/>
        <v>1271048.3</v>
      </c>
    </row>
    <row r="128" spans="1:20" s="46" customFormat="1" x14ac:dyDescent="0.25">
      <c r="A128" s="39">
        <v>43160</v>
      </c>
      <c r="B128" s="51">
        <v>153280.4</v>
      </c>
      <c r="C128" s="52">
        <v>151279.20000000001</v>
      </c>
      <c r="D128" s="41"/>
      <c r="E128" s="41"/>
      <c r="F128" s="47"/>
      <c r="G128" s="41"/>
      <c r="H128" s="41"/>
      <c r="I128" s="41"/>
      <c r="J128" s="51">
        <v>52945.5</v>
      </c>
      <c r="K128" s="51">
        <v>533314.30000000005</v>
      </c>
      <c r="L128" s="51"/>
      <c r="M128" s="44">
        <f t="shared" si="6"/>
        <v>737539</v>
      </c>
      <c r="N128" s="52">
        <v>185103.2</v>
      </c>
      <c r="O128" s="52"/>
      <c r="P128" s="44">
        <v>20</v>
      </c>
      <c r="Q128" s="44"/>
      <c r="R128" s="44">
        <v>24049.3</v>
      </c>
      <c r="S128" s="44">
        <v>134380</v>
      </c>
      <c r="T128" s="44">
        <f t="shared" si="5"/>
        <v>1234371.9000000001</v>
      </c>
    </row>
    <row r="129" spans="1:20" s="46" customFormat="1" x14ac:dyDescent="0.25">
      <c r="A129" s="53">
        <v>43220</v>
      </c>
      <c r="B129" s="44">
        <v>178477.2</v>
      </c>
      <c r="C129" s="41">
        <v>130576.4</v>
      </c>
      <c r="D129" s="41"/>
      <c r="E129" s="41"/>
      <c r="F129" s="47"/>
      <c r="G129" s="41"/>
      <c r="H129" s="41"/>
      <c r="I129" s="41"/>
      <c r="J129" s="44">
        <v>52945.5</v>
      </c>
      <c r="K129" s="44">
        <v>532175.80000000005</v>
      </c>
      <c r="L129" s="44"/>
      <c r="M129" s="44">
        <f t="shared" si="6"/>
        <v>715697.70000000007</v>
      </c>
      <c r="N129" s="41">
        <v>242832.2</v>
      </c>
      <c r="O129" s="56"/>
      <c r="P129" s="44">
        <v>20</v>
      </c>
      <c r="Q129" s="44"/>
      <c r="R129" s="44">
        <v>24199.699999999997</v>
      </c>
      <c r="S129" s="44">
        <v>138525.79999999999</v>
      </c>
      <c r="T129" s="44">
        <f t="shared" si="5"/>
        <v>1299752.6000000001</v>
      </c>
    </row>
    <row r="130" spans="1:20" s="46" customFormat="1" x14ac:dyDescent="0.25">
      <c r="A130" s="53">
        <v>43251</v>
      </c>
      <c r="B130" s="44">
        <v>153037.79999999999</v>
      </c>
      <c r="C130" s="41">
        <v>134896.70000000001</v>
      </c>
      <c r="D130" s="41"/>
      <c r="E130" s="41"/>
      <c r="F130" s="47"/>
      <c r="G130" s="41"/>
      <c r="H130" s="41"/>
      <c r="I130" s="41"/>
      <c r="J130" s="44">
        <v>50158.9</v>
      </c>
      <c r="K130" s="44">
        <v>529757.5</v>
      </c>
      <c r="L130" s="44"/>
      <c r="M130" s="44">
        <f t="shared" si="6"/>
        <v>714813.1</v>
      </c>
      <c r="N130" s="41">
        <v>240220</v>
      </c>
      <c r="O130" s="56"/>
      <c r="P130" s="44">
        <v>20</v>
      </c>
      <c r="Q130" s="44"/>
      <c r="R130" s="44">
        <v>24677.899999999998</v>
      </c>
      <c r="S130" s="44">
        <v>144171.20000000001</v>
      </c>
      <c r="T130" s="44">
        <f t="shared" si="5"/>
        <v>1276939.9999999998</v>
      </c>
    </row>
    <row r="131" spans="1:20" s="46" customFormat="1" x14ac:dyDescent="0.25">
      <c r="A131" s="53">
        <v>43281</v>
      </c>
      <c r="B131" s="44">
        <v>148949.9</v>
      </c>
      <c r="C131" s="41">
        <v>201181.6</v>
      </c>
      <c r="D131" s="41"/>
      <c r="E131" s="41"/>
      <c r="F131" s="47"/>
      <c r="G131" s="41"/>
      <c r="H131" s="41"/>
      <c r="I131" s="41"/>
      <c r="J131" s="44">
        <v>50158.9</v>
      </c>
      <c r="K131" s="44">
        <v>529117.6</v>
      </c>
      <c r="L131" s="44"/>
      <c r="M131" s="44">
        <f t="shared" si="6"/>
        <v>780458.1</v>
      </c>
      <c r="N131" s="41">
        <v>283075.3</v>
      </c>
      <c r="O131" s="56"/>
      <c r="P131" s="44">
        <v>20</v>
      </c>
      <c r="Q131" s="44"/>
      <c r="R131" s="44">
        <v>24856.5</v>
      </c>
      <c r="S131" s="44">
        <v>149100.80000000002</v>
      </c>
      <c r="T131" s="44">
        <f t="shared" si="5"/>
        <v>1386460.6</v>
      </c>
    </row>
    <row r="132" spans="1:20" s="46" customFormat="1" x14ac:dyDescent="0.25">
      <c r="A132" s="53">
        <v>43282</v>
      </c>
      <c r="B132" s="44">
        <v>142774.20000000001</v>
      </c>
      <c r="C132" s="41">
        <v>162239</v>
      </c>
      <c r="D132" s="41"/>
      <c r="E132" s="41"/>
      <c r="F132" s="47"/>
      <c r="G132" s="41"/>
      <c r="H132" s="41"/>
      <c r="I132" s="41"/>
      <c r="J132" s="44">
        <v>48765.599999999999</v>
      </c>
      <c r="K132" s="44">
        <v>528548.4</v>
      </c>
      <c r="L132" s="44"/>
      <c r="M132" s="44">
        <f t="shared" si="6"/>
        <v>739553</v>
      </c>
      <c r="N132" s="41">
        <v>290770</v>
      </c>
      <c r="O132" s="56"/>
      <c r="P132" s="44">
        <v>20</v>
      </c>
      <c r="Q132" s="44"/>
      <c r="R132" s="44">
        <v>24946.1</v>
      </c>
      <c r="S132" s="44">
        <v>150594.80000000002</v>
      </c>
      <c r="T132" s="44">
        <f t="shared" si="5"/>
        <v>1348658.1</v>
      </c>
    </row>
    <row r="133" spans="1:20" s="46" customFormat="1" x14ac:dyDescent="0.25">
      <c r="A133" s="53">
        <v>43343</v>
      </c>
      <c r="B133" s="44">
        <v>139162.4</v>
      </c>
      <c r="C133" s="41">
        <v>148049.1</v>
      </c>
      <c r="D133" s="41"/>
      <c r="E133" s="41"/>
      <c r="F133" s="47"/>
      <c r="G133" s="41"/>
      <c r="H133" s="41"/>
      <c r="I133" s="41"/>
      <c r="J133" s="44">
        <v>47372.3</v>
      </c>
      <c r="K133" s="44">
        <v>527339.19999999995</v>
      </c>
      <c r="L133" s="44"/>
      <c r="M133" s="44">
        <f t="shared" si="6"/>
        <v>722760.6</v>
      </c>
      <c r="N133" s="41">
        <v>310580</v>
      </c>
      <c r="O133" s="56"/>
      <c r="P133" s="44">
        <v>20</v>
      </c>
      <c r="Q133" s="44"/>
      <c r="R133" s="44">
        <v>24866.6</v>
      </c>
      <c r="S133" s="44">
        <v>167482.5</v>
      </c>
      <c r="T133" s="44">
        <f t="shared" si="5"/>
        <v>1364872.1</v>
      </c>
    </row>
    <row r="134" spans="1:20" s="46" customFormat="1" x14ac:dyDescent="0.25">
      <c r="A134" s="53">
        <v>43344</v>
      </c>
      <c r="B134" s="44">
        <v>124527.5</v>
      </c>
      <c r="C134" s="41">
        <v>151767</v>
      </c>
      <c r="D134" s="41"/>
      <c r="E134" s="41"/>
      <c r="F134" s="47"/>
      <c r="G134" s="41"/>
      <c r="H134" s="41"/>
      <c r="I134" s="41"/>
      <c r="J134" s="44">
        <v>45979</v>
      </c>
      <c r="K134" s="44">
        <v>526130.1</v>
      </c>
      <c r="L134" s="44"/>
      <c r="M134" s="44">
        <f t="shared" si="6"/>
        <v>723876.1</v>
      </c>
      <c r="N134" s="41">
        <v>282430</v>
      </c>
      <c r="O134" s="56"/>
      <c r="P134" s="44">
        <v>20</v>
      </c>
      <c r="Q134" s="44"/>
      <c r="R134" s="44">
        <v>25839.7</v>
      </c>
      <c r="S134" s="44">
        <v>171502.30000000002</v>
      </c>
      <c r="T134" s="44">
        <f t="shared" ref="T134:T196" si="7">SUM(B134,M134:S134)</f>
        <v>1328195.6000000001</v>
      </c>
    </row>
    <row r="135" spans="1:20" s="46" customFormat="1" x14ac:dyDescent="0.25">
      <c r="A135" s="53">
        <v>43404</v>
      </c>
      <c r="B135" s="44">
        <f>139305.3+1198.4</f>
        <v>140503.69999999998</v>
      </c>
      <c r="C135" s="41">
        <v>182655.4</v>
      </c>
      <c r="D135" s="41"/>
      <c r="E135" s="41"/>
      <c r="F135" s="47"/>
      <c r="G135" s="41"/>
      <c r="H135" s="41"/>
      <c r="I135" s="41"/>
      <c r="J135" s="44">
        <v>44585.7</v>
      </c>
      <c r="K135" s="44">
        <v>523711.8</v>
      </c>
      <c r="L135" s="44"/>
      <c r="M135" s="44">
        <f t="shared" si="6"/>
        <v>750952.89999999991</v>
      </c>
      <c r="N135" s="41">
        <v>292050</v>
      </c>
      <c r="O135" s="56"/>
      <c r="P135" s="44">
        <v>20</v>
      </c>
      <c r="Q135" s="44"/>
      <c r="R135" s="44">
        <f>887.8+24642.2+157.9</f>
        <v>25687.9</v>
      </c>
      <c r="S135" s="44">
        <f>160963.6-1198.4</f>
        <v>159765.20000000001</v>
      </c>
      <c r="T135" s="44">
        <f t="shared" si="7"/>
        <v>1368979.6999999997</v>
      </c>
    </row>
    <row r="136" spans="1:20" s="46" customFormat="1" x14ac:dyDescent="0.25">
      <c r="A136" s="53">
        <v>43405</v>
      </c>
      <c r="B136" s="44">
        <f>150281.4+1198.4</f>
        <v>151479.79999999999</v>
      </c>
      <c r="C136" s="41">
        <v>182857.3</v>
      </c>
      <c r="D136" s="41"/>
      <c r="E136" s="41"/>
      <c r="F136" s="47"/>
      <c r="G136" s="41"/>
      <c r="H136" s="41"/>
      <c r="I136" s="41"/>
      <c r="J136" s="44">
        <v>43192.4</v>
      </c>
      <c r="K136" s="44">
        <v>523711.8</v>
      </c>
      <c r="L136" s="44"/>
      <c r="M136" s="44">
        <f t="shared" si="6"/>
        <v>749761.5</v>
      </c>
      <c r="N136" s="41">
        <v>235400</v>
      </c>
      <c r="O136" s="56"/>
      <c r="P136" s="44">
        <v>20</v>
      </c>
      <c r="Q136" s="44"/>
      <c r="R136" s="44">
        <f>887.8+24363.4+157.9</f>
        <v>25409.100000000002</v>
      </c>
      <c r="S136" s="44">
        <f>154649.6-1198.4</f>
        <v>153451.20000000001</v>
      </c>
      <c r="T136" s="44">
        <f t="shared" si="7"/>
        <v>1315521.6000000001</v>
      </c>
    </row>
    <row r="137" spans="1:20" s="46" customFormat="1" x14ac:dyDescent="0.25">
      <c r="A137" s="53">
        <v>43465</v>
      </c>
      <c r="B137" s="44">
        <f>144408.7+1198.4</f>
        <v>145607.1</v>
      </c>
      <c r="C137" s="41">
        <v>210409.1</v>
      </c>
      <c r="D137" s="41"/>
      <c r="E137" s="41"/>
      <c r="F137" s="47"/>
      <c r="G137" s="41"/>
      <c r="H137" s="41"/>
      <c r="I137" s="41"/>
      <c r="J137" s="44">
        <v>40405.800000000003</v>
      </c>
      <c r="K137" s="44">
        <v>521293.6</v>
      </c>
      <c r="L137" s="44"/>
      <c r="M137" s="44">
        <f t="shared" si="6"/>
        <v>772108.5</v>
      </c>
      <c r="N137" s="41">
        <v>248180</v>
      </c>
      <c r="O137" s="56"/>
      <c r="P137" s="44">
        <v>20</v>
      </c>
      <c r="Q137" s="44"/>
      <c r="R137" s="44">
        <f>887.8+24119+157.9</f>
        <v>25164.7</v>
      </c>
      <c r="S137" s="44">
        <f>160893.6-1198.4</f>
        <v>159695.20000000001</v>
      </c>
      <c r="T137" s="44">
        <f t="shared" si="7"/>
        <v>1350775.5</v>
      </c>
    </row>
    <row r="138" spans="1:20" s="46" customFormat="1" x14ac:dyDescent="0.25">
      <c r="A138" s="53">
        <v>43466</v>
      </c>
      <c r="B138" s="44">
        <v>125095.5</v>
      </c>
      <c r="C138" s="41">
        <v>174198.6</v>
      </c>
      <c r="D138" s="41"/>
      <c r="E138" s="41"/>
      <c r="F138" s="47"/>
      <c r="G138" s="41"/>
      <c r="H138" s="41"/>
      <c r="I138" s="41"/>
      <c r="J138" s="44">
        <v>40405.800000000003</v>
      </c>
      <c r="K138" s="44">
        <v>521293.6</v>
      </c>
      <c r="L138" s="44"/>
      <c r="M138" s="44">
        <f t="shared" si="6"/>
        <v>735898</v>
      </c>
      <c r="N138" s="41">
        <v>262187.40000000002</v>
      </c>
      <c r="O138" s="56"/>
      <c r="P138" s="44">
        <v>20</v>
      </c>
      <c r="Q138" s="44"/>
      <c r="R138" s="44">
        <v>25349.100000000002</v>
      </c>
      <c r="S138" s="44">
        <v>182189.7</v>
      </c>
      <c r="T138" s="44">
        <f t="shared" si="7"/>
        <v>1330739.7</v>
      </c>
    </row>
    <row r="139" spans="1:20" s="46" customFormat="1" x14ac:dyDescent="0.25">
      <c r="A139" s="53">
        <v>43524</v>
      </c>
      <c r="B139" s="44">
        <v>154179.4</v>
      </c>
      <c r="C139" s="41">
        <v>195688.4</v>
      </c>
      <c r="D139" s="41"/>
      <c r="E139" s="41"/>
      <c r="F139" s="47"/>
      <c r="G139" s="41"/>
      <c r="H139" s="41"/>
      <c r="I139" s="41"/>
      <c r="J139" s="44">
        <v>39012.5</v>
      </c>
      <c r="K139" s="44">
        <v>520084.5</v>
      </c>
      <c r="L139" s="44"/>
      <c r="M139" s="44">
        <f t="shared" si="6"/>
        <v>754785.4</v>
      </c>
      <c r="N139" s="41">
        <v>267170</v>
      </c>
      <c r="O139" s="56"/>
      <c r="P139" s="44">
        <v>20</v>
      </c>
      <c r="Q139" s="44"/>
      <c r="R139" s="44">
        <v>25181.300000000003</v>
      </c>
      <c r="S139" s="44">
        <v>191153.2</v>
      </c>
      <c r="T139" s="44">
        <f t="shared" si="7"/>
        <v>1392489.3</v>
      </c>
    </row>
    <row r="140" spans="1:20" s="46" customFormat="1" x14ac:dyDescent="0.25">
      <c r="A140" s="53">
        <v>43555</v>
      </c>
      <c r="B140" s="44">
        <f>1198.4+130884.5</f>
        <v>132082.9</v>
      </c>
      <c r="C140" s="41">
        <v>221728.4</v>
      </c>
      <c r="D140" s="41"/>
      <c r="E140" s="41"/>
      <c r="F140" s="47"/>
      <c r="G140" s="41"/>
      <c r="H140" s="41"/>
      <c r="I140" s="41"/>
      <c r="J140" s="44">
        <v>36225.9</v>
      </c>
      <c r="K140" s="44">
        <v>518306</v>
      </c>
      <c r="L140" s="44"/>
      <c r="M140" s="44">
        <f t="shared" si="6"/>
        <v>776260.3</v>
      </c>
      <c r="N140" s="41">
        <v>287000</v>
      </c>
      <c r="O140" s="56"/>
      <c r="P140" s="44">
        <v>20</v>
      </c>
      <c r="Q140" s="44"/>
      <c r="R140" s="44">
        <f>157.9+23853.8+887.8</f>
        <v>24899.5</v>
      </c>
      <c r="S140" s="44">
        <f>200172.4-1198.4</f>
        <v>198974</v>
      </c>
      <c r="T140" s="44">
        <f t="shared" si="7"/>
        <v>1419236.7000000002</v>
      </c>
    </row>
    <row r="141" spans="1:20" s="46" customFormat="1" ht="16.5" customHeight="1" x14ac:dyDescent="0.25">
      <c r="A141" s="53">
        <v>43556</v>
      </c>
      <c r="B141" s="44">
        <f>138599.7+21.5</f>
        <v>138621.20000000001</v>
      </c>
      <c r="C141" s="41">
        <v>195994.1</v>
      </c>
      <c r="D141" s="41"/>
      <c r="E141" s="41"/>
      <c r="F141" s="47"/>
      <c r="G141" s="41"/>
      <c r="H141" s="41"/>
      <c r="I141" s="41"/>
      <c r="J141" s="44">
        <v>36225.9</v>
      </c>
      <c r="K141" s="44">
        <v>517334.5</v>
      </c>
      <c r="L141" s="44"/>
      <c r="M141" s="44">
        <f t="shared" si="6"/>
        <v>749554.5</v>
      </c>
      <c r="N141" s="41">
        <v>295000</v>
      </c>
      <c r="O141" s="56"/>
      <c r="P141" s="44">
        <v>20</v>
      </c>
      <c r="Q141" s="44"/>
      <c r="R141" s="44">
        <f>157.9+23743.1+887.8</f>
        <v>24788.799999999999</v>
      </c>
      <c r="S141" s="44">
        <f>188612.9-21.5</f>
        <v>188591.4</v>
      </c>
      <c r="T141" s="44">
        <f t="shared" si="7"/>
        <v>1396575.9</v>
      </c>
    </row>
    <row r="142" spans="1:20" s="46" customFormat="1" ht="16.5" customHeight="1" x14ac:dyDescent="0.25">
      <c r="A142" s="53">
        <v>43616</v>
      </c>
      <c r="B142" s="44">
        <f>179122.8+9230.6</f>
        <v>188353.4</v>
      </c>
      <c r="C142" s="41">
        <v>191866.3</v>
      </c>
      <c r="D142" s="41"/>
      <c r="E142" s="41"/>
      <c r="F142" s="47"/>
      <c r="G142" s="41"/>
      <c r="H142" s="41"/>
      <c r="I142" s="41"/>
      <c r="J142" s="44">
        <v>34832.6</v>
      </c>
      <c r="K142" s="44">
        <v>515247.9</v>
      </c>
      <c r="L142" s="44"/>
      <c r="M142" s="44">
        <f t="shared" si="6"/>
        <v>741946.8</v>
      </c>
      <c r="N142" s="41">
        <v>320000</v>
      </c>
      <c r="O142" s="56"/>
      <c r="P142" s="44">
        <v>20</v>
      </c>
      <c r="Q142" s="44"/>
      <c r="R142" s="44">
        <f>157.9+23666.1+887.8</f>
        <v>24711.8</v>
      </c>
      <c r="S142" s="44">
        <f>203802.7-9230.6</f>
        <v>194572.1</v>
      </c>
      <c r="T142" s="44">
        <f t="shared" si="7"/>
        <v>1469604.1000000003</v>
      </c>
    </row>
    <row r="143" spans="1:20" s="46" customFormat="1" ht="16.5" customHeight="1" x14ac:dyDescent="0.25">
      <c r="A143" s="53">
        <v>43617</v>
      </c>
      <c r="B143" s="44">
        <f>170121.6+7031.5</f>
        <v>177153.1</v>
      </c>
      <c r="C143" s="41">
        <v>216009.2</v>
      </c>
      <c r="D143" s="41"/>
      <c r="E143" s="41"/>
      <c r="F143" s="47"/>
      <c r="G143" s="41"/>
      <c r="H143" s="41"/>
      <c r="I143" s="41"/>
      <c r="J143" s="44">
        <v>32046</v>
      </c>
      <c r="K143" s="44">
        <v>514038.8</v>
      </c>
      <c r="L143" s="44"/>
      <c r="M143" s="44">
        <f t="shared" si="6"/>
        <v>762094</v>
      </c>
      <c r="N143" s="41">
        <v>335077.8</v>
      </c>
      <c r="O143" s="56"/>
      <c r="P143" s="44">
        <v>20</v>
      </c>
      <c r="Q143" s="44"/>
      <c r="R143" s="44">
        <f>157.9+23502.4+887.8</f>
        <v>24548.100000000002</v>
      </c>
      <c r="S143" s="44">
        <f>181402.6-7031.5</f>
        <v>174371.1</v>
      </c>
      <c r="T143" s="44">
        <f t="shared" si="7"/>
        <v>1473264.1</v>
      </c>
    </row>
    <row r="144" spans="1:20" s="46" customFormat="1" ht="16.5" customHeight="1" x14ac:dyDescent="0.25">
      <c r="A144" s="53">
        <v>43677</v>
      </c>
      <c r="B144" s="44">
        <f>159677.3+7031.5</f>
        <v>166708.79999999999</v>
      </c>
      <c r="C144" s="41">
        <v>158917.5</v>
      </c>
      <c r="D144" s="41"/>
      <c r="E144" s="41"/>
      <c r="F144" s="47"/>
      <c r="G144" s="41"/>
      <c r="H144" s="41"/>
      <c r="I144" s="41"/>
      <c r="J144" s="44">
        <v>30652.7</v>
      </c>
      <c r="K144" s="44">
        <v>512829.7</v>
      </c>
      <c r="L144" s="44"/>
      <c r="M144" s="44">
        <f t="shared" ref="M144" si="8">SUM(C144:K144)</f>
        <v>702399.9</v>
      </c>
      <c r="N144" s="41">
        <v>349550</v>
      </c>
      <c r="O144" s="56"/>
      <c r="P144" s="44">
        <v>20</v>
      </c>
      <c r="Q144" s="44"/>
      <c r="R144" s="44">
        <f>157.9+24115.9+887.8</f>
        <v>25161.600000000002</v>
      </c>
      <c r="S144" s="44">
        <f>198464.8-7031.5</f>
        <v>191433.3</v>
      </c>
      <c r="T144" s="44">
        <f t="shared" si="7"/>
        <v>1435273.6</v>
      </c>
    </row>
    <row r="145" spans="1:20" s="46" customFormat="1" ht="16.5" customHeight="1" x14ac:dyDescent="0.25">
      <c r="A145" s="55">
        <v>43678</v>
      </c>
      <c r="B145" s="44">
        <f>136933.3+7031.5</f>
        <v>143964.79999999999</v>
      </c>
      <c r="C145" s="41">
        <v>0</v>
      </c>
      <c r="D145" s="41"/>
      <c r="E145" s="41"/>
      <c r="F145" s="47"/>
      <c r="G145" s="41"/>
      <c r="H145" s="41"/>
      <c r="I145" s="41"/>
      <c r="J145" s="44">
        <v>30652.7</v>
      </c>
      <c r="K145" s="44">
        <v>728838.8</v>
      </c>
      <c r="L145" s="44"/>
      <c r="M145" s="44">
        <f t="shared" ref="M145" si="9">SUM(C145:K145)</f>
        <v>759491.5</v>
      </c>
      <c r="N145" s="41">
        <v>347667.4</v>
      </c>
      <c r="O145" s="56"/>
      <c r="P145" s="44">
        <v>20</v>
      </c>
      <c r="Q145" s="44"/>
      <c r="R145" s="44">
        <f>157.9+23879.3+887.8</f>
        <v>24925</v>
      </c>
      <c r="S145" s="44">
        <f>235411-7031.5</f>
        <v>228379.5</v>
      </c>
      <c r="T145" s="44">
        <f t="shared" si="7"/>
        <v>1504448.2000000002</v>
      </c>
    </row>
    <row r="146" spans="1:20" s="46" customFormat="1" ht="16.5" customHeight="1" x14ac:dyDescent="0.25">
      <c r="A146" s="55">
        <v>43738</v>
      </c>
      <c r="B146" s="44">
        <f>145197.8+7031.5</f>
        <v>152229.29999999999</v>
      </c>
      <c r="C146" s="41">
        <v>0</v>
      </c>
      <c r="D146" s="41"/>
      <c r="E146" s="41"/>
      <c r="F146" s="47"/>
      <c r="G146" s="41"/>
      <c r="H146" s="41"/>
      <c r="I146" s="41"/>
      <c r="J146" s="44">
        <v>29259.4</v>
      </c>
      <c r="K146" s="44">
        <v>727629.7</v>
      </c>
      <c r="L146" s="44"/>
      <c r="M146" s="44">
        <f t="shared" ref="M146" si="10">SUM(C146:K146)</f>
        <v>756889.1</v>
      </c>
      <c r="N146" s="41">
        <v>399460.9</v>
      </c>
      <c r="O146" s="56"/>
      <c r="P146" s="44">
        <v>20</v>
      </c>
      <c r="Q146" s="44"/>
      <c r="R146" s="44">
        <f>157.9+24409.9+887.8</f>
        <v>25455.600000000002</v>
      </c>
      <c r="S146" s="44">
        <f>210464.2-7031.5</f>
        <v>203432.7</v>
      </c>
      <c r="T146" s="44">
        <f t="shared" si="7"/>
        <v>1537487.5999999999</v>
      </c>
    </row>
    <row r="147" spans="1:20" s="46" customFormat="1" ht="16.5" customHeight="1" x14ac:dyDescent="0.25">
      <c r="A147" s="55">
        <v>43739</v>
      </c>
      <c r="B147" s="44">
        <f>133444.6+5935</f>
        <v>139379.6</v>
      </c>
      <c r="C147" s="41">
        <v>0</v>
      </c>
      <c r="D147" s="41"/>
      <c r="E147" s="41"/>
      <c r="F147" s="47"/>
      <c r="G147" s="41"/>
      <c r="H147" s="41"/>
      <c r="I147" s="41"/>
      <c r="J147" s="44">
        <v>26472.7</v>
      </c>
      <c r="K147" s="44">
        <v>725211.5</v>
      </c>
      <c r="L147" s="44"/>
      <c r="M147" s="44">
        <f t="shared" ref="M147" si="11">SUM(C147:K147)</f>
        <v>751684.2</v>
      </c>
      <c r="N147" s="41">
        <v>407267.4</v>
      </c>
      <c r="O147" s="56"/>
      <c r="P147" s="44">
        <v>20</v>
      </c>
      <c r="Q147" s="44"/>
      <c r="R147" s="44">
        <f>157.9+24842.7+887.8</f>
        <v>25888.400000000001</v>
      </c>
      <c r="S147" s="44">
        <f>190694.5-5935</f>
        <v>184759.5</v>
      </c>
      <c r="T147" s="44">
        <f t="shared" si="7"/>
        <v>1508999.0999999999</v>
      </c>
    </row>
    <row r="148" spans="1:20" s="46" customFormat="1" ht="16.5" customHeight="1" x14ac:dyDescent="0.25">
      <c r="A148" s="55">
        <v>43799</v>
      </c>
      <c r="B148" s="44">
        <f>120957.2+5935</f>
        <v>126892.2</v>
      </c>
      <c r="C148" s="41">
        <v>0</v>
      </c>
      <c r="D148" s="41"/>
      <c r="E148" s="41"/>
      <c r="F148" s="47"/>
      <c r="G148" s="41"/>
      <c r="H148" s="41"/>
      <c r="I148" s="41"/>
      <c r="J148" s="44">
        <v>25079.5</v>
      </c>
      <c r="K148" s="44">
        <v>724002.3</v>
      </c>
      <c r="L148" s="44"/>
      <c r="M148" s="44">
        <f t="shared" ref="M148" si="12">SUM(C148:K148)</f>
        <v>749081.8</v>
      </c>
      <c r="N148" s="41">
        <v>406550</v>
      </c>
      <c r="O148" s="56"/>
      <c r="P148" s="44">
        <v>20</v>
      </c>
      <c r="Q148" s="44"/>
      <c r="R148" s="44">
        <f>157.9+24881.1+887.8</f>
        <v>25926.799999999999</v>
      </c>
      <c r="S148" s="44">
        <f>197156.8-5935</f>
        <v>191221.8</v>
      </c>
      <c r="T148" s="44">
        <f t="shared" si="7"/>
        <v>1499692.6</v>
      </c>
    </row>
    <row r="149" spans="1:20" s="46" customFormat="1" ht="16.5" customHeight="1" x14ac:dyDescent="0.25">
      <c r="A149" s="55">
        <v>43800</v>
      </c>
      <c r="B149" s="44">
        <f>235831.3+5935</f>
        <v>241766.3</v>
      </c>
      <c r="C149" s="41">
        <v>0</v>
      </c>
      <c r="D149" s="41"/>
      <c r="E149" s="41"/>
      <c r="F149" s="47"/>
      <c r="G149" s="41"/>
      <c r="H149" s="41"/>
      <c r="I149" s="41"/>
      <c r="J149" s="44">
        <v>23686.2</v>
      </c>
      <c r="K149" s="44">
        <v>722793.2</v>
      </c>
      <c r="L149" s="44"/>
      <c r="M149" s="44">
        <f t="shared" ref="M149" si="13">SUM(C149:K149)</f>
        <v>746479.39999999991</v>
      </c>
      <c r="N149" s="41">
        <v>422379.9</v>
      </c>
      <c r="O149" s="56"/>
      <c r="P149" s="44">
        <v>20</v>
      </c>
      <c r="Q149" s="44"/>
      <c r="R149" s="44">
        <f>24491.3+157.9+887.8</f>
        <v>25537</v>
      </c>
      <c r="S149" s="44">
        <f>199796.9-5935</f>
        <v>193861.9</v>
      </c>
      <c r="T149" s="44">
        <f t="shared" si="7"/>
        <v>1630044.5</v>
      </c>
    </row>
    <row r="150" spans="1:20" s="46" customFormat="1" ht="16.5" customHeight="1" x14ac:dyDescent="0.25">
      <c r="A150" s="55">
        <v>43861</v>
      </c>
      <c r="B150" s="44">
        <f>188875.3+5935</f>
        <v>194810.3</v>
      </c>
      <c r="C150" s="41">
        <v>0</v>
      </c>
      <c r="D150" s="41"/>
      <c r="E150" s="41"/>
      <c r="F150" s="47"/>
      <c r="G150" s="41"/>
      <c r="H150" s="41"/>
      <c r="I150" s="41"/>
      <c r="J150" s="44">
        <v>23686.1</v>
      </c>
      <c r="K150" s="44">
        <v>722793.2</v>
      </c>
      <c r="L150" s="44"/>
      <c r="M150" s="44">
        <f t="shared" ref="M150" si="14">SUM(C150:K150)</f>
        <v>746479.29999999993</v>
      </c>
      <c r="N150" s="41">
        <v>454094.2</v>
      </c>
      <c r="O150" s="56"/>
      <c r="P150" s="44">
        <v>20</v>
      </c>
      <c r="Q150" s="44"/>
      <c r="R150" s="44">
        <f>25396.3+157.9+887.8</f>
        <v>26442</v>
      </c>
      <c r="S150" s="44">
        <f>195369.4-5935</f>
        <v>189434.4</v>
      </c>
      <c r="T150" s="44">
        <f t="shared" si="7"/>
        <v>1611280.1999999997</v>
      </c>
    </row>
    <row r="151" spans="1:20" s="46" customFormat="1" ht="16.5" customHeight="1" x14ac:dyDescent="0.25">
      <c r="A151" s="55">
        <v>43862</v>
      </c>
      <c r="B151" s="44">
        <f>225960.4+5935</f>
        <v>231895.4</v>
      </c>
      <c r="C151" s="41">
        <v>0</v>
      </c>
      <c r="D151" s="41"/>
      <c r="E151" s="41"/>
      <c r="F151" s="47"/>
      <c r="G151" s="41"/>
      <c r="H151" s="41"/>
      <c r="I151" s="41"/>
      <c r="J151" s="44">
        <v>22292.799999999999</v>
      </c>
      <c r="K151" s="44">
        <v>721584.1</v>
      </c>
      <c r="L151" s="44"/>
      <c r="M151" s="44">
        <f t="shared" ref="M151" si="15">SUM(C151:K151)</f>
        <v>743876.9</v>
      </c>
      <c r="N151" s="41">
        <v>466455.89999999997</v>
      </c>
      <c r="O151" s="56"/>
      <c r="P151" s="44">
        <v>20</v>
      </c>
      <c r="Q151" s="44"/>
      <c r="R151" s="44">
        <f>25276+157.9+887.8</f>
        <v>26321.7</v>
      </c>
      <c r="S151" s="44">
        <f>207489.5-5935</f>
        <v>201554.5</v>
      </c>
      <c r="T151" s="44">
        <f t="shared" si="7"/>
        <v>1670124.4</v>
      </c>
    </row>
    <row r="152" spans="1:20" s="46" customFormat="1" ht="16.5" customHeight="1" x14ac:dyDescent="0.25">
      <c r="A152" s="55">
        <v>43921</v>
      </c>
      <c r="B152" s="44">
        <f>188354.3+5935</f>
        <v>194289.3</v>
      </c>
      <c r="C152" s="41">
        <v>0</v>
      </c>
      <c r="D152" s="41"/>
      <c r="E152" s="41"/>
      <c r="F152" s="47"/>
      <c r="G152" s="41"/>
      <c r="H152" s="41"/>
      <c r="I152" s="41"/>
      <c r="J152" s="44">
        <v>19506.2</v>
      </c>
      <c r="K152" s="44">
        <v>719165.8</v>
      </c>
      <c r="L152" s="44"/>
      <c r="M152" s="44">
        <f t="shared" ref="M152" si="16">SUM(C152:K152)</f>
        <v>738672</v>
      </c>
      <c r="N152" s="41">
        <v>420106.2</v>
      </c>
      <c r="O152" s="56"/>
      <c r="P152" s="44">
        <v>20</v>
      </c>
      <c r="Q152" s="44"/>
      <c r="R152" s="44">
        <f>25180.8+157.9+887.8</f>
        <v>26226.5</v>
      </c>
      <c r="S152" s="44">
        <f>215607.8-5935</f>
        <v>209672.8</v>
      </c>
      <c r="T152" s="44">
        <f t="shared" si="7"/>
        <v>1588986.8</v>
      </c>
    </row>
    <row r="153" spans="1:20" s="46" customFormat="1" ht="16.5" customHeight="1" x14ac:dyDescent="0.25">
      <c r="A153" s="55">
        <v>43922</v>
      </c>
      <c r="B153" s="44">
        <f>176635.8+5935</f>
        <v>182570.8</v>
      </c>
      <c r="C153" s="41">
        <v>0</v>
      </c>
      <c r="D153" s="41"/>
      <c r="E153" s="41"/>
      <c r="F153" s="47"/>
      <c r="G153" s="41"/>
      <c r="H153" s="41"/>
      <c r="I153" s="41"/>
      <c r="J153" s="44">
        <v>18112.900000000001</v>
      </c>
      <c r="K153" s="44">
        <v>717956.7</v>
      </c>
      <c r="L153" s="44"/>
      <c r="M153" s="44">
        <f t="shared" ref="M153" si="17">SUM(C153:K153)</f>
        <v>736069.6</v>
      </c>
      <c r="N153" s="41">
        <v>432986.3</v>
      </c>
      <c r="O153" s="56"/>
      <c r="P153" s="44">
        <v>20</v>
      </c>
      <c r="Q153" s="44"/>
      <c r="R153" s="44">
        <f>25898.7+157.9+887.8</f>
        <v>26944.400000000001</v>
      </c>
      <c r="S153" s="44">
        <f>225055.7-5935</f>
        <v>219120.7</v>
      </c>
      <c r="T153" s="44">
        <f t="shared" si="7"/>
        <v>1597711.7999999998</v>
      </c>
    </row>
    <row r="154" spans="1:20" s="46" customFormat="1" ht="16.5" customHeight="1" x14ac:dyDescent="0.25">
      <c r="A154" s="55">
        <v>43982</v>
      </c>
      <c r="B154" s="44">
        <f>167276.7+4763.1</f>
        <v>172039.80000000002</v>
      </c>
      <c r="C154" s="41">
        <v>0</v>
      </c>
      <c r="D154" s="41"/>
      <c r="E154" s="41"/>
      <c r="F154" s="47"/>
      <c r="G154" s="41"/>
      <c r="H154" s="41"/>
      <c r="I154" s="41"/>
      <c r="J154" s="44">
        <v>18112.900000000001</v>
      </c>
      <c r="K154" s="44">
        <v>717956.7</v>
      </c>
      <c r="L154" s="44">
        <v>1852.2</v>
      </c>
      <c r="M154" s="44">
        <f>SUM(C154:L154)</f>
        <v>737921.79999999993</v>
      </c>
      <c r="N154" s="41">
        <v>435106.2</v>
      </c>
      <c r="O154" s="56"/>
      <c r="P154" s="44">
        <v>20</v>
      </c>
      <c r="Q154" s="44"/>
      <c r="R154" s="44">
        <f>26145.3+157.9+887.8</f>
        <v>27191</v>
      </c>
      <c r="S154" s="44">
        <f>237158.4-4763.1</f>
        <v>232395.3</v>
      </c>
      <c r="T154" s="44">
        <f t="shared" si="7"/>
        <v>1604674.1</v>
      </c>
    </row>
    <row r="155" spans="1:20" s="46" customFormat="1" ht="16.5" customHeight="1" x14ac:dyDescent="0.25">
      <c r="A155" s="55">
        <v>44012</v>
      </c>
      <c r="B155" s="44">
        <v>172739</v>
      </c>
      <c r="C155" s="41">
        <v>0</v>
      </c>
      <c r="D155" s="41"/>
      <c r="E155" s="41"/>
      <c r="F155" s="47"/>
      <c r="G155" s="41"/>
      <c r="H155" s="41"/>
      <c r="I155" s="41"/>
      <c r="J155" s="44">
        <v>15326.3</v>
      </c>
      <c r="K155" s="44">
        <v>715538.4</v>
      </c>
      <c r="L155" s="44">
        <v>5357.5</v>
      </c>
      <c r="M155" s="44">
        <f t="shared" ref="M155:M185" si="18">SUM(C155:L155)</f>
        <v>736222.20000000007</v>
      </c>
      <c r="N155" s="41">
        <v>421436.2</v>
      </c>
      <c r="O155" s="56"/>
      <c r="P155" s="44">
        <v>20</v>
      </c>
      <c r="Q155" s="44"/>
      <c r="R155" s="44">
        <f>26117.6+157.9+887.8</f>
        <v>27163.3</v>
      </c>
      <c r="S155" s="44">
        <f>281819.7-4763.1</f>
        <v>277056.60000000003</v>
      </c>
      <c r="T155" s="44">
        <f t="shared" si="7"/>
        <v>1634637.3000000003</v>
      </c>
    </row>
    <row r="156" spans="1:20" s="46" customFormat="1" ht="16.5" customHeight="1" x14ac:dyDescent="0.25">
      <c r="A156" s="55">
        <v>44013</v>
      </c>
      <c r="B156" s="44">
        <f>196289.2+4763.1</f>
        <v>201052.30000000002</v>
      </c>
      <c r="C156" s="41">
        <v>0</v>
      </c>
      <c r="D156" s="41"/>
      <c r="E156" s="41"/>
      <c r="F156" s="47"/>
      <c r="G156" s="41"/>
      <c r="H156" s="41"/>
      <c r="I156" s="41"/>
      <c r="J156" s="44">
        <v>13933</v>
      </c>
      <c r="K156" s="44">
        <v>714329.3</v>
      </c>
      <c r="L156" s="44">
        <v>9362.2000000000007</v>
      </c>
      <c r="M156" s="44">
        <f t="shared" si="18"/>
        <v>737624.5</v>
      </c>
      <c r="N156" s="41">
        <f>410156.2</f>
        <v>410156.2</v>
      </c>
      <c r="O156" s="56"/>
      <c r="P156" s="44">
        <v>20</v>
      </c>
      <c r="Q156" s="44"/>
      <c r="R156" s="44">
        <v>26796.5</v>
      </c>
      <c r="S156" s="44">
        <f>278348.4-4763.1+887.8</f>
        <v>274473.10000000003</v>
      </c>
      <c r="T156" s="44">
        <f t="shared" si="7"/>
        <v>1650122.6</v>
      </c>
    </row>
    <row r="157" spans="1:20" s="46" customFormat="1" ht="16.5" customHeight="1" x14ac:dyDescent="0.25">
      <c r="A157" s="55">
        <v>44074</v>
      </c>
      <c r="B157" s="44">
        <f>209302+4763.1</f>
        <v>214065.1</v>
      </c>
      <c r="C157" s="41">
        <v>0</v>
      </c>
      <c r="D157" s="41"/>
      <c r="E157" s="41"/>
      <c r="F157" s="47"/>
      <c r="G157" s="41"/>
      <c r="H157" s="41"/>
      <c r="I157" s="41"/>
      <c r="J157" s="44">
        <v>13933</v>
      </c>
      <c r="K157" s="44">
        <v>713689.4</v>
      </c>
      <c r="L157" s="44">
        <v>23833.1</v>
      </c>
      <c r="M157" s="44">
        <f t="shared" si="18"/>
        <v>751455.5</v>
      </c>
      <c r="N157" s="41">
        <f>457570+4000</f>
        <v>461570</v>
      </c>
      <c r="O157" s="56"/>
      <c r="P157" s="44">
        <v>20</v>
      </c>
      <c r="Q157" s="44"/>
      <c r="R157" s="44">
        <f>26765+157.9+0</f>
        <v>26922.9</v>
      </c>
      <c r="S157" s="44">
        <f>260719.6-4763.1+887.8</f>
        <v>256844.3</v>
      </c>
      <c r="T157" s="44">
        <f t="shared" si="7"/>
        <v>1710877.8</v>
      </c>
    </row>
    <row r="158" spans="1:20" s="46" customFormat="1" ht="16.5" customHeight="1" x14ac:dyDescent="0.25">
      <c r="A158" s="55">
        <v>44104</v>
      </c>
      <c r="B158" s="44">
        <f>196602.9+4763.1</f>
        <v>201366</v>
      </c>
      <c r="C158" s="41">
        <v>0</v>
      </c>
      <c r="D158" s="41"/>
      <c r="E158" s="41"/>
      <c r="F158" s="47"/>
      <c r="G158" s="41"/>
      <c r="H158" s="41"/>
      <c r="I158" s="41"/>
      <c r="J158" s="44">
        <v>12539.7</v>
      </c>
      <c r="K158" s="44">
        <v>713120.2</v>
      </c>
      <c r="L158" s="44">
        <f>25822.8+150000</f>
        <v>175822.8</v>
      </c>
      <c r="M158" s="44">
        <f t="shared" si="18"/>
        <v>901482.7</v>
      </c>
      <c r="N158" s="41">
        <f>360450+4000</f>
        <v>364450</v>
      </c>
      <c r="O158" s="56"/>
      <c r="P158" s="44">
        <v>20</v>
      </c>
      <c r="Q158" s="44"/>
      <c r="R158" s="44">
        <f>27566.4+157.9+0</f>
        <v>27724.300000000003</v>
      </c>
      <c r="S158" s="44">
        <f>200006.1-4763.1+887.8</f>
        <v>196130.8</v>
      </c>
      <c r="T158" s="44">
        <f t="shared" si="7"/>
        <v>1691173.8</v>
      </c>
    </row>
    <row r="159" spans="1:20" s="46" customFormat="1" ht="16.5" customHeight="1" x14ac:dyDescent="0.25">
      <c r="A159" s="55">
        <v>44135</v>
      </c>
      <c r="B159" s="44">
        <f>186130.2+4763.1</f>
        <v>190893.30000000002</v>
      </c>
      <c r="C159" s="41">
        <v>0</v>
      </c>
      <c r="D159" s="41"/>
      <c r="E159" s="41"/>
      <c r="F159" s="47"/>
      <c r="G159" s="41"/>
      <c r="H159" s="41"/>
      <c r="I159" s="41"/>
      <c r="J159" s="44">
        <v>11146.4</v>
      </c>
      <c r="K159" s="44">
        <v>711911</v>
      </c>
      <c r="L159" s="44">
        <f>26917.5+150000+2000</f>
        <v>178917.5</v>
      </c>
      <c r="M159" s="44">
        <f t="shared" si="18"/>
        <v>901974.9</v>
      </c>
      <c r="N159" s="41">
        <f>322527.1+4000</f>
        <v>326527.09999999998</v>
      </c>
      <c r="O159" s="56"/>
      <c r="P159" s="44">
        <v>20</v>
      </c>
      <c r="Q159" s="44"/>
      <c r="R159" s="44">
        <f>28345.3+157.9+0</f>
        <v>28503.200000000001</v>
      </c>
      <c r="S159" s="44">
        <f>215484.6-4763.1+887.8</f>
        <v>211609.3</v>
      </c>
      <c r="T159" s="44">
        <f t="shared" si="7"/>
        <v>1659527.7999999998</v>
      </c>
    </row>
    <row r="160" spans="1:20" s="46" customFormat="1" ht="16.5" customHeight="1" x14ac:dyDescent="0.25">
      <c r="A160" s="55">
        <v>44165</v>
      </c>
      <c r="B160" s="44">
        <f>197642.4+4763.1</f>
        <v>202405.5</v>
      </c>
      <c r="C160" s="41">
        <v>0</v>
      </c>
      <c r="D160" s="41"/>
      <c r="E160" s="41"/>
      <c r="F160" s="47"/>
      <c r="G160" s="41"/>
      <c r="H160" s="41"/>
      <c r="I160" s="41"/>
      <c r="J160" s="44">
        <v>9753.1</v>
      </c>
      <c r="K160" s="44">
        <v>710701.89999999991</v>
      </c>
      <c r="L160" s="44">
        <f>26994.4+150000+2000</f>
        <v>178994.4</v>
      </c>
      <c r="M160" s="44">
        <f t="shared" si="18"/>
        <v>899449.39999999991</v>
      </c>
      <c r="N160" s="41">
        <f>318416+4000</f>
        <v>322416</v>
      </c>
      <c r="O160" s="56"/>
      <c r="P160" s="44">
        <v>20</v>
      </c>
      <c r="Q160" s="44"/>
      <c r="R160" s="44">
        <f>28666+157.9+0</f>
        <v>28823.9</v>
      </c>
      <c r="S160" s="44">
        <f>225733.8-4763.1+887.8</f>
        <v>221858.49999999997</v>
      </c>
      <c r="T160" s="44">
        <f t="shared" si="7"/>
        <v>1674973.2999999998</v>
      </c>
    </row>
    <row r="161" spans="1:20" s="46" customFormat="1" ht="16.5" customHeight="1" x14ac:dyDescent="0.25">
      <c r="A161" s="55">
        <v>44196</v>
      </c>
      <c r="B161" s="44">
        <f>246109.6+4763.1</f>
        <v>250872.7</v>
      </c>
      <c r="C161" s="41">
        <v>0</v>
      </c>
      <c r="D161" s="41"/>
      <c r="E161" s="41"/>
      <c r="F161" s="47"/>
      <c r="G161" s="41"/>
      <c r="H161" s="41"/>
      <c r="I161" s="41"/>
      <c r="J161" s="44">
        <v>6921.2</v>
      </c>
      <c r="K161" s="44">
        <v>708283.6</v>
      </c>
      <c r="L161" s="44">
        <f>27463+150000+2000</f>
        <v>179463</v>
      </c>
      <c r="M161" s="44">
        <f t="shared" si="18"/>
        <v>894667.79999999993</v>
      </c>
      <c r="N161" s="41">
        <f>298901.2+4000</f>
        <v>302901.2</v>
      </c>
      <c r="O161" s="56"/>
      <c r="P161" s="44">
        <v>20</v>
      </c>
      <c r="Q161" s="44"/>
      <c r="R161" s="44">
        <f>28597.2+157.9</f>
        <v>28755.100000000002</v>
      </c>
      <c r="S161" s="44">
        <f>213092.6-4763.1+887.8</f>
        <v>209217.3</v>
      </c>
      <c r="T161" s="44">
        <f t="shared" si="7"/>
        <v>1686434.1</v>
      </c>
    </row>
    <row r="162" spans="1:20" s="46" customFormat="1" ht="16.5" customHeight="1" x14ac:dyDescent="0.25">
      <c r="A162" s="55">
        <v>44227</v>
      </c>
      <c r="B162" s="44">
        <v>233634.6</v>
      </c>
      <c r="C162" s="41">
        <v>0</v>
      </c>
      <c r="D162" s="41"/>
      <c r="E162" s="41"/>
      <c r="F162" s="47"/>
      <c r="G162" s="41"/>
      <c r="H162" s="41"/>
      <c r="I162" s="41"/>
      <c r="J162" s="44">
        <v>6921.2</v>
      </c>
      <c r="K162" s="44">
        <v>708283.6</v>
      </c>
      <c r="L162" s="44">
        <v>179463</v>
      </c>
      <c r="M162" s="44">
        <f t="shared" si="18"/>
        <v>894667.79999999993</v>
      </c>
      <c r="N162" s="41">
        <v>301210.8</v>
      </c>
      <c r="O162" s="56"/>
      <c r="P162" s="44">
        <v>20</v>
      </c>
      <c r="Q162" s="44"/>
      <c r="R162" s="44">
        <v>28307.600000000002</v>
      </c>
      <c r="S162" s="44">
        <v>213926.3</v>
      </c>
      <c r="T162" s="44">
        <f t="shared" si="7"/>
        <v>1671767.1</v>
      </c>
    </row>
    <row r="163" spans="1:20" s="46" customFormat="1" ht="16.5" customHeight="1" x14ac:dyDescent="0.25">
      <c r="A163" s="55">
        <v>44255</v>
      </c>
      <c r="B163" s="44">
        <v>241595.30000000002</v>
      </c>
      <c r="C163" s="41">
        <v>0</v>
      </c>
      <c r="D163" s="41"/>
      <c r="E163" s="41"/>
      <c r="F163" s="47"/>
      <c r="G163" s="41"/>
      <c r="H163" s="41"/>
      <c r="I163" s="41"/>
      <c r="J163" s="44">
        <v>5527.9</v>
      </c>
      <c r="K163" s="44">
        <v>704458.1</v>
      </c>
      <c r="L163" s="44">
        <v>184131.9</v>
      </c>
      <c r="M163" s="44">
        <f t="shared" si="18"/>
        <v>894117.9</v>
      </c>
      <c r="N163" s="41">
        <v>296256</v>
      </c>
      <c r="O163" s="56"/>
      <c r="P163" s="44">
        <v>20</v>
      </c>
      <c r="Q163" s="44"/>
      <c r="R163" s="44">
        <v>28348</v>
      </c>
      <c r="S163" s="44">
        <v>234284.49999999997</v>
      </c>
      <c r="T163" s="44">
        <f t="shared" si="7"/>
        <v>1694621.7</v>
      </c>
    </row>
    <row r="164" spans="1:20" s="46" customFormat="1" ht="16.5" customHeight="1" x14ac:dyDescent="0.25">
      <c r="A164" s="55">
        <v>44286</v>
      </c>
      <c r="B164" s="44">
        <v>212738</v>
      </c>
      <c r="C164" s="41">
        <v>0</v>
      </c>
      <c r="D164" s="41"/>
      <c r="E164" s="41"/>
      <c r="F164" s="47"/>
      <c r="G164" s="41"/>
      <c r="H164" s="41"/>
      <c r="I164" s="41"/>
      <c r="J164" s="44">
        <v>4134.6000000000004</v>
      </c>
      <c r="K164" s="44">
        <v>703262.9</v>
      </c>
      <c r="L164" s="44">
        <v>156668.9</v>
      </c>
      <c r="M164" s="44">
        <f t="shared" si="18"/>
        <v>864066.4</v>
      </c>
      <c r="N164" s="41">
        <v>299757</v>
      </c>
      <c r="O164" s="56"/>
      <c r="P164" s="44">
        <v>20</v>
      </c>
      <c r="Q164" s="44"/>
      <c r="R164" s="44">
        <v>28417.9</v>
      </c>
      <c r="S164" s="44">
        <v>236101.59999999998</v>
      </c>
      <c r="T164" s="44">
        <f t="shared" si="7"/>
        <v>1641100.9</v>
      </c>
    </row>
    <row r="165" spans="1:20" s="46" customFormat="1" ht="16.5" customHeight="1" x14ac:dyDescent="0.25">
      <c r="A165" s="55">
        <v>44316</v>
      </c>
      <c r="B165" s="44">
        <v>210523.19999999998</v>
      </c>
      <c r="C165" s="41">
        <v>0</v>
      </c>
      <c r="D165" s="41"/>
      <c r="E165" s="41"/>
      <c r="F165" s="47"/>
      <c r="G165" s="41"/>
      <c r="H165" s="41"/>
      <c r="I165" s="41"/>
      <c r="J165" s="44">
        <v>2741.3</v>
      </c>
      <c r="K165" s="44">
        <v>702954.8</v>
      </c>
      <c r="L165" s="44">
        <v>187877.5</v>
      </c>
      <c r="M165" s="44">
        <f t="shared" si="18"/>
        <v>893573.60000000009</v>
      </c>
      <c r="N165" s="41">
        <v>335560.7</v>
      </c>
      <c r="O165" s="56"/>
      <c r="P165" s="44">
        <v>20</v>
      </c>
      <c r="Q165" s="44"/>
      <c r="R165" s="44">
        <v>29077.4</v>
      </c>
      <c r="S165" s="44">
        <v>238067.5</v>
      </c>
      <c r="T165" s="44">
        <f t="shared" si="7"/>
        <v>1706822.4</v>
      </c>
    </row>
    <row r="166" spans="1:20" s="46" customFormat="1" ht="16.5" customHeight="1" x14ac:dyDescent="0.25">
      <c r="A166" s="55">
        <v>44347</v>
      </c>
      <c r="B166" s="44">
        <v>192905.9</v>
      </c>
      <c r="C166" s="41">
        <v>0</v>
      </c>
      <c r="D166" s="41"/>
      <c r="E166" s="41"/>
      <c r="F166" s="47"/>
      <c r="G166" s="41"/>
      <c r="H166" s="41"/>
      <c r="I166" s="41"/>
      <c r="J166" s="44">
        <v>0</v>
      </c>
      <c r="K166" s="44">
        <v>702546.1</v>
      </c>
      <c r="L166" s="44">
        <v>190725.9</v>
      </c>
      <c r="M166" s="44">
        <f t="shared" si="18"/>
        <v>893272</v>
      </c>
      <c r="N166" s="41">
        <v>348510.5</v>
      </c>
      <c r="O166" s="56"/>
      <c r="P166" s="44">
        <v>20</v>
      </c>
      <c r="Q166" s="44"/>
      <c r="R166" s="44">
        <v>28952.800000000003</v>
      </c>
      <c r="S166" s="44">
        <v>252871.4</v>
      </c>
      <c r="T166" s="44">
        <f t="shared" si="7"/>
        <v>1716532.5999999999</v>
      </c>
    </row>
    <row r="167" spans="1:20" s="46" customFormat="1" ht="16.5" customHeight="1" x14ac:dyDescent="0.25">
      <c r="A167" s="55">
        <v>44377</v>
      </c>
      <c r="B167" s="44">
        <v>191742.90000000002</v>
      </c>
      <c r="C167" s="41">
        <v>57076.7</v>
      </c>
      <c r="D167" s="41"/>
      <c r="E167" s="41"/>
      <c r="F167" s="47"/>
      <c r="G167" s="41"/>
      <c r="H167" s="41"/>
      <c r="I167" s="41"/>
      <c r="J167" s="44">
        <v>0</v>
      </c>
      <c r="K167" s="44">
        <v>701028.8</v>
      </c>
      <c r="L167" s="44">
        <v>199534.3</v>
      </c>
      <c r="M167" s="44">
        <f t="shared" si="18"/>
        <v>957639.8</v>
      </c>
      <c r="N167" s="41">
        <v>323679.40000000002</v>
      </c>
      <c r="O167" s="56"/>
      <c r="P167" s="44">
        <v>20</v>
      </c>
      <c r="Q167" s="44"/>
      <c r="R167" s="44">
        <v>28754.7</v>
      </c>
      <c r="S167" s="44">
        <v>244276.39999999997</v>
      </c>
      <c r="T167" s="44">
        <f t="shared" si="7"/>
        <v>1746113.2</v>
      </c>
    </row>
    <row r="168" spans="1:20" s="46" customFormat="1" ht="16.5" customHeight="1" x14ac:dyDescent="0.25">
      <c r="A168" s="55">
        <v>44408</v>
      </c>
      <c r="B168" s="44">
        <v>169200.4</v>
      </c>
      <c r="C168" s="41">
        <v>63146.5</v>
      </c>
      <c r="D168" s="41"/>
      <c r="E168" s="41"/>
      <c r="F168" s="47"/>
      <c r="G168" s="41"/>
      <c r="H168" s="41"/>
      <c r="I168" s="41"/>
      <c r="J168" s="44">
        <v>0</v>
      </c>
      <c r="K168" s="44">
        <v>700389</v>
      </c>
      <c r="L168" s="44">
        <v>201243.6</v>
      </c>
      <c r="M168" s="44">
        <f t="shared" si="18"/>
        <v>964779.1</v>
      </c>
      <c r="N168" s="41">
        <v>337641.4</v>
      </c>
      <c r="O168" s="56"/>
      <c r="P168" s="44">
        <v>20</v>
      </c>
      <c r="Q168" s="44"/>
      <c r="R168" s="44">
        <v>29069.4</v>
      </c>
      <c r="S168" s="44">
        <v>260555.8</v>
      </c>
      <c r="T168" s="44">
        <f t="shared" si="7"/>
        <v>1761266.0999999999</v>
      </c>
    </row>
    <row r="169" spans="1:20" s="46" customFormat="1" ht="16.5" customHeight="1" x14ac:dyDescent="0.25">
      <c r="A169" s="55">
        <v>44439</v>
      </c>
      <c r="B169" s="44">
        <v>579326.5</v>
      </c>
      <c r="C169" s="41">
        <v>33670.800000000003</v>
      </c>
      <c r="D169" s="41"/>
      <c r="E169" s="41"/>
      <c r="F169" s="47"/>
      <c r="G169" s="41"/>
      <c r="H169" s="41"/>
      <c r="I169" s="41"/>
      <c r="J169" s="44">
        <v>0</v>
      </c>
      <c r="K169" s="44">
        <v>698477.8</v>
      </c>
      <c r="L169" s="44">
        <v>205601.5</v>
      </c>
      <c r="M169" s="44">
        <f t="shared" si="18"/>
        <v>937750.10000000009</v>
      </c>
      <c r="N169" s="41">
        <v>390290.30000000005</v>
      </c>
      <c r="O169" s="56"/>
      <c r="P169" s="44">
        <v>20</v>
      </c>
      <c r="Q169" s="44"/>
      <c r="R169" s="44">
        <v>29102.300000000003</v>
      </c>
      <c r="S169" s="44">
        <v>276958.90000000002</v>
      </c>
      <c r="T169" s="44">
        <f t="shared" si="7"/>
        <v>2213448.1</v>
      </c>
    </row>
    <row r="170" spans="1:20" s="46" customFormat="1" ht="16.5" customHeight="1" x14ac:dyDescent="0.25">
      <c r="A170" s="55">
        <v>44469</v>
      </c>
      <c r="B170" s="44">
        <v>619116.89999999991</v>
      </c>
      <c r="C170" s="41">
        <v>0</v>
      </c>
      <c r="D170" s="41"/>
      <c r="E170" s="41"/>
      <c r="F170" s="47"/>
      <c r="G170" s="41"/>
      <c r="H170" s="41"/>
      <c r="I170" s="41"/>
      <c r="J170" s="44">
        <v>0</v>
      </c>
      <c r="K170" s="44">
        <v>697339.3</v>
      </c>
      <c r="L170" s="44">
        <v>206057.4</v>
      </c>
      <c r="M170" s="44">
        <f t="shared" si="18"/>
        <v>903396.70000000007</v>
      </c>
      <c r="N170" s="41">
        <v>425854.30000000005</v>
      </c>
      <c r="O170" s="56"/>
      <c r="P170" s="44">
        <v>20</v>
      </c>
      <c r="Q170" s="44"/>
      <c r="R170" s="44">
        <v>28895.200000000001</v>
      </c>
      <c r="S170" s="44">
        <v>281628</v>
      </c>
      <c r="T170" s="44">
        <f t="shared" si="7"/>
        <v>2258911.1</v>
      </c>
    </row>
    <row r="171" spans="1:20" s="46" customFormat="1" ht="16.5" customHeight="1" x14ac:dyDescent="0.25">
      <c r="A171" s="55">
        <v>44470</v>
      </c>
      <c r="B171" s="44">
        <v>777359.9</v>
      </c>
      <c r="C171" s="41">
        <v>0</v>
      </c>
      <c r="D171" s="41"/>
      <c r="E171" s="41"/>
      <c r="F171" s="47"/>
      <c r="G171" s="41"/>
      <c r="H171" s="41"/>
      <c r="I171" s="41"/>
      <c r="J171" s="44">
        <v>0</v>
      </c>
      <c r="K171" s="44">
        <v>696699.4</v>
      </c>
      <c r="L171" s="44">
        <v>206094.3</v>
      </c>
      <c r="M171" s="44">
        <f t="shared" si="18"/>
        <v>902793.7</v>
      </c>
      <c r="N171" s="41">
        <v>421044.3</v>
      </c>
      <c r="O171" s="56"/>
      <c r="P171" s="44">
        <v>20</v>
      </c>
      <c r="Q171" s="44"/>
      <c r="R171" s="44">
        <v>29287.300000000003</v>
      </c>
      <c r="S171" s="44">
        <v>303804.09999999998</v>
      </c>
      <c r="T171" s="44">
        <f t="shared" si="7"/>
        <v>2434309.2999999998</v>
      </c>
    </row>
    <row r="172" spans="1:20" s="46" customFormat="1" ht="16.5" customHeight="1" x14ac:dyDescent="0.25">
      <c r="A172" s="55">
        <v>44502</v>
      </c>
      <c r="B172" s="44">
        <v>687462.70000000007</v>
      </c>
      <c r="C172" s="41">
        <v>61719.1</v>
      </c>
      <c r="D172" s="41"/>
      <c r="E172" s="41"/>
      <c r="F172" s="47"/>
      <c r="G172" s="41"/>
      <c r="H172" s="41"/>
      <c r="I172" s="41"/>
      <c r="J172" s="44">
        <v>0</v>
      </c>
      <c r="K172" s="44">
        <v>693753.1</v>
      </c>
      <c r="L172" s="44">
        <v>168442.69999999998</v>
      </c>
      <c r="M172" s="44">
        <f t="shared" si="18"/>
        <v>923914.89999999991</v>
      </c>
      <c r="N172" s="41">
        <v>493661.89999999997</v>
      </c>
      <c r="O172" s="56"/>
      <c r="P172" s="44">
        <v>20</v>
      </c>
      <c r="Q172" s="44"/>
      <c r="R172" s="44">
        <v>29765</v>
      </c>
      <c r="S172" s="44">
        <v>312000.09999999998</v>
      </c>
      <c r="T172" s="44">
        <f t="shared" si="7"/>
        <v>2446824.6</v>
      </c>
    </row>
    <row r="173" spans="1:20" s="46" customFormat="1" ht="16.5" customHeight="1" x14ac:dyDescent="0.25">
      <c r="A173" s="55">
        <v>44533</v>
      </c>
      <c r="B173" s="44">
        <v>593226.4</v>
      </c>
      <c r="C173" s="41">
        <v>36124.9</v>
      </c>
      <c r="D173" s="41"/>
      <c r="E173" s="41"/>
      <c r="F173" s="47"/>
      <c r="G173" s="41"/>
      <c r="H173" s="41"/>
      <c r="I173" s="41"/>
      <c r="J173" s="44">
        <v>0</v>
      </c>
      <c r="K173" s="44">
        <v>690961.7</v>
      </c>
      <c r="L173" s="44">
        <v>174442.5</v>
      </c>
      <c r="M173" s="44">
        <f t="shared" si="18"/>
        <v>901529.1</v>
      </c>
      <c r="N173" s="41">
        <v>530461.70000000007</v>
      </c>
      <c r="O173" s="56"/>
      <c r="P173" s="44">
        <v>20</v>
      </c>
      <c r="Q173" s="44"/>
      <c r="R173" s="44">
        <v>30087.600000000002</v>
      </c>
      <c r="S173" s="44">
        <v>295416.59999999998</v>
      </c>
      <c r="T173" s="44">
        <f t="shared" si="7"/>
        <v>2350741.4000000004</v>
      </c>
    </row>
    <row r="174" spans="1:20" s="46" customFormat="1" ht="16.5" customHeight="1" x14ac:dyDescent="0.25">
      <c r="A174" s="55">
        <v>44565</v>
      </c>
      <c r="B174" s="44">
        <v>608146</v>
      </c>
      <c r="C174" s="41">
        <v>57950.6</v>
      </c>
      <c r="D174" s="41"/>
      <c r="E174" s="41"/>
      <c r="F174" s="47"/>
      <c r="G174" s="41"/>
      <c r="H174" s="41"/>
      <c r="I174" s="41"/>
      <c r="J174" s="44">
        <v>0</v>
      </c>
      <c r="K174" s="44">
        <v>691355.6</v>
      </c>
      <c r="L174" s="44">
        <v>326388.59999999998</v>
      </c>
      <c r="M174" s="44">
        <f t="shared" si="18"/>
        <v>1075694.7999999998</v>
      </c>
      <c r="N174" s="41">
        <v>507898.5</v>
      </c>
      <c r="O174" s="56"/>
      <c r="P174" s="44">
        <v>20</v>
      </c>
      <c r="Q174" s="44"/>
      <c r="R174" s="44">
        <v>30181.899999999998</v>
      </c>
      <c r="S174" s="44">
        <v>302674.40000000002</v>
      </c>
      <c r="T174" s="44">
        <f t="shared" si="7"/>
        <v>2524615.5999999996</v>
      </c>
    </row>
    <row r="175" spans="1:20" s="46" customFormat="1" ht="16.5" customHeight="1" x14ac:dyDescent="0.25">
      <c r="A175" s="58">
        <v>44593</v>
      </c>
      <c r="B175" s="44">
        <v>608146</v>
      </c>
      <c r="C175" s="41">
        <v>57950.6</v>
      </c>
      <c r="D175" s="41"/>
      <c r="E175" s="41"/>
      <c r="F175" s="47"/>
      <c r="G175" s="41"/>
      <c r="H175" s="41"/>
      <c r="I175" s="41"/>
      <c r="J175" s="44">
        <v>0</v>
      </c>
      <c r="K175" s="44">
        <v>691355.6</v>
      </c>
      <c r="L175" s="44">
        <v>326388.59999999998</v>
      </c>
      <c r="M175" s="44">
        <f t="shared" si="18"/>
        <v>1075694.7999999998</v>
      </c>
      <c r="N175" s="41">
        <v>507898.5</v>
      </c>
      <c r="O175" s="56"/>
      <c r="P175" s="44">
        <v>20</v>
      </c>
      <c r="Q175" s="44"/>
      <c r="R175" s="44">
        <v>30181.899999999998</v>
      </c>
      <c r="S175" s="44">
        <v>302674.40000000002</v>
      </c>
      <c r="T175" s="44">
        <f t="shared" si="7"/>
        <v>2524615.5999999996</v>
      </c>
    </row>
    <row r="176" spans="1:20" s="46" customFormat="1" ht="16.5" customHeight="1" x14ac:dyDescent="0.25">
      <c r="A176" s="58">
        <v>44621</v>
      </c>
      <c r="B176" s="44">
        <v>568741.60000000009</v>
      </c>
      <c r="C176" s="41">
        <v>32028.5</v>
      </c>
      <c r="D176" s="41"/>
      <c r="E176" s="41"/>
      <c r="F176" s="47"/>
      <c r="G176" s="41"/>
      <c r="H176" s="41"/>
      <c r="I176" s="41"/>
      <c r="J176" s="44">
        <v>0</v>
      </c>
      <c r="K176" s="44">
        <v>690433.4</v>
      </c>
      <c r="L176" s="44">
        <v>328827.69999999995</v>
      </c>
      <c r="M176" s="44">
        <f t="shared" si="18"/>
        <v>1051289.6000000001</v>
      </c>
      <c r="N176" s="41">
        <v>563559.20000000007</v>
      </c>
      <c r="O176" s="56"/>
      <c r="P176" s="44">
        <v>20</v>
      </c>
      <c r="Q176" s="44"/>
      <c r="R176" s="44">
        <v>32170.7</v>
      </c>
      <c r="S176" s="44">
        <v>314001.7</v>
      </c>
      <c r="T176" s="44">
        <f t="shared" si="7"/>
        <v>2529782.8000000007</v>
      </c>
    </row>
    <row r="177" spans="1:22" s="46" customFormat="1" ht="16.5" customHeight="1" x14ac:dyDescent="0.25">
      <c r="A177" s="58">
        <v>44652</v>
      </c>
      <c r="B177" s="44">
        <v>568741.60000000009</v>
      </c>
      <c r="C177" s="41">
        <v>32028.5</v>
      </c>
      <c r="D177" s="41"/>
      <c r="E177" s="41"/>
      <c r="F177" s="47"/>
      <c r="G177" s="41"/>
      <c r="H177" s="41"/>
      <c r="I177" s="41"/>
      <c r="J177" s="44">
        <v>0</v>
      </c>
      <c r="K177" s="44">
        <v>690433.4</v>
      </c>
      <c r="L177" s="44">
        <v>328827.69999999995</v>
      </c>
      <c r="M177" s="44">
        <f t="shared" si="18"/>
        <v>1051289.6000000001</v>
      </c>
      <c r="N177" s="41">
        <v>563559.20000000007</v>
      </c>
      <c r="O177" s="56"/>
      <c r="P177" s="44">
        <v>20</v>
      </c>
      <c r="Q177" s="44"/>
      <c r="R177" s="44">
        <v>32170.7</v>
      </c>
      <c r="S177" s="44">
        <v>314001.7</v>
      </c>
      <c r="T177" s="44">
        <f t="shared" si="7"/>
        <v>2529782.8000000007</v>
      </c>
    </row>
    <row r="178" spans="1:22" s="46" customFormat="1" ht="16.5" customHeight="1" x14ac:dyDescent="0.25">
      <c r="A178" s="58">
        <v>44682</v>
      </c>
      <c r="B178" s="44">
        <v>568741.60000000009</v>
      </c>
      <c r="C178" s="41">
        <v>32028.5</v>
      </c>
      <c r="D178" s="41"/>
      <c r="E178" s="41"/>
      <c r="F178" s="47"/>
      <c r="G178" s="41"/>
      <c r="H178" s="41"/>
      <c r="I178" s="41"/>
      <c r="J178" s="44">
        <v>0</v>
      </c>
      <c r="K178" s="44">
        <v>690433.4</v>
      </c>
      <c r="L178" s="44">
        <v>328827.69999999995</v>
      </c>
      <c r="M178" s="44">
        <f t="shared" si="18"/>
        <v>1051289.6000000001</v>
      </c>
      <c r="N178" s="41">
        <v>563559.20000000007</v>
      </c>
      <c r="O178" s="56"/>
      <c r="P178" s="44">
        <v>20</v>
      </c>
      <c r="Q178" s="44"/>
      <c r="R178" s="44">
        <v>32170.7</v>
      </c>
      <c r="S178" s="44">
        <v>314001.7</v>
      </c>
      <c r="T178" s="44">
        <f t="shared" si="7"/>
        <v>2529782.8000000007</v>
      </c>
    </row>
    <row r="179" spans="1:22" s="46" customFormat="1" ht="16.5" customHeight="1" x14ac:dyDescent="0.25">
      <c r="A179" s="58">
        <v>44713</v>
      </c>
      <c r="B179" s="44">
        <v>462267.9</v>
      </c>
      <c r="C179" s="41">
        <v>266435.90000000002</v>
      </c>
      <c r="D179" s="41"/>
      <c r="E179" s="41"/>
      <c r="F179" s="47"/>
      <c r="G179" s="41"/>
      <c r="H179" s="41"/>
      <c r="I179" s="41"/>
      <c r="J179" s="44">
        <v>0</v>
      </c>
      <c r="K179" s="44">
        <v>686729.1</v>
      </c>
      <c r="L179" s="44">
        <v>435960.30000000005</v>
      </c>
      <c r="M179" s="44">
        <f t="shared" si="18"/>
        <v>1389125.3</v>
      </c>
      <c r="N179" s="41">
        <v>574094.20000000007</v>
      </c>
      <c r="O179" s="56"/>
      <c r="P179" s="44">
        <v>20</v>
      </c>
      <c r="Q179" s="44"/>
      <c r="R179" s="44">
        <v>35371.300000000003</v>
      </c>
      <c r="S179" s="44">
        <v>313593.39999999997</v>
      </c>
      <c r="T179" s="44">
        <f t="shared" si="7"/>
        <v>2774472.1</v>
      </c>
    </row>
    <row r="180" spans="1:22" s="46" customFormat="1" ht="16.5" customHeight="1" x14ac:dyDescent="0.25">
      <c r="A180" s="58">
        <v>44743</v>
      </c>
      <c r="B180" s="44">
        <v>382955.4</v>
      </c>
      <c r="C180" s="41">
        <v>28468.2</v>
      </c>
      <c r="D180" s="41"/>
      <c r="E180" s="41"/>
      <c r="F180" s="47"/>
      <c r="G180" s="41"/>
      <c r="H180" s="41"/>
      <c r="I180" s="41"/>
      <c r="J180" s="44">
        <v>0</v>
      </c>
      <c r="K180" s="44">
        <v>945987.1</v>
      </c>
      <c r="L180" s="44">
        <v>745751.9</v>
      </c>
      <c r="M180" s="44">
        <f t="shared" si="18"/>
        <v>1720207.2</v>
      </c>
      <c r="N180" s="41">
        <v>590141.10000000009</v>
      </c>
      <c r="O180" s="56"/>
      <c r="P180" s="44">
        <v>20</v>
      </c>
      <c r="Q180" s="44"/>
      <c r="R180" s="44">
        <v>36434.9</v>
      </c>
      <c r="S180" s="44">
        <v>379714.2</v>
      </c>
      <c r="T180" s="44">
        <f t="shared" si="7"/>
        <v>3109472.8000000003</v>
      </c>
    </row>
    <row r="181" spans="1:22" s="59" customFormat="1" x14ac:dyDescent="0.25">
      <c r="A181" s="55" t="s">
        <v>68</v>
      </c>
      <c r="B181" s="44">
        <v>387586.1</v>
      </c>
      <c r="C181" s="41">
        <v>17695.5</v>
      </c>
      <c r="D181" s="41"/>
      <c r="E181" s="41"/>
      <c r="F181" s="47"/>
      <c r="G181" s="41"/>
      <c r="H181" s="41"/>
      <c r="I181" s="41"/>
      <c r="J181" s="44">
        <v>0</v>
      </c>
      <c r="K181" s="44">
        <v>956869.3</v>
      </c>
      <c r="L181" s="44">
        <v>731079.3</v>
      </c>
      <c r="M181" s="44">
        <f t="shared" si="18"/>
        <v>1705644.1</v>
      </c>
      <c r="N181" s="41">
        <v>605575.60000000009</v>
      </c>
      <c r="O181" s="56"/>
      <c r="P181" s="44">
        <v>20</v>
      </c>
      <c r="Q181" s="44"/>
      <c r="R181" s="44">
        <v>39188.400000000001</v>
      </c>
      <c r="S181" s="44">
        <v>317442</v>
      </c>
      <c r="T181" s="44">
        <f t="shared" si="7"/>
        <v>3055456.2</v>
      </c>
      <c r="V181" s="46"/>
    </row>
    <row r="182" spans="1:22" s="59" customFormat="1" x14ac:dyDescent="0.25">
      <c r="A182" s="55" t="s">
        <v>69</v>
      </c>
      <c r="B182" s="44">
        <v>422873.9</v>
      </c>
      <c r="C182" s="41">
        <v>82611.8</v>
      </c>
      <c r="D182" s="41"/>
      <c r="E182" s="41"/>
      <c r="F182" s="47"/>
      <c r="G182" s="41"/>
      <c r="H182" s="41"/>
      <c r="I182" s="41"/>
      <c r="J182" s="44">
        <v>0</v>
      </c>
      <c r="K182" s="44">
        <v>956869.3</v>
      </c>
      <c r="L182" s="44">
        <v>731229.5</v>
      </c>
      <c r="M182" s="44">
        <f t="shared" si="18"/>
        <v>1770710.6</v>
      </c>
      <c r="N182" s="41">
        <v>633901.30000000005</v>
      </c>
      <c r="O182" s="56"/>
      <c r="P182" s="44">
        <v>20</v>
      </c>
      <c r="Q182" s="44"/>
      <c r="R182" s="44">
        <v>40736.600000000006</v>
      </c>
      <c r="S182" s="44">
        <v>311263.8</v>
      </c>
      <c r="T182" s="44">
        <f t="shared" si="7"/>
        <v>3179506.1999999997</v>
      </c>
      <c r="V182" s="46"/>
    </row>
    <row r="183" spans="1:22" s="59" customFormat="1" x14ac:dyDescent="0.25">
      <c r="A183" s="55" t="s">
        <v>70</v>
      </c>
      <c r="B183" s="44">
        <v>414986.9</v>
      </c>
      <c r="C183" s="41">
        <v>25854.9</v>
      </c>
      <c r="D183" s="41"/>
      <c r="E183" s="41"/>
      <c r="F183" s="47"/>
      <c r="G183" s="41"/>
      <c r="H183" s="41"/>
      <c r="I183" s="41"/>
      <c r="J183" s="44">
        <v>0</v>
      </c>
      <c r="K183" s="44">
        <v>956869.3</v>
      </c>
      <c r="L183" s="44">
        <v>732739.49999999988</v>
      </c>
      <c r="M183" s="44">
        <f t="shared" si="18"/>
        <v>1715463.7</v>
      </c>
      <c r="N183" s="41">
        <v>635509.9</v>
      </c>
      <c r="O183" s="56"/>
      <c r="P183" s="44">
        <v>20</v>
      </c>
      <c r="Q183" s="44"/>
      <c r="R183" s="44">
        <v>42468</v>
      </c>
      <c r="S183" s="44">
        <v>262168.90000000002</v>
      </c>
      <c r="T183" s="44">
        <f t="shared" si="7"/>
        <v>3070617.4</v>
      </c>
      <c r="V183" s="46"/>
    </row>
    <row r="184" spans="1:22" s="59" customFormat="1" x14ac:dyDescent="0.25">
      <c r="A184" s="55" t="s">
        <v>71</v>
      </c>
      <c r="B184" s="44">
        <v>477565.00000000006</v>
      </c>
      <c r="C184" s="41">
        <v>52799.4</v>
      </c>
      <c r="D184" s="41"/>
      <c r="E184" s="41"/>
      <c r="F184" s="47"/>
      <c r="G184" s="41"/>
      <c r="H184" s="41"/>
      <c r="I184" s="41"/>
      <c r="J184" s="44">
        <v>0</v>
      </c>
      <c r="K184" s="44">
        <v>942130</v>
      </c>
      <c r="L184" s="44">
        <v>733999.1</v>
      </c>
      <c r="M184" s="44">
        <f t="shared" si="18"/>
        <v>1728928.5</v>
      </c>
      <c r="N184" s="41">
        <v>603572.80000000005</v>
      </c>
      <c r="O184" s="56"/>
      <c r="P184" s="44">
        <v>20</v>
      </c>
      <c r="Q184" s="44"/>
      <c r="R184" s="44">
        <v>43124.700000000004</v>
      </c>
      <c r="S184" s="44">
        <v>211332.5</v>
      </c>
      <c r="T184" s="44">
        <f t="shared" si="7"/>
        <v>3064543.5</v>
      </c>
    </row>
    <row r="185" spans="1:22" s="59" customFormat="1" x14ac:dyDescent="0.25">
      <c r="A185" s="55" t="s">
        <v>72</v>
      </c>
      <c r="B185" s="44">
        <v>427908.5</v>
      </c>
      <c r="C185" s="41">
        <v>3346.5</v>
      </c>
      <c r="D185" s="41"/>
      <c r="E185" s="41"/>
      <c r="F185" s="47"/>
      <c r="G185" s="41"/>
      <c r="H185" s="41"/>
      <c r="I185" s="41"/>
      <c r="J185" s="44">
        <v>0</v>
      </c>
      <c r="K185" s="44">
        <v>941229</v>
      </c>
      <c r="L185" s="44">
        <v>786641.5</v>
      </c>
      <c r="M185" s="44">
        <f t="shared" si="18"/>
        <v>1731217</v>
      </c>
      <c r="N185" s="41">
        <v>556219.9</v>
      </c>
      <c r="O185" s="56"/>
      <c r="P185" s="44">
        <v>20</v>
      </c>
      <c r="Q185" s="44"/>
      <c r="R185" s="44">
        <v>47508.5</v>
      </c>
      <c r="S185" s="44">
        <v>200397.9</v>
      </c>
      <c r="T185" s="44">
        <f t="shared" si="7"/>
        <v>2963271.8</v>
      </c>
    </row>
    <row r="186" spans="1:22" s="59" customFormat="1" x14ac:dyDescent="0.25">
      <c r="A186" s="55" t="s">
        <v>73</v>
      </c>
      <c r="B186" s="44">
        <f>0+380839.5</f>
        <v>380839.5</v>
      </c>
      <c r="C186" s="41">
        <v>0</v>
      </c>
      <c r="D186" s="41"/>
      <c r="E186" s="41"/>
      <c r="F186" s="47"/>
      <c r="G186" s="41"/>
      <c r="H186" s="41"/>
      <c r="I186" s="41"/>
      <c r="J186" s="44">
        <v>0</v>
      </c>
      <c r="K186" s="44">
        <v>939663</v>
      </c>
      <c r="L186" s="44">
        <v>788127.4</v>
      </c>
      <c r="M186" s="44">
        <f t="shared" ref="M186:M190" si="19">SUM(C186:L186)</f>
        <v>1727790.4</v>
      </c>
      <c r="N186" s="41">
        <f>523095.1+25375.8</f>
        <v>548470.9</v>
      </c>
      <c r="O186" s="56"/>
      <c r="P186" s="44">
        <v>20</v>
      </c>
      <c r="Q186" s="44"/>
      <c r="R186" s="44">
        <v>49441</v>
      </c>
      <c r="S186" s="44">
        <v>222324.3</v>
      </c>
      <c r="T186" s="44">
        <f t="shared" si="7"/>
        <v>2928886.0999999996</v>
      </c>
    </row>
    <row r="187" spans="1:22" s="59" customFormat="1" x14ac:dyDescent="0.25">
      <c r="A187" s="55" t="s">
        <v>74</v>
      </c>
      <c r="B187" s="44">
        <v>372946.5</v>
      </c>
      <c r="C187" s="41">
        <v>0</v>
      </c>
      <c r="D187" s="41"/>
      <c r="E187" s="41"/>
      <c r="F187" s="47"/>
      <c r="G187" s="41"/>
      <c r="H187" s="41"/>
      <c r="I187" s="41"/>
      <c r="J187" s="44">
        <v>0</v>
      </c>
      <c r="K187" s="44">
        <v>938096.39999999991</v>
      </c>
      <c r="L187" s="44">
        <v>788331.5</v>
      </c>
      <c r="M187" s="44">
        <f t="shared" si="19"/>
        <v>1726427.9</v>
      </c>
      <c r="N187" s="41">
        <f>499850.2+25375.8</f>
        <v>525226</v>
      </c>
      <c r="O187" s="56"/>
      <c r="P187" s="44">
        <v>20</v>
      </c>
      <c r="Q187" s="44"/>
      <c r="R187" s="44">
        <v>51211.3</v>
      </c>
      <c r="S187" s="44">
        <v>178730.3</v>
      </c>
      <c r="T187" s="44">
        <f t="shared" si="7"/>
        <v>2854561.9999999995</v>
      </c>
    </row>
    <row r="188" spans="1:22" s="59" customFormat="1" x14ac:dyDescent="0.25">
      <c r="A188" s="55" t="s">
        <v>75</v>
      </c>
      <c r="B188" s="44">
        <v>400217.3</v>
      </c>
      <c r="C188" s="41">
        <v>0</v>
      </c>
      <c r="D188" s="41"/>
      <c r="E188" s="41"/>
      <c r="F188" s="47"/>
      <c r="G188" s="41"/>
      <c r="H188" s="41"/>
      <c r="I188" s="41"/>
      <c r="J188" s="44">
        <v>0</v>
      </c>
      <c r="K188" s="44">
        <v>936198</v>
      </c>
      <c r="L188" s="44">
        <v>792195.9</v>
      </c>
      <c r="M188" s="44">
        <f t="shared" si="19"/>
        <v>1728393.9</v>
      </c>
      <c r="N188" s="41">
        <f>444450.2+25375.8</f>
        <v>469826</v>
      </c>
      <c r="O188" s="56"/>
      <c r="P188" s="44">
        <v>20</v>
      </c>
      <c r="Q188" s="44"/>
      <c r="R188" s="44">
        <v>51671.5</v>
      </c>
      <c r="S188" s="44">
        <v>187366</v>
      </c>
      <c r="T188" s="44">
        <f t="shared" si="7"/>
        <v>2837494.6999999997</v>
      </c>
    </row>
    <row r="189" spans="1:22" s="59" customFormat="1" x14ac:dyDescent="0.25">
      <c r="A189" s="55" t="s">
        <v>76</v>
      </c>
      <c r="B189" s="44">
        <v>302317.90000000002</v>
      </c>
      <c r="C189" s="41">
        <v>0</v>
      </c>
      <c r="D189" s="41"/>
      <c r="E189" s="41"/>
      <c r="F189" s="47"/>
      <c r="G189" s="41"/>
      <c r="H189" s="41"/>
      <c r="I189" s="41"/>
      <c r="J189" s="44">
        <v>0</v>
      </c>
      <c r="K189" s="44">
        <v>934630.89999999991</v>
      </c>
      <c r="L189" s="44">
        <v>753923.4</v>
      </c>
      <c r="M189" s="44">
        <f t="shared" si="19"/>
        <v>1688554.2999999998</v>
      </c>
      <c r="N189" s="41">
        <f>499290.2+25375.8</f>
        <v>524666</v>
      </c>
      <c r="O189" s="56"/>
      <c r="P189" s="44">
        <v>20</v>
      </c>
      <c r="Q189" s="44"/>
      <c r="R189" s="44">
        <v>52278.600000000006</v>
      </c>
      <c r="S189" s="44">
        <v>222737.5</v>
      </c>
      <c r="T189" s="44">
        <f t="shared" si="7"/>
        <v>2790574.3</v>
      </c>
    </row>
    <row r="190" spans="1:22" s="59" customFormat="1" x14ac:dyDescent="0.25">
      <c r="A190" s="55" t="s">
        <v>77</v>
      </c>
      <c r="B190" s="44">
        <v>161654.19999999998</v>
      </c>
      <c r="C190" s="41">
        <v>123094.8</v>
      </c>
      <c r="D190" s="41"/>
      <c r="E190" s="41"/>
      <c r="F190" s="47"/>
      <c r="G190" s="41"/>
      <c r="H190" s="41"/>
      <c r="I190" s="41"/>
      <c r="J190" s="44">
        <v>0</v>
      </c>
      <c r="K190" s="44">
        <v>933421.39999999991</v>
      </c>
      <c r="L190" s="44">
        <v>626437.5</v>
      </c>
      <c r="M190" s="44">
        <f t="shared" si="19"/>
        <v>1682953.7</v>
      </c>
      <c r="N190" s="41">
        <f>560710.2+25375.8</f>
        <v>586086</v>
      </c>
      <c r="O190" s="56"/>
      <c r="P190" s="44">
        <v>20</v>
      </c>
      <c r="Q190" s="44"/>
      <c r="R190" s="44">
        <v>52524.700000000004</v>
      </c>
      <c r="S190" s="44">
        <v>248095.19999999998</v>
      </c>
      <c r="T190" s="44">
        <f t="shared" si="7"/>
        <v>2731333.8000000003</v>
      </c>
    </row>
    <row r="191" spans="1:22" s="59" customFormat="1" x14ac:dyDescent="0.25">
      <c r="A191" s="55" t="s">
        <v>78</v>
      </c>
      <c r="B191" s="44">
        <v>348849.4</v>
      </c>
      <c r="C191" s="41">
        <v>314986.5</v>
      </c>
      <c r="D191" s="41"/>
      <c r="E191" s="41"/>
      <c r="F191" s="47"/>
      <c r="G191" s="41"/>
      <c r="H191" s="41"/>
      <c r="I191" s="41"/>
      <c r="J191" s="44">
        <v>0</v>
      </c>
      <c r="K191" s="44">
        <v>930266.6</v>
      </c>
      <c r="L191" s="44">
        <f>76116.6+150000+300000+94652.5</f>
        <v>620769.1</v>
      </c>
      <c r="M191" s="44">
        <f t="shared" ref="M191" si="20">SUM(C191:L191)</f>
        <v>1866022.2000000002</v>
      </c>
      <c r="N191" s="41">
        <v>484489.2</v>
      </c>
      <c r="O191" s="56"/>
      <c r="P191" s="44">
        <v>20</v>
      </c>
      <c r="Q191" s="44"/>
      <c r="R191" s="44">
        <v>52902.700000000004</v>
      </c>
      <c r="S191" s="44">
        <f>290645.1+158.9+728.9</f>
        <v>291532.90000000002</v>
      </c>
      <c r="T191" s="44">
        <f t="shared" si="7"/>
        <v>3043816.4000000004</v>
      </c>
    </row>
    <row r="192" spans="1:22" s="59" customFormat="1" x14ac:dyDescent="0.25">
      <c r="A192" s="55" t="s">
        <v>79</v>
      </c>
      <c r="B192" s="44">
        <v>386587.4</v>
      </c>
      <c r="C192" s="41">
        <v>0</v>
      </c>
      <c r="D192" s="41"/>
      <c r="E192" s="41"/>
      <c r="F192" s="47"/>
      <c r="G192" s="41"/>
      <c r="H192" s="41"/>
      <c r="I192" s="41"/>
      <c r="J192" s="44">
        <v>0</v>
      </c>
      <c r="K192" s="44">
        <v>1243684.6000000001</v>
      </c>
      <c r="L192" s="44">
        <v>620769.07321900001</v>
      </c>
      <c r="M192" s="44">
        <f>SUM(C192:L192)</f>
        <v>1864453.673219</v>
      </c>
      <c r="N192" s="41">
        <v>575334.20000000007</v>
      </c>
      <c r="O192" s="56"/>
      <c r="P192" s="44">
        <v>20</v>
      </c>
      <c r="Q192" s="44"/>
      <c r="R192" s="44">
        <v>53429.599999999999</v>
      </c>
      <c r="S192" s="44">
        <f>321372.7+158.9+728.9</f>
        <v>322260.50000000006</v>
      </c>
      <c r="T192" s="44">
        <f t="shared" si="7"/>
        <v>3202085.3732190002</v>
      </c>
    </row>
    <row r="193" spans="1:20" s="59" customFormat="1" x14ac:dyDescent="0.25">
      <c r="A193" s="55" t="s">
        <v>80</v>
      </c>
      <c r="B193" s="44">
        <v>231905.7</v>
      </c>
      <c r="C193" s="41">
        <v>48385</v>
      </c>
      <c r="D193" s="41"/>
      <c r="E193" s="41"/>
      <c r="F193" s="47"/>
      <c r="G193" s="41"/>
      <c r="H193" s="41"/>
      <c r="I193" s="41"/>
      <c r="J193" s="44">
        <v>0</v>
      </c>
      <c r="K193" s="44">
        <f>660693.3+266435.9+314986.5</f>
        <v>1242115.7000000002</v>
      </c>
      <c r="L193" s="44">
        <f>38341.6+150000+300000+94652.5</f>
        <v>582994.1</v>
      </c>
      <c r="M193" s="44">
        <f t="shared" ref="M193:M221" si="21">SUM(C193:L193)</f>
        <v>1873494.8000000003</v>
      </c>
      <c r="N193" s="41">
        <v>603721.70000000007</v>
      </c>
      <c r="O193" s="56"/>
      <c r="P193" s="44">
        <v>20</v>
      </c>
      <c r="Q193" s="44"/>
      <c r="R193" s="44">
        <v>54214.400000000001</v>
      </c>
      <c r="S193" s="44">
        <v>357096.4</v>
      </c>
      <c r="T193" s="44">
        <f t="shared" si="7"/>
        <v>3120453.0000000005</v>
      </c>
    </row>
    <row r="194" spans="1:20" s="59" customFormat="1" x14ac:dyDescent="0.25">
      <c r="A194" s="55" t="s">
        <v>81</v>
      </c>
      <c r="B194" s="44">
        <v>247173.69999999995</v>
      </c>
      <c r="C194" s="41">
        <v>168204</v>
      </c>
      <c r="D194" s="41"/>
      <c r="E194" s="41"/>
      <c r="F194" s="47"/>
      <c r="G194" s="41"/>
      <c r="H194" s="41"/>
      <c r="I194" s="41"/>
      <c r="J194" s="44">
        <v>0</v>
      </c>
      <c r="K194" s="44">
        <f>659764+266435.9+314986.5</f>
        <v>1241186.3999999999</v>
      </c>
      <c r="L194" s="44">
        <f>38341.6+150000+300000+94652.5</f>
        <v>582994.1</v>
      </c>
      <c r="M194" s="44">
        <f t="shared" si="21"/>
        <v>1992384.5</v>
      </c>
      <c r="N194" s="41">
        <v>603721.70000000007</v>
      </c>
      <c r="O194" s="56"/>
      <c r="P194" s="44">
        <v>20</v>
      </c>
      <c r="Q194" s="44"/>
      <c r="R194" s="44">
        <v>54214.400000000001</v>
      </c>
      <c r="S194" s="44">
        <f>356379.8+158.9+728.9</f>
        <v>357267.60000000003</v>
      </c>
      <c r="T194" s="44">
        <f t="shared" si="7"/>
        <v>3254781.9000000004</v>
      </c>
    </row>
    <row r="195" spans="1:20" s="59" customFormat="1" x14ac:dyDescent="0.25">
      <c r="A195" s="55" t="s">
        <v>82</v>
      </c>
      <c r="B195" s="44">
        <v>295850.8</v>
      </c>
      <c r="C195" s="41">
        <v>194000.9</v>
      </c>
      <c r="D195" s="41"/>
      <c r="E195" s="41"/>
      <c r="F195" s="47"/>
      <c r="G195" s="41"/>
      <c r="H195" s="41"/>
      <c r="I195" s="41"/>
      <c r="J195" s="44">
        <v>0</v>
      </c>
      <c r="K195" s="44">
        <v>1240546.4810609999</v>
      </c>
      <c r="L195" s="44">
        <f>38341.6+150000+200000+94652.5</f>
        <v>482994.1</v>
      </c>
      <c r="M195" s="44">
        <f t="shared" si="21"/>
        <v>1917541.4810609999</v>
      </c>
      <c r="N195" s="41">
        <v>655925.4</v>
      </c>
      <c r="O195" s="56"/>
      <c r="P195" s="44">
        <v>20</v>
      </c>
      <c r="Q195" s="44"/>
      <c r="R195" s="44">
        <v>58020.700000000004</v>
      </c>
      <c r="S195" s="44">
        <v>221493</v>
      </c>
      <c r="T195" s="44">
        <f t="shared" si="7"/>
        <v>3148851.3810609998</v>
      </c>
    </row>
    <row r="196" spans="1:20" s="59" customFormat="1" x14ac:dyDescent="0.25">
      <c r="A196" s="55" t="s">
        <v>83</v>
      </c>
      <c r="B196" s="44">
        <v>409007.8</v>
      </c>
      <c r="C196" s="41">
        <v>124891.5</v>
      </c>
      <c r="D196" s="41"/>
      <c r="E196" s="41"/>
      <c r="F196" s="47"/>
      <c r="G196" s="41"/>
      <c r="H196" s="41"/>
      <c r="I196" s="41"/>
      <c r="J196" s="44">
        <v>0</v>
      </c>
      <c r="K196" s="44">
        <f>659124.1+266435.9+314986.5</f>
        <v>1240546.5</v>
      </c>
      <c r="L196" s="44">
        <f>38341.6+150000+200000+94652.5</f>
        <v>482994.1</v>
      </c>
      <c r="M196" s="44">
        <f t="shared" si="21"/>
        <v>1848432.1</v>
      </c>
      <c r="N196" s="41">
        <v>673461.9</v>
      </c>
      <c r="O196" s="56"/>
      <c r="P196" s="44">
        <v>20</v>
      </c>
      <c r="Q196" s="44"/>
      <c r="R196" s="44">
        <v>60500.5</v>
      </c>
      <c r="S196" s="44">
        <v>245491.89999999997</v>
      </c>
      <c r="T196" s="44">
        <f t="shared" si="7"/>
        <v>3236914.1999999997</v>
      </c>
    </row>
    <row r="197" spans="1:20" s="59" customFormat="1" x14ac:dyDescent="0.25">
      <c r="A197" s="55" t="s">
        <v>84</v>
      </c>
      <c r="B197" s="44">
        <v>322390.49999999994</v>
      </c>
      <c r="C197" s="41">
        <v>45365.4</v>
      </c>
      <c r="D197" s="41"/>
      <c r="E197" s="41"/>
      <c r="F197" s="47"/>
      <c r="G197" s="41"/>
      <c r="H197" s="41"/>
      <c r="I197" s="41"/>
      <c r="J197" s="44">
        <v>0</v>
      </c>
      <c r="K197" s="44">
        <v>1238638.2000000002</v>
      </c>
      <c r="L197" s="44">
        <f>38341.6+100000+200000+328306.3</f>
        <v>666647.89999999991</v>
      </c>
      <c r="M197" s="44">
        <f t="shared" si="21"/>
        <v>1950651.5</v>
      </c>
      <c r="N197" s="41">
        <v>603094.4</v>
      </c>
      <c r="O197" s="56"/>
      <c r="P197" s="44">
        <v>20</v>
      </c>
      <c r="Q197" s="44"/>
      <c r="R197" s="44">
        <v>61092</v>
      </c>
      <c r="S197" s="44">
        <v>250289.60893087738</v>
      </c>
      <c r="T197" s="44">
        <f>SUM(B197,M197:S197)</f>
        <v>3187538.0089308773</v>
      </c>
    </row>
    <row r="198" spans="1:20" s="59" customFormat="1" x14ac:dyDescent="0.25">
      <c r="A198" s="55" t="s">
        <v>85</v>
      </c>
      <c r="B198" s="44">
        <v>350705.10000000003</v>
      </c>
      <c r="C198" s="41">
        <v>0</v>
      </c>
      <c r="D198" s="41"/>
      <c r="E198" s="41"/>
      <c r="F198" s="47"/>
      <c r="G198" s="41"/>
      <c r="H198" s="41"/>
      <c r="I198" s="41"/>
      <c r="J198" s="44">
        <v>0</v>
      </c>
      <c r="K198" s="44">
        <v>1236636.5</v>
      </c>
      <c r="L198" s="44">
        <v>666647.89999999991</v>
      </c>
      <c r="M198" s="44">
        <f t="shared" si="21"/>
        <v>1903284.4</v>
      </c>
      <c r="N198" s="41">
        <v>596154.4</v>
      </c>
      <c r="O198" s="56"/>
      <c r="P198" s="44">
        <v>20</v>
      </c>
      <c r="Q198" s="44"/>
      <c r="R198" s="44">
        <v>61518</v>
      </c>
      <c r="S198" s="44">
        <v>264328.2</v>
      </c>
      <c r="T198" s="44">
        <f>SUM(B198,M198:S198)</f>
        <v>3176010.1</v>
      </c>
    </row>
    <row r="199" spans="1:20" s="59" customFormat="1" x14ac:dyDescent="0.25">
      <c r="A199" s="55" t="s">
        <v>86</v>
      </c>
      <c r="B199" s="44">
        <v>300692.5</v>
      </c>
      <c r="C199" s="41">
        <v>0</v>
      </c>
      <c r="D199" s="41"/>
      <c r="E199" s="41"/>
      <c r="F199" s="47"/>
      <c r="G199" s="41"/>
      <c r="H199" s="41"/>
      <c r="I199" s="41"/>
      <c r="J199" s="44">
        <v>0</v>
      </c>
      <c r="K199" s="44">
        <v>1234828.3</v>
      </c>
      <c r="L199" s="44">
        <v>666647.89999999991</v>
      </c>
      <c r="M199" s="44">
        <f t="shared" si="21"/>
        <v>1901476.2</v>
      </c>
      <c r="N199" s="41">
        <v>669333.9</v>
      </c>
      <c r="O199" s="56"/>
      <c r="P199" s="44">
        <v>20</v>
      </c>
      <c r="Q199" s="44"/>
      <c r="R199" s="44">
        <v>61904.3</v>
      </c>
      <c r="S199" s="44">
        <v>218878.4</v>
      </c>
      <c r="T199" s="44">
        <f t="shared" ref="T199:T223" si="22">SUM(B199,M199:S199)</f>
        <v>3152305.3</v>
      </c>
    </row>
    <row r="200" spans="1:20" s="59" customFormat="1" x14ac:dyDescent="0.25">
      <c r="A200" s="55" t="s">
        <v>87</v>
      </c>
      <c r="B200" s="44">
        <v>455505.00000000006</v>
      </c>
      <c r="C200" s="41">
        <v>0</v>
      </c>
      <c r="D200" s="41"/>
      <c r="E200" s="41"/>
      <c r="F200" s="47"/>
      <c r="G200" s="41"/>
      <c r="H200" s="41"/>
      <c r="I200" s="41"/>
      <c r="J200" s="44">
        <v>0</v>
      </c>
      <c r="K200" s="44">
        <v>1233257.3</v>
      </c>
      <c r="L200" s="44">
        <v>666647.89999999991</v>
      </c>
      <c r="M200" s="44">
        <f t="shared" si="21"/>
        <v>1899905.2</v>
      </c>
      <c r="N200" s="41">
        <v>600512.80000000005</v>
      </c>
      <c r="O200" s="56"/>
      <c r="P200" s="44">
        <v>20</v>
      </c>
      <c r="Q200" s="44"/>
      <c r="R200" s="44">
        <v>62360.4</v>
      </c>
      <c r="S200" s="44">
        <v>225389.99999999997</v>
      </c>
      <c r="T200" s="44">
        <f t="shared" si="22"/>
        <v>3243693.4</v>
      </c>
    </row>
    <row r="201" spans="1:20" s="59" customFormat="1" x14ac:dyDescent="0.25">
      <c r="A201" s="55" t="s">
        <v>88</v>
      </c>
      <c r="B201" s="44">
        <v>429221.9</v>
      </c>
      <c r="C201" s="41">
        <v>36468.5</v>
      </c>
      <c r="D201" s="41"/>
      <c r="E201" s="41"/>
      <c r="F201" s="47"/>
      <c r="G201" s="41"/>
      <c r="H201" s="41"/>
      <c r="I201" s="41"/>
      <c r="J201" s="44">
        <v>0</v>
      </c>
      <c r="K201" s="44">
        <v>1232048.2000000002</v>
      </c>
      <c r="L201" s="44">
        <v>666647.89999999991</v>
      </c>
      <c r="M201" s="44">
        <f t="shared" si="21"/>
        <v>1935164.6</v>
      </c>
      <c r="N201" s="41">
        <v>599044.80000000005</v>
      </c>
      <c r="O201" s="56"/>
      <c r="P201" s="44">
        <v>20</v>
      </c>
      <c r="Q201" s="44"/>
      <c r="R201" s="44">
        <v>63301.599999999999</v>
      </c>
      <c r="S201" s="44">
        <v>214279.30000000002</v>
      </c>
      <c r="T201" s="44">
        <f t="shared" si="22"/>
        <v>3241032.1999999997</v>
      </c>
    </row>
    <row r="202" spans="1:20" s="59" customFormat="1" x14ac:dyDescent="0.25">
      <c r="A202" s="55" t="s">
        <v>89</v>
      </c>
      <c r="B202" s="44">
        <v>399721.3</v>
      </c>
      <c r="C202" s="41">
        <v>97253.4</v>
      </c>
      <c r="D202" s="41"/>
      <c r="E202" s="41"/>
      <c r="F202" s="47"/>
      <c r="G202" s="41"/>
      <c r="H202" s="41"/>
      <c r="I202" s="41"/>
      <c r="J202" s="44">
        <v>0</v>
      </c>
      <c r="K202" s="44">
        <v>1230114.2000000002</v>
      </c>
      <c r="L202" s="44">
        <v>666647.89999999991</v>
      </c>
      <c r="M202" s="44">
        <f t="shared" si="21"/>
        <v>1994015.5</v>
      </c>
      <c r="N202" s="41">
        <v>592197.80000000005</v>
      </c>
      <c r="O202" s="56"/>
      <c r="P202" s="44">
        <v>20</v>
      </c>
      <c r="Q202" s="44"/>
      <c r="R202" s="44">
        <v>73500.099999999991</v>
      </c>
      <c r="S202" s="44">
        <v>230207.9</v>
      </c>
      <c r="T202" s="44">
        <f t="shared" si="22"/>
        <v>3289662.5999999996</v>
      </c>
    </row>
    <row r="203" spans="1:20" s="59" customFormat="1" x14ac:dyDescent="0.25">
      <c r="A203" s="55" t="s">
        <v>90</v>
      </c>
      <c r="B203" s="44">
        <v>431062.10000000003</v>
      </c>
      <c r="C203" s="41">
        <v>153944.29999999999</v>
      </c>
      <c r="D203" s="41"/>
      <c r="E203" s="41"/>
      <c r="F203" s="47"/>
      <c r="G203" s="41"/>
      <c r="H203" s="41"/>
      <c r="I203" s="41"/>
      <c r="J203" s="44">
        <v>0</v>
      </c>
      <c r="K203" s="44">
        <v>1226068.6000000001</v>
      </c>
      <c r="L203" s="44">
        <v>666647.89999999991</v>
      </c>
      <c r="M203" s="44">
        <f t="shared" si="21"/>
        <v>2046660.8</v>
      </c>
      <c r="N203" s="41">
        <v>563592.4</v>
      </c>
      <c r="O203" s="56"/>
      <c r="P203" s="44">
        <v>20</v>
      </c>
      <c r="Q203" s="44"/>
      <c r="R203" s="44">
        <v>80776.999999999985</v>
      </c>
      <c r="S203" s="44">
        <v>244488.8</v>
      </c>
      <c r="T203" s="44">
        <f t="shared" si="22"/>
        <v>3366601.0999999996</v>
      </c>
    </row>
    <row r="204" spans="1:20" s="59" customFormat="1" x14ac:dyDescent="0.25">
      <c r="A204" s="55" t="s">
        <v>91</v>
      </c>
      <c r="B204" s="44">
        <v>418033.2</v>
      </c>
      <c r="C204" s="41">
        <v>103537.9</v>
      </c>
      <c r="D204" s="41"/>
      <c r="E204" s="41"/>
      <c r="F204" s="47"/>
      <c r="G204" s="41"/>
      <c r="H204" s="41"/>
      <c r="I204" s="41"/>
      <c r="J204" s="44">
        <v>0</v>
      </c>
      <c r="K204" s="44">
        <v>1380012.9000000001</v>
      </c>
      <c r="L204" s="44">
        <v>735640.1</v>
      </c>
      <c r="M204" s="44">
        <f t="shared" si="21"/>
        <v>2219190.9</v>
      </c>
      <c r="N204" s="41">
        <v>515745.7</v>
      </c>
      <c r="O204" s="56"/>
      <c r="P204" s="44">
        <v>20</v>
      </c>
      <c r="Q204" s="44"/>
      <c r="R204" s="44">
        <v>85425.099999999991</v>
      </c>
      <c r="S204" s="44">
        <v>262841.30000000005</v>
      </c>
      <c r="T204" s="44">
        <f t="shared" si="22"/>
        <v>3501256.2</v>
      </c>
    </row>
    <row r="205" spans="1:20" s="59" customFormat="1" x14ac:dyDescent="0.25">
      <c r="A205" s="55" t="s">
        <v>92</v>
      </c>
      <c r="B205" s="44">
        <v>409992.50000000006</v>
      </c>
      <c r="C205" s="41">
        <v>295755.7</v>
      </c>
      <c r="D205" s="41"/>
      <c r="E205" s="41"/>
      <c r="F205" s="47"/>
      <c r="G205" s="41"/>
      <c r="H205" s="41"/>
      <c r="I205" s="41"/>
      <c r="J205" s="44">
        <v>0</v>
      </c>
      <c r="K205" s="44">
        <v>1377870.8</v>
      </c>
      <c r="L205" s="44">
        <v>735640.1</v>
      </c>
      <c r="M205" s="44">
        <f t="shared" si="21"/>
        <v>2409266.6</v>
      </c>
      <c r="N205" s="41">
        <v>515745.7</v>
      </c>
      <c r="O205" s="56"/>
      <c r="P205" s="44">
        <v>20</v>
      </c>
      <c r="Q205" s="44"/>
      <c r="R205" s="44">
        <v>86034.4</v>
      </c>
      <c r="S205" s="44">
        <v>267010.99999999994</v>
      </c>
      <c r="T205" s="44">
        <f t="shared" si="22"/>
        <v>3688070.2</v>
      </c>
    </row>
    <row r="206" spans="1:20" s="59" customFormat="1" x14ac:dyDescent="0.25">
      <c r="A206" s="55" t="s">
        <v>93</v>
      </c>
      <c r="B206" s="44">
        <v>372665.5</v>
      </c>
      <c r="C206" s="41">
        <v>415256.8</v>
      </c>
      <c r="D206" s="41"/>
      <c r="E206" s="41"/>
      <c r="F206" s="47"/>
      <c r="G206" s="41"/>
      <c r="H206" s="41"/>
      <c r="I206" s="41"/>
      <c r="J206" s="44">
        <v>0</v>
      </c>
      <c r="K206" s="44">
        <v>1377870.8</v>
      </c>
      <c r="L206" s="44">
        <v>735640.1</v>
      </c>
      <c r="M206" s="44">
        <f t="shared" si="21"/>
        <v>2528767.7000000002</v>
      </c>
      <c r="N206" s="41">
        <v>471341.89999999997</v>
      </c>
      <c r="O206" s="56"/>
      <c r="P206" s="44">
        <v>20</v>
      </c>
      <c r="Q206" s="44"/>
      <c r="R206" s="44">
        <v>92356.599999999991</v>
      </c>
      <c r="S206" s="44">
        <v>293267.3</v>
      </c>
      <c r="T206" s="44">
        <f t="shared" si="22"/>
        <v>3758419</v>
      </c>
    </row>
    <row r="207" spans="1:20" s="59" customFormat="1" x14ac:dyDescent="0.25">
      <c r="A207" s="55" t="s">
        <v>94</v>
      </c>
      <c r="B207" s="44">
        <v>337830.30000000005</v>
      </c>
      <c r="C207" s="41">
        <v>488651.3</v>
      </c>
      <c r="D207" s="41"/>
      <c r="E207" s="41"/>
      <c r="F207" s="47"/>
      <c r="G207" s="41"/>
      <c r="H207" s="41"/>
      <c r="I207" s="41"/>
      <c r="J207" s="44">
        <v>0</v>
      </c>
      <c r="K207" s="44">
        <v>1376661.6</v>
      </c>
      <c r="L207" s="44">
        <v>723475.2</v>
      </c>
      <c r="M207" s="44">
        <f t="shared" si="21"/>
        <v>2588788.1</v>
      </c>
      <c r="N207" s="41">
        <v>455698.9</v>
      </c>
      <c r="O207" s="56"/>
      <c r="P207" s="44">
        <v>20</v>
      </c>
      <c r="Q207" s="44"/>
      <c r="R207" s="44">
        <v>93938.499999999985</v>
      </c>
      <c r="S207" s="44">
        <v>291921.8</v>
      </c>
      <c r="T207" s="44">
        <f t="shared" si="22"/>
        <v>3768197.6</v>
      </c>
    </row>
    <row r="208" spans="1:20" s="59" customFormat="1" x14ac:dyDescent="0.25">
      <c r="A208" s="55" t="s">
        <v>95</v>
      </c>
      <c r="B208" s="44">
        <v>388639.6</v>
      </c>
      <c r="C208" s="41">
        <v>641722</v>
      </c>
      <c r="D208" s="41"/>
      <c r="E208" s="41"/>
      <c r="F208" s="41"/>
      <c r="G208" s="41"/>
      <c r="H208" s="41"/>
      <c r="I208" s="41"/>
      <c r="J208" s="44">
        <v>0</v>
      </c>
      <c r="K208" s="44">
        <v>1376661.6</v>
      </c>
      <c r="L208" s="44">
        <v>723475.2</v>
      </c>
      <c r="M208" s="44">
        <f t="shared" si="21"/>
        <v>2741858.8</v>
      </c>
      <c r="N208" s="41">
        <v>475012.60000000003</v>
      </c>
      <c r="O208" s="56"/>
      <c r="P208" s="44">
        <v>20</v>
      </c>
      <c r="Q208" s="44"/>
      <c r="R208" s="44">
        <v>94302.399999999994</v>
      </c>
      <c r="S208" s="44">
        <v>330352.8</v>
      </c>
      <c r="T208" s="44">
        <f t="shared" si="22"/>
        <v>4030186.1999999997</v>
      </c>
    </row>
    <row r="209" spans="1:22" s="59" customFormat="1" x14ac:dyDescent="0.25">
      <c r="A209" s="55" t="s">
        <v>96</v>
      </c>
      <c r="B209" s="44">
        <v>568462.90000000014</v>
      </c>
      <c r="C209" s="41">
        <v>751335.6</v>
      </c>
      <c r="D209" s="41"/>
      <c r="E209" s="41"/>
      <c r="F209" s="41"/>
      <c r="G209" s="41"/>
      <c r="H209" s="41"/>
      <c r="I209" s="41"/>
      <c r="J209" s="44">
        <v>0</v>
      </c>
      <c r="K209" s="44">
        <v>1371442.2</v>
      </c>
      <c r="L209" s="44">
        <v>723475.2</v>
      </c>
      <c r="M209" s="44">
        <f t="shared" si="21"/>
        <v>2846253</v>
      </c>
      <c r="N209" s="41">
        <v>510877</v>
      </c>
      <c r="O209" s="56"/>
      <c r="P209" s="44">
        <v>20</v>
      </c>
      <c r="Q209" s="44"/>
      <c r="R209" s="44">
        <v>96485.099999999991</v>
      </c>
      <c r="S209" s="44">
        <v>347216.89999999997</v>
      </c>
      <c r="T209" s="44">
        <f t="shared" si="22"/>
        <v>4369314.9000000004</v>
      </c>
    </row>
    <row r="210" spans="1:22" s="59" customFormat="1" x14ac:dyDescent="0.25">
      <c r="A210" s="55" t="s">
        <v>97</v>
      </c>
      <c r="B210" s="44">
        <v>465559.3</v>
      </c>
      <c r="C210" s="41">
        <v>839706.7</v>
      </c>
      <c r="D210" s="41"/>
      <c r="E210" s="41"/>
      <c r="F210" s="41"/>
      <c r="G210" s="41"/>
      <c r="H210" s="41"/>
      <c r="I210" s="41"/>
      <c r="J210" s="44">
        <v>0</v>
      </c>
      <c r="K210" s="44">
        <v>1371442.2</v>
      </c>
      <c r="L210" s="44">
        <v>723475.2</v>
      </c>
      <c r="M210" s="44">
        <f t="shared" si="21"/>
        <v>2934624.0999999996</v>
      </c>
      <c r="N210" s="41">
        <v>498869.3</v>
      </c>
      <c r="O210" s="56"/>
      <c r="P210" s="44">
        <v>20</v>
      </c>
      <c r="Q210" s="44"/>
      <c r="R210" s="44">
        <v>95904.499999999985</v>
      </c>
      <c r="S210" s="44">
        <v>370658.59999999992</v>
      </c>
      <c r="T210" s="44">
        <f t="shared" si="22"/>
        <v>4365635.7999999989</v>
      </c>
    </row>
    <row r="211" spans="1:22" s="59" customFormat="1" x14ac:dyDescent="0.25">
      <c r="A211" s="55" t="s">
        <v>98</v>
      </c>
      <c r="B211" s="44">
        <v>420490.2</v>
      </c>
      <c r="C211" s="41">
        <v>806591.4</v>
      </c>
      <c r="D211" s="41"/>
      <c r="E211" s="41"/>
      <c r="F211" s="41"/>
      <c r="G211" s="41"/>
      <c r="H211" s="41"/>
      <c r="I211" s="41"/>
      <c r="J211" s="44">
        <v>0</v>
      </c>
      <c r="K211" s="44">
        <v>1367903.8</v>
      </c>
      <c r="L211" s="44">
        <v>573475.19999999995</v>
      </c>
      <c r="M211" s="44">
        <f t="shared" si="21"/>
        <v>2747970.4000000004</v>
      </c>
      <c r="N211" s="41">
        <v>463180.3</v>
      </c>
      <c r="O211" s="56"/>
      <c r="P211" s="44">
        <v>20</v>
      </c>
      <c r="Q211" s="44"/>
      <c r="R211" s="44">
        <v>96627.4</v>
      </c>
      <c r="S211" s="44">
        <v>419614.6</v>
      </c>
      <c r="T211" s="44">
        <f t="shared" si="22"/>
        <v>4147902.9000000004</v>
      </c>
    </row>
    <row r="212" spans="1:22" s="59" customFormat="1" x14ac:dyDescent="0.25">
      <c r="A212" s="55" t="s">
        <v>99</v>
      </c>
      <c r="B212" s="44">
        <v>443981.5</v>
      </c>
      <c r="C212" s="41">
        <v>629494.5</v>
      </c>
      <c r="D212" s="41"/>
      <c r="E212" s="41"/>
      <c r="F212" s="41"/>
      <c r="G212" s="41"/>
      <c r="H212" s="41"/>
      <c r="I212" s="41"/>
      <c r="J212" s="44">
        <v>0</v>
      </c>
      <c r="K212" s="44">
        <v>1365759.1</v>
      </c>
      <c r="L212" s="44">
        <v>573475.19999999995</v>
      </c>
      <c r="M212" s="44">
        <f t="shared" si="21"/>
        <v>2568728.7999999998</v>
      </c>
      <c r="N212" s="41">
        <v>501372.3</v>
      </c>
      <c r="O212" s="56"/>
      <c r="P212" s="44">
        <v>20</v>
      </c>
      <c r="Q212" s="44"/>
      <c r="R212" s="44">
        <v>97291.799999999988</v>
      </c>
      <c r="S212" s="44">
        <v>465497</v>
      </c>
      <c r="T212" s="44">
        <f t="shared" si="22"/>
        <v>4076891.3999999994</v>
      </c>
    </row>
    <row r="213" spans="1:22" s="59" customFormat="1" x14ac:dyDescent="0.25">
      <c r="A213" s="55" t="s">
        <v>103</v>
      </c>
      <c r="B213" s="44">
        <v>525413.1</v>
      </c>
      <c r="C213" s="41">
        <v>614541.4</v>
      </c>
      <c r="D213" s="41"/>
      <c r="E213" s="41"/>
      <c r="F213" s="41"/>
      <c r="G213" s="41"/>
      <c r="H213" s="41"/>
      <c r="I213" s="41"/>
      <c r="J213" s="44">
        <v>0</v>
      </c>
      <c r="K213" s="44">
        <v>1363044.7</v>
      </c>
      <c r="L213" s="44">
        <v>573475.19999999995</v>
      </c>
      <c r="M213" s="44">
        <f t="shared" si="21"/>
        <v>2551061.2999999998</v>
      </c>
      <c r="N213" s="41">
        <v>529444.70000000007</v>
      </c>
      <c r="O213" s="56"/>
      <c r="P213" s="44">
        <v>20</v>
      </c>
      <c r="Q213" s="44"/>
      <c r="R213" s="44">
        <v>98236.999999999985</v>
      </c>
      <c r="S213" s="44">
        <v>480658.2</v>
      </c>
      <c r="T213" s="44">
        <f t="shared" si="22"/>
        <v>4184834.3000000003</v>
      </c>
    </row>
    <row r="214" spans="1:22" s="59" customFormat="1" x14ac:dyDescent="0.25">
      <c r="A214" s="55" t="s">
        <v>104</v>
      </c>
      <c r="B214" s="44">
        <v>511193.10000000003</v>
      </c>
      <c r="C214" s="41">
        <v>584716.1</v>
      </c>
      <c r="D214" s="41"/>
      <c r="E214" s="41"/>
      <c r="F214" s="41"/>
      <c r="G214" s="41"/>
      <c r="H214" s="41"/>
      <c r="I214" s="41"/>
      <c r="J214" s="44">
        <v>0</v>
      </c>
      <c r="K214" s="44">
        <v>1362251.7</v>
      </c>
      <c r="L214" s="44">
        <v>573475.19999999995</v>
      </c>
      <c r="M214" s="44">
        <f t="shared" si="21"/>
        <v>2520443</v>
      </c>
      <c r="N214" s="41">
        <v>562882</v>
      </c>
      <c r="O214" s="56"/>
      <c r="P214" s="44">
        <v>20</v>
      </c>
      <c r="Q214" s="44"/>
      <c r="R214" s="44">
        <v>103561.2</v>
      </c>
      <c r="S214" s="44">
        <v>552071.9</v>
      </c>
      <c r="T214" s="44">
        <f t="shared" si="22"/>
        <v>4250171.2</v>
      </c>
    </row>
    <row r="215" spans="1:22" s="59" customFormat="1" x14ac:dyDescent="0.25">
      <c r="A215" s="55" t="s">
        <v>105</v>
      </c>
      <c r="B215" s="44">
        <v>457764.4</v>
      </c>
      <c r="C215" s="41">
        <v>1017484.8</v>
      </c>
      <c r="D215" s="41"/>
      <c r="E215" s="41"/>
      <c r="F215" s="41"/>
      <c r="G215" s="41"/>
      <c r="H215" s="41"/>
      <c r="I215" s="41"/>
      <c r="J215" s="44">
        <v>0</v>
      </c>
      <c r="K215" s="44">
        <v>1355991.1</v>
      </c>
      <c r="L215" s="44">
        <v>547298.5</v>
      </c>
      <c r="M215" s="44">
        <f t="shared" si="21"/>
        <v>2920774.4000000004</v>
      </c>
      <c r="N215" s="41">
        <v>460854.89999999997</v>
      </c>
      <c r="O215" s="56"/>
      <c r="P215" s="44">
        <v>20</v>
      </c>
      <c r="Q215" s="44"/>
      <c r="R215" s="44">
        <v>104264.7</v>
      </c>
      <c r="S215" s="44">
        <v>364610</v>
      </c>
      <c r="T215" s="44">
        <f t="shared" si="22"/>
        <v>4308288.4000000004</v>
      </c>
    </row>
    <row r="216" spans="1:22" s="59" customFormat="1" x14ac:dyDescent="0.25">
      <c r="A216" s="55" t="s">
        <v>106</v>
      </c>
      <c r="B216" s="44">
        <v>615337.80000000005</v>
      </c>
      <c r="C216" s="41">
        <v>1017484.8</v>
      </c>
      <c r="D216" s="41"/>
      <c r="E216" s="41"/>
      <c r="F216" s="41"/>
      <c r="G216" s="41"/>
      <c r="H216" s="41"/>
      <c r="I216" s="41"/>
      <c r="J216" s="44">
        <v>0</v>
      </c>
      <c r="K216" s="44">
        <v>1354852.5</v>
      </c>
      <c r="L216" s="44">
        <v>547298.5</v>
      </c>
      <c r="M216" s="44">
        <f t="shared" si="21"/>
        <v>2919635.8</v>
      </c>
      <c r="N216" s="41">
        <v>461157.9</v>
      </c>
      <c r="O216" s="56"/>
      <c r="P216" s="44">
        <v>20</v>
      </c>
      <c r="Q216" s="44"/>
      <c r="R216" s="44">
        <v>109099.99999999999</v>
      </c>
      <c r="S216" s="44">
        <v>290511.19999999995</v>
      </c>
      <c r="T216" s="44">
        <f t="shared" si="22"/>
        <v>4395762.6999999993</v>
      </c>
    </row>
    <row r="217" spans="1:22" s="59" customFormat="1" x14ac:dyDescent="0.25">
      <c r="A217" s="55" t="s">
        <v>107</v>
      </c>
      <c r="B217" s="44">
        <v>516750.2</v>
      </c>
      <c r="C217" s="41">
        <v>1017484.8</v>
      </c>
      <c r="D217" s="41"/>
      <c r="E217" s="41"/>
      <c r="F217" s="41"/>
      <c r="G217" s="41"/>
      <c r="H217" s="41"/>
      <c r="I217" s="41"/>
      <c r="J217" s="44">
        <v>0</v>
      </c>
      <c r="K217" s="44">
        <v>1354852.4000000001</v>
      </c>
      <c r="L217" s="44">
        <v>584813</v>
      </c>
      <c r="M217" s="44">
        <f t="shared" si="21"/>
        <v>2957150.2</v>
      </c>
      <c r="N217" s="41">
        <v>457998.3</v>
      </c>
      <c r="O217" s="56"/>
      <c r="P217" s="44">
        <v>20</v>
      </c>
      <c r="Q217" s="44"/>
      <c r="R217" s="44">
        <v>110904.59999999999</v>
      </c>
      <c r="S217" s="44">
        <v>378088.4</v>
      </c>
      <c r="T217" s="44">
        <f t="shared" si="22"/>
        <v>4420911.7</v>
      </c>
    </row>
    <row r="218" spans="1:22" s="59" customFormat="1" x14ac:dyDescent="0.25">
      <c r="A218" s="55" t="s">
        <v>108</v>
      </c>
      <c r="B218" s="44">
        <v>484106.30000000005</v>
      </c>
      <c r="C218" s="41">
        <v>1017484.8</v>
      </c>
      <c r="D218" s="41"/>
      <c r="E218" s="41"/>
      <c r="F218" s="41"/>
      <c r="G218" s="41"/>
      <c r="H218" s="41"/>
      <c r="I218" s="41"/>
      <c r="J218" s="44">
        <v>0</v>
      </c>
      <c r="K218" s="44">
        <v>1353643.2</v>
      </c>
      <c r="L218" s="44">
        <v>584813</v>
      </c>
      <c r="M218" s="44">
        <f t="shared" si="21"/>
        <v>2955941</v>
      </c>
      <c r="N218" s="41">
        <v>442545.39999999997</v>
      </c>
      <c r="O218" s="56"/>
      <c r="P218" s="44">
        <v>20</v>
      </c>
      <c r="Q218" s="44"/>
      <c r="R218" s="44">
        <v>113973.29999999999</v>
      </c>
      <c r="S218" s="44">
        <v>396551.60000000003</v>
      </c>
      <c r="T218" s="44">
        <f t="shared" si="22"/>
        <v>4393137.5999999996</v>
      </c>
    </row>
    <row r="219" spans="1:22" s="59" customFormat="1" x14ac:dyDescent="0.25">
      <c r="A219" s="55" t="s">
        <v>109</v>
      </c>
      <c r="B219" s="44">
        <v>410111.19999999995</v>
      </c>
      <c r="C219" s="41">
        <v>1017484.8</v>
      </c>
      <c r="D219" s="41">
        <v>0</v>
      </c>
      <c r="E219" s="41">
        <v>0</v>
      </c>
      <c r="F219" s="41"/>
      <c r="G219" s="41">
        <v>0</v>
      </c>
      <c r="H219" s="41">
        <v>0</v>
      </c>
      <c r="I219" s="41">
        <v>0</v>
      </c>
      <c r="J219" s="44">
        <v>0</v>
      </c>
      <c r="K219" s="44">
        <v>1346643.2</v>
      </c>
      <c r="L219" s="44">
        <v>484813</v>
      </c>
      <c r="M219" s="44">
        <f t="shared" ref="M219:M221" si="23">SUM(C219:L219)</f>
        <v>2848941</v>
      </c>
      <c r="N219" s="41">
        <v>451386.7</v>
      </c>
      <c r="O219" s="56"/>
      <c r="P219" s="44">
        <v>20</v>
      </c>
      <c r="Q219" s="44"/>
      <c r="R219" s="44">
        <v>116286.79999999999</v>
      </c>
      <c r="S219" s="44">
        <v>346261.2</v>
      </c>
      <c r="T219" s="44">
        <f t="shared" si="22"/>
        <v>4173006.9000000004</v>
      </c>
    </row>
    <row r="220" spans="1:22" s="59" customFormat="1" x14ac:dyDescent="0.25">
      <c r="A220" s="55" t="s">
        <v>110</v>
      </c>
      <c r="B220" s="44">
        <v>591746.29999999993</v>
      </c>
      <c r="C220" s="41">
        <v>1017484.8</v>
      </c>
      <c r="D220" s="41">
        <v>0</v>
      </c>
      <c r="E220" s="41">
        <v>0</v>
      </c>
      <c r="F220" s="41"/>
      <c r="G220" s="41">
        <v>0</v>
      </c>
      <c r="H220" s="41">
        <v>0</v>
      </c>
      <c r="I220" s="41">
        <v>0</v>
      </c>
      <c r="J220" s="44">
        <v>0</v>
      </c>
      <c r="K220" s="44">
        <v>1346311.5</v>
      </c>
      <c r="L220" s="44">
        <v>484813</v>
      </c>
      <c r="M220" s="44">
        <f t="shared" si="23"/>
        <v>2848609.3</v>
      </c>
      <c r="N220" s="41">
        <v>446232.3</v>
      </c>
      <c r="O220" s="56"/>
      <c r="P220" s="44">
        <v>20</v>
      </c>
      <c r="Q220" s="44"/>
      <c r="R220" s="44">
        <v>116055.9</v>
      </c>
      <c r="S220" s="44">
        <v>358848.39999999997</v>
      </c>
      <c r="T220" s="44">
        <f t="shared" si="22"/>
        <v>4361512.1999999993</v>
      </c>
    </row>
    <row r="221" spans="1:22" s="59" customFormat="1" x14ac:dyDescent="0.25">
      <c r="A221" s="55" t="s">
        <v>113</v>
      </c>
      <c r="B221" s="44">
        <v>643872.80000000005</v>
      </c>
      <c r="C221" s="41">
        <v>132386.20000000001</v>
      </c>
      <c r="D221" s="41">
        <v>0</v>
      </c>
      <c r="E221" s="41">
        <v>0</v>
      </c>
      <c r="F221" s="41"/>
      <c r="G221" s="41">
        <v>0</v>
      </c>
      <c r="H221" s="41">
        <v>0</v>
      </c>
      <c r="I221" s="41">
        <v>0</v>
      </c>
      <c r="J221" s="44">
        <v>0</v>
      </c>
      <c r="K221" s="44">
        <v>2362001.5</v>
      </c>
      <c r="L221" s="44">
        <v>434813</v>
      </c>
      <c r="M221" s="44">
        <f t="shared" si="23"/>
        <v>2929200.7</v>
      </c>
      <c r="N221" s="41">
        <v>409749.4</v>
      </c>
      <c r="O221" s="56"/>
      <c r="P221" s="44">
        <v>20</v>
      </c>
      <c r="Q221" s="44"/>
      <c r="R221" s="44">
        <v>116852.59999999999</v>
      </c>
      <c r="S221" s="44">
        <v>392450.4</v>
      </c>
      <c r="T221" s="44">
        <f t="shared" si="22"/>
        <v>4492145.9000000004</v>
      </c>
    </row>
    <row r="222" spans="1:22" s="59" customFormat="1" x14ac:dyDescent="0.25">
      <c r="A222" s="55" t="s">
        <v>114</v>
      </c>
      <c r="B222" s="44">
        <v>501709.7</v>
      </c>
      <c r="C222" s="41">
        <v>39248.6</v>
      </c>
      <c r="D222" s="41">
        <v>0</v>
      </c>
      <c r="E222" s="41">
        <v>0</v>
      </c>
      <c r="F222" s="41"/>
      <c r="G222" s="41">
        <v>0</v>
      </c>
      <c r="H222" s="41">
        <v>0</v>
      </c>
      <c r="I222" s="41">
        <v>0</v>
      </c>
      <c r="J222" s="44">
        <v>0</v>
      </c>
      <c r="K222" s="44">
        <v>2356416.2999999998</v>
      </c>
      <c r="L222" s="44">
        <v>437113</v>
      </c>
      <c r="M222" s="44">
        <f t="shared" ref="M222:M223" si="24">SUM(C222:L222)</f>
        <v>2832777.9</v>
      </c>
      <c r="N222" s="41">
        <v>414982.3</v>
      </c>
      <c r="O222" s="56"/>
      <c r="P222" s="44">
        <v>20</v>
      </c>
      <c r="Q222" s="44"/>
      <c r="R222" s="44">
        <v>116727.7</v>
      </c>
      <c r="S222" s="44">
        <v>339966.49999999994</v>
      </c>
      <c r="T222" s="44">
        <f t="shared" si="22"/>
        <v>4206184.0999999996</v>
      </c>
    </row>
    <row r="223" spans="1:22" s="59" customFormat="1" x14ac:dyDescent="0.25">
      <c r="A223" s="55" t="s">
        <v>115</v>
      </c>
      <c r="B223" s="44">
        <v>429577.59999999992</v>
      </c>
      <c r="C223" s="41">
        <v>0</v>
      </c>
      <c r="D223" s="41">
        <v>0</v>
      </c>
      <c r="E223" s="41">
        <v>0</v>
      </c>
      <c r="F223" s="41"/>
      <c r="G223" s="41">
        <v>0</v>
      </c>
      <c r="H223" s="41">
        <v>0</v>
      </c>
      <c r="I223" s="41">
        <v>0</v>
      </c>
      <c r="J223" s="44">
        <v>0</v>
      </c>
      <c r="K223" s="44">
        <v>2354044.9000000004</v>
      </c>
      <c r="L223" s="44">
        <v>437113</v>
      </c>
      <c r="M223" s="44">
        <f t="shared" si="24"/>
        <v>2791157.9000000004</v>
      </c>
      <c r="N223" s="41">
        <v>423042.3</v>
      </c>
      <c r="O223" s="56"/>
      <c r="P223" s="44">
        <v>20</v>
      </c>
      <c r="Q223" s="44"/>
      <c r="R223" s="44">
        <v>116688.79999999999</v>
      </c>
      <c r="S223" s="44">
        <v>363361.5</v>
      </c>
      <c r="T223" s="44">
        <f t="shared" si="22"/>
        <v>4123848.1</v>
      </c>
    </row>
    <row r="224" spans="1:22" ht="18" customHeight="1" x14ac:dyDescent="0.25">
      <c r="A224" s="24" t="s">
        <v>47</v>
      </c>
      <c r="B224" s="64"/>
      <c r="C224" s="65"/>
      <c r="D224" s="66"/>
      <c r="E224" s="65"/>
      <c r="F224" s="62"/>
      <c r="G224" s="66"/>
      <c r="H224" s="63"/>
      <c r="I224" s="65"/>
      <c r="J224" s="65"/>
      <c r="K224" s="65"/>
      <c r="L224" s="65"/>
      <c r="M224" s="65"/>
      <c r="N224" s="65"/>
      <c r="O224" s="65"/>
      <c r="P224" s="65"/>
      <c r="Q224" s="65"/>
      <c r="R224" s="65"/>
      <c r="S224" s="65"/>
      <c r="T224" s="61"/>
      <c r="V224" s="46"/>
    </row>
  </sheetData>
  <mergeCells count="11">
    <mergeCell ref="A2:T2"/>
    <mergeCell ref="C4:M4"/>
    <mergeCell ref="B4:B5"/>
    <mergeCell ref="A4:A5"/>
    <mergeCell ref="N4:N5"/>
    <mergeCell ref="O4:O5"/>
    <mergeCell ref="P4:P5"/>
    <mergeCell ref="R4:R5"/>
    <mergeCell ref="S4:S5"/>
    <mergeCell ref="T4:T5"/>
    <mergeCell ref="Q4:Q5"/>
  </mergeCells>
  <hyperlinks>
    <hyperlink ref="A1" location="'Table de Matière'!A1" display="Retour à la Table de Matière"/>
  </hyperlink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T78"/>
  <sheetViews>
    <sheetView workbookViewId="0">
      <pane xSplit="1" ySplit="5" topLeftCell="M63" activePane="bottomRight" state="frozen"/>
      <selection pane="topRight" activeCell="B1" sqref="B1"/>
      <selection pane="bottomLeft" activeCell="A6" sqref="A6"/>
      <selection pane="bottomRight" activeCell="A77" sqref="A77:XFD77"/>
    </sheetView>
  </sheetViews>
  <sheetFormatPr baseColWidth="10" defaultColWidth="11.5546875" defaultRowHeight="15.75" x14ac:dyDescent="0.25"/>
  <cols>
    <col min="1" max="1" width="20.6640625" customWidth="1"/>
    <col min="2" max="2" width="15.5546875" bestFit="1" customWidth="1"/>
    <col min="3" max="3" width="13.21875" customWidth="1"/>
    <col min="4" max="4" width="12.44140625" customWidth="1"/>
    <col min="5" max="5" width="16.21875" customWidth="1"/>
    <col min="6" max="6" width="11.5546875" customWidth="1"/>
    <col min="10" max="10" width="14.5546875" bestFit="1" customWidth="1"/>
    <col min="11" max="12" width="13.6640625" customWidth="1"/>
    <col min="14" max="14" width="30.5546875" customWidth="1"/>
    <col min="15" max="15" width="29.109375" customWidth="1"/>
    <col min="16" max="17" width="25.109375" customWidth="1"/>
    <col min="18" max="18" width="27.44140625" customWidth="1"/>
    <col min="19" max="19" width="13.5546875" customWidth="1"/>
  </cols>
  <sheetData>
    <row r="1" spans="1:20" ht="18.75" x14ac:dyDescent="0.3">
      <c r="A1" s="18" t="s">
        <v>28</v>
      </c>
      <c r="B1" s="4"/>
      <c r="C1" s="5"/>
      <c r="D1" s="5"/>
      <c r="E1" s="5"/>
      <c r="F1" s="6" t="s">
        <v>0</v>
      </c>
      <c r="G1" s="5"/>
      <c r="H1" s="7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31" t="s">
        <v>3</v>
      </c>
    </row>
    <row r="2" spans="1:20" ht="18.75" x14ac:dyDescent="0.3">
      <c r="A2" s="67" t="s">
        <v>11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spans="1:20" s="1" customFormat="1" ht="12.75" x14ac:dyDescent="0.2">
      <c r="A3" s="34"/>
      <c r="B3" s="2"/>
      <c r="C3" s="2"/>
      <c r="D3" s="2"/>
      <c r="E3" s="2"/>
      <c r="F3" s="2"/>
      <c r="G3" s="2"/>
      <c r="H3" s="3"/>
      <c r="I3" s="2"/>
      <c r="J3" s="2"/>
      <c r="K3" s="2"/>
      <c r="L3" s="2"/>
      <c r="M3" s="2"/>
      <c r="N3" s="9"/>
      <c r="O3" s="9"/>
      <c r="P3" s="9"/>
      <c r="Q3" s="9"/>
      <c r="R3" s="2"/>
      <c r="S3" s="9"/>
      <c r="T3" s="33"/>
    </row>
    <row r="4" spans="1:20" s="1" customFormat="1" ht="37.5" customHeight="1" x14ac:dyDescent="0.3">
      <c r="A4" s="74" t="s">
        <v>48</v>
      </c>
      <c r="B4" s="72" t="s">
        <v>20</v>
      </c>
      <c r="C4" s="82" t="s">
        <v>2</v>
      </c>
      <c r="D4" s="70"/>
      <c r="E4" s="70"/>
      <c r="F4" s="70"/>
      <c r="G4" s="70"/>
      <c r="H4" s="70"/>
      <c r="I4" s="70"/>
      <c r="J4" s="70"/>
      <c r="K4" s="70"/>
      <c r="L4" s="70"/>
      <c r="M4" s="71"/>
      <c r="N4" s="78" t="s">
        <v>15</v>
      </c>
      <c r="O4" s="76" t="s">
        <v>45</v>
      </c>
      <c r="P4" s="76" t="s">
        <v>63</v>
      </c>
      <c r="Q4" s="76" t="s">
        <v>64</v>
      </c>
      <c r="R4" s="76" t="s">
        <v>46</v>
      </c>
      <c r="S4" s="78" t="s">
        <v>16</v>
      </c>
      <c r="T4" s="80" t="s">
        <v>9</v>
      </c>
    </row>
    <row r="5" spans="1:20" s="1" customFormat="1" ht="56.25" x14ac:dyDescent="0.3">
      <c r="A5" s="75"/>
      <c r="B5" s="73"/>
      <c r="C5" s="30" t="s">
        <v>53</v>
      </c>
      <c r="D5" s="30" t="s">
        <v>54</v>
      </c>
      <c r="E5" s="25" t="s">
        <v>18</v>
      </c>
      <c r="F5" s="30" t="s">
        <v>52</v>
      </c>
      <c r="G5" s="26" t="s">
        <v>44</v>
      </c>
      <c r="H5" s="27" t="s">
        <v>12</v>
      </c>
      <c r="I5" s="30" t="s">
        <v>55</v>
      </c>
      <c r="J5" s="25" t="s">
        <v>13</v>
      </c>
      <c r="K5" s="28" t="s">
        <v>14</v>
      </c>
      <c r="L5" s="28" t="s">
        <v>66</v>
      </c>
      <c r="M5" s="29" t="s">
        <v>19</v>
      </c>
      <c r="N5" s="79"/>
      <c r="O5" s="77"/>
      <c r="P5" s="77"/>
      <c r="Q5" s="77"/>
      <c r="R5" s="77"/>
      <c r="S5" s="79"/>
      <c r="T5" s="81"/>
    </row>
    <row r="6" spans="1:20" s="46" customFormat="1" x14ac:dyDescent="0.25">
      <c r="A6" s="39">
        <v>39508</v>
      </c>
      <c r="B6" s="40">
        <v>228695</v>
      </c>
      <c r="C6" s="41">
        <v>23202.6</v>
      </c>
      <c r="D6" s="40">
        <v>3044.4</v>
      </c>
      <c r="E6" s="40">
        <v>13544.2</v>
      </c>
      <c r="F6" s="42">
        <v>0</v>
      </c>
      <c r="G6" s="40">
        <v>74582.100000000006</v>
      </c>
      <c r="H6" s="43" t="s">
        <v>1</v>
      </c>
      <c r="I6" s="40">
        <v>59243.6</v>
      </c>
      <c r="J6" s="43" t="s">
        <v>1</v>
      </c>
      <c r="K6" s="43" t="s">
        <v>1</v>
      </c>
      <c r="L6" s="43"/>
      <c r="M6" s="44">
        <f>SUM(C6:L6)</f>
        <v>173616.9</v>
      </c>
      <c r="N6" s="45">
        <v>1000</v>
      </c>
      <c r="O6" s="45" t="s">
        <v>1</v>
      </c>
      <c r="P6" s="40">
        <v>25</v>
      </c>
      <c r="Q6" s="40"/>
      <c r="R6" s="40">
        <v>5383.2999999999993</v>
      </c>
      <c r="S6" s="40">
        <v>3023.2000000000062</v>
      </c>
      <c r="T6" s="44">
        <f t="shared" ref="T6:T37" si="0">SUM(B6,M6:S6)</f>
        <v>411743.4</v>
      </c>
    </row>
    <row r="7" spans="1:20" s="46" customFormat="1" x14ac:dyDescent="0.25">
      <c r="A7" s="39">
        <v>39600</v>
      </c>
      <c r="B7" s="40">
        <v>223062</v>
      </c>
      <c r="C7" s="41">
        <v>38928.800000000003</v>
      </c>
      <c r="D7" s="40">
        <v>3044.4</v>
      </c>
      <c r="E7" s="40">
        <v>12166.7</v>
      </c>
      <c r="F7" s="42">
        <v>0</v>
      </c>
      <c r="G7" s="40">
        <v>73474.8</v>
      </c>
      <c r="H7" s="43" t="s">
        <v>1</v>
      </c>
      <c r="I7" s="40">
        <v>57499.1</v>
      </c>
      <c r="J7" s="43" t="s">
        <v>1</v>
      </c>
      <c r="K7" s="43" t="s">
        <v>1</v>
      </c>
      <c r="L7" s="43"/>
      <c r="M7" s="44">
        <f t="shared" ref="M7:M54" si="1">SUM(C7:L7)</f>
        <v>185113.80000000002</v>
      </c>
      <c r="N7" s="45">
        <v>1474.9</v>
      </c>
      <c r="O7" s="45" t="s">
        <v>1</v>
      </c>
      <c r="P7" s="40">
        <v>25</v>
      </c>
      <c r="Q7" s="40"/>
      <c r="R7" s="40">
        <v>5569.4</v>
      </c>
      <c r="S7" s="40">
        <v>4503.5000000000055</v>
      </c>
      <c r="T7" s="44">
        <f t="shared" si="0"/>
        <v>419748.60000000009</v>
      </c>
    </row>
    <row r="8" spans="1:20" s="46" customFormat="1" x14ac:dyDescent="0.25">
      <c r="A8" s="39">
        <v>39692</v>
      </c>
      <c r="B8" s="40">
        <v>248003.19999999998</v>
      </c>
      <c r="C8" s="41">
        <v>23869.8</v>
      </c>
      <c r="D8" s="40">
        <v>2975.6</v>
      </c>
      <c r="E8" s="40">
        <v>11768.3</v>
      </c>
      <c r="F8" s="42">
        <v>0</v>
      </c>
      <c r="G8" s="40">
        <v>72736.5</v>
      </c>
      <c r="H8" s="43" t="s">
        <v>1</v>
      </c>
      <c r="I8" s="40">
        <v>56336.2</v>
      </c>
      <c r="J8" s="43" t="s">
        <v>1</v>
      </c>
      <c r="K8" s="43" t="s">
        <v>1</v>
      </c>
      <c r="L8" s="43"/>
      <c r="M8" s="44">
        <f t="shared" si="1"/>
        <v>167686.39999999999</v>
      </c>
      <c r="N8" s="45">
        <v>10622.1</v>
      </c>
      <c r="O8" s="45" t="s">
        <v>1</v>
      </c>
      <c r="P8" s="40">
        <v>25</v>
      </c>
      <c r="Q8" s="40"/>
      <c r="R8" s="40">
        <v>5397.1</v>
      </c>
      <c r="S8" s="40">
        <v>4471.900000000006</v>
      </c>
      <c r="T8" s="44">
        <f t="shared" si="0"/>
        <v>436205.69999999995</v>
      </c>
    </row>
    <row r="9" spans="1:20" s="46" customFormat="1" x14ac:dyDescent="0.25">
      <c r="A9" s="39">
        <v>39783</v>
      </c>
      <c r="B9" s="40">
        <v>334489.89999999997</v>
      </c>
      <c r="C9" s="41">
        <v>32841.300000000003</v>
      </c>
      <c r="D9" s="40">
        <v>2975.6</v>
      </c>
      <c r="E9" s="40">
        <v>9561.7000000000007</v>
      </c>
      <c r="F9" s="42">
        <v>0</v>
      </c>
      <c r="G9" s="40">
        <v>71410</v>
      </c>
      <c r="H9" s="43" t="s">
        <v>1</v>
      </c>
      <c r="I9" s="40">
        <v>54010.3</v>
      </c>
      <c r="J9" s="43" t="s">
        <v>1</v>
      </c>
      <c r="K9" s="43" t="s">
        <v>1</v>
      </c>
      <c r="L9" s="43"/>
      <c r="M9" s="44">
        <f t="shared" si="1"/>
        <v>170798.90000000002</v>
      </c>
      <c r="N9" s="45" t="s">
        <v>1</v>
      </c>
      <c r="O9" s="45" t="s">
        <v>1</v>
      </c>
      <c r="P9" s="40">
        <v>25</v>
      </c>
      <c r="Q9" s="40"/>
      <c r="R9" s="40">
        <v>5317</v>
      </c>
      <c r="S9" s="40">
        <v>2979.6000000000931</v>
      </c>
      <c r="T9" s="44">
        <f t="shared" si="0"/>
        <v>513610.40000000008</v>
      </c>
    </row>
    <row r="10" spans="1:20" s="46" customFormat="1" x14ac:dyDescent="0.25">
      <c r="A10" s="39">
        <v>39873</v>
      </c>
      <c r="B10" s="44">
        <v>286649.10000000003</v>
      </c>
      <c r="C10" s="44">
        <v>22137.8</v>
      </c>
      <c r="D10" s="44">
        <v>2885.4</v>
      </c>
      <c r="E10" s="44">
        <v>9163.2999999999993</v>
      </c>
      <c r="F10" s="47">
        <v>0</v>
      </c>
      <c r="G10" s="44">
        <v>70491.3</v>
      </c>
      <c r="H10" s="44" t="s">
        <v>1</v>
      </c>
      <c r="I10" s="44">
        <v>52847.3</v>
      </c>
      <c r="J10" s="41" t="s">
        <v>1</v>
      </c>
      <c r="K10" s="41" t="s">
        <v>1</v>
      </c>
      <c r="L10" s="41"/>
      <c r="M10" s="44">
        <f t="shared" si="1"/>
        <v>157525.1</v>
      </c>
      <c r="N10" s="41" t="s">
        <v>1</v>
      </c>
      <c r="O10" s="41" t="s">
        <v>1</v>
      </c>
      <c r="P10" s="44">
        <v>25</v>
      </c>
      <c r="Q10" s="44"/>
      <c r="R10" s="44">
        <v>5991.4</v>
      </c>
      <c r="S10" s="44">
        <v>7086.1999999999771</v>
      </c>
      <c r="T10" s="44">
        <f t="shared" si="0"/>
        <v>457276.80000000005</v>
      </c>
    </row>
    <row r="11" spans="1:20" s="46" customFormat="1" x14ac:dyDescent="0.25">
      <c r="A11" s="39">
        <v>39965</v>
      </c>
      <c r="B11" s="44">
        <v>275910.89999999997</v>
      </c>
      <c r="C11" s="44">
        <v>23978.1</v>
      </c>
      <c r="D11" s="44">
        <v>2885.4</v>
      </c>
      <c r="E11" s="44">
        <v>7106.7</v>
      </c>
      <c r="F11" s="47">
        <v>0</v>
      </c>
      <c r="G11" s="44">
        <v>68653.7</v>
      </c>
      <c r="H11" s="44">
        <v>32841.199999999997</v>
      </c>
      <c r="I11" s="44">
        <v>50521.4</v>
      </c>
      <c r="J11" s="41" t="s">
        <v>1</v>
      </c>
      <c r="K11" s="41" t="s">
        <v>1</v>
      </c>
      <c r="L11" s="41"/>
      <c r="M11" s="44">
        <f t="shared" si="1"/>
        <v>185986.49999999997</v>
      </c>
      <c r="N11" s="41" t="s">
        <v>1</v>
      </c>
      <c r="O11" s="41" t="s">
        <v>1</v>
      </c>
      <c r="P11" s="44">
        <v>25</v>
      </c>
      <c r="Q11" s="44"/>
      <c r="R11" s="44">
        <v>6106.8</v>
      </c>
      <c r="S11" s="44">
        <v>3794.2000000000353</v>
      </c>
      <c r="T11" s="44">
        <f t="shared" si="0"/>
        <v>471823.39999999991</v>
      </c>
    </row>
    <row r="12" spans="1:20" s="46" customFormat="1" x14ac:dyDescent="0.25">
      <c r="A12" s="39">
        <v>40057</v>
      </c>
      <c r="B12" s="44">
        <v>393262.6</v>
      </c>
      <c r="C12" s="44">
        <v>13325.8</v>
      </c>
      <c r="D12" s="44">
        <v>2816.5</v>
      </c>
      <c r="E12" s="44">
        <v>5879.2</v>
      </c>
      <c r="F12" s="47">
        <v>0</v>
      </c>
      <c r="G12" s="44">
        <v>67275.600000000006</v>
      </c>
      <c r="H12" s="44">
        <v>33966.799999999996</v>
      </c>
      <c r="I12" s="44">
        <v>48777</v>
      </c>
      <c r="J12" s="41" t="s">
        <v>1</v>
      </c>
      <c r="K12" s="41" t="s">
        <v>1</v>
      </c>
      <c r="L12" s="41"/>
      <c r="M12" s="44">
        <f t="shared" si="1"/>
        <v>172040.9</v>
      </c>
      <c r="N12" s="41" t="s">
        <v>1</v>
      </c>
      <c r="O12" s="41" t="s">
        <v>1</v>
      </c>
      <c r="P12" s="44">
        <v>25</v>
      </c>
      <c r="Q12" s="44"/>
      <c r="R12" s="44">
        <v>6035.7999999999993</v>
      </c>
      <c r="S12" s="44">
        <v>3770.4000000000351</v>
      </c>
      <c r="T12" s="44">
        <f t="shared" si="0"/>
        <v>575134.70000000007</v>
      </c>
    </row>
    <row r="13" spans="1:20" s="46" customFormat="1" x14ac:dyDescent="0.25">
      <c r="A13" s="39">
        <v>40148</v>
      </c>
      <c r="B13" s="44">
        <v>400951.3</v>
      </c>
      <c r="C13" s="44">
        <v>95224</v>
      </c>
      <c r="D13" s="44">
        <v>2816.6</v>
      </c>
      <c r="E13" s="44">
        <v>4651.7</v>
      </c>
      <c r="F13" s="47">
        <v>0</v>
      </c>
      <c r="G13" s="44">
        <v>65897.399999999994</v>
      </c>
      <c r="H13" s="44">
        <v>34711.799999999996</v>
      </c>
      <c r="I13" s="44">
        <v>47032.6</v>
      </c>
      <c r="J13" s="41" t="s">
        <v>1</v>
      </c>
      <c r="K13" s="41" t="s">
        <v>1</v>
      </c>
      <c r="L13" s="41"/>
      <c r="M13" s="44">
        <f t="shared" si="1"/>
        <v>250334.1</v>
      </c>
      <c r="N13" s="41" t="s">
        <v>1</v>
      </c>
      <c r="O13" s="41" t="s">
        <v>1</v>
      </c>
      <c r="P13" s="44">
        <v>20</v>
      </c>
      <c r="Q13" s="44"/>
      <c r="R13" s="44">
        <v>5750.7</v>
      </c>
      <c r="S13" s="44">
        <v>2918.8000000000347</v>
      </c>
      <c r="T13" s="44">
        <f t="shared" si="0"/>
        <v>659974.9</v>
      </c>
    </row>
    <row r="14" spans="1:20" s="46" customFormat="1" x14ac:dyDescent="0.25">
      <c r="A14" s="39">
        <v>40238</v>
      </c>
      <c r="B14" s="44">
        <v>396544.5</v>
      </c>
      <c r="C14" s="41">
        <v>38983.599999999999</v>
      </c>
      <c r="D14" s="41">
        <v>2726.3</v>
      </c>
      <c r="E14" s="41">
        <v>3424.2</v>
      </c>
      <c r="F14" s="47">
        <v>0</v>
      </c>
      <c r="G14" s="41">
        <v>64519.3</v>
      </c>
      <c r="H14" s="41">
        <v>35476.699999999997</v>
      </c>
      <c r="I14" s="41">
        <v>45288.2</v>
      </c>
      <c r="J14" s="44">
        <v>18525</v>
      </c>
      <c r="K14" s="44" t="s">
        <v>1</v>
      </c>
      <c r="L14" s="44"/>
      <c r="M14" s="44">
        <f t="shared" si="1"/>
        <v>208943.3</v>
      </c>
      <c r="N14" s="41" t="s">
        <v>1</v>
      </c>
      <c r="O14" s="41" t="s">
        <v>1</v>
      </c>
      <c r="P14" s="44">
        <v>20</v>
      </c>
      <c r="Q14" s="44"/>
      <c r="R14" s="44">
        <v>6381.0999999999985</v>
      </c>
      <c r="S14" s="44">
        <v>2992.0999999999767</v>
      </c>
      <c r="T14" s="44">
        <f t="shared" si="0"/>
        <v>614881</v>
      </c>
    </row>
    <row r="15" spans="1:20" s="46" customFormat="1" x14ac:dyDescent="0.25">
      <c r="A15" s="39">
        <v>40330</v>
      </c>
      <c r="B15" s="44">
        <v>346259.1</v>
      </c>
      <c r="C15" s="41">
        <v>33066.199999999997</v>
      </c>
      <c r="D15" s="41" t="s">
        <v>1</v>
      </c>
      <c r="E15" s="41">
        <v>265</v>
      </c>
      <c r="F15" s="47"/>
      <c r="G15" s="41" t="s">
        <v>1</v>
      </c>
      <c r="H15" s="41" t="s">
        <v>1</v>
      </c>
      <c r="I15" s="41" t="s">
        <v>1</v>
      </c>
      <c r="J15" s="44">
        <v>40525</v>
      </c>
      <c r="K15" s="44">
        <v>146979.70000000001</v>
      </c>
      <c r="L15" s="44"/>
      <c r="M15" s="44">
        <f t="shared" si="1"/>
        <v>220835.90000000002</v>
      </c>
      <c r="N15" s="41" t="s">
        <v>1</v>
      </c>
      <c r="O15" s="41" t="s">
        <v>1</v>
      </c>
      <c r="P15" s="44">
        <v>20</v>
      </c>
      <c r="Q15" s="44"/>
      <c r="R15" s="44">
        <v>6213.3999999999987</v>
      </c>
      <c r="S15" s="44">
        <v>3040.5000000000346</v>
      </c>
      <c r="T15" s="44">
        <f t="shared" si="0"/>
        <v>576368.9</v>
      </c>
    </row>
    <row r="16" spans="1:20" s="46" customFormat="1" x14ac:dyDescent="0.25">
      <c r="A16" s="39">
        <v>40422</v>
      </c>
      <c r="B16" s="44">
        <v>348756.89999999997</v>
      </c>
      <c r="C16" s="41">
        <v>37014.199999999997</v>
      </c>
      <c r="D16" s="41" t="s">
        <v>1</v>
      </c>
      <c r="E16" s="41" t="s">
        <v>1</v>
      </c>
      <c r="F16" s="47"/>
      <c r="G16" s="41" t="s">
        <v>1</v>
      </c>
      <c r="H16" s="41" t="s">
        <v>1</v>
      </c>
      <c r="I16" s="41" t="s">
        <v>1</v>
      </c>
      <c r="J16" s="44">
        <v>50525</v>
      </c>
      <c r="K16" s="44">
        <v>146055.29999999999</v>
      </c>
      <c r="L16" s="44"/>
      <c r="M16" s="44">
        <f t="shared" si="1"/>
        <v>233594.5</v>
      </c>
      <c r="N16" s="41" t="s">
        <v>1</v>
      </c>
      <c r="O16" s="41" t="s">
        <v>1</v>
      </c>
      <c r="P16" s="44">
        <v>20</v>
      </c>
      <c r="Q16" s="44"/>
      <c r="R16" s="44">
        <v>6126.6999999999989</v>
      </c>
      <c r="S16" s="44">
        <v>3062.8000000000347</v>
      </c>
      <c r="T16" s="44">
        <f t="shared" si="0"/>
        <v>591560.89999999991</v>
      </c>
    </row>
    <row r="17" spans="1:20" s="46" customFormat="1" x14ac:dyDescent="0.25">
      <c r="A17" s="39">
        <v>40513</v>
      </c>
      <c r="B17" s="44">
        <v>418272.20000000007</v>
      </c>
      <c r="C17" s="41">
        <v>19134.2</v>
      </c>
      <c r="D17" s="41" t="s">
        <v>1</v>
      </c>
      <c r="E17" s="41" t="s">
        <v>1</v>
      </c>
      <c r="F17" s="47"/>
      <c r="G17" s="41" t="s">
        <v>1</v>
      </c>
      <c r="H17" s="41" t="s">
        <v>1</v>
      </c>
      <c r="I17" s="41" t="s">
        <v>1</v>
      </c>
      <c r="J17" s="44">
        <v>88925</v>
      </c>
      <c r="K17" s="44">
        <v>145130.9</v>
      </c>
      <c r="L17" s="44"/>
      <c r="M17" s="44">
        <f t="shared" si="1"/>
        <v>253190.09999999998</v>
      </c>
      <c r="N17" s="41" t="s">
        <v>1</v>
      </c>
      <c r="O17" s="41" t="s">
        <v>1</v>
      </c>
      <c r="P17" s="44">
        <v>20</v>
      </c>
      <c r="Q17" s="44"/>
      <c r="R17" s="44">
        <v>5970.5999999999995</v>
      </c>
      <c r="S17" s="44">
        <v>2976.0999999999185</v>
      </c>
      <c r="T17" s="44">
        <f t="shared" si="0"/>
        <v>680429</v>
      </c>
    </row>
    <row r="18" spans="1:20" s="46" customFormat="1" x14ac:dyDescent="0.25">
      <c r="A18" s="39">
        <v>40603</v>
      </c>
      <c r="B18" s="44">
        <v>426628.60000000003</v>
      </c>
      <c r="C18" s="41">
        <v>2480.5</v>
      </c>
      <c r="D18" s="41" t="s">
        <v>1</v>
      </c>
      <c r="E18" s="41" t="s">
        <v>1</v>
      </c>
      <c r="F18" s="47"/>
      <c r="G18" s="41" t="s">
        <v>1</v>
      </c>
      <c r="H18" s="41" t="s">
        <v>1</v>
      </c>
      <c r="I18" s="41" t="s">
        <v>1</v>
      </c>
      <c r="J18" s="44">
        <v>74325</v>
      </c>
      <c r="K18" s="44">
        <v>144206.6</v>
      </c>
      <c r="L18" s="44"/>
      <c r="M18" s="44">
        <f t="shared" si="1"/>
        <v>221012.1</v>
      </c>
      <c r="N18" s="41">
        <v>3410.3</v>
      </c>
      <c r="O18" s="41" t="s">
        <v>1</v>
      </c>
      <c r="P18" s="44">
        <v>20</v>
      </c>
      <c r="Q18" s="44"/>
      <c r="R18" s="44">
        <v>6843.0999999999995</v>
      </c>
      <c r="S18" s="44">
        <v>2952.3999999999769</v>
      </c>
      <c r="T18" s="44">
        <f t="shared" si="0"/>
        <v>660866.50000000012</v>
      </c>
    </row>
    <row r="19" spans="1:20" s="46" customFormat="1" x14ac:dyDescent="0.25">
      <c r="A19" s="39">
        <v>40695</v>
      </c>
      <c r="B19" s="44">
        <v>434242</v>
      </c>
      <c r="C19" s="41">
        <v>24462.799999999999</v>
      </c>
      <c r="D19" s="41" t="s">
        <v>1</v>
      </c>
      <c r="E19" s="41" t="s">
        <v>1</v>
      </c>
      <c r="F19" s="47"/>
      <c r="G19" s="41" t="s">
        <v>1</v>
      </c>
      <c r="H19" s="41" t="s">
        <v>1</v>
      </c>
      <c r="I19" s="41" t="s">
        <v>1</v>
      </c>
      <c r="J19" s="44">
        <v>74325</v>
      </c>
      <c r="K19" s="44">
        <v>143282.1</v>
      </c>
      <c r="L19" s="44"/>
      <c r="M19" s="44">
        <f t="shared" si="1"/>
        <v>242069.90000000002</v>
      </c>
      <c r="N19" s="41">
        <v>21978.1</v>
      </c>
      <c r="O19" s="41" t="s">
        <v>1</v>
      </c>
      <c r="P19" s="44">
        <v>20</v>
      </c>
      <c r="Q19" s="44"/>
      <c r="R19" s="44">
        <v>7198.0999999999995</v>
      </c>
      <c r="S19" s="44">
        <v>3398.1999999999771</v>
      </c>
      <c r="T19" s="44">
        <f t="shared" si="0"/>
        <v>708906.29999999993</v>
      </c>
    </row>
    <row r="20" spans="1:20" s="46" customFormat="1" x14ac:dyDescent="0.25">
      <c r="A20" s="39">
        <v>40787</v>
      </c>
      <c r="B20" s="44">
        <v>394890.3</v>
      </c>
      <c r="C20" s="41">
        <v>29256.3</v>
      </c>
      <c r="D20" s="41" t="s">
        <v>1</v>
      </c>
      <c r="E20" s="41" t="s">
        <v>1</v>
      </c>
      <c r="F20" s="47"/>
      <c r="G20" s="41" t="s">
        <v>1</v>
      </c>
      <c r="H20" s="41" t="s">
        <v>1</v>
      </c>
      <c r="I20" s="41" t="s">
        <v>1</v>
      </c>
      <c r="J20" s="44">
        <v>74325</v>
      </c>
      <c r="K20" s="44">
        <v>142357.70000000001</v>
      </c>
      <c r="L20" s="44"/>
      <c r="M20" s="44">
        <f t="shared" si="1"/>
        <v>245939</v>
      </c>
      <c r="N20" s="41">
        <v>41214.800000000003</v>
      </c>
      <c r="O20" s="41" t="s">
        <v>1</v>
      </c>
      <c r="P20" s="44">
        <v>20</v>
      </c>
      <c r="Q20" s="44"/>
      <c r="R20" s="44">
        <v>7550.1999999999989</v>
      </c>
      <c r="S20" s="44">
        <v>4223.3000000000347</v>
      </c>
      <c r="T20" s="44">
        <f t="shared" si="0"/>
        <v>693837.60000000009</v>
      </c>
    </row>
    <row r="21" spans="1:20" s="46" customFormat="1" x14ac:dyDescent="0.25">
      <c r="A21" s="39">
        <v>40878</v>
      </c>
      <c r="B21" s="44">
        <v>412743.80000000005</v>
      </c>
      <c r="C21" s="41">
        <v>86260.6</v>
      </c>
      <c r="D21" s="41" t="s">
        <v>1</v>
      </c>
      <c r="E21" s="41" t="s">
        <v>1</v>
      </c>
      <c r="F21" s="47"/>
      <c r="G21" s="41" t="s">
        <v>1</v>
      </c>
      <c r="H21" s="41" t="s">
        <v>1</v>
      </c>
      <c r="I21" s="41" t="s">
        <v>1</v>
      </c>
      <c r="J21" s="44">
        <v>94325</v>
      </c>
      <c r="K21" s="44">
        <v>141433.29999999999</v>
      </c>
      <c r="L21" s="44"/>
      <c r="M21" s="44">
        <f t="shared" si="1"/>
        <v>322018.90000000002</v>
      </c>
      <c r="N21" s="41">
        <v>25301.3</v>
      </c>
      <c r="O21" s="41"/>
      <c r="P21" s="44">
        <v>20</v>
      </c>
      <c r="Q21" s="44"/>
      <c r="R21" s="44">
        <v>7467.3999999999987</v>
      </c>
      <c r="S21" s="44">
        <v>4483.1999999999771</v>
      </c>
      <c r="T21" s="44">
        <f t="shared" si="0"/>
        <v>772034.60000000009</v>
      </c>
    </row>
    <row r="22" spans="1:20" s="46" customFormat="1" x14ac:dyDescent="0.25">
      <c r="A22" s="39">
        <v>40969</v>
      </c>
      <c r="B22" s="44">
        <v>419222.4</v>
      </c>
      <c r="C22" s="41">
        <v>41361.199999999997</v>
      </c>
      <c r="D22" s="41" t="s">
        <v>1</v>
      </c>
      <c r="E22" s="41" t="s">
        <v>1</v>
      </c>
      <c r="F22" s="47"/>
      <c r="G22" s="41" t="s">
        <v>1</v>
      </c>
      <c r="H22" s="41" t="s">
        <v>1</v>
      </c>
      <c r="I22" s="41" t="s">
        <v>1</v>
      </c>
      <c r="J22" s="44">
        <v>94325</v>
      </c>
      <c r="K22" s="44">
        <v>140508.9</v>
      </c>
      <c r="L22" s="44"/>
      <c r="M22" s="44">
        <f t="shared" si="1"/>
        <v>276195.09999999998</v>
      </c>
      <c r="N22" s="41">
        <v>31811.4</v>
      </c>
      <c r="O22" s="41"/>
      <c r="P22" s="44">
        <v>20</v>
      </c>
      <c r="Q22" s="44"/>
      <c r="R22" s="44">
        <v>8398.6</v>
      </c>
      <c r="S22" s="44">
        <v>4735.1999999999771</v>
      </c>
      <c r="T22" s="44">
        <f t="shared" si="0"/>
        <v>740382.7</v>
      </c>
    </row>
    <row r="23" spans="1:20" s="46" customFormat="1" x14ac:dyDescent="0.25">
      <c r="A23" s="39">
        <v>41061</v>
      </c>
      <c r="B23" s="44">
        <v>402417.6</v>
      </c>
      <c r="C23" s="41">
        <v>49375</v>
      </c>
      <c r="D23" s="41" t="s">
        <v>1</v>
      </c>
      <c r="E23" s="41" t="s">
        <v>1</v>
      </c>
      <c r="F23" s="47"/>
      <c r="G23" s="41" t="s">
        <v>1</v>
      </c>
      <c r="H23" s="41" t="s">
        <v>1</v>
      </c>
      <c r="I23" s="41" t="s">
        <v>1</v>
      </c>
      <c r="J23" s="44">
        <v>94325</v>
      </c>
      <c r="K23" s="44">
        <v>139584.5</v>
      </c>
      <c r="L23" s="44"/>
      <c r="M23" s="44">
        <f t="shared" si="1"/>
        <v>283284.5</v>
      </c>
      <c r="N23" s="41">
        <v>60598.8</v>
      </c>
      <c r="O23" s="41"/>
      <c r="P23" s="44">
        <v>20</v>
      </c>
      <c r="Q23" s="44"/>
      <c r="R23" s="44">
        <v>8390.4</v>
      </c>
      <c r="S23" s="44">
        <v>5100.5000000000346</v>
      </c>
      <c r="T23" s="44">
        <f t="shared" si="0"/>
        <v>759811.8</v>
      </c>
    </row>
    <row r="24" spans="1:20" s="46" customFormat="1" x14ac:dyDescent="0.25">
      <c r="A24" s="39">
        <v>41153</v>
      </c>
      <c r="B24" s="44">
        <v>432825.59999999998</v>
      </c>
      <c r="C24" s="41">
        <v>51763.199999999997</v>
      </c>
      <c r="D24" s="41" t="s">
        <v>1</v>
      </c>
      <c r="E24" s="41" t="s">
        <v>1</v>
      </c>
      <c r="F24" s="47"/>
      <c r="G24" s="41" t="s">
        <v>1</v>
      </c>
      <c r="H24" s="41" t="s">
        <v>1</v>
      </c>
      <c r="I24" s="41" t="s">
        <v>1</v>
      </c>
      <c r="J24" s="44">
        <v>108925</v>
      </c>
      <c r="K24" s="44">
        <v>138968.29999999999</v>
      </c>
      <c r="L24" s="44"/>
      <c r="M24" s="44">
        <f t="shared" si="1"/>
        <v>299656.5</v>
      </c>
      <c r="N24" s="41">
        <v>29808.6</v>
      </c>
      <c r="O24" s="41"/>
      <c r="P24" s="44">
        <v>20</v>
      </c>
      <c r="Q24" s="44"/>
      <c r="R24" s="44">
        <v>8990.3000000000011</v>
      </c>
      <c r="S24" s="44">
        <v>6733.2000000000353</v>
      </c>
      <c r="T24" s="44">
        <f t="shared" si="0"/>
        <v>778034.20000000007</v>
      </c>
    </row>
    <row r="25" spans="1:20" s="46" customFormat="1" x14ac:dyDescent="0.25">
      <c r="A25" s="39">
        <v>41244</v>
      </c>
      <c r="B25" s="44">
        <v>485025.5</v>
      </c>
      <c r="C25" s="41" t="s">
        <v>1</v>
      </c>
      <c r="D25" s="41" t="s">
        <v>1</v>
      </c>
      <c r="E25" s="41" t="s">
        <v>1</v>
      </c>
      <c r="F25" s="47"/>
      <c r="G25" s="41" t="s">
        <v>1</v>
      </c>
      <c r="H25" s="41" t="s">
        <v>1</v>
      </c>
      <c r="I25" s="41" t="s">
        <v>1</v>
      </c>
      <c r="J25" s="44">
        <v>117037.4</v>
      </c>
      <c r="K25" s="44">
        <v>292987.59999999998</v>
      </c>
      <c r="L25" s="44"/>
      <c r="M25" s="44">
        <f t="shared" si="1"/>
        <v>410025</v>
      </c>
      <c r="N25" s="41" t="s">
        <v>1</v>
      </c>
      <c r="O25" s="41"/>
      <c r="P25" s="44">
        <v>20</v>
      </c>
      <c r="Q25" s="44"/>
      <c r="R25" s="44">
        <v>9039.4</v>
      </c>
      <c r="S25" s="44">
        <v>7843.899999999976</v>
      </c>
      <c r="T25" s="44">
        <f t="shared" si="0"/>
        <v>911953.8</v>
      </c>
    </row>
    <row r="26" spans="1:20" s="46" customFormat="1" x14ac:dyDescent="0.25">
      <c r="A26" s="39">
        <v>41334</v>
      </c>
      <c r="B26" s="44">
        <v>456575.60000000003</v>
      </c>
      <c r="C26" s="41" t="s">
        <v>1</v>
      </c>
      <c r="D26" s="41" t="s">
        <v>1</v>
      </c>
      <c r="E26" s="41" t="s">
        <v>1</v>
      </c>
      <c r="F26" s="47"/>
      <c r="G26" s="41" t="s">
        <v>1</v>
      </c>
      <c r="H26" s="41" t="s">
        <v>1</v>
      </c>
      <c r="I26" s="41" t="s">
        <v>1</v>
      </c>
      <c r="J26" s="44">
        <v>112857.5</v>
      </c>
      <c r="K26" s="44">
        <v>292063.09999999998</v>
      </c>
      <c r="L26" s="44"/>
      <c r="M26" s="44">
        <f t="shared" si="1"/>
        <v>404920.6</v>
      </c>
      <c r="N26" s="41">
        <v>7592</v>
      </c>
      <c r="O26" s="41"/>
      <c r="P26" s="44">
        <v>20</v>
      </c>
      <c r="Q26" s="44"/>
      <c r="R26" s="44">
        <v>9638</v>
      </c>
      <c r="S26" s="44">
        <v>11346.900000000036</v>
      </c>
      <c r="T26" s="44">
        <f t="shared" si="0"/>
        <v>890093.1</v>
      </c>
    </row>
    <row r="27" spans="1:20" s="46" customFormat="1" x14ac:dyDescent="0.25">
      <c r="A27" s="39">
        <v>41426</v>
      </c>
      <c r="B27" s="44">
        <v>427795.10000000003</v>
      </c>
      <c r="C27" s="41" t="s">
        <v>1</v>
      </c>
      <c r="D27" s="41" t="s">
        <v>1</v>
      </c>
      <c r="E27" s="41" t="s">
        <v>1</v>
      </c>
      <c r="F27" s="47"/>
      <c r="G27" s="41" t="s">
        <v>1</v>
      </c>
      <c r="H27" s="41" t="s">
        <v>1</v>
      </c>
      <c r="I27" s="41" t="s">
        <v>1</v>
      </c>
      <c r="J27" s="44">
        <v>108677.6</v>
      </c>
      <c r="K27" s="44">
        <v>291138.8</v>
      </c>
      <c r="L27" s="44"/>
      <c r="M27" s="44">
        <f t="shared" si="1"/>
        <v>399816.4</v>
      </c>
      <c r="N27" s="41" t="s">
        <v>1</v>
      </c>
      <c r="O27" s="41"/>
      <c r="P27" s="44">
        <v>20</v>
      </c>
      <c r="Q27" s="44"/>
      <c r="R27" s="44">
        <v>9998</v>
      </c>
      <c r="S27" s="44">
        <v>11268.099999999977</v>
      </c>
      <c r="T27" s="44">
        <f t="shared" si="0"/>
        <v>848897.6</v>
      </c>
    </row>
    <row r="28" spans="1:20" s="46" customFormat="1" x14ac:dyDescent="0.25">
      <c r="A28" s="39">
        <v>41518</v>
      </c>
      <c r="B28" s="44">
        <v>459354.19999999995</v>
      </c>
      <c r="C28" s="41" t="s">
        <v>1</v>
      </c>
      <c r="D28" s="41" t="s">
        <v>1</v>
      </c>
      <c r="E28" s="41" t="s">
        <v>1</v>
      </c>
      <c r="F28" s="47"/>
      <c r="G28" s="41" t="s">
        <v>1</v>
      </c>
      <c r="H28" s="41" t="s">
        <v>1</v>
      </c>
      <c r="I28" s="41" t="s">
        <v>1</v>
      </c>
      <c r="J28" s="44">
        <v>107284.3</v>
      </c>
      <c r="K28" s="44">
        <v>290214.40000000002</v>
      </c>
      <c r="L28" s="44"/>
      <c r="M28" s="44">
        <f t="shared" si="1"/>
        <v>397498.7</v>
      </c>
      <c r="N28" s="41">
        <v>61.3</v>
      </c>
      <c r="O28" s="41"/>
      <c r="P28" s="44">
        <v>20</v>
      </c>
      <c r="Q28" s="44"/>
      <c r="R28" s="44">
        <v>10811.199999999999</v>
      </c>
      <c r="S28" s="44">
        <v>12197.000000000035</v>
      </c>
      <c r="T28" s="44">
        <f t="shared" si="0"/>
        <v>879942.39999999991</v>
      </c>
    </row>
    <row r="29" spans="1:20" s="46" customFormat="1" x14ac:dyDescent="0.25">
      <c r="A29" s="39">
        <v>41609</v>
      </c>
      <c r="B29" s="44">
        <v>501323.49999999994</v>
      </c>
      <c r="C29" s="41" t="s">
        <v>1</v>
      </c>
      <c r="D29" s="41" t="s">
        <v>1</v>
      </c>
      <c r="E29" s="41" t="s">
        <v>1</v>
      </c>
      <c r="F29" s="47"/>
      <c r="G29" s="41" t="s">
        <v>1</v>
      </c>
      <c r="H29" s="41" t="s">
        <v>1</v>
      </c>
      <c r="I29" s="41" t="s">
        <v>1</v>
      </c>
      <c r="J29" s="44">
        <v>107284.3</v>
      </c>
      <c r="K29" s="44">
        <v>289290</v>
      </c>
      <c r="L29" s="44"/>
      <c r="M29" s="44">
        <f t="shared" si="1"/>
        <v>396574.3</v>
      </c>
      <c r="N29" s="41" t="s">
        <v>1</v>
      </c>
      <c r="O29" s="41"/>
      <c r="P29" s="44">
        <v>20</v>
      </c>
      <c r="Q29" s="44"/>
      <c r="R29" s="44">
        <v>11039.999999999998</v>
      </c>
      <c r="S29" s="44">
        <v>14789.2</v>
      </c>
      <c r="T29" s="44">
        <f t="shared" si="0"/>
        <v>923746.99999999988</v>
      </c>
    </row>
    <row r="30" spans="1:20" s="46" customFormat="1" x14ac:dyDescent="0.25">
      <c r="A30" s="39">
        <v>41699</v>
      </c>
      <c r="B30" s="44">
        <v>491562.9</v>
      </c>
      <c r="C30" s="41">
        <v>8513</v>
      </c>
      <c r="D30" s="41" t="s">
        <v>1</v>
      </c>
      <c r="E30" s="41" t="s">
        <v>1</v>
      </c>
      <c r="F30" s="47"/>
      <c r="G30" s="41" t="s">
        <v>1</v>
      </c>
      <c r="H30" s="41" t="s">
        <v>1</v>
      </c>
      <c r="I30" s="41" t="s">
        <v>1</v>
      </c>
      <c r="J30" s="44">
        <v>107284.3</v>
      </c>
      <c r="K30" s="44">
        <v>288673.7</v>
      </c>
      <c r="L30" s="44"/>
      <c r="M30" s="44">
        <f t="shared" si="1"/>
        <v>404471</v>
      </c>
      <c r="N30" s="41">
        <v>2239.9</v>
      </c>
      <c r="O30" s="41"/>
      <c r="P30" s="44">
        <v>20</v>
      </c>
      <c r="Q30" s="44"/>
      <c r="R30" s="44">
        <v>12667.3</v>
      </c>
      <c r="S30" s="44">
        <v>15190.699999999999</v>
      </c>
      <c r="T30" s="44">
        <f t="shared" si="0"/>
        <v>926151.8</v>
      </c>
    </row>
    <row r="31" spans="1:20" s="46" customFormat="1" x14ac:dyDescent="0.25">
      <c r="A31" s="39">
        <v>41791</v>
      </c>
      <c r="B31" s="44">
        <v>486604.30000000005</v>
      </c>
      <c r="C31" s="41">
        <v>39309.599999999999</v>
      </c>
      <c r="D31" s="41" t="s">
        <v>1</v>
      </c>
      <c r="E31" s="41" t="s">
        <v>1</v>
      </c>
      <c r="F31" s="47"/>
      <c r="G31" s="41" t="s">
        <v>1</v>
      </c>
      <c r="H31" s="41" t="s">
        <v>1</v>
      </c>
      <c r="I31" s="41" t="s">
        <v>1</v>
      </c>
      <c r="J31" s="44">
        <v>107284.3</v>
      </c>
      <c r="K31" s="44">
        <v>287441.2</v>
      </c>
      <c r="L31" s="44"/>
      <c r="M31" s="44">
        <f t="shared" si="1"/>
        <v>434035.1</v>
      </c>
      <c r="N31" s="41">
        <v>1914.8</v>
      </c>
      <c r="O31" s="41"/>
      <c r="P31" s="44">
        <v>20</v>
      </c>
      <c r="Q31" s="44"/>
      <c r="R31" s="44">
        <v>13409.899999999998</v>
      </c>
      <c r="S31" s="44">
        <v>44868.7</v>
      </c>
      <c r="T31" s="44">
        <f t="shared" si="0"/>
        <v>980852.8</v>
      </c>
    </row>
    <row r="32" spans="1:20" s="46" customFormat="1" x14ac:dyDescent="0.25">
      <c r="A32" s="39">
        <v>41883</v>
      </c>
      <c r="B32" s="44">
        <v>524904.80000000005</v>
      </c>
      <c r="C32" s="41">
        <v>27300.1</v>
      </c>
      <c r="D32" s="41" t="s">
        <v>1</v>
      </c>
      <c r="E32" s="41" t="s">
        <v>1</v>
      </c>
      <c r="F32" s="47"/>
      <c r="G32" s="41" t="s">
        <v>1</v>
      </c>
      <c r="H32" s="41" t="s">
        <v>1</v>
      </c>
      <c r="I32" s="41" t="s">
        <v>1</v>
      </c>
      <c r="J32" s="44">
        <v>107284.3</v>
      </c>
      <c r="K32" s="44">
        <v>286825</v>
      </c>
      <c r="L32" s="44"/>
      <c r="M32" s="44">
        <f t="shared" si="1"/>
        <v>421409.4</v>
      </c>
      <c r="N32" s="41">
        <v>2231.9</v>
      </c>
      <c r="O32" s="41"/>
      <c r="P32" s="44">
        <v>20</v>
      </c>
      <c r="Q32" s="44"/>
      <c r="R32" s="44">
        <v>13318.8</v>
      </c>
      <c r="S32" s="44">
        <v>56231.6</v>
      </c>
      <c r="T32" s="44">
        <f t="shared" si="0"/>
        <v>1018116.5000000001</v>
      </c>
    </row>
    <row r="33" spans="1:20" s="46" customFormat="1" x14ac:dyDescent="0.25">
      <c r="A33" s="39">
        <v>41974</v>
      </c>
      <c r="B33" s="44">
        <v>501214.7</v>
      </c>
      <c r="C33" s="41">
        <v>55186.9</v>
      </c>
      <c r="D33" s="41" t="s">
        <v>1</v>
      </c>
      <c r="E33" s="41" t="s">
        <v>1</v>
      </c>
      <c r="F33" s="47"/>
      <c r="G33" s="41" t="s">
        <v>1</v>
      </c>
      <c r="H33" s="41" t="s">
        <v>1</v>
      </c>
      <c r="I33" s="41" t="s">
        <v>1</v>
      </c>
      <c r="J33" s="44">
        <v>106976.2</v>
      </c>
      <c r="K33" s="44">
        <v>285900.5</v>
      </c>
      <c r="L33" s="44"/>
      <c r="M33" s="44">
        <f t="shared" si="1"/>
        <v>448063.6</v>
      </c>
      <c r="N33" s="41">
        <v>2000</v>
      </c>
      <c r="O33" s="41"/>
      <c r="P33" s="44">
        <v>20</v>
      </c>
      <c r="Q33" s="44"/>
      <c r="R33" s="44">
        <v>13012.499999999998</v>
      </c>
      <c r="S33" s="44">
        <v>64355.9</v>
      </c>
      <c r="T33" s="44">
        <f t="shared" si="0"/>
        <v>1028666.7000000001</v>
      </c>
    </row>
    <row r="34" spans="1:20" s="46" customFormat="1" x14ac:dyDescent="0.25">
      <c r="A34" s="39">
        <v>42064</v>
      </c>
      <c r="B34" s="44">
        <v>472511</v>
      </c>
      <c r="C34" s="41">
        <v>23590.1</v>
      </c>
      <c r="D34" s="41" t="s">
        <v>1</v>
      </c>
      <c r="E34" s="41" t="s">
        <v>1</v>
      </c>
      <c r="F34" s="47"/>
      <c r="G34" s="41" t="s">
        <v>1</v>
      </c>
      <c r="H34" s="41" t="s">
        <v>1</v>
      </c>
      <c r="I34" s="41" t="s">
        <v>1</v>
      </c>
      <c r="J34" s="44">
        <v>104166</v>
      </c>
      <c r="K34" s="44">
        <v>284644.40000000002</v>
      </c>
      <c r="L34" s="44"/>
      <c r="M34" s="44">
        <f t="shared" si="1"/>
        <v>412400.5</v>
      </c>
      <c r="N34" s="41">
        <v>3178.9</v>
      </c>
      <c r="O34" s="41"/>
      <c r="P34" s="44">
        <v>20</v>
      </c>
      <c r="Q34" s="44"/>
      <c r="R34" s="44">
        <v>13563.399999999998</v>
      </c>
      <c r="S34" s="44">
        <v>69216.900000000009</v>
      </c>
      <c r="T34" s="44">
        <f t="shared" si="0"/>
        <v>970890.70000000007</v>
      </c>
    </row>
    <row r="35" spans="1:20" s="46" customFormat="1" x14ac:dyDescent="0.25">
      <c r="A35" s="39">
        <v>42156</v>
      </c>
      <c r="B35" s="44">
        <v>373217.2</v>
      </c>
      <c r="C35" s="41">
        <v>121700.8</v>
      </c>
      <c r="D35" s="41" t="s">
        <v>1</v>
      </c>
      <c r="E35" s="41" t="s">
        <v>1</v>
      </c>
      <c r="F35" s="47"/>
      <c r="G35" s="41" t="s">
        <v>1</v>
      </c>
      <c r="H35" s="41" t="s">
        <v>1</v>
      </c>
      <c r="I35" s="41" t="s">
        <v>1</v>
      </c>
      <c r="J35" s="44">
        <v>100317.8</v>
      </c>
      <c r="K35" s="44">
        <v>282393.09999999998</v>
      </c>
      <c r="L35" s="44"/>
      <c r="M35" s="44">
        <f t="shared" si="1"/>
        <v>504411.69999999995</v>
      </c>
      <c r="N35" s="41">
        <v>22000</v>
      </c>
      <c r="O35" s="41"/>
      <c r="P35" s="44">
        <v>20</v>
      </c>
      <c r="Q35" s="44"/>
      <c r="R35" s="44">
        <v>14077.699999999999</v>
      </c>
      <c r="S35" s="44">
        <v>71416.800000000003</v>
      </c>
      <c r="T35" s="44">
        <f t="shared" si="0"/>
        <v>985143.39999999991</v>
      </c>
    </row>
    <row r="36" spans="1:20" s="46" customFormat="1" x14ac:dyDescent="0.25">
      <c r="A36" s="39">
        <v>42248</v>
      </c>
      <c r="B36" s="44">
        <v>274254.7</v>
      </c>
      <c r="C36" s="41">
        <v>201450.1</v>
      </c>
      <c r="D36" s="41" t="s">
        <v>1</v>
      </c>
      <c r="E36" s="41" t="s">
        <v>1</v>
      </c>
      <c r="F36" s="47"/>
      <c r="G36" s="41" t="s">
        <v>1</v>
      </c>
      <c r="H36" s="41" t="s">
        <v>1</v>
      </c>
      <c r="I36" s="41" t="s">
        <v>1</v>
      </c>
      <c r="J36" s="44">
        <v>96137.9</v>
      </c>
      <c r="K36" s="44">
        <v>280473.5</v>
      </c>
      <c r="L36" s="44"/>
      <c r="M36" s="44">
        <f t="shared" si="1"/>
        <v>578061.5</v>
      </c>
      <c r="N36" s="41">
        <v>6840.3</v>
      </c>
      <c r="O36" s="41"/>
      <c r="P36" s="44">
        <v>20</v>
      </c>
      <c r="Q36" s="44"/>
      <c r="R36" s="44">
        <v>15663.199999999999</v>
      </c>
      <c r="S36" s="44">
        <v>68563.8</v>
      </c>
      <c r="T36" s="44">
        <f t="shared" si="0"/>
        <v>943403.5</v>
      </c>
    </row>
    <row r="37" spans="1:20" s="46" customFormat="1" x14ac:dyDescent="0.25">
      <c r="A37" s="39">
        <v>42339</v>
      </c>
      <c r="B37" s="44">
        <v>221829.6</v>
      </c>
      <c r="C37" s="41">
        <v>273246</v>
      </c>
      <c r="D37" s="41" t="s">
        <v>1</v>
      </c>
      <c r="E37" s="41" t="s">
        <v>1</v>
      </c>
      <c r="F37" s="47"/>
      <c r="G37" s="41" t="s">
        <v>1</v>
      </c>
      <c r="H37" s="41" t="s">
        <v>1</v>
      </c>
      <c r="I37" s="41" t="s">
        <v>1</v>
      </c>
      <c r="J37" s="44">
        <v>90564.7</v>
      </c>
      <c r="K37" s="44">
        <v>277913.90000000002</v>
      </c>
      <c r="L37" s="44"/>
      <c r="M37" s="44">
        <f t="shared" si="1"/>
        <v>641724.60000000009</v>
      </c>
      <c r="N37" s="41">
        <v>21800</v>
      </c>
      <c r="O37" s="41"/>
      <c r="P37" s="44">
        <v>20</v>
      </c>
      <c r="Q37" s="44"/>
      <c r="R37" s="44">
        <v>15870.099999999999</v>
      </c>
      <c r="S37" s="44">
        <v>69542.200000000012</v>
      </c>
      <c r="T37" s="44">
        <f t="shared" si="0"/>
        <v>970786.5</v>
      </c>
    </row>
    <row r="38" spans="1:20" s="46" customFormat="1" x14ac:dyDescent="0.25">
      <c r="A38" s="39">
        <v>42430</v>
      </c>
      <c r="B38" s="44">
        <v>155219.79999999999</v>
      </c>
      <c r="C38" s="41">
        <v>0</v>
      </c>
      <c r="D38" s="41" t="s">
        <v>1</v>
      </c>
      <c r="E38" s="41" t="s">
        <v>1</v>
      </c>
      <c r="F38" s="47"/>
      <c r="G38" s="41" t="s">
        <v>1</v>
      </c>
      <c r="H38" s="41" t="s">
        <v>1</v>
      </c>
      <c r="I38" s="41" t="s">
        <v>1</v>
      </c>
      <c r="J38" s="44">
        <v>86384.8</v>
      </c>
      <c r="K38" s="44">
        <v>549240.30000000005</v>
      </c>
      <c r="L38" s="44"/>
      <c r="M38" s="44">
        <f t="shared" si="1"/>
        <v>635625.10000000009</v>
      </c>
      <c r="N38" s="41">
        <v>73850</v>
      </c>
      <c r="O38" s="41"/>
      <c r="P38" s="44">
        <v>20</v>
      </c>
      <c r="Q38" s="44"/>
      <c r="R38" s="44">
        <v>16829.2</v>
      </c>
      <c r="S38" s="44">
        <v>70835.099999999977</v>
      </c>
      <c r="T38" s="44">
        <f t="shared" ref="T38:T54" si="2">SUM(B38,M38:S38)</f>
        <v>952379.20000000007</v>
      </c>
    </row>
    <row r="39" spans="1:20" s="46" customFormat="1" x14ac:dyDescent="0.25">
      <c r="A39" s="39">
        <v>42522</v>
      </c>
      <c r="B39" s="44">
        <v>165835.4</v>
      </c>
      <c r="C39" s="41">
        <v>19504.7</v>
      </c>
      <c r="D39" s="41"/>
      <c r="E39" s="41"/>
      <c r="F39" s="47"/>
      <c r="G39" s="41"/>
      <c r="H39" s="41"/>
      <c r="I39" s="41"/>
      <c r="J39" s="44">
        <v>83598.2</v>
      </c>
      <c r="K39" s="44">
        <v>547320.69999999995</v>
      </c>
      <c r="L39" s="44"/>
      <c r="M39" s="44">
        <f t="shared" si="1"/>
        <v>650423.6</v>
      </c>
      <c r="N39" s="41">
        <v>103000</v>
      </c>
      <c r="O39" s="41"/>
      <c r="P39" s="44">
        <v>20</v>
      </c>
      <c r="Q39" s="44"/>
      <c r="R39" s="44">
        <v>17514.300000000003</v>
      </c>
      <c r="S39" s="44">
        <v>71544.3</v>
      </c>
      <c r="T39" s="44">
        <f t="shared" si="2"/>
        <v>1008337.6000000001</v>
      </c>
    </row>
    <row r="40" spans="1:20" s="46" customFormat="1" x14ac:dyDescent="0.25">
      <c r="A40" s="39">
        <v>42614</v>
      </c>
      <c r="B40" s="44">
        <v>157393.5</v>
      </c>
      <c r="C40" s="41">
        <v>18972.7</v>
      </c>
      <c r="D40" s="41"/>
      <c r="E40" s="41"/>
      <c r="F40" s="47"/>
      <c r="G40" s="41"/>
      <c r="H40" s="41"/>
      <c r="I40" s="41"/>
      <c r="J40" s="44">
        <v>79418.3</v>
      </c>
      <c r="K40" s="44">
        <v>546041</v>
      </c>
      <c r="L40" s="44"/>
      <c r="M40" s="44">
        <f t="shared" si="1"/>
        <v>644432</v>
      </c>
      <c r="N40" s="41">
        <v>120705</v>
      </c>
      <c r="O40" s="41"/>
      <c r="P40" s="44">
        <v>20</v>
      </c>
      <c r="Q40" s="44"/>
      <c r="R40" s="44">
        <v>17282.099999999999</v>
      </c>
      <c r="S40" s="44">
        <v>71569.3</v>
      </c>
      <c r="T40" s="44">
        <f t="shared" si="2"/>
        <v>1011401.9</v>
      </c>
    </row>
    <row r="41" spans="1:20" s="46" customFormat="1" x14ac:dyDescent="0.25">
      <c r="A41" s="39">
        <v>42705</v>
      </c>
      <c r="B41" s="44">
        <v>166434.69999999998</v>
      </c>
      <c r="C41" s="41">
        <v>134973.1</v>
      </c>
      <c r="D41" s="41"/>
      <c r="E41" s="41"/>
      <c r="F41" s="47"/>
      <c r="G41" s="41"/>
      <c r="H41" s="41"/>
      <c r="I41" s="41"/>
      <c r="J41" s="44">
        <v>73845.100000000006</v>
      </c>
      <c r="K41" s="44">
        <v>543481.59999999998</v>
      </c>
      <c r="L41" s="44"/>
      <c r="M41" s="44">
        <f t="shared" si="1"/>
        <v>752299.8</v>
      </c>
      <c r="N41" s="41">
        <v>89000</v>
      </c>
      <c r="O41" s="41"/>
      <c r="P41" s="44">
        <v>20</v>
      </c>
      <c r="Q41" s="44"/>
      <c r="R41" s="44">
        <v>16702.099999999999</v>
      </c>
      <c r="S41" s="44">
        <v>82875.700000000012</v>
      </c>
      <c r="T41" s="44">
        <f t="shared" si="2"/>
        <v>1107332.3</v>
      </c>
    </row>
    <row r="42" spans="1:20" s="46" customFormat="1" x14ac:dyDescent="0.25">
      <c r="A42" s="39">
        <v>42825</v>
      </c>
      <c r="B42" s="44">
        <v>194792.3</v>
      </c>
      <c r="C42" s="41">
        <v>130042.5</v>
      </c>
      <c r="D42" s="41"/>
      <c r="E42" s="41"/>
      <c r="F42" s="47"/>
      <c r="G42" s="41"/>
      <c r="H42" s="41"/>
      <c r="I42" s="41"/>
      <c r="J42" s="44">
        <v>69665.100000000006</v>
      </c>
      <c r="K42" s="44">
        <v>541562</v>
      </c>
      <c r="L42" s="44"/>
      <c r="M42" s="44">
        <f t="shared" si="1"/>
        <v>741269.6</v>
      </c>
      <c r="N42" s="41">
        <v>88840</v>
      </c>
      <c r="O42" s="41"/>
      <c r="P42" s="44">
        <v>20</v>
      </c>
      <c r="Q42" s="44"/>
      <c r="R42" s="44">
        <v>21498.1</v>
      </c>
      <c r="S42" s="44">
        <v>92789.900000000009</v>
      </c>
      <c r="T42" s="44">
        <f t="shared" si="2"/>
        <v>1139209.8999999999</v>
      </c>
    </row>
    <row r="43" spans="1:20" s="46" customFormat="1" x14ac:dyDescent="0.25">
      <c r="A43" s="39">
        <v>42916</v>
      </c>
      <c r="B43" s="44">
        <v>200827.6</v>
      </c>
      <c r="C43" s="41">
        <v>141652.79999999999</v>
      </c>
      <c r="D43" s="41"/>
      <c r="E43" s="41"/>
      <c r="F43" s="47"/>
      <c r="G43" s="41"/>
      <c r="H43" s="41"/>
      <c r="I43" s="41"/>
      <c r="J43" s="44">
        <v>66878.5</v>
      </c>
      <c r="K43" s="44">
        <v>540282.30000000005</v>
      </c>
      <c r="L43" s="44"/>
      <c r="M43" s="44">
        <f t="shared" si="1"/>
        <v>748813.60000000009</v>
      </c>
      <c r="N43" s="41">
        <v>70737.5</v>
      </c>
      <c r="O43" s="41"/>
      <c r="P43" s="44">
        <v>20</v>
      </c>
      <c r="Q43" s="44"/>
      <c r="R43" s="44">
        <v>23499</v>
      </c>
      <c r="S43" s="44">
        <v>98725</v>
      </c>
      <c r="T43" s="44">
        <f t="shared" si="2"/>
        <v>1142622.7000000002</v>
      </c>
    </row>
    <row r="44" spans="1:20" s="46" customFormat="1" x14ac:dyDescent="0.25">
      <c r="A44" s="39">
        <v>43008</v>
      </c>
      <c r="B44" s="44">
        <v>198728.4</v>
      </c>
      <c r="C44" s="41">
        <v>112382.3</v>
      </c>
      <c r="D44" s="41"/>
      <c r="E44" s="41"/>
      <c r="F44" s="47"/>
      <c r="G44" s="41"/>
      <c r="H44" s="41"/>
      <c r="I44" s="41"/>
      <c r="J44" s="44">
        <v>62698.6</v>
      </c>
      <c r="K44" s="44">
        <v>538362.6</v>
      </c>
      <c r="L44" s="44"/>
      <c r="M44" s="44">
        <f t="shared" si="1"/>
        <v>713443.5</v>
      </c>
      <c r="N44" s="41">
        <v>123150</v>
      </c>
      <c r="O44" s="41"/>
      <c r="P44" s="44">
        <v>20</v>
      </c>
      <c r="Q44" s="44"/>
      <c r="R44" s="44">
        <v>24296.199999999997</v>
      </c>
      <c r="S44" s="44">
        <v>133118</v>
      </c>
      <c r="T44" s="44">
        <f t="shared" si="2"/>
        <v>1192756.1000000001</v>
      </c>
    </row>
    <row r="45" spans="1:20" s="46" customFormat="1" x14ac:dyDescent="0.25">
      <c r="A45" s="39">
        <v>43100</v>
      </c>
      <c r="B45" s="44">
        <v>194000.2</v>
      </c>
      <c r="C45" s="41">
        <v>194279.4</v>
      </c>
      <c r="D45" s="41"/>
      <c r="E45" s="41"/>
      <c r="F45" s="47"/>
      <c r="G45" s="41"/>
      <c r="H45" s="41"/>
      <c r="I45" s="41"/>
      <c r="J45" s="44">
        <v>57125.4</v>
      </c>
      <c r="K45" s="44">
        <v>535803.19999999995</v>
      </c>
      <c r="L45" s="44"/>
      <c r="M45" s="44">
        <f t="shared" si="1"/>
        <v>787208</v>
      </c>
      <c r="N45" s="41">
        <v>159990</v>
      </c>
      <c r="O45" s="41"/>
      <c r="P45" s="44">
        <v>20</v>
      </c>
      <c r="Q45" s="44"/>
      <c r="R45" s="44">
        <v>23657.199999999997</v>
      </c>
      <c r="S45" s="44">
        <v>108892.20000000001</v>
      </c>
      <c r="T45" s="44">
        <f t="shared" si="2"/>
        <v>1273767.5999999999</v>
      </c>
    </row>
    <row r="46" spans="1:20" s="46" customFormat="1" x14ac:dyDescent="0.25">
      <c r="A46" s="39">
        <v>43160</v>
      </c>
      <c r="B46" s="51">
        <v>153280.4</v>
      </c>
      <c r="C46" s="52">
        <v>151279.20000000001</v>
      </c>
      <c r="D46" s="41"/>
      <c r="E46" s="41"/>
      <c r="F46" s="47"/>
      <c r="G46" s="41"/>
      <c r="H46" s="41"/>
      <c r="I46" s="41"/>
      <c r="J46" s="51">
        <v>52945.5</v>
      </c>
      <c r="K46" s="51">
        <v>533314.30000000005</v>
      </c>
      <c r="L46" s="51"/>
      <c r="M46" s="44">
        <f t="shared" si="1"/>
        <v>737539</v>
      </c>
      <c r="N46" s="52">
        <v>185103.2</v>
      </c>
      <c r="O46" s="52"/>
      <c r="P46" s="51">
        <v>20</v>
      </c>
      <c r="Q46" s="51"/>
      <c r="R46" s="44">
        <v>24049.3</v>
      </c>
      <c r="S46" s="44">
        <v>134380</v>
      </c>
      <c r="T46" s="44">
        <f t="shared" si="2"/>
        <v>1234371.9000000001</v>
      </c>
    </row>
    <row r="47" spans="1:20" s="46" customFormat="1" x14ac:dyDescent="0.25">
      <c r="A47" s="53">
        <v>43281</v>
      </c>
      <c r="B47" s="44">
        <v>148949.9</v>
      </c>
      <c r="C47" s="41">
        <v>201181.6</v>
      </c>
      <c r="D47" s="41"/>
      <c r="E47" s="41"/>
      <c r="F47" s="47"/>
      <c r="G47" s="41"/>
      <c r="H47" s="41"/>
      <c r="I47" s="41"/>
      <c r="J47" s="44">
        <v>50158.9</v>
      </c>
      <c r="K47" s="44">
        <v>529117.6</v>
      </c>
      <c r="L47" s="44"/>
      <c r="M47" s="44">
        <f t="shared" si="1"/>
        <v>780458.1</v>
      </c>
      <c r="N47" s="41">
        <v>283075.3</v>
      </c>
      <c r="O47" s="41"/>
      <c r="P47" s="51">
        <v>20</v>
      </c>
      <c r="Q47" s="51"/>
      <c r="R47" s="44">
        <v>24856.5</v>
      </c>
      <c r="S47" s="44">
        <v>149100.80000000002</v>
      </c>
      <c r="T47" s="44">
        <f t="shared" si="2"/>
        <v>1386460.6</v>
      </c>
    </row>
    <row r="48" spans="1:20" s="46" customFormat="1" x14ac:dyDescent="0.25">
      <c r="A48" s="53">
        <v>43344</v>
      </c>
      <c r="B48" s="44">
        <v>124527.5</v>
      </c>
      <c r="C48" s="41">
        <v>151767</v>
      </c>
      <c r="D48" s="41"/>
      <c r="E48" s="41"/>
      <c r="F48" s="47"/>
      <c r="G48" s="41"/>
      <c r="H48" s="41"/>
      <c r="I48" s="41"/>
      <c r="J48" s="44">
        <v>45979</v>
      </c>
      <c r="K48" s="44">
        <v>526130.1</v>
      </c>
      <c r="L48" s="44"/>
      <c r="M48" s="44">
        <f t="shared" si="1"/>
        <v>723876.1</v>
      </c>
      <c r="N48" s="41">
        <v>282430</v>
      </c>
      <c r="O48" s="41"/>
      <c r="P48" s="51">
        <v>20</v>
      </c>
      <c r="Q48" s="51"/>
      <c r="R48" s="44">
        <v>25839.7</v>
      </c>
      <c r="S48" s="44">
        <v>171502.30000000002</v>
      </c>
      <c r="T48" s="44">
        <f t="shared" si="2"/>
        <v>1328195.6000000001</v>
      </c>
    </row>
    <row r="49" spans="1:20" s="46" customFormat="1" x14ac:dyDescent="0.25">
      <c r="A49" s="53">
        <v>43465</v>
      </c>
      <c r="B49" s="44">
        <f>144408.7+1198.4</f>
        <v>145607.1</v>
      </c>
      <c r="C49" s="41">
        <v>210409.1</v>
      </c>
      <c r="D49" s="41"/>
      <c r="E49" s="41"/>
      <c r="F49" s="47"/>
      <c r="G49" s="41"/>
      <c r="H49" s="41"/>
      <c r="I49" s="41"/>
      <c r="J49" s="44">
        <v>40405.800000000003</v>
      </c>
      <c r="K49" s="44">
        <v>521293.6</v>
      </c>
      <c r="L49" s="44"/>
      <c r="M49" s="44">
        <f t="shared" si="1"/>
        <v>772108.5</v>
      </c>
      <c r="N49" s="41">
        <v>248180</v>
      </c>
      <c r="O49" s="41"/>
      <c r="P49" s="51">
        <v>20</v>
      </c>
      <c r="Q49" s="51"/>
      <c r="R49" s="44">
        <f>887.8+24119+157.9</f>
        <v>25164.7</v>
      </c>
      <c r="S49" s="44">
        <f>160893.6-1198.4</f>
        <v>159695.20000000001</v>
      </c>
      <c r="T49" s="44">
        <f t="shared" si="2"/>
        <v>1350775.5</v>
      </c>
    </row>
    <row r="50" spans="1:20" s="46" customFormat="1" x14ac:dyDescent="0.25">
      <c r="A50" s="53">
        <v>43555</v>
      </c>
      <c r="B50" s="44">
        <f>1198.4+130884.5</f>
        <v>132082.9</v>
      </c>
      <c r="C50" s="41">
        <v>221728.4</v>
      </c>
      <c r="D50" s="41"/>
      <c r="E50" s="41"/>
      <c r="F50" s="47"/>
      <c r="G50" s="41"/>
      <c r="H50" s="41"/>
      <c r="I50" s="41"/>
      <c r="J50" s="44">
        <v>36225.9</v>
      </c>
      <c r="K50" s="44">
        <v>518306</v>
      </c>
      <c r="L50" s="44"/>
      <c r="M50" s="44">
        <f t="shared" si="1"/>
        <v>776260.3</v>
      </c>
      <c r="N50" s="41">
        <v>287000</v>
      </c>
      <c r="O50" s="41"/>
      <c r="P50" s="51">
        <v>20</v>
      </c>
      <c r="Q50" s="51"/>
      <c r="R50" s="44">
        <f>157.9+23853.8+887.8</f>
        <v>24899.5</v>
      </c>
      <c r="S50" s="44">
        <f>200172.4-1198.4</f>
        <v>198974</v>
      </c>
      <c r="T50" s="44">
        <f t="shared" si="2"/>
        <v>1419236.7000000002</v>
      </c>
    </row>
    <row r="51" spans="1:20" s="46" customFormat="1" x14ac:dyDescent="0.25">
      <c r="A51" s="53">
        <v>43617</v>
      </c>
      <c r="B51" s="44">
        <f>170121.6+7031.5</f>
        <v>177153.1</v>
      </c>
      <c r="C51" s="41">
        <v>216009.2</v>
      </c>
      <c r="D51" s="41"/>
      <c r="E51" s="41"/>
      <c r="F51" s="47"/>
      <c r="G51" s="41"/>
      <c r="H51" s="41"/>
      <c r="I51" s="41"/>
      <c r="J51" s="44">
        <v>32046</v>
      </c>
      <c r="K51" s="44">
        <v>514038.8</v>
      </c>
      <c r="L51" s="44"/>
      <c r="M51" s="44">
        <f t="shared" si="1"/>
        <v>762094</v>
      </c>
      <c r="N51" s="41">
        <v>335077.8</v>
      </c>
      <c r="O51" s="41"/>
      <c r="P51" s="51">
        <v>20</v>
      </c>
      <c r="Q51" s="51"/>
      <c r="R51" s="44">
        <f>157.9+23502.4+887.8</f>
        <v>24548.100000000002</v>
      </c>
      <c r="S51" s="44">
        <f>181402.6-7031.5</f>
        <v>174371.1</v>
      </c>
      <c r="T51" s="44">
        <f t="shared" si="2"/>
        <v>1473264.1</v>
      </c>
    </row>
    <row r="52" spans="1:20" s="46" customFormat="1" ht="16.5" customHeight="1" x14ac:dyDescent="0.25">
      <c r="A52" s="55">
        <v>43738</v>
      </c>
      <c r="B52" s="44">
        <f>145197.8+7031.5</f>
        <v>152229.29999999999</v>
      </c>
      <c r="C52" s="41">
        <v>0</v>
      </c>
      <c r="D52" s="41"/>
      <c r="E52" s="41"/>
      <c r="F52" s="47"/>
      <c r="G52" s="41"/>
      <c r="H52" s="41"/>
      <c r="I52" s="41"/>
      <c r="J52" s="44">
        <v>29259.4</v>
      </c>
      <c r="K52" s="44">
        <v>727629.7</v>
      </c>
      <c r="L52" s="44"/>
      <c r="M52" s="44">
        <f t="shared" si="1"/>
        <v>756889.1</v>
      </c>
      <c r="N52" s="41">
        <v>399460.9</v>
      </c>
      <c r="O52" s="56"/>
      <c r="P52" s="44">
        <v>20</v>
      </c>
      <c r="Q52" s="44"/>
      <c r="R52" s="44">
        <f>157.9+24409.9+887.8</f>
        <v>25455.600000000002</v>
      </c>
      <c r="S52" s="44">
        <f>210464.2-7031.5</f>
        <v>203432.7</v>
      </c>
      <c r="T52" s="44">
        <f t="shared" si="2"/>
        <v>1537487.5999999999</v>
      </c>
    </row>
    <row r="53" spans="1:20" s="46" customFormat="1" ht="16.5" customHeight="1" x14ac:dyDescent="0.25">
      <c r="A53" s="55">
        <v>43800</v>
      </c>
      <c r="B53" s="44">
        <f>235831.3+5935</f>
        <v>241766.3</v>
      </c>
      <c r="C53" s="41">
        <v>0</v>
      </c>
      <c r="D53" s="41"/>
      <c r="E53" s="41"/>
      <c r="F53" s="47"/>
      <c r="G53" s="41"/>
      <c r="H53" s="41"/>
      <c r="I53" s="41"/>
      <c r="J53" s="44">
        <v>23686.2</v>
      </c>
      <c r="K53" s="44">
        <v>722793.2</v>
      </c>
      <c r="L53" s="44"/>
      <c r="M53" s="44">
        <f t="shared" si="1"/>
        <v>746479.39999999991</v>
      </c>
      <c r="N53" s="41">
        <v>422379.9</v>
      </c>
      <c r="O53" s="56"/>
      <c r="P53" s="44">
        <v>20</v>
      </c>
      <c r="Q53" s="44"/>
      <c r="R53" s="44">
        <f>24491.3+157.9+887.8</f>
        <v>25537</v>
      </c>
      <c r="S53" s="44">
        <f>199796.9-5935</f>
        <v>193861.9</v>
      </c>
      <c r="T53" s="44">
        <f t="shared" si="2"/>
        <v>1630044.5</v>
      </c>
    </row>
    <row r="54" spans="1:20" s="46" customFormat="1" ht="16.5" customHeight="1" x14ac:dyDescent="0.25">
      <c r="A54" s="55">
        <v>43921</v>
      </c>
      <c r="B54" s="44">
        <f>188354.3+5935</f>
        <v>194289.3</v>
      </c>
      <c r="C54" s="41">
        <v>0</v>
      </c>
      <c r="D54" s="41"/>
      <c r="E54" s="41"/>
      <c r="F54" s="47"/>
      <c r="G54" s="41"/>
      <c r="H54" s="41"/>
      <c r="I54" s="41"/>
      <c r="J54" s="44">
        <v>19506.2</v>
      </c>
      <c r="K54" s="44">
        <v>719165.8</v>
      </c>
      <c r="L54" s="44"/>
      <c r="M54" s="44">
        <f t="shared" si="1"/>
        <v>738672</v>
      </c>
      <c r="N54" s="41">
        <v>420106.2</v>
      </c>
      <c r="O54" s="56"/>
      <c r="P54" s="44">
        <v>20</v>
      </c>
      <c r="Q54" s="44"/>
      <c r="R54" s="44">
        <f>25180.8+157.9+887.8</f>
        <v>26226.5</v>
      </c>
      <c r="S54" s="44">
        <f>215607.8-5935</f>
        <v>209672.8</v>
      </c>
      <c r="T54" s="44">
        <f t="shared" si="2"/>
        <v>1588986.8</v>
      </c>
    </row>
    <row r="55" spans="1:20" s="46" customFormat="1" ht="16.5" customHeight="1" x14ac:dyDescent="0.25">
      <c r="A55" s="55">
        <v>44012</v>
      </c>
      <c r="B55" s="44">
        <v>172739</v>
      </c>
      <c r="C55" s="41">
        <v>0</v>
      </c>
      <c r="D55" s="41"/>
      <c r="E55" s="41"/>
      <c r="F55" s="47"/>
      <c r="G55" s="41"/>
      <c r="H55" s="41"/>
      <c r="I55" s="41"/>
      <c r="J55" s="44">
        <v>15326.3</v>
      </c>
      <c r="K55" s="44">
        <v>715538.4</v>
      </c>
      <c r="L55" s="44">
        <v>5357.5</v>
      </c>
      <c r="M55" s="44">
        <f t="shared" ref="M55:M73" si="3">SUM(C55:L55)</f>
        <v>736222.20000000007</v>
      </c>
      <c r="N55" s="41">
        <v>421436.2</v>
      </c>
      <c r="O55" s="56"/>
      <c r="P55" s="44">
        <v>20</v>
      </c>
      <c r="Q55" s="44"/>
      <c r="R55" s="44">
        <f>26117.6+157.9+887.8</f>
        <v>27163.3</v>
      </c>
      <c r="S55" s="44">
        <f>281819.7-4763.1</f>
        <v>277056.60000000003</v>
      </c>
      <c r="T55" s="44">
        <f t="shared" ref="T55:T73" si="4">SUM(B55,M55:S55)</f>
        <v>1634637.3000000003</v>
      </c>
    </row>
    <row r="56" spans="1:20" s="46" customFormat="1" ht="16.5" customHeight="1" x14ac:dyDescent="0.25">
      <c r="A56" s="55">
        <v>44104</v>
      </c>
      <c r="B56" s="44">
        <f>196602.9+4763.1</f>
        <v>201366</v>
      </c>
      <c r="C56" s="41">
        <v>0</v>
      </c>
      <c r="D56" s="41"/>
      <c r="E56" s="41"/>
      <c r="F56" s="47"/>
      <c r="G56" s="41"/>
      <c r="H56" s="41"/>
      <c r="I56" s="41"/>
      <c r="J56" s="44">
        <v>12539.7</v>
      </c>
      <c r="K56" s="44">
        <v>713120.2</v>
      </c>
      <c r="L56" s="44">
        <f>25822.8+150000</f>
        <v>175822.8</v>
      </c>
      <c r="M56" s="44">
        <f t="shared" si="3"/>
        <v>901482.7</v>
      </c>
      <c r="N56" s="41">
        <f>360450+4000</f>
        <v>364450</v>
      </c>
      <c r="O56" s="56"/>
      <c r="P56" s="44">
        <v>20</v>
      </c>
      <c r="Q56" s="44"/>
      <c r="R56" s="44">
        <f>27566.4+157.9+0</f>
        <v>27724.300000000003</v>
      </c>
      <c r="S56" s="44">
        <f>200006.1-4763.1+887.8</f>
        <v>196130.8</v>
      </c>
      <c r="T56" s="44">
        <f t="shared" si="4"/>
        <v>1691173.8</v>
      </c>
    </row>
    <row r="57" spans="1:20" s="46" customFormat="1" ht="16.5" customHeight="1" x14ac:dyDescent="0.25">
      <c r="A57" s="55">
        <v>44196</v>
      </c>
      <c r="B57" s="44">
        <f>246109.6+4763.1</f>
        <v>250872.7</v>
      </c>
      <c r="C57" s="41">
        <v>0</v>
      </c>
      <c r="D57" s="41"/>
      <c r="E57" s="41"/>
      <c r="F57" s="47"/>
      <c r="G57" s="41"/>
      <c r="H57" s="41"/>
      <c r="I57" s="41"/>
      <c r="J57" s="44">
        <v>6921.2</v>
      </c>
      <c r="K57" s="44">
        <v>708283.6</v>
      </c>
      <c r="L57" s="44">
        <f>27463+150000+2000</f>
        <v>179463</v>
      </c>
      <c r="M57" s="44">
        <f t="shared" si="3"/>
        <v>894667.79999999993</v>
      </c>
      <c r="N57" s="41">
        <f>298901.2+4000</f>
        <v>302901.2</v>
      </c>
      <c r="O57" s="56"/>
      <c r="P57" s="44">
        <v>20</v>
      </c>
      <c r="Q57" s="44"/>
      <c r="R57" s="44">
        <f>28597.2+157.9</f>
        <v>28755.100000000002</v>
      </c>
      <c r="S57" s="44">
        <f>213092.6-4763.1+887.8</f>
        <v>209217.3</v>
      </c>
      <c r="T57" s="44">
        <f t="shared" si="4"/>
        <v>1686434.1</v>
      </c>
    </row>
    <row r="58" spans="1:20" s="46" customFormat="1" ht="16.5" customHeight="1" x14ac:dyDescent="0.25">
      <c r="A58" s="55">
        <v>44286</v>
      </c>
      <c r="B58" s="44">
        <v>212738</v>
      </c>
      <c r="C58" s="41">
        <v>0</v>
      </c>
      <c r="D58" s="41"/>
      <c r="E58" s="41"/>
      <c r="F58" s="47"/>
      <c r="G58" s="41"/>
      <c r="H58" s="41"/>
      <c r="I58" s="41"/>
      <c r="J58" s="44">
        <v>4134.6000000000004</v>
      </c>
      <c r="K58" s="44">
        <v>703262.9</v>
      </c>
      <c r="L58" s="44">
        <v>156668.9</v>
      </c>
      <c r="M58" s="44">
        <f t="shared" si="3"/>
        <v>864066.4</v>
      </c>
      <c r="N58" s="41">
        <v>299757</v>
      </c>
      <c r="O58" s="56"/>
      <c r="P58" s="44">
        <v>20</v>
      </c>
      <c r="Q58" s="44"/>
      <c r="R58" s="44">
        <v>28417.9</v>
      </c>
      <c r="S58" s="44">
        <v>236101.59999999998</v>
      </c>
      <c r="T58" s="44">
        <f t="shared" si="4"/>
        <v>1641100.9</v>
      </c>
    </row>
    <row r="59" spans="1:20" s="46" customFormat="1" ht="16.5" customHeight="1" x14ac:dyDescent="0.25">
      <c r="A59" s="55">
        <v>44377</v>
      </c>
      <c r="B59" s="44">
        <v>191742.90000000002</v>
      </c>
      <c r="C59" s="41">
        <v>57076.7</v>
      </c>
      <c r="D59" s="41"/>
      <c r="E59" s="41"/>
      <c r="F59" s="47"/>
      <c r="G59" s="41"/>
      <c r="H59" s="41"/>
      <c r="I59" s="41"/>
      <c r="J59" s="44">
        <v>0</v>
      </c>
      <c r="K59" s="44">
        <v>701028.8</v>
      </c>
      <c r="L59" s="44">
        <v>199534.3</v>
      </c>
      <c r="M59" s="44">
        <f t="shared" si="3"/>
        <v>957639.8</v>
      </c>
      <c r="N59" s="41">
        <v>323679.40000000002</v>
      </c>
      <c r="O59" s="56"/>
      <c r="P59" s="44">
        <v>20</v>
      </c>
      <c r="Q59" s="44"/>
      <c r="R59" s="44">
        <v>28754.7</v>
      </c>
      <c r="S59" s="44">
        <v>244276.39999999997</v>
      </c>
      <c r="T59" s="44">
        <f t="shared" si="4"/>
        <v>1746113.2</v>
      </c>
    </row>
    <row r="60" spans="1:20" s="46" customFormat="1" ht="16.5" customHeight="1" x14ac:dyDescent="0.25">
      <c r="A60" s="55">
        <v>44469</v>
      </c>
      <c r="B60" s="44">
        <v>619116.89999999991</v>
      </c>
      <c r="C60" s="41">
        <v>0</v>
      </c>
      <c r="D60" s="41"/>
      <c r="E60" s="41"/>
      <c r="F60" s="47"/>
      <c r="G60" s="41"/>
      <c r="H60" s="41"/>
      <c r="I60" s="41"/>
      <c r="J60" s="44">
        <v>0</v>
      </c>
      <c r="K60" s="44">
        <v>697339.3</v>
      </c>
      <c r="L60" s="44">
        <v>206057.4</v>
      </c>
      <c r="M60" s="44">
        <f t="shared" si="3"/>
        <v>903396.70000000007</v>
      </c>
      <c r="N60" s="41">
        <v>425854.30000000005</v>
      </c>
      <c r="O60" s="56"/>
      <c r="P60" s="44">
        <v>20</v>
      </c>
      <c r="Q60" s="44"/>
      <c r="R60" s="44">
        <v>28895.200000000001</v>
      </c>
      <c r="S60" s="44">
        <v>281628</v>
      </c>
      <c r="T60" s="44">
        <f t="shared" si="4"/>
        <v>2258911.1</v>
      </c>
    </row>
    <row r="61" spans="1:20" x14ac:dyDescent="0.25">
      <c r="A61" s="55">
        <v>44533</v>
      </c>
      <c r="B61" s="44">
        <v>593226.4</v>
      </c>
      <c r="C61" s="41">
        <v>36124.9</v>
      </c>
      <c r="D61" s="41"/>
      <c r="E61" s="41"/>
      <c r="F61" s="47"/>
      <c r="G61" s="41"/>
      <c r="H61" s="41"/>
      <c r="I61" s="41"/>
      <c r="J61" s="44">
        <v>0</v>
      </c>
      <c r="K61" s="44">
        <v>690961.7</v>
      </c>
      <c r="L61" s="44">
        <v>174442.5</v>
      </c>
      <c r="M61" s="44">
        <f t="shared" si="3"/>
        <v>901529.1</v>
      </c>
      <c r="N61" s="41">
        <v>530461.70000000007</v>
      </c>
      <c r="O61" s="56"/>
      <c r="P61" s="44">
        <v>20</v>
      </c>
      <c r="Q61" s="44"/>
      <c r="R61" s="44">
        <v>30087.600000000002</v>
      </c>
      <c r="S61" s="44">
        <v>295416.59999999998</v>
      </c>
      <c r="T61" s="44">
        <f t="shared" si="4"/>
        <v>2350741.4000000004</v>
      </c>
    </row>
    <row r="62" spans="1:20" x14ac:dyDescent="0.25">
      <c r="A62" s="55" t="s">
        <v>100</v>
      </c>
      <c r="B62" s="44">
        <v>568741.60000000009</v>
      </c>
      <c r="C62" s="41">
        <v>32028.5</v>
      </c>
      <c r="D62" s="41"/>
      <c r="E62" s="41"/>
      <c r="F62" s="47"/>
      <c r="G62" s="41"/>
      <c r="H62" s="41"/>
      <c r="I62" s="41"/>
      <c r="J62" s="44">
        <v>0</v>
      </c>
      <c r="K62" s="44">
        <v>690433.4</v>
      </c>
      <c r="L62" s="44">
        <v>328827.69999999995</v>
      </c>
      <c r="M62" s="44">
        <f t="shared" si="3"/>
        <v>1051289.6000000001</v>
      </c>
      <c r="N62" s="41">
        <v>563559.20000000007</v>
      </c>
      <c r="O62" s="56"/>
      <c r="P62" s="44">
        <v>20</v>
      </c>
      <c r="Q62" s="44"/>
      <c r="R62" s="44">
        <v>32170.7</v>
      </c>
      <c r="S62" s="44">
        <v>314001.7</v>
      </c>
      <c r="T62" s="44">
        <f t="shared" si="4"/>
        <v>2529782.8000000007</v>
      </c>
    </row>
    <row r="63" spans="1:20" s="46" customFormat="1" ht="16.5" customHeight="1" x14ac:dyDescent="0.25">
      <c r="A63" s="58">
        <v>44713</v>
      </c>
      <c r="B63" s="44">
        <v>462267.9</v>
      </c>
      <c r="C63" s="41">
        <v>266435.90000000002</v>
      </c>
      <c r="D63" s="41"/>
      <c r="E63" s="41"/>
      <c r="F63" s="47"/>
      <c r="G63" s="41"/>
      <c r="H63" s="41"/>
      <c r="I63" s="41"/>
      <c r="J63" s="44">
        <v>0</v>
      </c>
      <c r="K63" s="44">
        <v>686729.1</v>
      </c>
      <c r="L63" s="44">
        <v>435960.30000000005</v>
      </c>
      <c r="M63" s="44">
        <f t="shared" si="3"/>
        <v>1389125.3</v>
      </c>
      <c r="N63" s="41">
        <v>574094.20000000007</v>
      </c>
      <c r="O63" s="56"/>
      <c r="P63" s="44">
        <v>20</v>
      </c>
      <c r="Q63" s="44"/>
      <c r="R63" s="44">
        <v>35371.300000000003</v>
      </c>
      <c r="S63" s="44">
        <v>313593.39999999997</v>
      </c>
      <c r="T63" s="44">
        <f t="shared" si="4"/>
        <v>2774472.1</v>
      </c>
    </row>
    <row r="64" spans="1:20" s="46" customFormat="1" ht="16.5" customHeight="1" x14ac:dyDescent="0.25">
      <c r="A64" s="55" t="s">
        <v>69</v>
      </c>
      <c r="B64" s="44">
        <v>422873.9</v>
      </c>
      <c r="C64" s="41">
        <v>82611.8</v>
      </c>
      <c r="D64" s="41"/>
      <c r="E64" s="41"/>
      <c r="F64" s="47"/>
      <c r="G64" s="41"/>
      <c r="H64" s="41"/>
      <c r="I64" s="41"/>
      <c r="J64" s="44">
        <v>0</v>
      </c>
      <c r="K64" s="44">
        <v>956869.3</v>
      </c>
      <c r="L64" s="44">
        <v>731229.5</v>
      </c>
      <c r="M64" s="44">
        <f t="shared" si="3"/>
        <v>1770710.6</v>
      </c>
      <c r="N64" s="41">
        <v>633901.30000000005</v>
      </c>
      <c r="O64" s="56"/>
      <c r="P64" s="44">
        <v>20</v>
      </c>
      <c r="Q64" s="44"/>
      <c r="R64" s="44">
        <v>40736.600000000006</v>
      </c>
      <c r="S64" s="44">
        <v>311263.8</v>
      </c>
      <c r="T64" s="44">
        <f t="shared" si="4"/>
        <v>3179506.1999999997</v>
      </c>
    </row>
    <row r="65" spans="1:20" s="46" customFormat="1" ht="16.5" customHeight="1" x14ac:dyDescent="0.25">
      <c r="A65" s="55" t="s">
        <v>72</v>
      </c>
      <c r="B65" s="44">
        <v>427908.5</v>
      </c>
      <c r="C65" s="41">
        <v>3346.5</v>
      </c>
      <c r="D65" s="41"/>
      <c r="E65" s="41"/>
      <c r="F65" s="47"/>
      <c r="G65" s="41"/>
      <c r="H65" s="41"/>
      <c r="I65" s="41"/>
      <c r="J65" s="44">
        <v>0</v>
      </c>
      <c r="K65" s="44">
        <v>941229</v>
      </c>
      <c r="L65" s="44">
        <v>786641.5</v>
      </c>
      <c r="M65" s="44">
        <f t="shared" si="3"/>
        <v>1731217</v>
      </c>
      <c r="N65" s="41">
        <v>556219.9</v>
      </c>
      <c r="O65" s="56"/>
      <c r="P65" s="44">
        <v>20</v>
      </c>
      <c r="Q65" s="44"/>
      <c r="R65" s="44">
        <v>47508.5</v>
      </c>
      <c r="S65" s="44">
        <v>200397.9</v>
      </c>
      <c r="T65" s="44">
        <f t="shared" si="4"/>
        <v>2963271.8</v>
      </c>
    </row>
    <row r="66" spans="1:20" s="59" customFormat="1" x14ac:dyDescent="0.25">
      <c r="A66" s="55" t="s">
        <v>75</v>
      </c>
      <c r="B66" s="44">
        <v>400217.3</v>
      </c>
      <c r="C66" s="41">
        <v>0</v>
      </c>
      <c r="D66" s="41"/>
      <c r="E66" s="41"/>
      <c r="F66" s="47"/>
      <c r="G66" s="41"/>
      <c r="H66" s="41"/>
      <c r="I66" s="41"/>
      <c r="J66" s="44">
        <v>0</v>
      </c>
      <c r="K66" s="44">
        <f>669762.3+266435.7</f>
        <v>936198</v>
      </c>
      <c r="L66" s="44">
        <f>76116.6+11776.6+150000+120000+39650.2+300000+94652.5</f>
        <v>792195.9</v>
      </c>
      <c r="M66" s="44">
        <f t="shared" si="3"/>
        <v>1728393.9</v>
      </c>
      <c r="N66" s="41">
        <f>444450.2+25375.8</f>
        <v>469826</v>
      </c>
      <c r="O66" s="56"/>
      <c r="P66" s="44">
        <v>20</v>
      </c>
      <c r="Q66" s="44"/>
      <c r="R66" s="44">
        <f>51542.7+128.8</f>
        <v>51671.5</v>
      </c>
      <c r="S66" s="44">
        <f>186478.2+158.9+728.9</f>
        <v>187366</v>
      </c>
      <c r="T66" s="44">
        <f t="shared" si="4"/>
        <v>2837494.6999999997</v>
      </c>
    </row>
    <row r="67" spans="1:20" s="59" customFormat="1" x14ac:dyDescent="0.25">
      <c r="A67" s="55" t="s">
        <v>78</v>
      </c>
      <c r="B67" s="44">
        <v>348849.4</v>
      </c>
      <c r="C67" s="41">
        <v>314986.5</v>
      </c>
      <c r="D67" s="41"/>
      <c r="E67" s="41"/>
      <c r="F67" s="47"/>
      <c r="G67" s="41"/>
      <c r="H67" s="41"/>
      <c r="I67" s="41"/>
      <c r="J67" s="44">
        <v>0</v>
      </c>
      <c r="K67" s="44">
        <v>930266.6</v>
      </c>
      <c r="L67" s="44">
        <v>620769.1</v>
      </c>
      <c r="M67" s="44">
        <f t="shared" si="3"/>
        <v>1866022.2000000002</v>
      </c>
      <c r="N67" s="41">
        <v>484489.2</v>
      </c>
      <c r="O67" s="56"/>
      <c r="P67" s="44">
        <v>20</v>
      </c>
      <c r="Q67" s="44"/>
      <c r="R67" s="44">
        <v>52902.700000000004</v>
      </c>
      <c r="S67" s="44">
        <v>291532.90000000002</v>
      </c>
      <c r="T67" s="44">
        <f t="shared" si="4"/>
        <v>3043816.4000000004</v>
      </c>
    </row>
    <row r="68" spans="1:20" s="59" customFormat="1" x14ac:dyDescent="0.25">
      <c r="A68" s="55" t="s">
        <v>81</v>
      </c>
      <c r="B68" s="44">
        <v>247173.69999999995</v>
      </c>
      <c r="C68" s="41">
        <v>168204</v>
      </c>
      <c r="D68" s="41"/>
      <c r="E68" s="41"/>
      <c r="F68" s="47"/>
      <c r="G68" s="41"/>
      <c r="H68" s="41"/>
      <c r="I68" s="41"/>
      <c r="J68" s="44">
        <v>0</v>
      </c>
      <c r="K68" s="44">
        <v>1241186.3999999999</v>
      </c>
      <c r="L68" s="44">
        <v>582994.1</v>
      </c>
      <c r="M68" s="44">
        <f t="shared" si="3"/>
        <v>1992384.5</v>
      </c>
      <c r="N68" s="41">
        <v>603721.70000000007</v>
      </c>
      <c r="O68" s="56"/>
      <c r="P68" s="44">
        <v>20</v>
      </c>
      <c r="Q68" s="44"/>
      <c r="R68" s="44">
        <v>54214.400000000001</v>
      </c>
      <c r="S68" s="44">
        <v>357267.60000000003</v>
      </c>
      <c r="T68" s="44">
        <f t="shared" si="4"/>
        <v>3254781.9000000004</v>
      </c>
    </row>
    <row r="69" spans="1:20" s="59" customFormat="1" x14ac:dyDescent="0.25">
      <c r="A69" s="55" t="s">
        <v>84</v>
      </c>
      <c r="B69" s="44">
        <v>322390.49999999994</v>
      </c>
      <c r="C69" s="41">
        <v>45365.4</v>
      </c>
      <c r="D69" s="41"/>
      <c r="E69" s="41"/>
      <c r="F69" s="47"/>
      <c r="G69" s="41"/>
      <c r="H69" s="41"/>
      <c r="I69" s="41"/>
      <c r="J69" s="44">
        <v>0</v>
      </c>
      <c r="K69" s="44">
        <v>1238638.2000000002</v>
      </c>
      <c r="L69" s="44">
        <v>666647.89999999991</v>
      </c>
      <c r="M69" s="44">
        <f t="shared" si="3"/>
        <v>1950651.5</v>
      </c>
      <c r="N69" s="41">
        <v>603094.4</v>
      </c>
      <c r="O69" s="56"/>
      <c r="P69" s="44">
        <v>20</v>
      </c>
      <c r="Q69" s="44"/>
      <c r="R69" s="44">
        <v>61092</v>
      </c>
      <c r="S69" s="44">
        <v>250289.60893087738</v>
      </c>
      <c r="T69" s="44">
        <f t="shared" si="4"/>
        <v>3187538.0089308773</v>
      </c>
    </row>
    <row r="70" spans="1:20" s="59" customFormat="1" x14ac:dyDescent="0.25">
      <c r="A70" s="55" t="s">
        <v>87</v>
      </c>
      <c r="B70" s="44">
        <v>455505.00000000006</v>
      </c>
      <c r="C70" s="41">
        <v>0</v>
      </c>
      <c r="D70" s="41"/>
      <c r="E70" s="41"/>
      <c r="F70" s="47"/>
      <c r="G70" s="41"/>
      <c r="H70" s="41"/>
      <c r="I70" s="41"/>
      <c r="J70" s="44">
        <v>0</v>
      </c>
      <c r="K70" s="44">
        <v>1233257.3</v>
      </c>
      <c r="L70" s="44">
        <v>666647.89999999991</v>
      </c>
      <c r="M70" s="44">
        <f t="shared" si="3"/>
        <v>1899905.2</v>
      </c>
      <c r="N70" s="41">
        <v>600512.80000000005</v>
      </c>
      <c r="O70" s="56"/>
      <c r="P70" s="44">
        <v>20</v>
      </c>
      <c r="Q70" s="44"/>
      <c r="R70" s="44">
        <v>62360.4</v>
      </c>
      <c r="S70" s="44">
        <v>225389.99999999997</v>
      </c>
      <c r="T70" s="44">
        <f t="shared" si="4"/>
        <v>3243693.4</v>
      </c>
    </row>
    <row r="71" spans="1:20" s="59" customFormat="1" x14ac:dyDescent="0.25">
      <c r="A71" s="55" t="s">
        <v>90</v>
      </c>
      <c r="B71" s="44">
        <v>431062.10000000003</v>
      </c>
      <c r="C71" s="41">
        <v>153944.29999999999</v>
      </c>
      <c r="D71" s="41"/>
      <c r="E71" s="41"/>
      <c r="F71" s="47"/>
      <c r="G71" s="41"/>
      <c r="H71" s="41"/>
      <c r="I71" s="41"/>
      <c r="J71" s="44">
        <v>0</v>
      </c>
      <c r="K71" s="44">
        <v>1226068.6000000001</v>
      </c>
      <c r="L71" s="44">
        <v>666647.89999999991</v>
      </c>
      <c r="M71" s="44">
        <f t="shared" si="3"/>
        <v>2046660.8</v>
      </c>
      <c r="N71" s="41">
        <v>563592.4</v>
      </c>
      <c r="O71" s="56"/>
      <c r="P71" s="44">
        <v>20</v>
      </c>
      <c r="Q71" s="44"/>
      <c r="R71" s="44">
        <v>80776.999999999985</v>
      </c>
      <c r="S71" s="44">
        <v>244488.8</v>
      </c>
      <c r="T71" s="44">
        <f t="shared" si="4"/>
        <v>3366601.0999999996</v>
      </c>
    </row>
    <row r="72" spans="1:20" s="59" customFormat="1" x14ac:dyDescent="0.25">
      <c r="A72" s="55" t="s">
        <v>93</v>
      </c>
      <c r="B72" s="44">
        <v>372665.5</v>
      </c>
      <c r="C72" s="41">
        <v>415256.8</v>
      </c>
      <c r="D72" s="41"/>
      <c r="E72" s="41"/>
      <c r="F72" s="47"/>
      <c r="G72" s="41"/>
      <c r="H72" s="41"/>
      <c r="I72" s="41"/>
      <c r="J72" s="44">
        <v>0</v>
      </c>
      <c r="K72" s="44">
        <v>1377870.8</v>
      </c>
      <c r="L72" s="44">
        <v>735640.1</v>
      </c>
      <c r="M72" s="44">
        <f t="shared" si="3"/>
        <v>2528767.7000000002</v>
      </c>
      <c r="N72" s="41">
        <v>471341.89999999997</v>
      </c>
      <c r="O72" s="56"/>
      <c r="P72" s="44">
        <v>20</v>
      </c>
      <c r="Q72" s="44"/>
      <c r="R72" s="44">
        <v>92356.599999999991</v>
      </c>
      <c r="S72" s="44">
        <v>293267.3</v>
      </c>
      <c r="T72" s="44">
        <f t="shared" si="4"/>
        <v>3758419</v>
      </c>
    </row>
    <row r="73" spans="1:20" s="59" customFormat="1" x14ac:dyDescent="0.25">
      <c r="A73" s="55" t="s">
        <v>96</v>
      </c>
      <c r="B73" s="44">
        <v>568462.90000000014</v>
      </c>
      <c r="C73" s="41">
        <v>751335.6</v>
      </c>
      <c r="D73" s="41"/>
      <c r="E73" s="41"/>
      <c r="F73" s="47"/>
      <c r="G73" s="41"/>
      <c r="H73" s="41"/>
      <c r="I73" s="41"/>
      <c r="J73" s="44">
        <v>0</v>
      </c>
      <c r="K73" s="44">
        <v>1371442.2</v>
      </c>
      <c r="L73" s="44">
        <v>723475.2</v>
      </c>
      <c r="M73" s="44">
        <f t="shared" si="3"/>
        <v>2846253</v>
      </c>
      <c r="N73" s="41">
        <v>510877</v>
      </c>
      <c r="O73" s="56"/>
      <c r="P73" s="44">
        <v>20</v>
      </c>
      <c r="Q73" s="44"/>
      <c r="R73" s="44">
        <v>96485.099999999991</v>
      </c>
      <c r="S73" s="44">
        <v>347216.89999999997</v>
      </c>
      <c r="T73" s="44">
        <f t="shared" si="4"/>
        <v>4369314.9000000004</v>
      </c>
    </row>
    <row r="74" spans="1:20" s="59" customFormat="1" x14ac:dyDescent="0.25">
      <c r="A74" s="55" t="s">
        <v>99</v>
      </c>
      <c r="B74" s="44">
        <v>443981.5</v>
      </c>
      <c r="C74" s="41">
        <v>629494.5</v>
      </c>
      <c r="D74" s="41"/>
      <c r="E74" s="41"/>
      <c r="F74" s="41"/>
      <c r="G74" s="41"/>
      <c r="H74" s="41"/>
      <c r="I74" s="41"/>
      <c r="J74" s="44">
        <v>0</v>
      </c>
      <c r="K74" s="44">
        <v>1365759.1</v>
      </c>
      <c r="L74" s="44">
        <v>573475.19999999995</v>
      </c>
      <c r="M74" s="44">
        <v>2568728.7999999998</v>
      </c>
      <c r="N74" s="41">
        <v>501372.3</v>
      </c>
      <c r="O74" s="56"/>
      <c r="P74" s="44">
        <v>20</v>
      </c>
      <c r="Q74" s="44"/>
      <c r="R74" s="44">
        <v>97291.799999999988</v>
      </c>
      <c r="S74" s="44">
        <v>465497</v>
      </c>
      <c r="T74" s="44">
        <v>4076891.3999999994</v>
      </c>
    </row>
    <row r="75" spans="1:20" s="59" customFormat="1" x14ac:dyDescent="0.25">
      <c r="A75" s="55" t="s">
        <v>105</v>
      </c>
      <c r="B75" s="44">
        <v>457764.4</v>
      </c>
      <c r="C75" s="41">
        <v>1017484.8</v>
      </c>
      <c r="D75" s="41"/>
      <c r="E75" s="41"/>
      <c r="F75" s="41"/>
      <c r="G75" s="41"/>
      <c r="H75" s="41"/>
      <c r="I75" s="41"/>
      <c r="J75" s="44">
        <v>0</v>
      </c>
      <c r="K75" s="44">
        <v>1355991.1</v>
      </c>
      <c r="L75" s="44">
        <v>547298.5</v>
      </c>
      <c r="M75" s="44">
        <v>2920774.4000000004</v>
      </c>
      <c r="N75" s="41">
        <v>460854.89999999997</v>
      </c>
      <c r="O75" s="56"/>
      <c r="P75" s="44">
        <v>20</v>
      </c>
      <c r="Q75" s="44"/>
      <c r="R75" s="44">
        <v>104264.7</v>
      </c>
      <c r="S75" s="44">
        <v>364610</v>
      </c>
      <c r="T75" s="44">
        <v>4308288.4000000004</v>
      </c>
    </row>
    <row r="76" spans="1:20" s="59" customFormat="1" x14ac:dyDescent="0.25">
      <c r="A76" s="55" t="s">
        <v>108</v>
      </c>
      <c r="B76" s="44">
        <v>484106.30000000005</v>
      </c>
      <c r="C76" s="41">
        <v>1017484.8</v>
      </c>
      <c r="D76" s="41"/>
      <c r="E76" s="41"/>
      <c r="F76" s="41"/>
      <c r="G76" s="41"/>
      <c r="H76" s="41"/>
      <c r="I76" s="41"/>
      <c r="J76" s="44">
        <v>0</v>
      </c>
      <c r="K76" s="44">
        <v>1353643.2</v>
      </c>
      <c r="L76" s="44">
        <v>584813</v>
      </c>
      <c r="M76" s="44">
        <v>2955941</v>
      </c>
      <c r="N76" s="41">
        <v>442545.39999999997</v>
      </c>
      <c r="O76" s="56"/>
      <c r="P76" s="44">
        <v>20</v>
      </c>
      <c r="Q76" s="44"/>
      <c r="R76" s="44">
        <v>113973.29999999999</v>
      </c>
      <c r="S76" s="44">
        <v>396551.60000000003</v>
      </c>
      <c r="T76" s="44">
        <v>4393137.5999999996</v>
      </c>
    </row>
    <row r="77" spans="1:20" s="59" customFormat="1" x14ac:dyDescent="0.25">
      <c r="A77" s="55" t="s">
        <v>113</v>
      </c>
      <c r="B77" s="44">
        <v>643872.80000000005</v>
      </c>
      <c r="C77" s="41">
        <v>132386.20000000001</v>
      </c>
      <c r="D77" s="41">
        <v>0</v>
      </c>
      <c r="E77" s="41">
        <v>0</v>
      </c>
      <c r="F77" s="41"/>
      <c r="G77" s="41">
        <v>0</v>
      </c>
      <c r="H77" s="41">
        <v>0</v>
      </c>
      <c r="I77" s="41">
        <v>0</v>
      </c>
      <c r="J77" s="44">
        <v>0</v>
      </c>
      <c r="K77" s="44">
        <v>2362001.5</v>
      </c>
      <c r="L77" s="44">
        <v>434813</v>
      </c>
      <c r="M77" s="44">
        <f t="shared" ref="M77" si="5">SUM(C77:L77)</f>
        <v>2929200.7</v>
      </c>
      <c r="N77" s="41">
        <v>409749.4</v>
      </c>
      <c r="O77" s="56"/>
      <c r="P77" s="44">
        <v>20</v>
      </c>
      <c r="Q77" s="44"/>
      <c r="R77" s="44">
        <v>116852.59999999999</v>
      </c>
      <c r="S77" s="44">
        <v>392450.4</v>
      </c>
      <c r="T77" s="44">
        <f t="shared" ref="T77" si="6">SUM(B77,M77:S77)</f>
        <v>4492145.9000000004</v>
      </c>
    </row>
    <row r="78" spans="1:20" x14ac:dyDescent="0.25">
      <c r="A78" s="24" t="s">
        <v>47</v>
      </c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6"/>
    </row>
  </sheetData>
  <mergeCells count="11">
    <mergeCell ref="A2:T2"/>
    <mergeCell ref="C4:M4"/>
    <mergeCell ref="B4:B5"/>
    <mergeCell ref="A4:A5"/>
    <mergeCell ref="N4:N5"/>
    <mergeCell ref="O4:O5"/>
    <mergeCell ref="P4:P5"/>
    <mergeCell ref="R4:R5"/>
    <mergeCell ref="S4:S5"/>
    <mergeCell ref="T4:T5"/>
    <mergeCell ref="Q4:Q5"/>
  </mergeCells>
  <hyperlinks>
    <hyperlink ref="A1" location="'Table de Matière'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V24"/>
  <sheetViews>
    <sheetView tabSelected="1" workbookViewId="0">
      <pane xSplit="1" ySplit="5" topLeftCell="B12" activePane="bottomRight" state="frozen"/>
      <selection pane="topRight" activeCell="B1" sqref="B1"/>
      <selection pane="bottomLeft" activeCell="A6" sqref="A6"/>
      <selection pane="bottomRight" activeCell="A23" sqref="A23"/>
    </sheetView>
  </sheetViews>
  <sheetFormatPr baseColWidth="10" defaultColWidth="11.5546875" defaultRowHeight="15.75" x14ac:dyDescent="0.25"/>
  <cols>
    <col min="1" max="1" width="20.77734375" customWidth="1"/>
    <col min="2" max="2" width="18.77734375" customWidth="1"/>
    <col min="3" max="3" width="10.33203125" customWidth="1"/>
    <col min="4" max="4" width="10.44140625" customWidth="1"/>
    <col min="5" max="5" width="16.21875" customWidth="1"/>
    <col min="9" max="9" width="16.44140625" customWidth="1"/>
    <col min="10" max="10" width="16.109375" customWidth="1"/>
    <col min="11" max="12" width="14.44140625" customWidth="1"/>
    <col min="15" max="15" width="25.77734375" customWidth="1"/>
    <col min="16" max="17" width="25.88671875" customWidth="1"/>
    <col min="18" max="18" width="16" customWidth="1"/>
    <col min="19" max="19" width="15.77734375" customWidth="1"/>
    <col min="21" max="21" width="12" bestFit="1" customWidth="1"/>
  </cols>
  <sheetData>
    <row r="1" spans="1:22" ht="18.75" x14ac:dyDescent="0.3">
      <c r="A1" s="18" t="s">
        <v>21</v>
      </c>
      <c r="B1" s="4"/>
      <c r="C1" s="5"/>
      <c r="D1" s="5"/>
      <c r="E1" s="5"/>
      <c r="F1" s="6" t="s">
        <v>0</v>
      </c>
      <c r="G1" s="5"/>
      <c r="H1" s="7"/>
      <c r="I1" s="5"/>
      <c r="J1" s="5"/>
      <c r="K1" s="5"/>
      <c r="L1" s="5"/>
      <c r="M1" s="5"/>
      <c r="N1" s="5"/>
      <c r="O1" s="5"/>
      <c r="P1" s="5"/>
      <c r="Q1" s="5"/>
      <c r="R1" s="8"/>
      <c r="S1" s="5"/>
      <c r="T1" s="31" t="s">
        <v>3</v>
      </c>
      <c r="V1" s="32"/>
    </row>
    <row r="2" spans="1:22" ht="18.75" x14ac:dyDescent="0.3">
      <c r="A2" s="67" t="s">
        <v>11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32"/>
    </row>
    <row r="3" spans="1:22" s="1" customFormat="1" ht="12.75" x14ac:dyDescent="0.2">
      <c r="A3" s="34"/>
      <c r="B3" s="2"/>
      <c r="C3" s="2"/>
      <c r="D3" s="2"/>
      <c r="E3" s="2"/>
      <c r="F3" s="2"/>
      <c r="G3" s="2"/>
      <c r="H3" s="3"/>
      <c r="I3" s="2"/>
      <c r="J3" s="2"/>
      <c r="K3" s="2"/>
      <c r="L3" s="2"/>
      <c r="M3" s="2"/>
      <c r="N3" s="9"/>
      <c r="O3" s="9"/>
      <c r="P3" s="9"/>
      <c r="Q3" s="9"/>
      <c r="R3" s="2"/>
      <c r="S3" s="9"/>
      <c r="T3" s="33"/>
    </row>
    <row r="4" spans="1:22" s="1" customFormat="1" ht="56.25" customHeight="1" x14ac:dyDescent="0.3">
      <c r="A4" s="83" t="s">
        <v>48</v>
      </c>
      <c r="B4" s="72" t="s">
        <v>20</v>
      </c>
      <c r="C4" s="82" t="s">
        <v>2</v>
      </c>
      <c r="D4" s="70"/>
      <c r="E4" s="70"/>
      <c r="F4" s="70"/>
      <c r="G4" s="70"/>
      <c r="H4" s="70"/>
      <c r="I4" s="70"/>
      <c r="J4" s="70"/>
      <c r="K4" s="70"/>
      <c r="L4" s="70"/>
      <c r="M4" s="71"/>
      <c r="N4" s="76" t="s">
        <v>15</v>
      </c>
      <c r="O4" s="76" t="s">
        <v>45</v>
      </c>
      <c r="P4" s="76" t="s">
        <v>7</v>
      </c>
      <c r="Q4" s="76" t="s">
        <v>64</v>
      </c>
      <c r="R4" s="76" t="s">
        <v>46</v>
      </c>
      <c r="S4" s="78" t="s">
        <v>16</v>
      </c>
      <c r="T4" s="80" t="s">
        <v>9</v>
      </c>
    </row>
    <row r="5" spans="1:22" s="1" customFormat="1" ht="56.25" x14ac:dyDescent="0.3">
      <c r="A5" s="84"/>
      <c r="B5" s="73"/>
      <c r="C5" s="30" t="s">
        <v>4</v>
      </c>
      <c r="D5" s="30" t="s">
        <v>54</v>
      </c>
      <c r="E5" s="25" t="s">
        <v>56</v>
      </c>
      <c r="F5" s="30" t="s">
        <v>52</v>
      </c>
      <c r="G5" s="26" t="s">
        <v>44</v>
      </c>
      <c r="H5" s="27" t="s">
        <v>12</v>
      </c>
      <c r="I5" s="25" t="s">
        <v>5</v>
      </c>
      <c r="J5" s="25" t="s">
        <v>13</v>
      </c>
      <c r="K5" s="28" t="s">
        <v>14</v>
      </c>
      <c r="L5" s="28" t="s">
        <v>66</v>
      </c>
      <c r="M5" s="29" t="s">
        <v>19</v>
      </c>
      <c r="N5" s="77"/>
      <c r="O5" s="77"/>
      <c r="P5" s="77"/>
      <c r="Q5" s="77"/>
      <c r="R5" s="77"/>
      <c r="S5" s="79"/>
      <c r="T5" s="81"/>
    </row>
    <row r="6" spans="1:22" s="46" customFormat="1" x14ac:dyDescent="0.25">
      <c r="A6" s="48">
        <v>2008</v>
      </c>
      <c r="B6" s="40">
        <v>334489.89999999997</v>
      </c>
      <c r="C6" s="41">
        <v>32841.300000000003</v>
      </c>
      <c r="D6" s="40">
        <v>2975.6</v>
      </c>
      <c r="E6" s="40">
        <v>9561.7000000000007</v>
      </c>
      <c r="F6" s="42">
        <v>0</v>
      </c>
      <c r="G6" s="40">
        <v>71410</v>
      </c>
      <c r="H6" s="43" t="s">
        <v>1</v>
      </c>
      <c r="I6" s="40">
        <v>54010.3</v>
      </c>
      <c r="J6" s="43" t="s">
        <v>1</v>
      </c>
      <c r="K6" s="43" t="s">
        <v>1</v>
      </c>
      <c r="L6" s="43"/>
      <c r="M6" s="44">
        <f>SUM(C6:L6)</f>
        <v>170798.90000000002</v>
      </c>
      <c r="N6" s="45" t="s">
        <v>1</v>
      </c>
      <c r="O6" s="45" t="s">
        <v>1</v>
      </c>
      <c r="P6" s="40">
        <v>25</v>
      </c>
      <c r="Q6" s="40"/>
      <c r="R6" s="40">
        <v>5317</v>
      </c>
      <c r="S6" s="40">
        <v>2979.6000000000931</v>
      </c>
      <c r="T6" s="44">
        <f t="shared" ref="T6:T18" si="0">SUM(B6,M6:S6)</f>
        <v>513610.40000000008</v>
      </c>
    </row>
    <row r="7" spans="1:22" s="46" customFormat="1" x14ac:dyDescent="0.25">
      <c r="A7" s="48">
        <v>2009</v>
      </c>
      <c r="B7" s="44">
        <v>400951.3</v>
      </c>
      <c r="C7" s="44">
        <v>95224</v>
      </c>
      <c r="D7" s="44">
        <v>2816.6</v>
      </c>
      <c r="E7" s="44">
        <v>4651.7</v>
      </c>
      <c r="F7" s="47">
        <v>0</v>
      </c>
      <c r="G7" s="44">
        <v>65897.399999999994</v>
      </c>
      <c r="H7" s="44">
        <v>34711.799999999996</v>
      </c>
      <c r="I7" s="44">
        <v>47032.6</v>
      </c>
      <c r="J7" s="41" t="s">
        <v>1</v>
      </c>
      <c r="K7" s="41" t="s">
        <v>1</v>
      </c>
      <c r="L7" s="41"/>
      <c r="M7" s="44">
        <f t="shared" ref="M7:M17" si="1">SUM(C7:L7)</f>
        <v>250334.1</v>
      </c>
      <c r="N7" s="41" t="s">
        <v>1</v>
      </c>
      <c r="O7" s="41" t="s">
        <v>1</v>
      </c>
      <c r="P7" s="44">
        <v>20</v>
      </c>
      <c r="Q7" s="44"/>
      <c r="R7" s="44">
        <v>5750.7</v>
      </c>
      <c r="S7" s="44">
        <v>2918.8000000000347</v>
      </c>
      <c r="T7" s="44">
        <f t="shared" si="0"/>
        <v>659974.9</v>
      </c>
    </row>
    <row r="8" spans="1:22" s="46" customFormat="1" x14ac:dyDescent="0.25">
      <c r="A8" s="48">
        <v>2010</v>
      </c>
      <c r="B8" s="44">
        <v>418272.20000000007</v>
      </c>
      <c r="C8" s="41">
        <v>19134.2</v>
      </c>
      <c r="D8" s="41" t="s">
        <v>1</v>
      </c>
      <c r="E8" s="41" t="s">
        <v>1</v>
      </c>
      <c r="F8" s="47"/>
      <c r="G8" s="41" t="s">
        <v>1</v>
      </c>
      <c r="H8" s="41" t="s">
        <v>1</v>
      </c>
      <c r="I8" s="41" t="s">
        <v>1</v>
      </c>
      <c r="J8" s="44">
        <v>88925</v>
      </c>
      <c r="K8" s="44">
        <v>145130.9</v>
      </c>
      <c r="L8" s="44"/>
      <c r="M8" s="44">
        <f t="shared" si="1"/>
        <v>253190.09999999998</v>
      </c>
      <c r="N8" s="41" t="s">
        <v>1</v>
      </c>
      <c r="O8" s="41" t="s">
        <v>1</v>
      </c>
      <c r="P8" s="44">
        <v>20</v>
      </c>
      <c r="Q8" s="44"/>
      <c r="R8" s="44">
        <v>5970.5999999999995</v>
      </c>
      <c r="S8" s="44">
        <v>2976.0999999999185</v>
      </c>
      <c r="T8" s="44">
        <f t="shared" si="0"/>
        <v>680429</v>
      </c>
    </row>
    <row r="9" spans="1:22" s="46" customFormat="1" x14ac:dyDescent="0.25">
      <c r="A9" s="48">
        <v>2011</v>
      </c>
      <c r="B9" s="44">
        <v>412743.80000000005</v>
      </c>
      <c r="C9" s="41">
        <v>86260.6</v>
      </c>
      <c r="D9" s="41" t="s">
        <v>1</v>
      </c>
      <c r="E9" s="41" t="s">
        <v>1</v>
      </c>
      <c r="F9" s="47"/>
      <c r="G9" s="41" t="s">
        <v>1</v>
      </c>
      <c r="H9" s="41" t="s">
        <v>1</v>
      </c>
      <c r="I9" s="41" t="s">
        <v>1</v>
      </c>
      <c r="J9" s="44">
        <v>94325</v>
      </c>
      <c r="K9" s="44">
        <v>141433.29999999999</v>
      </c>
      <c r="L9" s="44"/>
      <c r="M9" s="44">
        <f t="shared" si="1"/>
        <v>322018.90000000002</v>
      </c>
      <c r="N9" s="41">
        <v>25301.3</v>
      </c>
      <c r="O9" s="41"/>
      <c r="P9" s="44">
        <v>20</v>
      </c>
      <c r="Q9" s="44"/>
      <c r="R9" s="44">
        <v>7467.3999999999987</v>
      </c>
      <c r="S9" s="44">
        <v>4483.1999999999771</v>
      </c>
      <c r="T9" s="44">
        <f t="shared" si="0"/>
        <v>772034.60000000009</v>
      </c>
    </row>
    <row r="10" spans="1:22" s="46" customFormat="1" x14ac:dyDescent="0.25">
      <c r="A10" s="48">
        <v>2012</v>
      </c>
      <c r="B10" s="44">
        <v>485025.5</v>
      </c>
      <c r="C10" s="41" t="s">
        <v>1</v>
      </c>
      <c r="D10" s="41" t="s">
        <v>1</v>
      </c>
      <c r="E10" s="41" t="s">
        <v>1</v>
      </c>
      <c r="F10" s="47"/>
      <c r="G10" s="41" t="s">
        <v>1</v>
      </c>
      <c r="H10" s="41" t="s">
        <v>1</v>
      </c>
      <c r="I10" s="41" t="s">
        <v>1</v>
      </c>
      <c r="J10" s="44">
        <v>117037.4</v>
      </c>
      <c r="K10" s="44">
        <v>292987.59999999998</v>
      </c>
      <c r="L10" s="44"/>
      <c r="M10" s="44">
        <f t="shared" si="1"/>
        <v>410025</v>
      </c>
      <c r="N10" s="41" t="s">
        <v>1</v>
      </c>
      <c r="O10" s="41"/>
      <c r="P10" s="44">
        <v>20</v>
      </c>
      <c r="Q10" s="44"/>
      <c r="R10" s="44">
        <v>9039.4</v>
      </c>
      <c r="S10" s="44">
        <v>7843.899999999976</v>
      </c>
      <c r="T10" s="44">
        <f t="shared" si="0"/>
        <v>911953.8</v>
      </c>
    </row>
    <row r="11" spans="1:22" s="46" customFormat="1" x14ac:dyDescent="0.25">
      <c r="A11" s="48">
        <v>2013</v>
      </c>
      <c r="B11" s="44">
        <v>501323.49999999994</v>
      </c>
      <c r="C11" s="41" t="s">
        <v>1</v>
      </c>
      <c r="D11" s="41" t="s">
        <v>1</v>
      </c>
      <c r="E11" s="41" t="s">
        <v>1</v>
      </c>
      <c r="F11" s="47"/>
      <c r="G11" s="41" t="s">
        <v>1</v>
      </c>
      <c r="H11" s="41" t="s">
        <v>1</v>
      </c>
      <c r="I11" s="41" t="s">
        <v>1</v>
      </c>
      <c r="J11" s="44">
        <v>107284.3</v>
      </c>
      <c r="K11" s="44">
        <v>289290</v>
      </c>
      <c r="L11" s="44"/>
      <c r="M11" s="44">
        <f t="shared" si="1"/>
        <v>396574.3</v>
      </c>
      <c r="N11" s="41" t="s">
        <v>1</v>
      </c>
      <c r="O11" s="41"/>
      <c r="P11" s="44">
        <v>20</v>
      </c>
      <c r="Q11" s="44"/>
      <c r="R11" s="44">
        <v>11039.999999999998</v>
      </c>
      <c r="S11" s="44">
        <v>14789.2</v>
      </c>
      <c r="T11" s="44">
        <f t="shared" si="0"/>
        <v>923746.99999999988</v>
      </c>
    </row>
    <row r="12" spans="1:22" s="46" customFormat="1" x14ac:dyDescent="0.25">
      <c r="A12" s="48">
        <v>2014</v>
      </c>
      <c r="B12" s="44">
        <v>501214.7</v>
      </c>
      <c r="C12" s="41">
        <v>55186.9</v>
      </c>
      <c r="D12" s="41" t="s">
        <v>1</v>
      </c>
      <c r="E12" s="41" t="s">
        <v>1</v>
      </c>
      <c r="F12" s="47"/>
      <c r="G12" s="41" t="s">
        <v>1</v>
      </c>
      <c r="H12" s="41" t="s">
        <v>1</v>
      </c>
      <c r="I12" s="41" t="s">
        <v>1</v>
      </c>
      <c r="J12" s="44">
        <v>106976.2</v>
      </c>
      <c r="K12" s="44">
        <v>285900.5</v>
      </c>
      <c r="L12" s="44"/>
      <c r="M12" s="44">
        <f t="shared" si="1"/>
        <v>448063.6</v>
      </c>
      <c r="N12" s="41">
        <v>2000</v>
      </c>
      <c r="O12" s="41"/>
      <c r="P12" s="44">
        <v>20</v>
      </c>
      <c r="Q12" s="44"/>
      <c r="R12" s="44">
        <v>13012.499999999998</v>
      </c>
      <c r="S12" s="44">
        <v>64355.9</v>
      </c>
      <c r="T12" s="44">
        <f t="shared" si="0"/>
        <v>1028666.7000000001</v>
      </c>
    </row>
    <row r="13" spans="1:22" s="46" customFormat="1" x14ac:dyDescent="0.25">
      <c r="A13" s="48">
        <v>2015</v>
      </c>
      <c r="B13" s="44">
        <v>221829.6</v>
      </c>
      <c r="C13" s="41">
        <v>273246</v>
      </c>
      <c r="D13" s="41" t="s">
        <v>1</v>
      </c>
      <c r="E13" s="41" t="s">
        <v>1</v>
      </c>
      <c r="F13" s="47"/>
      <c r="G13" s="41" t="s">
        <v>1</v>
      </c>
      <c r="H13" s="41" t="s">
        <v>1</v>
      </c>
      <c r="I13" s="41" t="s">
        <v>1</v>
      </c>
      <c r="J13" s="44">
        <v>90564.7</v>
      </c>
      <c r="K13" s="44">
        <v>277913.90000000002</v>
      </c>
      <c r="L13" s="44"/>
      <c r="M13" s="44">
        <f t="shared" si="1"/>
        <v>641724.60000000009</v>
      </c>
      <c r="N13" s="41">
        <v>21800</v>
      </c>
      <c r="O13" s="41"/>
      <c r="P13" s="44">
        <v>20</v>
      </c>
      <c r="Q13" s="44"/>
      <c r="R13" s="44">
        <v>15870.099999999999</v>
      </c>
      <c r="S13" s="44">
        <v>69542.200000000012</v>
      </c>
      <c r="T13" s="44">
        <f t="shared" si="0"/>
        <v>970786.5</v>
      </c>
    </row>
    <row r="14" spans="1:22" s="46" customFormat="1" x14ac:dyDescent="0.25">
      <c r="A14" s="48">
        <v>2016</v>
      </c>
      <c r="B14" s="44">
        <v>166434.69999999998</v>
      </c>
      <c r="C14" s="41">
        <v>134973.1</v>
      </c>
      <c r="D14" s="41"/>
      <c r="E14" s="41"/>
      <c r="F14" s="47"/>
      <c r="G14" s="41"/>
      <c r="H14" s="41"/>
      <c r="I14" s="41"/>
      <c r="J14" s="44">
        <v>73845.100000000006</v>
      </c>
      <c r="K14" s="44">
        <v>543481.59999999998</v>
      </c>
      <c r="L14" s="44"/>
      <c r="M14" s="44">
        <f t="shared" si="1"/>
        <v>752299.8</v>
      </c>
      <c r="N14" s="41">
        <v>89000</v>
      </c>
      <c r="O14" s="41"/>
      <c r="P14" s="44">
        <v>20</v>
      </c>
      <c r="Q14" s="44"/>
      <c r="R14" s="44">
        <v>16702.099999999999</v>
      </c>
      <c r="S14" s="44">
        <v>82875.700000000012</v>
      </c>
      <c r="T14" s="44">
        <f t="shared" si="0"/>
        <v>1107332.3</v>
      </c>
    </row>
    <row r="15" spans="1:22" s="46" customFormat="1" x14ac:dyDescent="0.25">
      <c r="A15" s="48">
        <v>2017</v>
      </c>
      <c r="B15" s="44">
        <v>194000.2</v>
      </c>
      <c r="C15" s="41">
        <v>194279.4</v>
      </c>
      <c r="D15" s="41"/>
      <c r="E15" s="41"/>
      <c r="F15" s="47"/>
      <c r="G15" s="41"/>
      <c r="H15" s="41"/>
      <c r="I15" s="41"/>
      <c r="J15" s="44">
        <v>57125.4</v>
      </c>
      <c r="K15" s="44">
        <v>535803.19999999995</v>
      </c>
      <c r="L15" s="44"/>
      <c r="M15" s="44">
        <f t="shared" si="1"/>
        <v>787208</v>
      </c>
      <c r="N15" s="41">
        <v>159990</v>
      </c>
      <c r="O15" s="41"/>
      <c r="P15" s="44">
        <v>20</v>
      </c>
      <c r="Q15" s="44"/>
      <c r="R15" s="44">
        <v>23657.199999999997</v>
      </c>
      <c r="S15" s="44">
        <v>108892.20000000001</v>
      </c>
      <c r="T15" s="44">
        <f t="shared" si="0"/>
        <v>1273767.5999999999</v>
      </c>
    </row>
    <row r="16" spans="1:22" s="46" customFormat="1" x14ac:dyDescent="0.25">
      <c r="A16" s="48">
        <v>2018</v>
      </c>
      <c r="B16" s="44">
        <v>145607.1</v>
      </c>
      <c r="C16" s="41">
        <v>210409.1</v>
      </c>
      <c r="D16" s="41"/>
      <c r="E16" s="41"/>
      <c r="F16" s="47"/>
      <c r="G16" s="41"/>
      <c r="H16" s="41"/>
      <c r="I16" s="41"/>
      <c r="J16" s="44">
        <v>40405.800000000003</v>
      </c>
      <c r="K16" s="44">
        <v>521293.6</v>
      </c>
      <c r="L16" s="44"/>
      <c r="M16" s="44">
        <f t="shared" si="1"/>
        <v>772108.5</v>
      </c>
      <c r="N16" s="41">
        <v>248180</v>
      </c>
      <c r="O16" s="41"/>
      <c r="P16" s="44">
        <v>20</v>
      </c>
      <c r="Q16" s="44"/>
      <c r="R16" s="44">
        <f>887.8+24119+157.9</f>
        <v>25164.7</v>
      </c>
      <c r="S16" s="44">
        <f>160893.6-1198.4</f>
        <v>159695.20000000001</v>
      </c>
      <c r="T16" s="44">
        <f t="shared" si="0"/>
        <v>1350775.5</v>
      </c>
    </row>
    <row r="17" spans="1:20" s="46" customFormat="1" ht="16.5" customHeight="1" x14ac:dyDescent="0.25">
      <c r="A17" s="48">
        <v>2019</v>
      </c>
      <c r="B17" s="44">
        <v>241766.3</v>
      </c>
      <c r="C17" s="41">
        <v>0</v>
      </c>
      <c r="D17" s="41"/>
      <c r="E17" s="41"/>
      <c r="F17" s="47"/>
      <c r="G17" s="41"/>
      <c r="H17" s="41"/>
      <c r="I17" s="41"/>
      <c r="J17" s="44">
        <v>23686.2</v>
      </c>
      <c r="K17" s="44">
        <v>722793.2</v>
      </c>
      <c r="L17" s="44"/>
      <c r="M17" s="44">
        <f t="shared" si="1"/>
        <v>746479.39999999991</v>
      </c>
      <c r="N17" s="41">
        <v>422379.9</v>
      </c>
      <c r="O17" s="56"/>
      <c r="P17" s="44">
        <v>20</v>
      </c>
      <c r="Q17" s="44"/>
      <c r="R17" s="44">
        <f>24491.3+157.9+887.8</f>
        <v>25537</v>
      </c>
      <c r="S17" s="44">
        <f>199796.9-5935</f>
        <v>193861.9</v>
      </c>
      <c r="T17" s="44">
        <f t="shared" si="0"/>
        <v>1630044.5</v>
      </c>
    </row>
    <row r="18" spans="1:20" s="46" customFormat="1" ht="16.5" customHeight="1" x14ac:dyDescent="0.25">
      <c r="A18" s="48">
        <v>2020</v>
      </c>
      <c r="B18" s="44">
        <v>250872.7</v>
      </c>
      <c r="C18" s="41">
        <v>0</v>
      </c>
      <c r="D18" s="41"/>
      <c r="E18" s="41"/>
      <c r="F18" s="47"/>
      <c r="G18" s="41"/>
      <c r="H18" s="41"/>
      <c r="I18" s="41"/>
      <c r="J18" s="44">
        <v>6921.2</v>
      </c>
      <c r="K18" s="44">
        <v>708283.6</v>
      </c>
      <c r="L18" s="44">
        <f>27463+150000+2000</f>
        <v>179463</v>
      </c>
      <c r="M18" s="44">
        <f t="shared" ref="M18" si="2">SUM(C18:L18)</f>
        <v>894667.79999999993</v>
      </c>
      <c r="N18" s="41">
        <f>298901.2+4000</f>
        <v>302901.2</v>
      </c>
      <c r="O18" s="56"/>
      <c r="P18" s="44">
        <v>20</v>
      </c>
      <c r="Q18" s="44"/>
      <c r="R18" s="44">
        <f>28597.2+157.9</f>
        <v>28755.100000000002</v>
      </c>
      <c r="S18" s="44">
        <f>213092.6-4763.1+887.8</f>
        <v>209217.3</v>
      </c>
      <c r="T18" s="44">
        <f t="shared" si="0"/>
        <v>1686434.1</v>
      </c>
    </row>
    <row r="19" spans="1:20" x14ac:dyDescent="0.25">
      <c r="A19" s="48">
        <v>2021</v>
      </c>
      <c r="B19" s="44">
        <v>593226.4</v>
      </c>
      <c r="C19" s="41">
        <v>36124.9</v>
      </c>
      <c r="D19" s="41"/>
      <c r="E19" s="41"/>
      <c r="F19" s="47"/>
      <c r="G19" s="41"/>
      <c r="H19" s="41"/>
      <c r="I19" s="41"/>
      <c r="J19" s="44">
        <v>0</v>
      </c>
      <c r="K19" s="44">
        <v>690961.7</v>
      </c>
      <c r="L19" s="44">
        <v>174442.5</v>
      </c>
      <c r="M19" s="44">
        <v>901529.1</v>
      </c>
      <c r="N19" s="41">
        <v>530461.70000000007</v>
      </c>
      <c r="O19" s="56"/>
      <c r="P19" s="44">
        <v>20</v>
      </c>
      <c r="Q19" s="44"/>
      <c r="R19" s="44">
        <v>30087.600000000002</v>
      </c>
      <c r="S19" s="44">
        <v>295416.59999999998</v>
      </c>
      <c r="T19" s="44">
        <v>2350741.4000000004</v>
      </c>
    </row>
    <row r="20" spans="1:20" x14ac:dyDescent="0.25">
      <c r="A20" s="48" t="s">
        <v>101</v>
      </c>
      <c r="B20" s="44">
        <v>427908.5</v>
      </c>
      <c r="C20" s="41">
        <v>3346.5</v>
      </c>
      <c r="D20" s="41"/>
      <c r="E20" s="41"/>
      <c r="F20" s="47"/>
      <c r="G20" s="41"/>
      <c r="H20" s="41"/>
      <c r="I20" s="41"/>
      <c r="J20" s="44">
        <v>0</v>
      </c>
      <c r="K20" s="44">
        <v>941229</v>
      </c>
      <c r="L20" s="44">
        <v>786641.5</v>
      </c>
      <c r="M20" s="44">
        <v>1731217</v>
      </c>
      <c r="N20" s="41">
        <v>556219.9</v>
      </c>
      <c r="O20" s="56"/>
      <c r="P20" s="44">
        <v>20</v>
      </c>
      <c r="Q20" s="44"/>
      <c r="R20" s="44">
        <v>47508.5</v>
      </c>
      <c r="S20" s="44">
        <v>200397.9</v>
      </c>
      <c r="T20" s="44">
        <v>2963271.8</v>
      </c>
    </row>
    <row r="21" spans="1:20" s="59" customFormat="1" x14ac:dyDescent="0.25">
      <c r="A21" s="48" t="s">
        <v>102</v>
      </c>
      <c r="B21" s="44">
        <v>322390.49999999994</v>
      </c>
      <c r="C21" s="41">
        <v>45365.4</v>
      </c>
      <c r="D21" s="41"/>
      <c r="E21" s="41"/>
      <c r="F21" s="47"/>
      <c r="G21" s="41"/>
      <c r="H21" s="41"/>
      <c r="I21" s="41"/>
      <c r="J21" s="44">
        <v>0</v>
      </c>
      <c r="K21" s="44">
        <v>1238638.2000000002</v>
      </c>
      <c r="L21" s="44">
        <v>666647.89999999991</v>
      </c>
      <c r="M21" s="44">
        <v>1950651.5</v>
      </c>
      <c r="N21" s="41">
        <v>603094.4</v>
      </c>
      <c r="O21" s="56"/>
      <c r="P21" s="44">
        <v>20</v>
      </c>
      <c r="Q21" s="44"/>
      <c r="R21" s="44">
        <v>61092</v>
      </c>
      <c r="S21" s="44">
        <v>250289.60893087738</v>
      </c>
      <c r="T21" s="44">
        <v>3187538.0089308773</v>
      </c>
    </row>
    <row r="22" spans="1:20" s="59" customFormat="1" x14ac:dyDescent="0.25">
      <c r="A22" s="48" t="s">
        <v>67</v>
      </c>
      <c r="B22" s="44">
        <v>568462.90000000014</v>
      </c>
      <c r="C22" s="41">
        <v>751335.6</v>
      </c>
      <c r="D22" s="41"/>
      <c r="E22" s="41"/>
      <c r="F22" s="47"/>
      <c r="G22" s="41"/>
      <c r="H22" s="41"/>
      <c r="I22" s="41"/>
      <c r="J22" s="44">
        <v>0</v>
      </c>
      <c r="K22" s="44">
        <v>1371442.2</v>
      </c>
      <c r="L22" s="44">
        <v>723475.2</v>
      </c>
      <c r="M22" s="44">
        <v>2846253</v>
      </c>
      <c r="N22" s="41">
        <v>510877</v>
      </c>
      <c r="O22" s="56"/>
      <c r="P22" s="44">
        <v>20</v>
      </c>
      <c r="Q22" s="44"/>
      <c r="R22" s="44">
        <v>96485.099999999991</v>
      </c>
      <c r="S22" s="44">
        <v>347216.89999999997</v>
      </c>
      <c r="T22" s="44">
        <v>4369314.9000000004</v>
      </c>
    </row>
    <row r="23" spans="1:20" s="59" customFormat="1" x14ac:dyDescent="0.25">
      <c r="A23" s="48" t="s">
        <v>112</v>
      </c>
      <c r="B23" s="44">
        <v>643872.80000000005</v>
      </c>
      <c r="C23" s="41">
        <v>132386.20000000001</v>
      </c>
      <c r="D23" s="41">
        <v>0</v>
      </c>
      <c r="E23" s="41">
        <v>0</v>
      </c>
      <c r="F23" s="41"/>
      <c r="G23" s="41">
        <v>0</v>
      </c>
      <c r="H23" s="41">
        <v>0</v>
      </c>
      <c r="I23" s="41">
        <v>0</v>
      </c>
      <c r="J23" s="44">
        <v>0</v>
      </c>
      <c r="K23" s="44">
        <v>2362001.5</v>
      </c>
      <c r="L23" s="44">
        <v>434813</v>
      </c>
      <c r="M23" s="44">
        <f t="shared" ref="M23" si="3">SUM(C23:L23)</f>
        <v>2929200.7</v>
      </c>
      <c r="N23" s="41">
        <v>409749.4</v>
      </c>
      <c r="O23" s="56"/>
      <c r="P23" s="44">
        <v>20</v>
      </c>
      <c r="Q23" s="44"/>
      <c r="R23" s="44">
        <v>116852.59999999999</v>
      </c>
      <c r="S23" s="44">
        <v>392450.4</v>
      </c>
      <c r="T23" s="44">
        <f t="shared" ref="T23" si="4">SUM(B23,M23:S23)</f>
        <v>4492145.9000000004</v>
      </c>
    </row>
    <row r="24" spans="1:20" x14ac:dyDescent="0.25">
      <c r="A24" s="24" t="s">
        <v>47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6"/>
    </row>
  </sheetData>
  <mergeCells count="11">
    <mergeCell ref="A2:T2"/>
    <mergeCell ref="C4:M4"/>
    <mergeCell ref="B4:B5"/>
    <mergeCell ref="A4:A5"/>
    <mergeCell ref="N4:N5"/>
    <mergeCell ref="O4:O5"/>
    <mergeCell ref="P4:P5"/>
    <mergeCell ref="R4:R5"/>
    <mergeCell ref="S4:S5"/>
    <mergeCell ref="T4:T5"/>
    <mergeCell ref="Q4:Q5"/>
  </mergeCells>
  <hyperlinks>
    <hyperlink ref="A1" location="'Table de Matière'!A1" display="Retour à la table de matière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 de 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Computel</dc:creator>
  <cp:lastModifiedBy>Yvette NDACAYISABA</cp:lastModifiedBy>
  <cp:lastPrinted>2016-11-30T12:34:28Z</cp:lastPrinted>
  <dcterms:created xsi:type="dcterms:W3CDTF">2000-07-11T13:49:14Z</dcterms:created>
  <dcterms:modified xsi:type="dcterms:W3CDTF">2026-04-03T08:44:15Z</dcterms:modified>
</cp:coreProperties>
</file>