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1381\Desktop\Tableaux site en français-JANVIER-2026\"/>
    </mc:Choice>
  </mc:AlternateContent>
  <bookViews>
    <workbookView xWindow="0" yWindow="0" windowWidth="24000" windowHeight="9135"/>
  </bookViews>
  <sheets>
    <sheet name="Table_de_Matière" sheetId="6" r:id="rId1"/>
    <sheet name="Mensuelle" sheetId="4" r:id="rId2"/>
    <sheet name="Trimestrielle" sheetId="5" r:id="rId3"/>
    <sheet name="Annuelle" sheetId="3" r:id="rId4"/>
  </sheet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S223" i="4" l="1"/>
  <c r="S224" i="4"/>
  <c r="S225" i="4"/>
  <c r="S222" i="4" l="1"/>
  <c r="S221" i="4"/>
  <c r="S220" i="4"/>
  <c r="S219" i="4"/>
  <c r="S218" i="4"/>
  <c r="S217" i="4"/>
  <c r="S216" i="4"/>
  <c r="S215" i="4"/>
  <c r="S214" i="4"/>
  <c r="S213" i="4"/>
  <c r="S212" i="4"/>
  <c r="S75" i="5" l="1"/>
  <c r="S59" i="5" l="1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211" i="4" l="1"/>
  <c r="S210" i="4" l="1"/>
  <c r="S209" i="4"/>
  <c r="S208" i="4"/>
  <c r="S207" i="4"/>
  <c r="S206" i="4"/>
  <c r="S205" i="4"/>
  <c r="S204" i="4"/>
  <c r="S203" i="4"/>
  <c r="S202" i="4"/>
  <c r="S201" i="4"/>
  <c r="S200" i="4"/>
  <c r="S181" i="4" l="1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170" i="4" l="1"/>
  <c r="S180" i="4"/>
  <c r="S179" i="4"/>
  <c r="S178" i="4"/>
  <c r="S177" i="4"/>
  <c r="S176" i="4"/>
  <c r="S175" i="4"/>
  <c r="S174" i="4"/>
  <c r="S173" i="4"/>
  <c r="S172" i="4"/>
  <c r="S171" i="4"/>
  <c r="S169" i="4"/>
  <c r="S168" i="4"/>
  <c r="S167" i="4"/>
  <c r="S166" i="4"/>
  <c r="S165" i="4"/>
  <c r="S164" i="4"/>
  <c r="R56" i="5" l="1"/>
  <c r="Q56" i="5"/>
  <c r="K56" i="5"/>
  <c r="E56" i="5"/>
  <c r="D56" i="5"/>
  <c r="B56" i="5"/>
  <c r="R154" i="4"/>
  <c r="Q154" i="4"/>
  <c r="K154" i="4"/>
  <c r="E154" i="4"/>
  <c r="D154" i="4"/>
  <c r="B154" i="4"/>
  <c r="S56" i="5" l="1"/>
  <c r="S154" i="4"/>
  <c r="R20" i="3" l="1"/>
  <c r="Q20" i="3"/>
  <c r="N20" i="3"/>
  <c r="M20" i="3"/>
  <c r="K20" i="3"/>
  <c r="I20" i="3"/>
  <c r="E20" i="3"/>
  <c r="D20" i="3"/>
  <c r="C20" i="3"/>
  <c r="B20" i="3"/>
  <c r="R59" i="5"/>
  <c r="Q59" i="5"/>
  <c r="N59" i="5"/>
  <c r="M59" i="5"/>
  <c r="K59" i="5"/>
  <c r="I59" i="5"/>
  <c r="E59" i="5"/>
  <c r="D59" i="5"/>
  <c r="C59" i="5"/>
  <c r="B59" i="5"/>
  <c r="R163" i="4"/>
  <c r="Q163" i="4"/>
  <c r="N163" i="4"/>
  <c r="M163" i="4"/>
  <c r="K163" i="4"/>
  <c r="I163" i="4"/>
  <c r="E163" i="4"/>
  <c r="D163" i="4"/>
  <c r="C163" i="4"/>
  <c r="B163" i="4"/>
  <c r="S20" i="3" l="1"/>
  <c r="S163" i="4"/>
  <c r="R162" i="4"/>
  <c r="Q162" i="4"/>
  <c r="N162" i="4"/>
  <c r="M162" i="4"/>
  <c r="K162" i="4"/>
  <c r="I162" i="4"/>
  <c r="E162" i="4"/>
  <c r="D162" i="4"/>
  <c r="C162" i="4"/>
  <c r="B162" i="4"/>
  <c r="R161" i="4"/>
  <c r="Q161" i="4"/>
  <c r="N161" i="4"/>
  <c r="M161" i="4"/>
  <c r="K161" i="4"/>
  <c r="I161" i="4"/>
  <c r="E161" i="4"/>
  <c r="D161" i="4"/>
  <c r="C161" i="4"/>
  <c r="B161" i="4"/>
  <c r="S161" i="4" l="1"/>
  <c r="S162" i="4"/>
  <c r="R58" i="5"/>
  <c r="Q58" i="5"/>
  <c r="N58" i="5"/>
  <c r="M58" i="5"/>
  <c r="K58" i="5"/>
  <c r="E58" i="5"/>
  <c r="D58" i="5"/>
  <c r="C58" i="5"/>
  <c r="B58" i="5"/>
  <c r="R160" i="4"/>
  <c r="Q160" i="4"/>
  <c r="N160" i="4"/>
  <c r="M160" i="4"/>
  <c r="K160" i="4"/>
  <c r="E160" i="4"/>
  <c r="D160" i="4"/>
  <c r="C160" i="4"/>
  <c r="B160" i="4"/>
  <c r="S160" i="4" l="1"/>
  <c r="S58" i="5"/>
  <c r="R159" i="4"/>
  <c r="Q159" i="4"/>
  <c r="K159" i="4"/>
  <c r="E159" i="4"/>
  <c r="D159" i="4"/>
  <c r="B159" i="4"/>
  <c r="S159" i="4" s="1"/>
  <c r="R158" i="4"/>
  <c r="Q158" i="4"/>
  <c r="K158" i="4"/>
  <c r="E158" i="4"/>
  <c r="D158" i="4"/>
  <c r="B158" i="4"/>
  <c r="S158" i="4" l="1"/>
  <c r="R57" i="5"/>
  <c r="Q57" i="5"/>
  <c r="K57" i="5"/>
  <c r="E57" i="5"/>
  <c r="D57" i="5"/>
  <c r="B57" i="5"/>
  <c r="R157" i="4"/>
  <c r="Q157" i="4"/>
  <c r="K157" i="4"/>
  <c r="E157" i="4"/>
  <c r="D157" i="4"/>
  <c r="B157" i="4"/>
  <c r="S57" i="5" l="1"/>
  <c r="S157" i="4"/>
  <c r="R156" i="4"/>
  <c r="Q156" i="4"/>
  <c r="K156" i="4"/>
  <c r="E156" i="4"/>
  <c r="D156" i="4"/>
  <c r="B156" i="4"/>
  <c r="S156" i="4" l="1"/>
  <c r="R155" i="4"/>
  <c r="Q155" i="4"/>
  <c r="K155" i="4"/>
  <c r="E155" i="4"/>
  <c r="D155" i="4"/>
  <c r="B155" i="4"/>
  <c r="S155" i="4" l="1"/>
  <c r="R19" i="3"/>
  <c r="Q19" i="3"/>
  <c r="E19" i="3"/>
  <c r="S19" i="3" s="1"/>
  <c r="R55" i="5"/>
  <c r="Q55" i="5"/>
  <c r="E55" i="5"/>
  <c r="R153" i="4"/>
  <c r="Q153" i="4"/>
  <c r="K153" i="4"/>
  <c r="E153" i="4"/>
  <c r="D153" i="4"/>
  <c r="B153" i="4"/>
  <c r="R152" i="4"/>
  <c r="Q152" i="4"/>
  <c r="E152" i="4"/>
  <c r="D152" i="4"/>
  <c r="B152" i="4"/>
  <c r="R151" i="4"/>
  <c r="Q151" i="4"/>
  <c r="E151" i="4"/>
  <c r="S55" i="5" l="1"/>
  <c r="S152" i="4"/>
  <c r="S153" i="4"/>
  <c r="S151" i="4"/>
  <c r="R150" i="4" l="1"/>
  <c r="Q150" i="4"/>
  <c r="K150" i="4"/>
  <c r="E150" i="4"/>
  <c r="D150" i="4"/>
  <c r="B150" i="4"/>
  <c r="S150" i="4" l="1"/>
  <c r="R149" i="4"/>
  <c r="Q149" i="4"/>
  <c r="K149" i="4"/>
  <c r="E149" i="4"/>
  <c r="D149" i="4"/>
  <c r="B149" i="4"/>
  <c r="S149" i="4" l="1"/>
  <c r="R54" i="5"/>
  <c r="Q54" i="5"/>
  <c r="K54" i="5"/>
  <c r="E54" i="5"/>
  <c r="D54" i="5"/>
  <c r="B54" i="5"/>
  <c r="R148" i="4"/>
  <c r="Q148" i="4"/>
  <c r="K148" i="4"/>
  <c r="E148" i="4"/>
  <c r="D148" i="4"/>
  <c r="B148" i="4"/>
  <c r="S54" i="5" l="1"/>
  <c r="S148" i="4"/>
  <c r="R147" i="4"/>
  <c r="Q147" i="4"/>
  <c r="K147" i="4"/>
  <c r="E147" i="4"/>
  <c r="D147" i="4"/>
  <c r="B147" i="4"/>
  <c r="S147" i="4" l="1"/>
  <c r="K146" i="4"/>
  <c r="E146" i="4"/>
  <c r="D146" i="4"/>
  <c r="B146" i="4"/>
  <c r="S146" i="4" l="1"/>
  <c r="R53" i="5"/>
  <c r="Q53" i="5"/>
  <c r="K53" i="5"/>
  <c r="E53" i="5"/>
  <c r="D53" i="5"/>
  <c r="B53" i="5"/>
  <c r="S53" i="5" l="1"/>
  <c r="R145" i="4"/>
  <c r="Q145" i="4"/>
  <c r="K145" i="4"/>
  <c r="E145" i="4"/>
  <c r="D145" i="4"/>
  <c r="B145" i="4"/>
  <c r="S145" i="4" l="1"/>
  <c r="R144" i="4"/>
  <c r="Q144" i="4"/>
  <c r="K144" i="4"/>
  <c r="E144" i="4"/>
  <c r="D144" i="4"/>
  <c r="B144" i="4"/>
  <c r="S144" i="4" l="1"/>
  <c r="R143" i="4"/>
  <c r="Q143" i="4"/>
  <c r="K143" i="4"/>
  <c r="E143" i="4"/>
  <c r="D143" i="4"/>
  <c r="B143" i="4"/>
  <c r="S143" i="4" l="1"/>
  <c r="S18" i="3"/>
  <c r="R52" i="5"/>
  <c r="M52" i="5"/>
  <c r="K52" i="5"/>
  <c r="E52" i="5"/>
  <c r="D52" i="5"/>
  <c r="B52" i="5"/>
  <c r="S51" i="5"/>
  <c r="R142" i="4"/>
  <c r="M142" i="4"/>
  <c r="K142" i="4"/>
  <c r="E142" i="4"/>
  <c r="D142" i="4"/>
  <c r="B142" i="4"/>
  <c r="Q141" i="4"/>
  <c r="E141" i="4"/>
  <c r="Q140" i="4"/>
  <c r="E140" i="4"/>
  <c r="S139" i="4"/>
  <c r="S140" i="4" l="1"/>
  <c r="S142" i="4"/>
  <c r="S141" i="4"/>
  <c r="S52" i="5"/>
  <c r="E138" i="4" l="1"/>
  <c r="S138" i="4" s="1"/>
  <c r="S17" i="3" l="1"/>
  <c r="S16" i="3"/>
  <c r="S15" i="3"/>
  <c r="S14" i="3"/>
  <c r="S13" i="3"/>
  <c r="S12" i="3"/>
  <c r="S11" i="3"/>
  <c r="S10" i="3"/>
  <c r="S9" i="3"/>
  <c r="S8" i="3"/>
  <c r="S50" i="5" l="1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43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8" i="4"/>
</calcChain>
</file>

<file path=xl/sharedStrings.xml><?xml version="1.0" encoding="utf-8"?>
<sst xmlns="http://schemas.openxmlformats.org/spreadsheetml/2006/main" count="199" uniqueCount="52">
  <si>
    <t xml:space="preserve"> </t>
  </si>
  <si>
    <t xml:space="preserve">   II.3.2</t>
  </si>
  <si>
    <t>-</t>
  </si>
  <si>
    <t>Source : Compilé sur base des données des banques commerciales</t>
  </si>
  <si>
    <t>Dépôts à vue</t>
  </si>
  <si>
    <t>Dépôts à terme et d'épargne</t>
  </si>
  <si>
    <t xml:space="preserve"> Dépôts    en devises des résidents </t>
  </si>
  <si>
    <t>Dépôts à  vue des   établissements  financiers</t>
  </si>
  <si>
    <t>Dépôts à  terme des   établissements  financiers</t>
  </si>
  <si>
    <t xml:space="preserve"> Engagements   envers  la Banque   centrale    </t>
  </si>
  <si>
    <t xml:space="preserve">Dépôts de l'Administration Centrale  </t>
  </si>
  <si>
    <t xml:space="preserve">Dépôts de l'Administration centrale  en devises </t>
  </si>
  <si>
    <t xml:space="preserve">Résultat    </t>
  </si>
  <si>
    <t>Solde net des transactions inter-bancaires</t>
  </si>
  <si>
    <t>Autres passifs</t>
  </si>
  <si>
    <t>TOTAL PASSIF</t>
  </si>
  <si>
    <t>SITUATION AGREGEE DES BANQUES COMMERCIALES (en millions BIF)</t>
  </si>
  <si>
    <t>Retour à la Table de Matière</t>
  </si>
  <si>
    <t>Table de Matière</t>
  </si>
  <si>
    <t>Cliquez dans cette feuille pour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</si>
  <si>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</si>
  <si>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</si>
  <si>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</si>
  <si>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</si>
  <si>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</si>
  <si>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</si>
  <si>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</si>
  <si>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</si>
  <si>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</si>
  <si>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</si>
  <si>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http://www.brb.bi/fr/content/monnaie-et-cr%C3%A9dit</t>
  </si>
  <si>
    <t>Passif banques Commerciales données mensuelles</t>
  </si>
  <si>
    <t>Passif banques Commerciales données trimestrielles</t>
  </si>
  <si>
    <t>Passif banques Commerciales données annuelles</t>
  </si>
  <si>
    <t>Passif Banques Commerciales.xls</t>
  </si>
  <si>
    <t>Passif Banques Commerciales</t>
  </si>
  <si>
    <t>Dépôts à Vue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</si>
  <si>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</si>
  <si>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</si>
  <si>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</si>
  <si>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</si>
  <si>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 xml:space="preserve"> Dépôts en devises des résidents </t>
  </si>
  <si>
    <t xml:space="preserve">   Engagements extérieurs   </t>
  </si>
  <si>
    <t xml:space="preserve">  Comptes de capital  </t>
  </si>
  <si>
    <t>Les données les plus récentes</t>
  </si>
  <si>
    <t xml:space="preserve"> Dépôts d'agences gouvernementales  </t>
  </si>
  <si>
    <t>Passif  des banques commerciales renseigne sur la situation passive  consolidée des banques commerciales</t>
  </si>
  <si>
    <t>Dépôts des Etablissememnts de Microfinances</t>
  </si>
  <si>
    <t xml:space="preserve"> Dépôts en devises </t>
  </si>
  <si>
    <t>Période         Rubliques</t>
  </si>
  <si>
    <t>Q4-2025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</si>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</sst>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\ _F_-;\-* #,##0.00\ _F_-;_-* &quot;-&quot;??\ _F_-;_-@_-"/>
    <numFmt numFmtId="165" formatCode="#,##0.0_);\(#,##0.0\)"/>
    <numFmt numFmtId="166" formatCode="_-* #,##0.0\ _F_-;\-* #,##0.0\ _F_-;_-* &quot;-&quot;??\ _F_-;_-@_-"/>
    <numFmt numFmtId="167" formatCode="#,##0.0"/>
    <numFmt numFmtId="168" formatCode="[$-40C]mmmm\-yy;@"/>
    <numFmt numFmtId="169" formatCode="[$-409]dd\-mmm\-yy;@"/>
    <numFmt numFmtId="170" formatCode="[$-409]mmm\-yy;@"/>
  </numFmts>
  <fonts count="19" x14ac:knownFonts="1">
    <font>
      <sz val="12"/>
      <name val="Helv"/>
    </font>
    <font>
      <sz val="11"/>
      <name val="Courier New"/>
      <family val="3"/>
    </font>
    <font>
      <b/>
      <sz val="12"/>
      <name val="Helv"/>
    </font>
    <font>
      <b/>
      <sz val="14"/>
      <color rgb="FF002060"/>
      <name val="Garamond"/>
      <family val="1"/>
    </font>
    <font>
      <sz val="12"/>
      <color theme="1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u/>
      <sz val="11"/>
      <color theme="10"/>
      <name val="Calibri"/>
      <family val="2"/>
    </font>
    <font>
      <u/>
      <sz val="11"/>
      <color rgb="FF7030A0"/>
      <name val="Calibri"/>
      <family val="2"/>
    </font>
    <font>
      <sz val="12"/>
      <color rgb="FF0070C0"/>
      <name val="Garamond"/>
      <family val="1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76">
    <xf numFmtId="165" fontId="0" fillId="0" borderId="0" xfId="0"/>
    <xf numFmtId="165" fontId="0" fillId="0" borderId="1" xfId="0" applyFont="1" applyBorder="1"/>
    <xf numFmtId="167" fontId="0" fillId="0" borderId="0" xfId="0" applyNumberFormat="1" applyFont="1" applyFill="1" applyBorder="1"/>
    <xf numFmtId="165" fontId="0" fillId="0" borderId="2" xfId="0" applyFont="1" applyFill="1" applyBorder="1"/>
    <xf numFmtId="165" fontId="2" fillId="0" borderId="0" xfId="0" applyNumberFormat="1" applyFont="1" applyBorder="1" applyAlignment="1" applyProtection="1">
      <alignment horizontal="center"/>
    </xf>
    <xf numFmtId="165" fontId="0" fillId="0" borderId="0" xfId="0" applyNumberFormat="1" applyFont="1" applyBorder="1" applyAlignment="1" applyProtection="1">
      <alignment horizontal="left"/>
    </xf>
    <xf numFmtId="165" fontId="0" fillId="0" borderId="0" xfId="0" applyNumberFormat="1" applyFont="1" applyFill="1" applyBorder="1" applyAlignment="1" applyProtection="1">
      <alignment horizontal="left"/>
    </xf>
    <xf numFmtId="165" fontId="2" fillId="0" borderId="2" xfId="0" applyNumberFormat="1" applyFont="1" applyFill="1" applyBorder="1" applyAlignment="1" applyProtection="1">
      <alignment horizontal="left"/>
    </xf>
    <xf numFmtId="165" fontId="0" fillId="0" borderId="0" xfId="0" applyFont="1" applyBorder="1"/>
    <xf numFmtId="165" fontId="0" fillId="0" borderId="0" xfId="0" applyFont="1" applyFill="1" applyBorder="1"/>
    <xf numFmtId="165" fontId="0" fillId="0" borderId="0" xfId="0"/>
    <xf numFmtId="165" fontId="11" fillId="0" borderId="0" xfId="0" applyFont="1" applyBorder="1" applyAlignment="1">
      <alignment horizontal="center"/>
    </xf>
    <xf numFmtId="165" fontId="3" fillId="0" borderId="0" xfId="0" applyFont="1" applyBorder="1"/>
    <xf numFmtId="165" fontId="4" fillId="0" borderId="0" xfId="0" applyFont="1" applyBorder="1"/>
    <xf numFmtId="165" fontId="5" fillId="0" borderId="0" xfId="0" applyFont="1" applyBorder="1"/>
    <xf numFmtId="165" fontId="6" fillId="3" borderId="0" xfId="0" applyFont="1" applyFill="1" applyBorder="1"/>
    <xf numFmtId="0" fontId="8" fillId="4" borderId="0" xfId="2" applyFont="1" applyFill="1" applyBorder="1" applyAlignment="1" applyProtection="1"/>
    <xf numFmtId="165" fontId="4" fillId="4" borderId="0" xfId="0" applyFont="1" applyFill="1" applyBorder="1"/>
    <xf numFmtId="165" fontId="9" fillId="4" borderId="0" xfId="0" applyFont="1" applyFill="1" applyBorder="1"/>
    <xf numFmtId="169" fontId="4" fillId="0" borderId="0" xfId="0" applyNumberFormat="1" applyFont="1" applyBorder="1" applyAlignment="1">
      <alignment horizontal="left"/>
    </xf>
    <xf numFmtId="0" fontId="7" fillId="0" borderId="0" xfId="2" applyBorder="1" applyAlignment="1" applyProtection="1"/>
    <xf numFmtId="165" fontId="4" fillId="0" borderId="0" xfId="0" applyFont="1"/>
    <xf numFmtId="165" fontId="12" fillId="0" borderId="0" xfId="0" applyFont="1" applyAlignment="1">
      <alignment horizontal="justify" vertical="center"/>
    </xf>
    <xf numFmtId="165" fontId="11" fillId="0" borderId="0" xfId="0" applyFont="1"/>
    <xf numFmtId="168" fontId="11" fillId="2" borderId="6" xfId="0" quotePrefix="1" applyNumberFormat="1" applyFont="1" applyFill="1" applyBorder="1" applyAlignment="1">
      <alignment horizontal="left"/>
    </xf>
    <xf numFmtId="165" fontId="11" fillId="0" borderId="6" xfId="0" applyNumberFormat="1" applyFont="1" applyBorder="1" applyAlignment="1" applyProtection="1">
      <alignment horizontal="right"/>
    </xf>
    <xf numFmtId="165" fontId="11" fillId="0" borderId="6" xfId="0" quotePrefix="1" applyNumberFormat="1" applyFont="1" applyBorder="1" applyAlignment="1" applyProtection="1">
      <alignment horizontal="right"/>
    </xf>
    <xf numFmtId="165" fontId="11" fillId="0" borderId="6" xfId="0" applyNumberFormat="1" applyFont="1" applyFill="1" applyBorder="1" applyAlignment="1" applyProtection="1">
      <alignment horizontal="right"/>
    </xf>
    <xf numFmtId="166" fontId="11" fillId="0" borderId="6" xfId="1" applyNumberFormat="1" applyFont="1" applyFill="1" applyBorder="1" applyAlignment="1" applyProtection="1">
      <alignment horizontal="right"/>
    </xf>
    <xf numFmtId="167" fontId="11" fillId="0" borderId="6" xfId="0" applyNumberFormat="1" applyFont="1" applyFill="1" applyBorder="1" applyAlignment="1" applyProtection="1">
      <alignment horizontal="right"/>
    </xf>
    <xf numFmtId="165" fontId="11" fillId="2" borderId="6" xfId="0" applyNumberFormat="1" applyFont="1" applyFill="1" applyBorder="1" applyAlignment="1" applyProtection="1">
      <alignment horizontal="right"/>
    </xf>
    <xf numFmtId="165" fontId="11" fillId="0" borderId="6" xfId="0" applyFont="1" applyBorder="1"/>
    <xf numFmtId="165" fontId="11" fillId="0" borderId="6" xfId="0" applyFont="1" applyFill="1" applyBorder="1"/>
    <xf numFmtId="167" fontId="11" fillId="0" borderId="6" xfId="0" applyNumberFormat="1" applyFont="1" applyFill="1" applyBorder="1"/>
    <xf numFmtId="165" fontId="11" fillId="2" borderId="6" xfId="0" applyFont="1" applyFill="1" applyBorder="1"/>
    <xf numFmtId="165" fontId="11" fillId="0" borderId="0" xfId="0" applyFont="1" applyFill="1"/>
    <xf numFmtId="167" fontId="11" fillId="0" borderId="0" xfId="0" applyNumberFormat="1" applyFont="1" applyFill="1"/>
    <xf numFmtId="165" fontId="16" fillId="0" borderId="0" xfId="0" applyFont="1"/>
    <xf numFmtId="168" fontId="11" fillId="2" borderId="7" xfId="0" quotePrefix="1" applyNumberFormat="1" applyFont="1" applyFill="1" applyBorder="1" applyAlignment="1">
      <alignment horizontal="left"/>
    </xf>
    <xf numFmtId="165" fontId="11" fillId="0" borderId="7" xfId="0" applyFont="1" applyBorder="1"/>
    <xf numFmtId="165" fontId="11" fillId="2" borderId="7" xfId="0" applyFont="1" applyFill="1" applyBorder="1"/>
    <xf numFmtId="165" fontId="11" fillId="0" borderId="7" xfId="0" applyNumberFormat="1" applyFont="1" applyBorder="1" applyAlignment="1" applyProtection="1">
      <alignment horizontal="right"/>
    </xf>
    <xf numFmtId="165" fontId="11" fillId="0" borderId="7" xfId="0" applyNumberFormat="1" applyFont="1" applyFill="1" applyBorder="1" applyAlignment="1" applyProtection="1">
      <alignment horizontal="right"/>
    </xf>
    <xf numFmtId="166" fontId="11" fillId="0" borderId="7" xfId="1" applyNumberFormat="1" applyFont="1" applyFill="1" applyBorder="1" applyAlignment="1" applyProtection="1">
      <alignment horizontal="right"/>
    </xf>
    <xf numFmtId="167" fontId="11" fillId="0" borderId="7" xfId="0" applyNumberFormat="1" applyFont="1" applyFill="1" applyBorder="1"/>
    <xf numFmtId="165" fontId="14" fillId="0" borderId="3" xfId="0" applyFont="1" applyBorder="1"/>
    <xf numFmtId="165" fontId="16" fillId="0" borderId="4" xfId="0" applyFont="1" applyBorder="1"/>
    <xf numFmtId="165" fontId="16" fillId="0" borderId="5" xfId="0" applyFont="1" applyBorder="1"/>
    <xf numFmtId="165" fontId="14" fillId="5" borderId="6" xfId="0" applyNumberFormat="1" applyFont="1" applyFill="1" applyBorder="1" applyAlignment="1" applyProtection="1">
      <alignment horizontal="center" vertical="center" wrapText="1"/>
    </xf>
    <xf numFmtId="165" fontId="16" fillId="0" borderId="0" xfId="0" applyFont="1" applyBorder="1"/>
    <xf numFmtId="165" fontId="6" fillId="3" borderId="8" xfId="0" applyFont="1" applyFill="1" applyBorder="1"/>
    <xf numFmtId="170" fontId="4" fillId="4" borderId="0" xfId="0" applyNumberFormat="1" applyFont="1" applyFill="1" applyAlignment="1">
      <alignment horizontal="right"/>
    </xf>
    <xf numFmtId="49" fontId="4" fillId="4" borderId="0" xfId="0" quotePrefix="1" applyNumberFormat="1" applyFont="1" applyFill="1" applyAlignment="1">
      <alignment horizontal="right"/>
    </xf>
    <xf numFmtId="49" fontId="4" fillId="4" borderId="0" xfId="0" applyNumberFormat="1" applyFont="1" applyFill="1" applyAlignment="1">
      <alignment horizontal="right"/>
    </xf>
    <xf numFmtId="165" fontId="17" fillId="0" borderId="0" xfId="2" applyNumberFormat="1" applyFont="1" applyAlignment="1" applyProtection="1"/>
    <xf numFmtId="165" fontId="18" fillId="0" borderId="0" xfId="0" applyFont="1"/>
    <xf numFmtId="165" fontId="15" fillId="0" borderId="6" xfId="0" applyFont="1" applyBorder="1" applyAlignment="1">
      <alignment horizontal="center"/>
    </xf>
    <xf numFmtId="168" fontId="11" fillId="0" borderId="6" xfId="0" applyNumberFormat="1" applyFont="1" applyBorder="1" applyAlignment="1">
      <alignment horizontal="left"/>
    </xf>
    <xf numFmtId="165" fontId="10" fillId="0" borderId="6" xfId="0" applyFont="1" applyBorder="1" applyAlignment="1">
      <alignment horizontal="center" vertical="center" wrapText="1"/>
    </xf>
    <xf numFmtId="165" fontId="14" fillId="0" borderId="1" xfId="0" applyNumberFormat="1" applyFont="1" applyBorder="1" applyAlignment="1" applyProtection="1">
      <alignment horizontal="center" vertical="center"/>
    </xf>
    <xf numFmtId="165" fontId="14" fillId="0" borderId="0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left"/>
    </xf>
    <xf numFmtId="165" fontId="0" fillId="0" borderId="11" xfId="0" applyBorder="1"/>
    <xf numFmtId="168" fontId="11" fillId="0" borderId="12" xfId="0" applyNumberFormat="1" applyFont="1" applyBorder="1" applyAlignment="1">
      <alignment horizontal="left"/>
    </xf>
    <xf numFmtId="165" fontId="11" fillId="0" borderId="13" xfId="0" applyFont="1" applyBorder="1"/>
    <xf numFmtId="165" fontId="0" fillId="0" borderId="13" xfId="0" applyBorder="1"/>
    <xf numFmtId="165" fontId="14" fillId="5" borderId="6" xfId="0" applyNumberFormat="1" applyFont="1" applyFill="1" applyBorder="1" applyAlignment="1" applyProtection="1">
      <alignment horizontal="center" vertical="center" wrapText="1"/>
    </xf>
    <xf numFmtId="165" fontId="14" fillId="5" borderId="6" xfId="0" applyNumberFormat="1" applyFont="1" applyFill="1" applyBorder="1" applyAlignment="1" applyProtection="1">
      <alignment horizontal="center" vertical="center"/>
    </xf>
    <xf numFmtId="167" fontId="14" fillId="5" borderId="6" xfId="0" applyNumberFormat="1" applyFont="1" applyFill="1" applyBorder="1" applyAlignment="1" applyProtection="1">
      <alignment horizontal="center" vertical="center" wrapText="1"/>
    </xf>
    <xf numFmtId="165" fontId="14" fillId="0" borderId="1" xfId="0" applyNumberFormat="1" applyFont="1" applyBorder="1" applyAlignment="1" applyProtection="1">
      <alignment horizontal="center" vertical="center"/>
    </xf>
    <xf numFmtId="165" fontId="14" fillId="0" borderId="0" xfId="0" applyNumberFormat="1" applyFont="1" applyBorder="1" applyAlignment="1" applyProtection="1">
      <alignment horizontal="center" vertical="center"/>
    </xf>
    <xf numFmtId="165" fontId="14" fillId="0" borderId="2" xfId="0" applyNumberFormat="1" applyFont="1" applyBorder="1" applyAlignment="1" applyProtection="1">
      <alignment horizontal="center" vertical="center"/>
    </xf>
    <xf numFmtId="167" fontId="14" fillId="5" borderId="9" xfId="0" applyNumberFormat="1" applyFont="1" applyFill="1" applyBorder="1" applyAlignment="1" applyProtection="1">
      <alignment horizontal="center" vertical="center"/>
    </xf>
    <xf numFmtId="167" fontId="14" fillId="5" borderId="10" xfId="0" applyNumberFormat="1" applyFont="1" applyFill="1" applyBorder="1" applyAlignment="1" applyProtection="1">
      <alignment horizontal="center" vertical="center"/>
    </xf>
    <xf numFmtId="165" fontId="14" fillId="6" borderId="6" xfId="0" applyNumberFormat="1" applyFont="1" applyFill="1" applyBorder="1" applyAlignment="1" applyProtection="1">
      <alignment horizontal="center"/>
    </xf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brb.bi/fr/content/monnaie-et-cr%C3%A9di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showGridLines="0" tabSelected="1" topLeftCell="D1" workbookViewId="0">
      <selection activeCell="H12" sqref="H12"/>
    </sheetView>
  </sheetViews>
  <sheetFormatPr baseColWidth="10" defaultColWidth="8.88671875" defaultRowHeight="15.75" x14ac:dyDescent="0.25"/>
  <cols>
    <col min="1" max="1" width="4.21875" style="13" customWidth="1"/>
    <col min="2" max="2" width="68.6640625" style="13" bestFit="1" customWidth="1"/>
    <col min="3" max="3" width="39.88671875" style="13" bestFit="1" customWidth="1"/>
    <col min="4" max="4" width="17.109375" style="13" bestFit="1" customWidth="1"/>
    <col min="5" max="5" width="15.88671875" style="13" customWidth="1"/>
    <col min="6" max="256" width="8.88671875" style="13"/>
    <col min="257" max="257" width="4.21875" style="13" customWidth="1"/>
    <col min="258" max="258" width="25.44140625" style="13" bestFit="1" customWidth="1"/>
    <col min="259" max="259" width="39.88671875" style="13" bestFit="1" customWidth="1"/>
    <col min="260" max="260" width="17.109375" style="13" bestFit="1" customWidth="1"/>
    <col min="261" max="261" width="15.88671875" style="13" customWidth="1"/>
    <col min="262" max="512" width="8.88671875" style="13"/>
    <col min="513" max="513" width="4.21875" style="13" customWidth="1"/>
    <col min="514" max="514" width="25.44140625" style="13" bestFit="1" customWidth="1"/>
    <col min="515" max="515" width="39.88671875" style="13" bestFit="1" customWidth="1"/>
    <col min="516" max="516" width="17.109375" style="13" bestFit="1" customWidth="1"/>
    <col min="517" max="517" width="15.88671875" style="13" customWidth="1"/>
    <col min="518" max="768" width="8.88671875" style="13"/>
    <col min="769" max="769" width="4.21875" style="13" customWidth="1"/>
    <col min="770" max="770" width="25.44140625" style="13" bestFit="1" customWidth="1"/>
    <col min="771" max="771" width="39.88671875" style="13" bestFit="1" customWidth="1"/>
    <col min="772" max="772" width="17.109375" style="13" bestFit="1" customWidth="1"/>
    <col min="773" max="773" width="15.88671875" style="13" customWidth="1"/>
    <col min="774" max="1024" width="8.88671875" style="13"/>
    <col min="1025" max="1025" width="4.21875" style="13" customWidth="1"/>
    <col min="1026" max="1026" width="25.44140625" style="13" bestFit="1" customWidth="1"/>
    <col min="1027" max="1027" width="39.88671875" style="13" bestFit="1" customWidth="1"/>
    <col min="1028" max="1028" width="17.109375" style="13" bestFit="1" customWidth="1"/>
    <col min="1029" max="1029" width="15.88671875" style="13" customWidth="1"/>
    <col min="1030" max="1280" width="8.88671875" style="13"/>
    <col min="1281" max="1281" width="4.21875" style="13" customWidth="1"/>
    <col min="1282" max="1282" width="25.44140625" style="13" bestFit="1" customWidth="1"/>
    <col min="1283" max="1283" width="39.88671875" style="13" bestFit="1" customWidth="1"/>
    <col min="1284" max="1284" width="17.109375" style="13" bestFit="1" customWidth="1"/>
    <col min="1285" max="1285" width="15.88671875" style="13" customWidth="1"/>
    <col min="1286" max="1536" width="8.88671875" style="13"/>
    <col min="1537" max="1537" width="4.21875" style="13" customWidth="1"/>
    <col min="1538" max="1538" width="25.44140625" style="13" bestFit="1" customWidth="1"/>
    <col min="1539" max="1539" width="39.88671875" style="13" bestFit="1" customWidth="1"/>
    <col min="1540" max="1540" width="17.109375" style="13" bestFit="1" customWidth="1"/>
    <col min="1541" max="1541" width="15.88671875" style="13" customWidth="1"/>
    <col min="1542" max="1792" width="8.88671875" style="13"/>
    <col min="1793" max="1793" width="4.21875" style="13" customWidth="1"/>
    <col min="1794" max="1794" width="25.44140625" style="13" bestFit="1" customWidth="1"/>
    <col min="1795" max="1795" width="39.88671875" style="13" bestFit="1" customWidth="1"/>
    <col min="1796" max="1796" width="17.109375" style="13" bestFit="1" customWidth="1"/>
    <col min="1797" max="1797" width="15.88671875" style="13" customWidth="1"/>
    <col min="1798" max="2048" width="8.88671875" style="13"/>
    <col min="2049" max="2049" width="4.21875" style="13" customWidth="1"/>
    <col min="2050" max="2050" width="25.44140625" style="13" bestFit="1" customWidth="1"/>
    <col min="2051" max="2051" width="39.88671875" style="13" bestFit="1" customWidth="1"/>
    <col min="2052" max="2052" width="17.109375" style="13" bestFit="1" customWidth="1"/>
    <col min="2053" max="2053" width="15.88671875" style="13" customWidth="1"/>
    <col min="2054" max="2304" width="8.88671875" style="13"/>
    <col min="2305" max="2305" width="4.21875" style="13" customWidth="1"/>
    <col min="2306" max="2306" width="25.44140625" style="13" bestFit="1" customWidth="1"/>
    <col min="2307" max="2307" width="39.88671875" style="13" bestFit="1" customWidth="1"/>
    <col min="2308" max="2308" width="17.109375" style="13" bestFit="1" customWidth="1"/>
    <col min="2309" max="2309" width="15.88671875" style="13" customWidth="1"/>
    <col min="2310" max="2560" width="8.88671875" style="13"/>
    <col min="2561" max="2561" width="4.21875" style="13" customWidth="1"/>
    <col min="2562" max="2562" width="25.44140625" style="13" bestFit="1" customWidth="1"/>
    <col min="2563" max="2563" width="39.88671875" style="13" bestFit="1" customWidth="1"/>
    <col min="2564" max="2564" width="17.109375" style="13" bestFit="1" customWidth="1"/>
    <col min="2565" max="2565" width="15.88671875" style="13" customWidth="1"/>
    <col min="2566" max="2816" width="8.88671875" style="13"/>
    <col min="2817" max="2817" width="4.21875" style="13" customWidth="1"/>
    <col min="2818" max="2818" width="25.44140625" style="13" bestFit="1" customWidth="1"/>
    <col min="2819" max="2819" width="39.88671875" style="13" bestFit="1" customWidth="1"/>
    <col min="2820" max="2820" width="17.109375" style="13" bestFit="1" customWidth="1"/>
    <col min="2821" max="2821" width="15.88671875" style="13" customWidth="1"/>
    <col min="2822" max="3072" width="8.88671875" style="13"/>
    <col min="3073" max="3073" width="4.21875" style="13" customWidth="1"/>
    <col min="3074" max="3074" width="25.44140625" style="13" bestFit="1" customWidth="1"/>
    <col min="3075" max="3075" width="39.88671875" style="13" bestFit="1" customWidth="1"/>
    <col min="3076" max="3076" width="17.109375" style="13" bestFit="1" customWidth="1"/>
    <col min="3077" max="3077" width="15.88671875" style="13" customWidth="1"/>
    <col min="3078" max="3328" width="8.88671875" style="13"/>
    <col min="3329" max="3329" width="4.21875" style="13" customWidth="1"/>
    <col min="3330" max="3330" width="25.44140625" style="13" bestFit="1" customWidth="1"/>
    <col min="3331" max="3331" width="39.88671875" style="13" bestFit="1" customWidth="1"/>
    <col min="3332" max="3332" width="17.109375" style="13" bestFit="1" customWidth="1"/>
    <col min="3333" max="3333" width="15.88671875" style="13" customWidth="1"/>
    <col min="3334" max="3584" width="8.88671875" style="13"/>
    <col min="3585" max="3585" width="4.21875" style="13" customWidth="1"/>
    <col min="3586" max="3586" width="25.44140625" style="13" bestFit="1" customWidth="1"/>
    <col min="3587" max="3587" width="39.88671875" style="13" bestFit="1" customWidth="1"/>
    <col min="3588" max="3588" width="17.109375" style="13" bestFit="1" customWidth="1"/>
    <col min="3589" max="3589" width="15.88671875" style="13" customWidth="1"/>
    <col min="3590" max="3840" width="8.88671875" style="13"/>
    <col min="3841" max="3841" width="4.21875" style="13" customWidth="1"/>
    <col min="3842" max="3842" width="25.44140625" style="13" bestFit="1" customWidth="1"/>
    <col min="3843" max="3843" width="39.88671875" style="13" bestFit="1" customWidth="1"/>
    <col min="3844" max="3844" width="17.109375" style="13" bestFit="1" customWidth="1"/>
    <col min="3845" max="3845" width="15.88671875" style="13" customWidth="1"/>
    <col min="3846" max="4096" width="8.88671875" style="13"/>
    <col min="4097" max="4097" width="4.21875" style="13" customWidth="1"/>
    <col min="4098" max="4098" width="25.44140625" style="13" bestFit="1" customWidth="1"/>
    <col min="4099" max="4099" width="39.88671875" style="13" bestFit="1" customWidth="1"/>
    <col min="4100" max="4100" width="17.109375" style="13" bestFit="1" customWidth="1"/>
    <col min="4101" max="4101" width="15.88671875" style="13" customWidth="1"/>
    <col min="4102" max="4352" width="8.88671875" style="13"/>
    <col min="4353" max="4353" width="4.21875" style="13" customWidth="1"/>
    <col min="4354" max="4354" width="25.44140625" style="13" bestFit="1" customWidth="1"/>
    <col min="4355" max="4355" width="39.88671875" style="13" bestFit="1" customWidth="1"/>
    <col min="4356" max="4356" width="17.109375" style="13" bestFit="1" customWidth="1"/>
    <col min="4357" max="4357" width="15.88671875" style="13" customWidth="1"/>
    <col min="4358" max="4608" width="8.88671875" style="13"/>
    <col min="4609" max="4609" width="4.21875" style="13" customWidth="1"/>
    <col min="4610" max="4610" width="25.44140625" style="13" bestFit="1" customWidth="1"/>
    <col min="4611" max="4611" width="39.88671875" style="13" bestFit="1" customWidth="1"/>
    <col min="4612" max="4612" width="17.109375" style="13" bestFit="1" customWidth="1"/>
    <col min="4613" max="4613" width="15.88671875" style="13" customWidth="1"/>
    <col min="4614" max="4864" width="8.88671875" style="13"/>
    <col min="4865" max="4865" width="4.21875" style="13" customWidth="1"/>
    <col min="4866" max="4866" width="25.44140625" style="13" bestFit="1" customWidth="1"/>
    <col min="4867" max="4867" width="39.88671875" style="13" bestFit="1" customWidth="1"/>
    <col min="4868" max="4868" width="17.109375" style="13" bestFit="1" customWidth="1"/>
    <col min="4869" max="4869" width="15.88671875" style="13" customWidth="1"/>
    <col min="4870" max="5120" width="8.88671875" style="13"/>
    <col min="5121" max="5121" width="4.21875" style="13" customWidth="1"/>
    <col min="5122" max="5122" width="25.44140625" style="13" bestFit="1" customWidth="1"/>
    <col min="5123" max="5123" width="39.88671875" style="13" bestFit="1" customWidth="1"/>
    <col min="5124" max="5124" width="17.109375" style="13" bestFit="1" customWidth="1"/>
    <col min="5125" max="5125" width="15.88671875" style="13" customWidth="1"/>
    <col min="5126" max="5376" width="8.88671875" style="13"/>
    <col min="5377" max="5377" width="4.21875" style="13" customWidth="1"/>
    <col min="5378" max="5378" width="25.44140625" style="13" bestFit="1" customWidth="1"/>
    <col min="5379" max="5379" width="39.88671875" style="13" bestFit="1" customWidth="1"/>
    <col min="5380" max="5380" width="17.109375" style="13" bestFit="1" customWidth="1"/>
    <col min="5381" max="5381" width="15.88671875" style="13" customWidth="1"/>
    <col min="5382" max="5632" width="8.88671875" style="13"/>
    <col min="5633" max="5633" width="4.21875" style="13" customWidth="1"/>
    <col min="5634" max="5634" width="25.44140625" style="13" bestFit="1" customWidth="1"/>
    <col min="5635" max="5635" width="39.88671875" style="13" bestFit="1" customWidth="1"/>
    <col min="5636" max="5636" width="17.109375" style="13" bestFit="1" customWidth="1"/>
    <col min="5637" max="5637" width="15.88671875" style="13" customWidth="1"/>
    <col min="5638" max="5888" width="8.88671875" style="13"/>
    <col min="5889" max="5889" width="4.21875" style="13" customWidth="1"/>
    <col min="5890" max="5890" width="25.44140625" style="13" bestFit="1" customWidth="1"/>
    <col min="5891" max="5891" width="39.88671875" style="13" bestFit="1" customWidth="1"/>
    <col min="5892" max="5892" width="17.109375" style="13" bestFit="1" customWidth="1"/>
    <col min="5893" max="5893" width="15.88671875" style="13" customWidth="1"/>
    <col min="5894" max="6144" width="8.88671875" style="13"/>
    <col min="6145" max="6145" width="4.21875" style="13" customWidth="1"/>
    <col min="6146" max="6146" width="25.44140625" style="13" bestFit="1" customWidth="1"/>
    <col min="6147" max="6147" width="39.88671875" style="13" bestFit="1" customWidth="1"/>
    <col min="6148" max="6148" width="17.109375" style="13" bestFit="1" customWidth="1"/>
    <col min="6149" max="6149" width="15.88671875" style="13" customWidth="1"/>
    <col min="6150" max="6400" width="8.88671875" style="13"/>
    <col min="6401" max="6401" width="4.21875" style="13" customWidth="1"/>
    <col min="6402" max="6402" width="25.44140625" style="13" bestFit="1" customWidth="1"/>
    <col min="6403" max="6403" width="39.88671875" style="13" bestFit="1" customWidth="1"/>
    <col min="6404" max="6404" width="17.109375" style="13" bestFit="1" customWidth="1"/>
    <col min="6405" max="6405" width="15.88671875" style="13" customWidth="1"/>
    <col min="6406" max="6656" width="8.88671875" style="13"/>
    <col min="6657" max="6657" width="4.21875" style="13" customWidth="1"/>
    <col min="6658" max="6658" width="25.44140625" style="13" bestFit="1" customWidth="1"/>
    <col min="6659" max="6659" width="39.88671875" style="13" bestFit="1" customWidth="1"/>
    <col min="6660" max="6660" width="17.109375" style="13" bestFit="1" customWidth="1"/>
    <col min="6661" max="6661" width="15.88671875" style="13" customWidth="1"/>
    <col min="6662" max="6912" width="8.88671875" style="13"/>
    <col min="6913" max="6913" width="4.21875" style="13" customWidth="1"/>
    <col min="6914" max="6914" width="25.44140625" style="13" bestFit="1" customWidth="1"/>
    <col min="6915" max="6915" width="39.88671875" style="13" bestFit="1" customWidth="1"/>
    <col min="6916" max="6916" width="17.109375" style="13" bestFit="1" customWidth="1"/>
    <col min="6917" max="6917" width="15.88671875" style="13" customWidth="1"/>
    <col min="6918" max="7168" width="8.88671875" style="13"/>
    <col min="7169" max="7169" width="4.21875" style="13" customWidth="1"/>
    <col min="7170" max="7170" width="25.44140625" style="13" bestFit="1" customWidth="1"/>
    <col min="7171" max="7171" width="39.88671875" style="13" bestFit="1" customWidth="1"/>
    <col min="7172" max="7172" width="17.109375" style="13" bestFit="1" customWidth="1"/>
    <col min="7173" max="7173" width="15.88671875" style="13" customWidth="1"/>
    <col min="7174" max="7424" width="8.88671875" style="13"/>
    <col min="7425" max="7425" width="4.21875" style="13" customWidth="1"/>
    <col min="7426" max="7426" width="25.44140625" style="13" bestFit="1" customWidth="1"/>
    <col min="7427" max="7427" width="39.88671875" style="13" bestFit="1" customWidth="1"/>
    <col min="7428" max="7428" width="17.109375" style="13" bestFit="1" customWidth="1"/>
    <col min="7429" max="7429" width="15.88671875" style="13" customWidth="1"/>
    <col min="7430" max="7680" width="8.88671875" style="13"/>
    <col min="7681" max="7681" width="4.21875" style="13" customWidth="1"/>
    <col min="7682" max="7682" width="25.44140625" style="13" bestFit="1" customWidth="1"/>
    <col min="7683" max="7683" width="39.88671875" style="13" bestFit="1" customWidth="1"/>
    <col min="7684" max="7684" width="17.109375" style="13" bestFit="1" customWidth="1"/>
    <col min="7685" max="7685" width="15.88671875" style="13" customWidth="1"/>
    <col min="7686" max="7936" width="8.88671875" style="13"/>
    <col min="7937" max="7937" width="4.21875" style="13" customWidth="1"/>
    <col min="7938" max="7938" width="25.44140625" style="13" bestFit="1" customWidth="1"/>
    <col min="7939" max="7939" width="39.88671875" style="13" bestFit="1" customWidth="1"/>
    <col min="7940" max="7940" width="17.109375" style="13" bestFit="1" customWidth="1"/>
    <col min="7941" max="7941" width="15.88671875" style="13" customWidth="1"/>
    <col min="7942" max="8192" width="8.88671875" style="13"/>
    <col min="8193" max="8193" width="4.21875" style="13" customWidth="1"/>
    <col min="8194" max="8194" width="25.44140625" style="13" bestFit="1" customWidth="1"/>
    <col min="8195" max="8195" width="39.88671875" style="13" bestFit="1" customWidth="1"/>
    <col min="8196" max="8196" width="17.109375" style="13" bestFit="1" customWidth="1"/>
    <col min="8197" max="8197" width="15.88671875" style="13" customWidth="1"/>
    <col min="8198" max="8448" width="8.88671875" style="13"/>
    <col min="8449" max="8449" width="4.21875" style="13" customWidth="1"/>
    <col min="8450" max="8450" width="25.44140625" style="13" bestFit="1" customWidth="1"/>
    <col min="8451" max="8451" width="39.88671875" style="13" bestFit="1" customWidth="1"/>
    <col min="8452" max="8452" width="17.109375" style="13" bestFit="1" customWidth="1"/>
    <col min="8453" max="8453" width="15.88671875" style="13" customWidth="1"/>
    <col min="8454" max="8704" width="8.88671875" style="13"/>
    <col min="8705" max="8705" width="4.21875" style="13" customWidth="1"/>
    <col min="8706" max="8706" width="25.44140625" style="13" bestFit="1" customWidth="1"/>
    <col min="8707" max="8707" width="39.88671875" style="13" bestFit="1" customWidth="1"/>
    <col min="8708" max="8708" width="17.109375" style="13" bestFit="1" customWidth="1"/>
    <col min="8709" max="8709" width="15.88671875" style="13" customWidth="1"/>
    <col min="8710" max="8960" width="8.88671875" style="13"/>
    <col min="8961" max="8961" width="4.21875" style="13" customWidth="1"/>
    <col min="8962" max="8962" width="25.44140625" style="13" bestFit="1" customWidth="1"/>
    <col min="8963" max="8963" width="39.88671875" style="13" bestFit="1" customWidth="1"/>
    <col min="8964" max="8964" width="17.109375" style="13" bestFit="1" customWidth="1"/>
    <col min="8965" max="8965" width="15.88671875" style="13" customWidth="1"/>
    <col min="8966" max="9216" width="8.88671875" style="13"/>
    <col min="9217" max="9217" width="4.21875" style="13" customWidth="1"/>
    <col min="9218" max="9218" width="25.44140625" style="13" bestFit="1" customWidth="1"/>
    <col min="9219" max="9219" width="39.88671875" style="13" bestFit="1" customWidth="1"/>
    <col min="9220" max="9220" width="17.109375" style="13" bestFit="1" customWidth="1"/>
    <col min="9221" max="9221" width="15.88671875" style="13" customWidth="1"/>
    <col min="9222" max="9472" width="8.88671875" style="13"/>
    <col min="9473" max="9473" width="4.21875" style="13" customWidth="1"/>
    <col min="9474" max="9474" width="25.44140625" style="13" bestFit="1" customWidth="1"/>
    <col min="9475" max="9475" width="39.88671875" style="13" bestFit="1" customWidth="1"/>
    <col min="9476" max="9476" width="17.109375" style="13" bestFit="1" customWidth="1"/>
    <col min="9477" max="9477" width="15.88671875" style="13" customWidth="1"/>
    <col min="9478" max="9728" width="8.88671875" style="13"/>
    <col min="9729" max="9729" width="4.21875" style="13" customWidth="1"/>
    <col min="9730" max="9730" width="25.44140625" style="13" bestFit="1" customWidth="1"/>
    <col min="9731" max="9731" width="39.88671875" style="13" bestFit="1" customWidth="1"/>
    <col min="9732" max="9732" width="17.109375" style="13" bestFit="1" customWidth="1"/>
    <col min="9733" max="9733" width="15.88671875" style="13" customWidth="1"/>
    <col min="9734" max="9984" width="8.88671875" style="13"/>
    <col min="9985" max="9985" width="4.21875" style="13" customWidth="1"/>
    <col min="9986" max="9986" width="25.44140625" style="13" bestFit="1" customWidth="1"/>
    <col min="9987" max="9987" width="39.88671875" style="13" bestFit="1" customWidth="1"/>
    <col min="9988" max="9988" width="17.109375" style="13" bestFit="1" customWidth="1"/>
    <col min="9989" max="9989" width="15.88671875" style="13" customWidth="1"/>
    <col min="9990" max="10240" width="8.88671875" style="13"/>
    <col min="10241" max="10241" width="4.21875" style="13" customWidth="1"/>
    <col min="10242" max="10242" width="25.44140625" style="13" bestFit="1" customWidth="1"/>
    <col min="10243" max="10243" width="39.88671875" style="13" bestFit="1" customWidth="1"/>
    <col min="10244" max="10244" width="17.109375" style="13" bestFit="1" customWidth="1"/>
    <col min="10245" max="10245" width="15.88671875" style="13" customWidth="1"/>
    <col min="10246" max="10496" width="8.88671875" style="13"/>
    <col min="10497" max="10497" width="4.21875" style="13" customWidth="1"/>
    <col min="10498" max="10498" width="25.44140625" style="13" bestFit="1" customWidth="1"/>
    <col min="10499" max="10499" width="39.88671875" style="13" bestFit="1" customWidth="1"/>
    <col min="10500" max="10500" width="17.109375" style="13" bestFit="1" customWidth="1"/>
    <col min="10501" max="10501" width="15.88671875" style="13" customWidth="1"/>
    <col min="10502" max="10752" width="8.88671875" style="13"/>
    <col min="10753" max="10753" width="4.21875" style="13" customWidth="1"/>
    <col min="10754" max="10754" width="25.44140625" style="13" bestFit="1" customWidth="1"/>
    <col min="10755" max="10755" width="39.88671875" style="13" bestFit="1" customWidth="1"/>
    <col min="10756" max="10756" width="17.109375" style="13" bestFit="1" customWidth="1"/>
    <col min="10757" max="10757" width="15.88671875" style="13" customWidth="1"/>
    <col min="10758" max="11008" width="8.88671875" style="13"/>
    <col min="11009" max="11009" width="4.21875" style="13" customWidth="1"/>
    <col min="11010" max="11010" width="25.44140625" style="13" bestFit="1" customWidth="1"/>
    <col min="11011" max="11011" width="39.88671875" style="13" bestFit="1" customWidth="1"/>
    <col min="11012" max="11012" width="17.109375" style="13" bestFit="1" customWidth="1"/>
    <col min="11013" max="11013" width="15.88671875" style="13" customWidth="1"/>
    <col min="11014" max="11264" width="8.88671875" style="13"/>
    <col min="11265" max="11265" width="4.21875" style="13" customWidth="1"/>
    <col min="11266" max="11266" width="25.44140625" style="13" bestFit="1" customWidth="1"/>
    <col min="11267" max="11267" width="39.88671875" style="13" bestFit="1" customWidth="1"/>
    <col min="11268" max="11268" width="17.109375" style="13" bestFit="1" customWidth="1"/>
    <col min="11269" max="11269" width="15.88671875" style="13" customWidth="1"/>
    <col min="11270" max="11520" width="8.88671875" style="13"/>
    <col min="11521" max="11521" width="4.21875" style="13" customWidth="1"/>
    <col min="11522" max="11522" width="25.44140625" style="13" bestFit="1" customWidth="1"/>
    <col min="11523" max="11523" width="39.88671875" style="13" bestFit="1" customWidth="1"/>
    <col min="11524" max="11524" width="17.109375" style="13" bestFit="1" customWidth="1"/>
    <col min="11525" max="11525" width="15.88671875" style="13" customWidth="1"/>
    <col min="11526" max="11776" width="8.88671875" style="13"/>
    <col min="11777" max="11777" width="4.21875" style="13" customWidth="1"/>
    <col min="11778" max="11778" width="25.44140625" style="13" bestFit="1" customWidth="1"/>
    <col min="11779" max="11779" width="39.88671875" style="13" bestFit="1" customWidth="1"/>
    <col min="11780" max="11780" width="17.109375" style="13" bestFit="1" customWidth="1"/>
    <col min="11781" max="11781" width="15.88671875" style="13" customWidth="1"/>
    <col min="11782" max="12032" width="8.88671875" style="13"/>
    <col min="12033" max="12033" width="4.21875" style="13" customWidth="1"/>
    <col min="12034" max="12034" width="25.44140625" style="13" bestFit="1" customWidth="1"/>
    <col min="12035" max="12035" width="39.88671875" style="13" bestFit="1" customWidth="1"/>
    <col min="12036" max="12036" width="17.109375" style="13" bestFit="1" customWidth="1"/>
    <col min="12037" max="12037" width="15.88671875" style="13" customWidth="1"/>
    <col min="12038" max="12288" width="8.88671875" style="13"/>
    <col min="12289" max="12289" width="4.21875" style="13" customWidth="1"/>
    <col min="12290" max="12290" width="25.44140625" style="13" bestFit="1" customWidth="1"/>
    <col min="12291" max="12291" width="39.88671875" style="13" bestFit="1" customWidth="1"/>
    <col min="12292" max="12292" width="17.109375" style="13" bestFit="1" customWidth="1"/>
    <col min="12293" max="12293" width="15.88671875" style="13" customWidth="1"/>
    <col min="12294" max="12544" width="8.88671875" style="13"/>
    <col min="12545" max="12545" width="4.21875" style="13" customWidth="1"/>
    <col min="12546" max="12546" width="25.44140625" style="13" bestFit="1" customWidth="1"/>
    <col min="12547" max="12547" width="39.88671875" style="13" bestFit="1" customWidth="1"/>
    <col min="12548" max="12548" width="17.109375" style="13" bestFit="1" customWidth="1"/>
    <col min="12549" max="12549" width="15.88671875" style="13" customWidth="1"/>
    <col min="12550" max="12800" width="8.88671875" style="13"/>
    <col min="12801" max="12801" width="4.21875" style="13" customWidth="1"/>
    <col min="12802" max="12802" width="25.44140625" style="13" bestFit="1" customWidth="1"/>
    <col min="12803" max="12803" width="39.88671875" style="13" bestFit="1" customWidth="1"/>
    <col min="12804" max="12804" width="17.109375" style="13" bestFit="1" customWidth="1"/>
    <col min="12805" max="12805" width="15.88671875" style="13" customWidth="1"/>
    <col min="12806" max="13056" width="8.88671875" style="13"/>
    <col min="13057" max="13057" width="4.21875" style="13" customWidth="1"/>
    <col min="13058" max="13058" width="25.44140625" style="13" bestFit="1" customWidth="1"/>
    <col min="13059" max="13059" width="39.88671875" style="13" bestFit="1" customWidth="1"/>
    <col min="13060" max="13060" width="17.109375" style="13" bestFit="1" customWidth="1"/>
    <col min="13061" max="13061" width="15.88671875" style="13" customWidth="1"/>
    <col min="13062" max="13312" width="8.88671875" style="13"/>
    <col min="13313" max="13313" width="4.21875" style="13" customWidth="1"/>
    <col min="13314" max="13314" width="25.44140625" style="13" bestFit="1" customWidth="1"/>
    <col min="13315" max="13315" width="39.88671875" style="13" bestFit="1" customWidth="1"/>
    <col min="13316" max="13316" width="17.109375" style="13" bestFit="1" customWidth="1"/>
    <col min="13317" max="13317" width="15.88671875" style="13" customWidth="1"/>
    <col min="13318" max="13568" width="8.88671875" style="13"/>
    <col min="13569" max="13569" width="4.21875" style="13" customWidth="1"/>
    <col min="13570" max="13570" width="25.44140625" style="13" bestFit="1" customWidth="1"/>
    <col min="13571" max="13571" width="39.88671875" style="13" bestFit="1" customWidth="1"/>
    <col min="13572" max="13572" width="17.109375" style="13" bestFit="1" customWidth="1"/>
    <col min="13573" max="13573" width="15.88671875" style="13" customWidth="1"/>
    <col min="13574" max="13824" width="8.88671875" style="13"/>
    <col min="13825" max="13825" width="4.21875" style="13" customWidth="1"/>
    <col min="13826" max="13826" width="25.44140625" style="13" bestFit="1" customWidth="1"/>
    <col min="13827" max="13827" width="39.88671875" style="13" bestFit="1" customWidth="1"/>
    <col min="13828" max="13828" width="17.109375" style="13" bestFit="1" customWidth="1"/>
    <col min="13829" max="13829" width="15.88671875" style="13" customWidth="1"/>
    <col min="13830" max="14080" width="8.88671875" style="13"/>
    <col min="14081" max="14081" width="4.21875" style="13" customWidth="1"/>
    <col min="14082" max="14082" width="25.44140625" style="13" bestFit="1" customWidth="1"/>
    <col min="14083" max="14083" width="39.88671875" style="13" bestFit="1" customWidth="1"/>
    <col min="14084" max="14084" width="17.109375" style="13" bestFit="1" customWidth="1"/>
    <col min="14085" max="14085" width="15.88671875" style="13" customWidth="1"/>
    <col min="14086" max="14336" width="8.88671875" style="13"/>
    <col min="14337" max="14337" width="4.21875" style="13" customWidth="1"/>
    <col min="14338" max="14338" width="25.44140625" style="13" bestFit="1" customWidth="1"/>
    <col min="14339" max="14339" width="39.88671875" style="13" bestFit="1" customWidth="1"/>
    <col min="14340" max="14340" width="17.109375" style="13" bestFit="1" customWidth="1"/>
    <col min="14341" max="14341" width="15.88671875" style="13" customWidth="1"/>
    <col min="14342" max="14592" width="8.88671875" style="13"/>
    <col min="14593" max="14593" width="4.21875" style="13" customWidth="1"/>
    <col min="14594" max="14594" width="25.44140625" style="13" bestFit="1" customWidth="1"/>
    <col min="14595" max="14595" width="39.88671875" style="13" bestFit="1" customWidth="1"/>
    <col min="14596" max="14596" width="17.109375" style="13" bestFit="1" customWidth="1"/>
    <col min="14597" max="14597" width="15.88671875" style="13" customWidth="1"/>
    <col min="14598" max="14848" width="8.88671875" style="13"/>
    <col min="14849" max="14849" width="4.21875" style="13" customWidth="1"/>
    <col min="14850" max="14850" width="25.44140625" style="13" bestFit="1" customWidth="1"/>
    <col min="14851" max="14851" width="39.88671875" style="13" bestFit="1" customWidth="1"/>
    <col min="14852" max="14852" width="17.109375" style="13" bestFit="1" customWidth="1"/>
    <col min="14853" max="14853" width="15.88671875" style="13" customWidth="1"/>
    <col min="14854" max="15104" width="8.88671875" style="13"/>
    <col min="15105" max="15105" width="4.21875" style="13" customWidth="1"/>
    <col min="15106" max="15106" width="25.44140625" style="13" bestFit="1" customWidth="1"/>
    <col min="15107" max="15107" width="39.88671875" style="13" bestFit="1" customWidth="1"/>
    <col min="15108" max="15108" width="17.109375" style="13" bestFit="1" customWidth="1"/>
    <col min="15109" max="15109" width="15.88671875" style="13" customWidth="1"/>
    <col min="15110" max="15360" width="8.88671875" style="13"/>
    <col min="15361" max="15361" width="4.21875" style="13" customWidth="1"/>
    <col min="15362" max="15362" width="25.44140625" style="13" bestFit="1" customWidth="1"/>
    <col min="15363" max="15363" width="39.88671875" style="13" bestFit="1" customWidth="1"/>
    <col min="15364" max="15364" width="17.109375" style="13" bestFit="1" customWidth="1"/>
    <col min="15365" max="15365" width="15.88671875" style="13" customWidth="1"/>
    <col min="15366" max="15616" width="8.88671875" style="13"/>
    <col min="15617" max="15617" width="4.21875" style="13" customWidth="1"/>
    <col min="15618" max="15618" width="25.44140625" style="13" bestFit="1" customWidth="1"/>
    <col min="15619" max="15619" width="39.88671875" style="13" bestFit="1" customWidth="1"/>
    <col min="15620" max="15620" width="17.109375" style="13" bestFit="1" customWidth="1"/>
    <col min="15621" max="15621" width="15.88671875" style="13" customWidth="1"/>
    <col min="15622" max="15872" width="8.88671875" style="13"/>
    <col min="15873" max="15873" width="4.21875" style="13" customWidth="1"/>
    <col min="15874" max="15874" width="25.44140625" style="13" bestFit="1" customWidth="1"/>
    <col min="15875" max="15875" width="39.88671875" style="13" bestFit="1" customWidth="1"/>
    <col min="15876" max="15876" width="17.109375" style="13" bestFit="1" customWidth="1"/>
    <col min="15877" max="15877" width="15.88671875" style="13" customWidth="1"/>
    <col min="15878" max="16128" width="8.88671875" style="13"/>
    <col min="16129" max="16129" width="4.21875" style="13" customWidth="1"/>
    <col min="16130" max="16130" width="25.44140625" style="13" bestFit="1" customWidth="1"/>
    <col min="16131" max="16131" width="39.88671875" style="13" bestFit="1" customWidth="1"/>
    <col min="16132" max="16132" width="17.109375" style="13" bestFit="1" customWidth="1"/>
    <col min="16133" max="16133" width="15.88671875" style="13" customWidth="1"/>
    <col min="16134" max="16384" width="8.88671875" style="13"/>
  </cols>
  <sheetData>
    <row r="2" spans="2:5" s="21" customFormat="1" x14ac:dyDescent="0.25">
      <c r="B2" s="22" t="s">
        <v>37</v>
      </c>
    </row>
    <row r="3" spans="2:5" s="21" customFormat="1" x14ac:dyDescent="0.25">
      <c r="B3" s="22" t="s">
        <v>38</v>
      </c>
      <c r="C3" s="10"/>
    </row>
    <row r="4" spans="2:5" s="21" customFormat="1" x14ac:dyDescent="0.25">
      <c r="B4" s="22" t="s">
        <v>39</v>
      </c>
    </row>
    <row r="5" spans="2:5" s="21" customFormat="1" x14ac:dyDescent="0.25">
      <c r="B5" s="22" t="s">
        <v>40</v>
      </c>
    </row>
    <row r="7" spans="2:5" ht="18.75" x14ac:dyDescent="0.3">
      <c r="B7" s="12" t="s">
        <v>18</v>
      </c>
    </row>
    <row r="8" spans="2:5" ht="18.75" x14ac:dyDescent="0.3">
      <c r="B8" s="14" t="s">
        <v>35</v>
      </c>
    </row>
    <row r="10" spans="2:5" x14ac:dyDescent="0.25">
      <c r="B10" s="13" t="s">
        <v>19</v>
      </c>
    </row>
    <row r="11" spans="2:5" ht="16.5" thickBot="1" x14ac:dyDescent="0.3">
      <c r="B11" s="15" t="s">
        <v>20</v>
      </c>
      <c r="C11" s="15" t="s">
        <v>21</v>
      </c>
      <c r="D11" s="15" t="s">
        <v>22</v>
      </c>
      <c r="E11" s="50" t="s">
        <v>44</v>
      </c>
    </row>
    <row r="12" spans="2:5" x14ac:dyDescent="0.25">
      <c r="B12" s="16" t="s">
        <v>23</v>
      </c>
      <c r="C12" s="17" t="s">
        <v>31</v>
      </c>
      <c r="D12" s="17" t="s">
        <v>23</v>
      </c>
      <c r="E12" s="51">
        <v>46054</v>
      </c>
    </row>
    <row r="13" spans="2:5" x14ac:dyDescent="0.25">
      <c r="B13" s="16" t="s">
        <v>24</v>
      </c>
      <c r="C13" s="17" t="s">
        <v>32</v>
      </c>
      <c r="D13" s="17" t="s">
        <v>24</v>
      </c>
      <c r="E13" s="52" t="s">
        <v>50</v>
      </c>
    </row>
    <row r="14" spans="2:5" x14ac:dyDescent="0.25">
      <c r="B14" s="16" t="s">
        <v>25</v>
      </c>
      <c r="C14" s="17" t="s">
        <v>33</v>
      </c>
      <c r="D14" s="17" t="s">
        <v>25</v>
      </c>
      <c r="E14" s="53" t="s">
        <v>51</v>
      </c>
    </row>
    <row r="15" spans="2:5" x14ac:dyDescent="0.25">
      <c r="B15" s="18"/>
      <c r="C15" s="17"/>
      <c r="D15" s="17"/>
      <c r="E15" s="17"/>
    </row>
    <row r="17" spans="2:3" x14ac:dyDescent="0.25">
      <c r="B17" s="13" t="s">
        <v>26</v>
      </c>
      <c r="C17" s="19"/>
    </row>
    <row r="18" spans="2:3" x14ac:dyDescent="0.25">
      <c r="B18" s="13" t="s">
        <v>27</v>
      </c>
      <c r="C18" s="19"/>
    </row>
    <row r="20" spans="2:3" x14ac:dyDescent="0.25">
      <c r="B20" s="13" t="s">
        <v>28</v>
      </c>
      <c r="C20" s="13" t="s">
        <v>34</v>
      </c>
    </row>
    <row r="21" spans="2:3" x14ac:dyDescent="0.25">
      <c r="B21" s="13" t="s">
        <v>29</v>
      </c>
      <c r="C21" s="20" t="s">
        <v>30</v>
      </c>
    </row>
    <row r="24" spans="2:3" ht="31.5" x14ac:dyDescent="0.25">
      <c r="B24" s="58" t="s">
        <v>46</v>
      </c>
    </row>
    <row r="25" spans="2:3" x14ac:dyDescent="0.25">
      <c r="B25" s="56" t="s">
        <v>36</v>
      </c>
    </row>
    <row r="26" spans="2:3" x14ac:dyDescent="0.25">
      <c r="B26" s="56" t="s">
        <v>5</v>
      </c>
    </row>
    <row r="27" spans="2:3" x14ac:dyDescent="0.25">
      <c r="B27" s="56" t="s">
        <v>6</v>
      </c>
    </row>
    <row r="28" spans="2:3" x14ac:dyDescent="0.25">
      <c r="B28" s="56" t="s">
        <v>47</v>
      </c>
    </row>
    <row r="29" spans="2:3" x14ac:dyDescent="0.25">
      <c r="B29" s="56" t="s">
        <v>7</v>
      </c>
    </row>
    <row r="30" spans="2:3" x14ac:dyDescent="0.25">
      <c r="B30" s="56" t="s">
        <v>8</v>
      </c>
    </row>
    <row r="31" spans="2:3" x14ac:dyDescent="0.25">
      <c r="B31" s="56" t="s">
        <v>9</v>
      </c>
    </row>
    <row r="32" spans="2:3" x14ac:dyDescent="0.25">
      <c r="B32" s="56" t="s">
        <v>10</v>
      </c>
    </row>
    <row r="33" spans="2:2" x14ac:dyDescent="0.25">
      <c r="B33" s="56" t="s">
        <v>45</v>
      </c>
    </row>
    <row r="34" spans="2:2" x14ac:dyDescent="0.25">
      <c r="B34" s="56" t="s">
        <v>11</v>
      </c>
    </row>
    <row r="35" spans="2:2" x14ac:dyDescent="0.25">
      <c r="B35" s="56" t="s">
        <v>42</v>
      </c>
    </row>
    <row r="36" spans="2:2" x14ac:dyDescent="0.25">
      <c r="B36" s="56" t="s">
        <v>43</v>
      </c>
    </row>
    <row r="37" spans="2:2" x14ac:dyDescent="0.25">
      <c r="B37" s="56" t="s">
        <v>12</v>
      </c>
    </row>
    <row r="38" spans="2:2" x14ac:dyDescent="0.25">
      <c r="B38" s="56" t="s">
        <v>13</v>
      </c>
    </row>
    <row r="39" spans="2:2" x14ac:dyDescent="0.25">
      <c r="B39" s="56" t="s">
        <v>14</v>
      </c>
    </row>
    <row r="40" spans="2:2" x14ac:dyDescent="0.25">
      <c r="B40" s="56" t="s">
        <v>15</v>
      </c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1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42"/>
  <sheetViews>
    <sheetView zoomScale="80" zoomScaleNormal="80" workbookViewId="0">
      <pane xSplit="1" ySplit="7" topLeftCell="O206" activePane="bottomRight" state="frozen"/>
      <selection pane="topRight" activeCell="B1" sqref="B1"/>
      <selection pane="bottomLeft" activeCell="A7" sqref="A7"/>
      <selection pane="bottomRight" activeCell="Q224" sqref="Q224"/>
    </sheetView>
  </sheetViews>
  <sheetFormatPr baseColWidth="10" defaultColWidth="11.5546875" defaultRowHeight="15.75" x14ac:dyDescent="0.25"/>
  <cols>
    <col min="1" max="1" width="30" customWidth="1"/>
    <col min="2" max="2" width="12.88671875" customWidth="1"/>
    <col min="3" max="3" width="14.77734375" customWidth="1"/>
    <col min="5" max="6" width="11.5546875" style="10"/>
    <col min="7" max="7" width="19.88671875" style="10" customWidth="1"/>
    <col min="8" max="8" width="16.21875" customWidth="1"/>
    <col min="9" max="9" width="14.5546875" customWidth="1"/>
    <col min="10" max="10" width="12.5546875" customWidth="1"/>
    <col min="11" max="11" width="15.21875" customWidth="1"/>
    <col min="13" max="13" width="15.6640625" customWidth="1"/>
    <col min="14" max="14" width="12.5546875" customWidth="1"/>
    <col min="15" max="15" width="13.88671875" customWidth="1"/>
    <col min="16" max="16" width="12.88671875" customWidth="1"/>
    <col min="17" max="17" width="14.44140625" customWidth="1"/>
    <col min="19" max="19" width="13.77734375" customWidth="1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70" t="s">
        <v>16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2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73" t="s">
        <v>49</v>
      </c>
      <c r="B6" s="68" t="s">
        <v>4</v>
      </c>
      <c r="C6" s="67" t="s">
        <v>5</v>
      </c>
      <c r="D6" s="67" t="s">
        <v>41</v>
      </c>
      <c r="E6" s="75" t="s">
        <v>47</v>
      </c>
      <c r="F6" s="75"/>
      <c r="G6" s="75"/>
      <c r="H6" s="67" t="s">
        <v>7</v>
      </c>
      <c r="I6" s="67" t="s">
        <v>8</v>
      </c>
      <c r="J6" s="67" t="s">
        <v>9</v>
      </c>
      <c r="K6" s="67" t="s">
        <v>10</v>
      </c>
      <c r="L6" s="67" t="s">
        <v>45</v>
      </c>
      <c r="M6" s="67" t="s">
        <v>11</v>
      </c>
      <c r="N6" s="67" t="s">
        <v>42</v>
      </c>
      <c r="O6" s="67" t="s">
        <v>43</v>
      </c>
      <c r="P6" s="68" t="s">
        <v>12</v>
      </c>
      <c r="Q6" s="69" t="s">
        <v>13</v>
      </c>
      <c r="R6" s="67" t="s">
        <v>14</v>
      </c>
      <c r="S6" s="68" t="s">
        <v>15</v>
      </c>
    </row>
    <row r="7" spans="1:19" s="37" customFormat="1" ht="90" customHeight="1" x14ac:dyDescent="0.3">
      <c r="A7" s="74"/>
      <c r="B7" s="68"/>
      <c r="C7" s="67"/>
      <c r="D7" s="67"/>
      <c r="E7" s="48" t="s">
        <v>4</v>
      </c>
      <c r="F7" s="48" t="s">
        <v>5</v>
      </c>
      <c r="G7" s="48" t="s">
        <v>48</v>
      </c>
      <c r="H7" s="67"/>
      <c r="I7" s="67"/>
      <c r="J7" s="67"/>
      <c r="K7" s="67"/>
      <c r="L7" s="67"/>
      <c r="M7" s="67"/>
      <c r="N7" s="67"/>
      <c r="O7" s="67"/>
      <c r="P7" s="68"/>
      <c r="Q7" s="69"/>
      <c r="R7" s="67"/>
      <c r="S7" s="68"/>
    </row>
    <row r="8" spans="1:19" s="23" customFormat="1" ht="15.75" customHeight="1" x14ac:dyDescent="0.25">
      <c r="A8" s="24">
        <v>39448</v>
      </c>
      <c r="B8" s="25">
        <v>147133.20000000001</v>
      </c>
      <c r="C8" s="25">
        <v>85917.499999999985</v>
      </c>
      <c r="D8" s="25">
        <v>43196.1</v>
      </c>
      <c r="E8" s="25"/>
      <c r="F8" s="25"/>
      <c r="G8" s="25"/>
      <c r="H8" s="25">
        <v>644.9</v>
      </c>
      <c r="I8" s="25">
        <v>44</v>
      </c>
      <c r="J8" s="26">
        <v>1804</v>
      </c>
      <c r="K8" s="25">
        <v>8605.0999999999985</v>
      </c>
      <c r="L8" s="25">
        <v>6646.2999999999993</v>
      </c>
      <c r="M8" s="25">
        <v>12638.900000000001</v>
      </c>
      <c r="N8" s="25">
        <v>23113.4</v>
      </c>
      <c r="O8" s="27">
        <v>32824.899999999994</v>
      </c>
      <c r="P8" s="28">
        <v>14695.8</v>
      </c>
      <c r="Q8" s="29">
        <v>-475.59999999999997</v>
      </c>
      <c r="R8" s="27">
        <v>58982.2</v>
      </c>
      <c r="S8" s="27">
        <f>SUM(B8:R8)</f>
        <v>435770.70000000007</v>
      </c>
    </row>
    <row r="9" spans="1:19" s="23" customFormat="1" x14ac:dyDescent="0.25">
      <c r="A9" s="24">
        <v>39479</v>
      </c>
      <c r="B9" s="25">
        <v>146632.79999999993</v>
      </c>
      <c r="C9" s="25">
        <v>88840.799999999988</v>
      </c>
      <c r="D9" s="25">
        <v>51628.89999999998</v>
      </c>
      <c r="E9" s="25"/>
      <c r="F9" s="25"/>
      <c r="G9" s="25"/>
      <c r="H9" s="25">
        <v>1226.8999999999999</v>
      </c>
      <c r="I9" s="25">
        <v>294</v>
      </c>
      <c r="J9" s="26">
        <v>1000</v>
      </c>
      <c r="K9" s="25">
        <v>8390.2000000000007</v>
      </c>
      <c r="L9" s="25">
        <v>5328.1</v>
      </c>
      <c r="M9" s="25">
        <v>13198.7</v>
      </c>
      <c r="N9" s="25">
        <v>21733.699999999997</v>
      </c>
      <c r="O9" s="27">
        <v>34821.4</v>
      </c>
      <c r="P9" s="28">
        <v>14327.099999999999</v>
      </c>
      <c r="Q9" s="29">
        <v>-118.10000000000002</v>
      </c>
      <c r="R9" s="27">
        <v>59157.899999999994</v>
      </c>
      <c r="S9" s="27">
        <f t="shared" ref="S9:S72" si="0">SUM(B9:R9)</f>
        <v>446462.39999999991</v>
      </c>
    </row>
    <row r="10" spans="1:19" s="23" customFormat="1" x14ac:dyDescent="0.25">
      <c r="A10" s="24">
        <v>39508</v>
      </c>
      <c r="B10" s="25">
        <v>158956.1</v>
      </c>
      <c r="C10" s="25">
        <v>88787.5</v>
      </c>
      <c r="D10" s="25">
        <v>59399.799999999988</v>
      </c>
      <c r="E10" s="25"/>
      <c r="F10" s="25"/>
      <c r="G10" s="25"/>
      <c r="H10" s="25">
        <v>798.5</v>
      </c>
      <c r="I10" s="25">
        <v>294</v>
      </c>
      <c r="J10" s="26">
        <v>1000</v>
      </c>
      <c r="K10" s="25">
        <v>8187.2000000000007</v>
      </c>
      <c r="L10" s="25">
        <v>5997.5</v>
      </c>
      <c r="M10" s="25">
        <v>11842.8</v>
      </c>
      <c r="N10" s="25">
        <v>27821.300000000003</v>
      </c>
      <c r="O10" s="27">
        <v>35343.100000000006</v>
      </c>
      <c r="P10" s="28">
        <v>14042.7</v>
      </c>
      <c r="Q10" s="29">
        <v>88.30000000000004</v>
      </c>
      <c r="R10" s="27">
        <v>57907</v>
      </c>
      <c r="S10" s="27">
        <f t="shared" si="0"/>
        <v>470465.80000000005</v>
      </c>
    </row>
    <row r="11" spans="1:19" s="23" customFormat="1" x14ac:dyDescent="0.25">
      <c r="A11" s="24">
        <v>39539</v>
      </c>
      <c r="B11" s="25">
        <v>151552.40000000002</v>
      </c>
      <c r="C11" s="25">
        <v>88117.100000000035</v>
      </c>
      <c r="D11" s="25">
        <v>54265.899999999994</v>
      </c>
      <c r="E11" s="25"/>
      <c r="F11" s="25"/>
      <c r="G11" s="25"/>
      <c r="H11" s="25">
        <v>944.89999999999986</v>
      </c>
      <c r="I11" s="25">
        <v>294</v>
      </c>
      <c r="J11" s="26">
        <v>1000</v>
      </c>
      <c r="K11" s="25">
        <v>10565.8</v>
      </c>
      <c r="L11" s="25">
        <v>6503.8</v>
      </c>
      <c r="M11" s="25">
        <v>12215.2</v>
      </c>
      <c r="N11" s="25">
        <v>25249.1</v>
      </c>
      <c r="O11" s="27">
        <v>37020.399999999994</v>
      </c>
      <c r="P11" s="28">
        <v>8965.7000000000007</v>
      </c>
      <c r="Q11" s="29">
        <v>183.80000000000004</v>
      </c>
      <c r="R11" s="27">
        <v>65058.8</v>
      </c>
      <c r="S11" s="27">
        <f t="shared" si="0"/>
        <v>461936.89999999997</v>
      </c>
    </row>
    <row r="12" spans="1:19" s="23" customFormat="1" x14ac:dyDescent="0.25">
      <c r="A12" s="24">
        <v>39569</v>
      </c>
      <c r="B12" s="25">
        <v>147094.6</v>
      </c>
      <c r="C12" s="25">
        <v>89354.3</v>
      </c>
      <c r="D12" s="25">
        <v>51391.599999999984</v>
      </c>
      <c r="E12" s="25"/>
      <c r="F12" s="25"/>
      <c r="G12" s="25"/>
      <c r="H12" s="25">
        <v>872.80000000000007</v>
      </c>
      <c r="I12" s="25">
        <v>294</v>
      </c>
      <c r="J12" s="26" t="s">
        <v>2</v>
      </c>
      <c r="K12" s="25">
        <v>12115.5</v>
      </c>
      <c r="L12" s="25">
        <v>4997.4000000000005</v>
      </c>
      <c r="M12" s="25">
        <v>16610.400000000001</v>
      </c>
      <c r="N12" s="25">
        <v>24010.900000000005</v>
      </c>
      <c r="O12" s="27">
        <v>37656.799999999996</v>
      </c>
      <c r="P12" s="28">
        <v>10311.200000000001</v>
      </c>
      <c r="Q12" s="29">
        <v>-228.89999999999964</v>
      </c>
      <c r="R12" s="27">
        <v>63345.2</v>
      </c>
      <c r="S12" s="27">
        <f t="shared" si="0"/>
        <v>457825.80000000005</v>
      </c>
    </row>
    <row r="13" spans="1:19" s="23" customFormat="1" x14ac:dyDescent="0.25">
      <c r="A13" s="24">
        <v>39600</v>
      </c>
      <c r="B13" s="25">
        <v>152474.20000000001</v>
      </c>
      <c r="C13" s="25">
        <v>86596.6</v>
      </c>
      <c r="D13" s="25">
        <v>53258.199999999983</v>
      </c>
      <c r="E13" s="25"/>
      <c r="F13" s="25"/>
      <c r="G13" s="25"/>
      <c r="H13" s="25">
        <v>1239</v>
      </c>
      <c r="I13" s="25">
        <v>250</v>
      </c>
      <c r="J13" s="26">
        <v>1474.9</v>
      </c>
      <c r="K13" s="25">
        <v>12477.300000000003</v>
      </c>
      <c r="L13" s="25">
        <v>5614.9</v>
      </c>
      <c r="M13" s="25">
        <v>15336.5</v>
      </c>
      <c r="N13" s="25">
        <v>28737.400000000005</v>
      </c>
      <c r="O13" s="27">
        <v>37655.500000000007</v>
      </c>
      <c r="P13" s="28">
        <v>12540</v>
      </c>
      <c r="Q13" s="29">
        <v>518.50000000000023</v>
      </c>
      <c r="R13" s="27">
        <v>67494</v>
      </c>
      <c r="S13" s="27">
        <f t="shared" si="0"/>
        <v>475667.00000000006</v>
      </c>
    </row>
    <row r="14" spans="1:19" s="23" customFormat="1" x14ac:dyDescent="0.25">
      <c r="A14" s="24">
        <v>39630</v>
      </c>
      <c r="B14" s="25">
        <v>157957.39999999997</v>
      </c>
      <c r="C14" s="25">
        <v>90365.2</v>
      </c>
      <c r="D14" s="25">
        <v>53263.299999999959</v>
      </c>
      <c r="E14" s="25"/>
      <c r="F14" s="25"/>
      <c r="G14" s="25"/>
      <c r="H14" s="25">
        <v>635.6</v>
      </c>
      <c r="I14" s="25">
        <v>844</v>
      </c>
      <c r="J14" s="26">
        <v>2806.3</v>
      </c>
      <c r="K14" s="25">
        <v>12129.999999999996</v>
      </c>
      <c r="L14" s="25">
        <v>5507.2999999999993</v>
      </c>
      <c r="M14" s="25">
        <v>15168.7</v>
      </c>
      <c r="N14" s="25">
        <v>28529.1</v>
      </c>
      <c r="O14" s="27">
        <v>39121.985000000001</v>
      </c>
      <c r="P14" s="28">
        <v>13785.399999999998</v>
      </c>
      <c r="Q14" s="29">
        <v>-33.999999999999993</v>
      </c>
      <c r="R14" s="27">
        <v>66043.5</v>
      </c>
      <c r="S14" s="27">
        <f t="shared" si="0"/>
        <v>486123.78499999986</v>
      </c>
    </row>
    <row r="15" spans="1:19" s="23" customFormat="1" x14ac:dyDescent="0.25">
      <c r="A15" s="24">
        <v>39661</v>
      </c>
      <c r="B15" s="25">
        <v>167207</v>
      </c>
      <c r="C15" s="25">
        <v>91903.89999999998</v>
      </c>
      <c r="D15" s="25">
        <v>58606.800000000054</v>
      </c>
      <c r="E15" s="25"/>
      <c r="F15" s="25"/>
      <c r="G15" s="25"/>
      <c r="H15" s="25">
        <v>1006.6</v>
      </c>
      <c r="I15" s="25">
        <v>900</v>
      </c>
      <c r="J15" s="26">
        <v>6000</v>
      </c>
      <c r="K15" s="25">
        <v>14529.100000000002</v>
      </c>
      <c r="L15" s="25">
        <v>4611.7</v>
      </c>
      <c r="M15" s="25">
        <v>14884.099999999999</v>
      </c>
      <c r="N15" s="25">
        <v>27114.2</v>
      </c>
      <c r="O15" s="27">
        <v>39117.299999999996</v>
      </c>
      <c r="P15" s="28">
        <v>15193.600000000002</v>
      </c>
      <c r="Q15" s="29">
        <v>-1619.7999999999997</v>
      </c>
      <c r="R15" s="27">
        <v>66384.3</v>
      </c>
      <c r="S15" s="27">
        <f t="shared" si="0"/>
        <v>505838.79999999993</v>
      </c>
    </row>
    <row r="16" spans="1:19" s="23" customFormat="1" x14ac:dyDescent="0.25">
      <c r="A16" s="24">
        <v>39692</v>
      </c>
      <c r="B16" s="25">
        <v>172053.90000000002</v>
      </c>
      <c r="C16" s="25">
        <v>93967.900000000009</v>
      </c>
      <c r="D16" s="25">
        <v>63151.69999999999</v>
      </c>
      <c r="E16" s="25"/>
      <c r="F16" s="25"/>
      <c r="G16" s="25"/>
      <c r="H16" s="25">
        <v>383.4</v>
      </c>
      <c r="I16" s="25">
        <v>550</v>
      </c>
      <c r="J16" s="26">
        <v>10622.1</v>
      </c>
      <c r="K16" s="25">
        <v>12500.700000000004</v>
      </c>
      <c r="L16" s="25">
        <v>4075.7</v>
      </c>
      <c r="M16" s="25">
        <v>32357.599999999999</v>
      </c>
      <c r="N16" s="25">
        <v>27827.299999999996</v>
      </c>
      <c r="O16" s="27">
        <v>39113.599999999999</v>
      </c>
      <c r="P16" s="28">
        <v>17031</v>
      </c>
      <c r="Q16" s="29">
        <v>-179.09999999999994</v>
      </c>
      <c r="R16" s="27">
        <v>69173.5</v>
      </c>
      <c r="S16" s="27">
        <f t="shared" si="0"/>
        <v>542629.30000000005</v>
      </c>
    </row>
    <row r="17" spans="1:19" s="23" customFormat="1" x14ac:dyDescent="0.25">
      <c r="A17" s="24">
        <v>39722</v>
      </c>
      <c r="B17" s="25">
        <v>175966.6</v>
      </c>
      <c r="C17" s="25">
        <v>95961.4</v>
      </c>
      <c r="D17" s="25">
        <v>59571.199999999997</v>
      </c>
      <c r="E17" s="25"/>
      <c r="F17" s="25"/>
      <c r="G17" s="25"/>
      <c r="H17" s="25">
        <v>1511.6999999999998</v>
      </c>
      <c r="I17" s="25">
        <v>550</v>
      </c>
      <c r="J17" s="26">
        <v>5778.8</v>
      </c>
      <c r="K17" s="25">
        <v>11713.700000000004</v>
      </c>
      <c r="L17" s="25">
        <v>4883.1000000000004</v>
      </c>
      <c r="M17" s="25">
        <v>29204</v>
      </c>
      <c r="N17" s="25">
        <v>27742.3</v>
      </c>
      <c r="O17" s="27">
        <v>39109.100000000006</v>
      </c>
      <c r="P17" s="28">
        <v>19111.300000000003</v>
      </c>
      <c r="Q17" s="29">
        <v>70.899999999999935</v>
      </c>
      <c r="R17" s="27">
        <v>73138.7</v>
      </c>
      <c r="S17" s="27">
        <f t="shared" si="0"/>
        <v>544312.80000000005</v>
      </c>
    </row>
    <row r="18" spans="1:19" s="23" customFormat="1" x14ac:dyDescent="0.25">
      <c r="A18" s="24">
        <v>39753</v>
      </c>
      <c r="B18" s="25">
        <v>177066</v>
      </c>
      <c r="C18" s="25">
        <v>98628.900000000009</v>
      </c>
      <c r="D18" s="25">
        <v>63066.3</v>
      </c>
      <c r="E18" s="25"/>
      <c r="F18" s="25"/>
      <c r="G18" s="25"/>
      <c r="H18" s="25">
        <v>606.30000000000007</v>
      </c>
      <c r="I18" s="25">
        <v>550</v>
      </c>
      <c r="J18" s="26">
        <v>5508.8</v>
      </c>
      <c r="K18" s="25">
        <v>12718.699999999997</v>
      </c>
      <c r="L18" s="25">
        <v>5170.8999999999996</v>
      </c>
      <c r="M18" s="25">
        <v>22880.800000000003</v>
      </c>
      <c r="N18" s="25">
        <v>29356.899999999998</v>
      </c>
      <c r="O18" s="27">
        <v>39109.699999999997</v>
      </c>
      <c r="P18" s="28">
        <v>20951.600000000006</v>
      </c>
      <c r="Q18" s="29">
        <v>151.6</v>
      </c>
      <c r="R18" s="27">
        <v>73563.399999999994</v>
      </c>
      <c r="S18" s="27">
        <f t="shared" si="0"/>
        <v>549329.9</v>
      </c>
    </row>
    <row r="19" spans="1:19" s="23" customFormat="1" x14ac:dyDescent="0.25">
      <c r="A19" s="24">
        <v>39783</v>
      </c>
      <c r="B19" s="25">
        <v>191381.50000000003</v>
      </c>
      <c r="C19" s="25">
        <v>99286.999999999985</v>
      </c>
      <c r="D19" s="25">
        <v>62928.999999999956</v>
      </c>
      <c r="E19" s="25"/>
      <c r="F19" s="25"/>
      <c r="G19" s="25"/>
      <c r="H19" s="25">
        <v>603.5</v>
      </c>
      <c r="I19" s="25">
        <v>550</v>
      </c>
      <c r="J19" s="26" t="s">
        <v>2</v>
      </c>
      <c r="K19" s="25">
        <v>14305</v>
      </c>
      <c r="L19" s="25">
        <v>5052.6000000000004</v>
      </c>
      <c r="M19" s="25">
        <v>24400</v>
      </c>
      <c r="N19" s="25">
        <v>30009.400000000009</v>
      </c>
      <c r="O19" s="27">
        <v>41916.799999999996</v>
      </c>
      <c r="P19" s="28">
        <v>18433.2</v>
      </c>
      <c r="Q19" s="29">
        <v>311.60000000000002</v>
      </c>
      <c r="R19" s="27">
        <v>72950</v>
      </c>
      <c r="S19" s="27">
        <f t="shared" si="0"/>
        <v>562129.59999999986</v>
      </c>
    </row>
    <row r="20" spans="1:19" s="23" customFormat="1" x14ac:dyDescent="0.25">
      <c r="A20" s="24">
        <v>39814</v>
      </c>
      <c r="B20" s="25">
        <v>189029.30000000005</v>
      </c>
      <c r="C20" s="25">
        <v>98272.999999999985</v>
      </c>
      <c r="D20" s="25">
        <v>63087.999999999985</v>
      </c>
      <c r="E20" s="25"/>
      <c r="F20" s="25"/>
      <c r="G20" s="25"/>
      <c r="H20" s="25">
        <v>822.1</v>
      </c>
      <c r="I20" s="25">
        <v>250</v>
      </c>
      <c r="J20" s="26" t="s">
        <v>2</v>
      </c>
      <c r="K20" s="25">
        <v>16240.700000000004</v>
      </c>
      <c r="L20" s="25">
        <v>5416.2999999999993</v>
      </c>
      <c r="M20" s="25">
        <v>20570.199999999997</v>
      </c>
      <c r="N20" s="25">
        <v>27662.7</v>
      </c>
      <c r="O20" s="27">
        <v>41912.300000000003</v>
      </c>
      <c r="P20" s="28">
        <v>20037.8</v>
      </c>
      <c r="Q20" s="29">
        <v>-425.29999999999995</v>
      </c>
      <c r="R20" s="27">
        <v>72262.5</v>
      </c>
      <c r="S20" s="27">
        <f t="shared" si="0"/>
        <v>555139.60000000009</v>
      </c>
    </row>
    <row r="21" spans="1:19" s="23" customFormat="1" x14ac:dyDescent="0.25">
      <c r="A21" s="24">
        <v>39845</v>
      </c>
      <c r="B21" s="25">
        <v>185013.2</v>
      </c>
      <c r="C21" s="25">
        <v>100057.7</v>
      </c>
      <c r="D21" s="25">
        <v>63707</v>
      </c>
      <c r="E21" s="25"/>
      <c r="F21" s="25"/>
      <c r="G21" s="25"/>
      <c r="H21" s="25">
        <v>513.09999999999991</v>
      </c>
      <c r="I21" s="25">
        <v>250</v>
      </c>
      <c r="J21" s="26" t="s">
        <v>2</v>
      </c>
      <c r="K21" s="25">
        <v>18072.8</v>
      </c>
      <c r="L21" s="25">
        <v>5613.6</v>
      </c>
      <c r="M21" s="25">
        <v>20922.100000000002</v>
      </c>
      <c r="N21" s="25">
        <v>27916.6</v>
      </c>
      <c r="O21" s="27">
        <v>41908.200000000004</v>
      </c>
      <c r="P21" s="28">
        <v>21148.7</v>
      </c>
      <c r="Q21" s="29">
        <v>297.3</v>
      </c>
      <c r="R21" s="27">
        <v>72192.399999999994</v>
      </c>
      <c r="S21" s="27">
        <f t="shared" si="0"/>
        <v>557612.69999999995</v>
      </c>
    </row>
    <row r="22" spans="1:19" s="23" customFormat="1" x14ac:dyDescent="0.25">
      <c r="A22" s="24">
        <v>39873</v>
      </c>
      <c r="B22" s="25">
        <v>193487.00000000003</v>
      </c>
      <c r="C22" s="25">
        <v>99341.599999999991</v>
      </c>
      <c r="D22" s="25">
        <v>67743</v>
      </c>
      <c r="E22" s="25"/>
      <c r="F22" s="25"/>
      <c r="G22" s="25"/>
      <c r="H22" s="25">
        <v>596.49999999999989</v>
      </c>
      <c r="I22" s="25">
        <v>650</v>
      </c>
      <c r="J22" s="26" t="s">
        <v>2</v>
      </c>
      <c r="K22" s="25">
        <v>17668.999999999993</v>
      </c>
      <c r="L22" s="25">
        <v>6239.7999999999993</v>
      </c>
      <c r="M22" s="25">
        <v>17902.900000000001</v>
      </c>
      <c r="N22" s="25">
        <v>28111.9</v>
      </c>
      <c r="O22" s="27">
        <v>49158.8</v>
      </c>
      <c r="P22" s="28">
        <v>10940.9</v>
      </c>
      <c r="Q22" s="29">
        <v>704.4</v>
      </c>
      <c r="R22" s="27">
        <v>68053.399999999994</v>
      </c>
      <c r="S22" s="27">
        <f t="shared" si="0"/>
        <v>560599.20000000007</v>
      </c>
    </row>
    <row r="23" spans="1:19" s="23" customFormat="1" x14ac:dyDescent="0.25">
      <c r="A23" s="24">
        <v>39904</v>
      </c>
      <c r="B23" s="25">
        <v>188760.3</v>
      </c>
      <c r="C23" s="25">
        <v>102392.59999999999</v>
      </c>
      <c r="D23" s="25">
        <v>69117.299999999974</v>
      </c>
      <c r="E23" s="25"/>
      <c r="F23" s="25"/>
      <c r="G23" s="25"/>
      <c r="H23" s="25">
        <v>473.50000000000006</v>
      </c>
      <c r="I23" s="25">
        <v>250</v>
      </c>
      <c r="J23" s="26" t="s">
        <v>2</v>
      </c>
      <c r="K23" s="25">
        <v>17006.8</v>
      </c>
      <c r="L23" s="25">
        <v>5937.3</v>
      </c>
      <c r="M23" s="25">
        <v>16534.8</v>
      </c>
      <c r="N23" s="25">
        <v>36224.19999999999</v>
      </c>
      <c r="O23" s="27">
        <v>49160.1</v>
      </c>
      <c r="P23" s="28">
        <v>13386.5</v>
      </c>
      <c r="Q23" s="29">
        <v>208.7000000000009</v>
      </c>
      <c r="R23" s="27">
        <v>68114.899999999994</v>
      </c>
      <c r="S23" s="27">
        <f t="shared" si="0"/>
        <v>567566.99999999988</v>
      </c>
    </row>
    <row r="24" spans="1:19" s="23" customFormat="1" x14ac:dyDescent="0.25">
      <c r="A24" s="24">
        <v>39934</v>
      </c>
      <c r="B24" s="25">
        <v>187407.80000000005</v>
      </c>
      <c r="C24" s="25">
        <v>105164.2</v>
      </c>
      <c r="D24" s="25">
        <v>68803.400000000023</v>
      </c>
      <c r="E24" s="25"/>
      <c r="F24" s="25"/>
      <c r="G24" s="25"/>
      <c r="H24" s="25">
        <v>585.6</v>
      </c>
      <c r="I24" s="25">
        <v>250</v>
      </c>
      <c r="J24" s="26" t="s">
        <v>2</v>
      </c>
      <c r="K24" s="25">
        <v>20411.300000000003</v>
      </c>
      <c r="L24" s="25">
        <v>5181.6000000000004</v>
      </c>
      <c r="M24" s="25">
        <v>18313.5</v>
      </c>
      <c r="N24" s="25">
        <v>34014</v>
      </c>
      <c r="O24" s="27">
        <v>50850.499999999993</v>
      </c>
      <c r="P24" s="28">
        <v>12562.6</v>
      </c>
      <c r="Q24" s="29">
        <v>432.6</v>
      </c>
      <c r="R24" s="27">
        <v>70019.100000000006</v>
      </c>
      <c r="S24" s="27">
        <f t="shared" si="0"/>
        <v>573996.19999999995</v>
      </c>
    </row>
    <row r="25" spans="1:19" s="23" customFormat="1" x14ac:dyDescent="0.25">
      <c r="A25" s="24">
        <v>39965</v>
      </c>
      <c r="B25" s="25">
        <v>189677.49999999997</v>
      </c>
      <c r="C25" s="25">
        <v>106663.59999999998</v>
      </c>
      <c r="D25" s="25">
        <v>68982.700000000012</v>
      </c>
      <c r="E25" s="25"/>
      <c r="F25" s="25"/>
      <c r="G25" s="25"/>
      <c r="H25" s="25">
        <v>509.40000000000003</v>
      </c>
      <c r="I25" s="25">
        <v>250</v>
      </c>
      <c r="J25" s="26" t="s">
        <v>2</v>
      </c>
      <c r="K25" s="25">
        <v>21121.899999999998</v>
      </c>
      <c r="L25" s="25">
        <v>7416.3</v>
      </c>
      <c r="M25" s="25">
        <v>16926.8</v>
      </c>
      <c r="N25" s="25">
        <v>37042.699999999997</v>
      </c>
      <c r="O25" s="27">
        <v>60352.9</v>
      </c>
      <c r="P25" s="28">
        <v>15173.199999999999</v>
      </c>
      <c r="Q25" s="29">
        <v>890.00000000000023</v>
      </c>
      <c r="R25" s="27">
        <v>66951</v>
      </c>
      <c r="S25" s="27">
        <f t="shared" si="0"/>
        <v>591958.00000000012</v>
      </c>
    </row>
    <row r="26" spans="1:19" s="23" customFormat="1" x14ac:dyDescent="0.25">
      <c r="A26" s="24">
        <v>39995</v>
      </c>
      <c r="B26" s="25">
        <v>187572.40000000002</v>
      </c>
      <c r="C26" s="25">
        <v>107222.40000000001</v>
      </c>
      <c r="D26" s="25">
        <v>70338.299999999988</v>
      </c>
      <c r="E26" s="25"/>
      <c r="F26" s="25"/>
      <c r="G26" s="25"/>
      <c r="H26" s="25">
        <v>397.7</v>
      </c>
      <c r="I26" s="25">
        <v>250</v>
      </c>
      <c r="J26" s="26" t="s">
        <v>2</v>
      </c>
      <c r="K26" s="25">
        <v>20394.200000000004</v>
      </c>
      <c r="L26" s="25">
        <v>7058.2</v>
      </c>
      <c r="M26" s="25">
        <v>16754</v>
      </c>
      <c r="N26" s="25">
        <v>31841.699999999997</v>
      </c>
      <c r="O26" s="27">
        <v>61343.499999999993</v>
      </c>
      <c r="P26" s="28">
        <v>14673.1</v>
      </c>
      <c r="Q26" s="29">
        <v>615.1000000000007</v>
      </c>
      <c r="R26" s="27">
        <v>66860.600000000006</v>
      </c>
      <c r="S26" s="27">
        <f t="shared" si="0"/>
        <v>585321.20000000007</v>
      </c>
    </row>
    <row r="27" spans="1:19" s="23" customFormat="1" x14ac:dyDescent="0.25">
      <c r="A27" s="24">
        <v>40026</v>
      </c>
      <c r="B27" s="25">
        <v>196651.80000000002</v>
      </c>
      <c r="C27" s="25">
        <v>105039.89999999998</v>
      </c>
      <c r="D27" s="25">
        <v>71610.799999999988</v>
      </c>
      <c r="E27" s="25"/>
      <c r="F27" s="25"/>
      <c r="G27" s="25"/>
      <c r="H27" s="25">
        <v>571.1</v>
      </c>
      <c r="I27" s="25">
        <v>250</v>
      </c>
      <c r="J27" s="26" t="s">
        <v>2</v>
      </c>
      <c r="K27" s="25">
        <v>20792.5</v>
      </c>
      <c r="L27" s="25">
        <v>7525.7</v>
      </c>
      <c r="M27" s="25">
        <v>15730.4</v>
      </c>
      <c r="N27" s="25">
        <v>34910.100000000006</v>
      </c>
      <c r="O27" s="27">
        <v>64051.700000000004</v>
      </c>
      <c r="P27" s="28">
        <v>16460.8</v>
      </c>
      <c r="Q27" s="29">
        <v>434.9</v>
      </c>
      <c r="R27" s="27">
        <v>65413.8</v>
      </c>
      <c r="S27" s="27">
        <f t="shared" si="0"/>
        <v>599443.50000000012</v>
      </c>
    </row>
    <row r="28" spans="1:19" s="23" customFormat="1" x14ac:dyDescent="0.25">
      <c r="A28" s="24">
        <v>40057</v>
      </c>
      <c r="B28" s="25">
        <v>218751.30000000005</v>
      </c>
      <c r="C28" s="25">
        <v>101272.9</v>
      </c>
      <c r="D28" s="25">
        <v>70998.700000000012</v>
      </c>
      <c r="E28" s="25"/>
      <c r="F28" s="25"/>
      <c r="G28" s="25"/>
      <c r="H28" s="25">
        <v>567.19999999999993</v>
      </c>
      <c r="I28" s="25">
        <v>250</v>
      </c>
      <c r="J28" s="26" t="s">
        <v>2</v>
      </c>
      <c r="K28" s="25">
        <v>21198.800000000003</v>
      </c>
      <c r="L28" s="25">
        <v>7648.5000000000009</v>
      </c>
      <c r="M28" s="25">
        <v>14750.699999999999</v>
      </c>
      <c r="N28" s="25">
        <v>37309.800000000003</v>
      </c>
      <c r="O28" s="27">
        <v>64261.3</v>
      </c>
      <c r="P28" s="28">
        <v>18787.999999999996</v>
      </c>
      <c r="Q28" s="29">
        <v>729.79999999999984</v>
      </c>
      <c r="R28" s="27">
        <v>67320.600000000006</v>
      </c>
      <c r="S28" s="27">
        <f t="shared" si="0"/>
        <v>623847.60000000009</v>
      </c>
    </row>
    <row r="29" spans="1:19" s="23" customFormat="1" x14ac:dyDescent="0.25">
      <c r="A29" s="24">
        <v>40087</v>
      </c>
      <c r="B29" s="25">
        <v>208587.40000000002</v>
      </c>
      <c r="C29" s="25">
        <v>110084.7</v>
      </c>
      <c r="D29" s="25">
        <v>78159.5</v>
      </c>
      <c r="E29" s="25"/>
      <c r="F29" s="25"/>
      <c r="G29" s="25"/>
      <c r="H29" s="25">
        <v>937.19999999999993</v>
      </c>
      <c r="I29" s="25">
        <v>250</v>
      </c>
      <c r="J29" s="26" t="s">
        <v>2</v>
      </c>
      <c r="K29" s="25">
        <v>21230.6</v>
      </c>
      <c r="L29" s="25">
        <v>6992.2999999999993</v>
      </c>
      <c r="M29" s="25">
        <v>11770.199999999999</v>
      </c>
      <c r="N29" s="25">
        <v>37126.300000000003</v>
      </c>
      <c r="O29" s="27">
        <v>64257</v>
      </c>
      <c r="P29" s="28">
        <v>20748.8</v>
      </c>
      <c r="Q29" s="29">
        <v>-971.89999999999964</v>
      </c>
      <c r="R29" s="27">
        <v>69611.100000000006</v>
      </c>
      <c r="S29" s="27">
        <f t="shared" si="0"/>
        <v>628783.19999999995</v>
      </c>
    </row>
    <row r="30" spans="1:19" s="23" customFormat="1" x14ac:dyDescent="0.25">
      <c r="A30" s="24">
        <v>40118</v>
      </c>
      <c r="B30" s="25">
        <v>199910.80000000002</v>
      </c>
      <c r="C30" s="25">
        <v>115495.1</v>
      </c>
      <c r="D30" s="25">
        <v>78415.100000000006</v>
      </c>
      <c r="E30" s="25"/>
      <c r="F30" s="25"/>
      <c r="G30" s="25"/>
      <c r="H30" s="25">
        <v>1000.5999999999999</v>
      </c>
      <c r="I30" s="25">
        <v>250</v>
      </c>
      <c r="J30" s="26" t="s">
        <v>2</v>
      </c>
      <c r="K30" s="25">
        <v>23258.600000000002</v>
      </c>
      <c r="L30" s="25">
        <v>9097.2000000000007</v>
      </c>
      <c r="M30" s="25">
        <v>21657.3</v>
      </c>
      <c r="N30" s="25">
        <v>37392.799999999996</v>
      </c>
      <c r="O30" s="27">
        <v>64161.5</v>
      </c>
      <c r="P30" s="28">
        <v>22811.799999999996</v>
      </c>
      <c r="Q30" s="29">
        <v>-1843.7999999999995</v>
      </c>
      <c r="R30" s="27">
        <v>70607</v>
      </c>
      <c r="S30" s="27">
        <f t="shared" si="0"/>
        <v>642214</v>
      </c>
    </row>
    <row r="31" spans="1:19" s="23" customFormat="1" x14ac:dyDescent="0.25">
      <c r="A31" s="24">
        <v>40148</v>
      </c>
      <c r="B31" s="25">
        <v>226504.30000000002</v>
      </c>
      <c r="C31" s="25">
        <v>116535.90000000001</v>
      </c>
      <c r="D31" s="25">
        <v>81175.299999999988</v>
      </c>
      <c r="E31" s="25"/>
      <c r="F31" s="25"/>
      <c r="G31" s="25"/>
      <c r="H31" s="25">
        <v>1234.8999999999999</v>
      </c>
      <c r="I31" s="25">
        <v>400</v>
      </c>
      <c r="J31" s="26" t="s">
        <v>2</v>
      </c>
      <c r="K31" s="25">
        <v>23913.5</v>
      </c>
      <c r="L31" s="25">
        <v>8608.5999999999985</v>
      </c>
      <c r="M31" s="25">
        <v>33663.599999999999</v>
      </c>
      <c r="N31" s="25">
        <v>36237.599999999999</v>
      </c>
      <c r="O31" s="27">
        <v>69695</v>
      </c>
      <c r="P31" s="28">
        <v>21190.100000000002</v>
      </c>
      <c r="Q31" s="29">
        <v>1123.9000000000001</v>
      </c>
      <c r="R31" s="27">
        <v>69028</v>
      </c>
      <c r="S31" s="27">
        <f t="shared" si="0"/>
        <v>689310.7</v>
      </c>
    </row>
    <row r="32" spans="1:19" s="23" customFormat="1" x14ac:dyDescent="0.25">
      <c r="A32" s="24">
        <v>40179</v>
      </c>
      <c r="B32" s="25">
        <v>226785.69999999995</v>
      </c>
      <c r="C32" s="25">
        <v>115031.49999999999</v>
      </c>
      <c r="D32" s="25">
        <v>83433.399999999994</v>
      </c>
      <c r="E32" s="25"/>
      <c r="F32" s="25"/>
      <c r="G32" s="25"/>
      <c r="H32" s="25">
        <v>1327.3</v>
      </c>
      <c r="I32" s="25">
        <v>700</v>
      </c>
      <c r="J32" s="26" t="s">
        <v>2</v>
      </c>
      <c r="K32" s="25">
        <v>23544.199999999997</v>
      </c>
      <c r="L32" s="25">
        <v>7594.2000000000007</v>
      </c>
      <c r="M32" s="25">
        <v>30691.9</v>
      </c>
      <c r="N32" s="25">
        <v>35732.400000000009</v>
      </c>
      <c r="O32" s="27">
        <v>69706.3</v>
      </c>
      <c r="P32" s="28">
        <v>22144.2</v>
      </c>
      <c r="Q32" s="29">
        <v>1334.9</v>
      </c>
      <c r="R32" s="27">
        <v>70471.899999999994</v>
      </c>
      <c r="S32" s="27">
        <f t="shared" si="0"/>
        <v>688497.9</v>
      </c>
    </row>
    <row r="33" spans="1:19" s="23" customFormat="1" x14ac:dyDescent="0.25">
      <c r="A33" s="24">
        <v>40210</v>
      </c>
      <c r="B33" s="25">
        <v>230514.80000000008</v>
      </c>
      <c r="C33" s="25">
        <v>116386.20000000003</v>
      </c>
      <c r="D33" s="25">
        <v>83596.400000000023</v>
      </c>
      <c r="E33" s="25"/>
      <c r="F33" s="25"/>
      <c r="G33" s="25"/>
      <c r="H33" s="25">
        <v>1141.8</v>
      </c>
      <c r="I33" s="25">
        <v>700</v>
      </c>
      <c r="J33" s="26" t="s">
        <v>2</v>
      </c>
      <c r="K33" s="25">
        <v>25529</v>
      </c>
      <c r="L33" s="25">
        <v>8040.2999999999993</v>
      </c>
      <c r="M33" s="25">
        <v>30818</v>
      </c>
      <c r="N33" s="25">
        <v>35653.4</v>
      </c>
      <c r="O33" s="27">
        <v>73234.799999999988</v>
      </c>
      <c r="P33" s="28">
        <v>15912.8</v>
      </c>
      <c r="Q33" s="29">
        <v>906</v>
      </c>
      <c r="R33" s="27">
        <v>72951</v>
      </c>
      <c r="S33" s="27">
        <f t="shared" si="0"/>
        <v>695384.50000000023</v>
      </c>
    </row>
    <row r="34" spans="1:19" s="23" customFormat="1" x14ac:dyDescent="0.25">
      <c r="A34" s="24">
        <v>40238</v>
      </c>
      <c r="B34" s="25">
        <v>243881.79999999996</v>
      </c>
      <c r="C34" s="25">
        <v>121262.00000000001</v>
      </c>
      <c r="D34" s="25">
        <v>82919.399999999907</v>
      </c>
      <c r="E34" s="25"/>
      <c r="F34" s="25"/>
      <c r="G34" s="25"/>
      <c r="H34" s="25">
        <v>1962.6</v>
      </c>
      <c r="I34" s="25">
        <v>1120</v>
      </c>
      <c r="J34" s="26">
        <v>30.6</v>
      </c>
      <c r="K34" s="25">
        <v>25001.8</v>
      </c>
      <c r="L34" s="25">
        <v>9623.5</v>
      </c>
      <c r="M34" s="25">
        <v>32319.000000000004</v>
      </c>
      <c r="N34" s="25">
        <v>33546.700000000004</v>
      </c>
      <c r="O34" s="27">
        <v>77502.3</v>
      </c>
      <c r="P34" s="28">
        <v>10329.4</v>
      </c>
      <c r="Q34" s="29">
        <v>1438.3</v>
      </c>
      <c r="R34" s="27">
        <v>67919.899999999994</v>
      </c>
      <c r="S34" s="27">
        <f t="shared" si="0"/>
        <v>708857.29999999993</v>
      </c>
    </row>
    <row r="35" spans="1:19" s="23" customFormat="1" x14ac:dyDescent="0.25">
      <c r="A35" s="24">
        <v>40269</v>
      </c>
      <c r="B35" s="25">
        <v>235781.09999999998</v>
      </c>
      <c r="C35" s="25">
        <v>124560.40000000004</v>
      </c>
      <c r="D35" s="25">
        <v>81903.400000000009</v>
      </c>
      <c r="E35" s="25"/>
      <c r="F35" s="25"/>
      <c r="G35" s="25"/>
      <c r="H35" s="25">
        <v>1355.6999999999998</v>
      </c>
      <c r="I35" s="25">
        <v>1050</v>
      </c>
      <c r="J35" s="26" t="s">
        <v>2</v>
      </c>
      <c r="K35" s="25">
        <v>26065.900000000005</v>
      </c>
      <c r="L35" s="25">
        <v>9237.9000000000015</v>
      </c>
      <c r="M35" s="25">
        <v>29731.600000000002</v>
      </c>
      <c r="N35" s="25">
        <v>40011.5</v>
      </c>
      <c r="O35" s="27">
        <v>81216.299999999988</v>
      </c>
      <c r="P35" s="28">
        <v>5652</v>
      </c>
      <c r="Q35" s="29">
        <v>1642.6000000000006</v>
      </c>
      <c r="R35" s="27">
        <v>68354.399999999994</v>
      </c>
      <c r="S35" s="27">
        <f t="shared" si="0"/>
        <v>706562.8</v>
      </c>
    </row>
    <row r="36" spans="1:19" s="23" customFormat="1" x14ac:dyDescent="0.25">
      <c r="A36" s="24">
        <v>40299</v>
      </c>
      <c r="B36" s="25">
        <v>225789.7</v>
      </c>
      <c r="C36" s="25">
        <v>121514.30000000002</v>
      </c>
      <c r="D36" s="25">
        <v>82362.099999999962</v>
      </c>
      <c r="E36" s="25"/>
      <c r="F36" s="25"/>
      <c r="G36" s="25"/>
      <c r="H36" s="25">
        <v>1393.5</v>
      </c>
      <c r="I36" s="25">
        <v>1550</v>
      </c>
      <c r="J36" s="26" t="s">
        <v>2</v>
      </c>
      <c r="K36" s="25">
        <v>23800.9</v>
      </c>
      <c r="L36" s="25">
        <v>9214.2000000000007</v>
      </c>
      <c r="M36" s="25">
        <v>23896.199999999997</v>
      </c>
      <c r="N36" s="25">
        <v>35952.400000000001</v>
      </c>
      <c r="O36" s="27">
        <v>81205.5</v>
      </c>
      <c r="P36" s="28">
        <v>6902.7</v>
      </c>
      <c r="Q36" s="29">
        <v>-550.39999999999941</v>
      </c>
      <c r="R36" s="27">
        <v>70527.600000000006</v>
      </c>
      <c r="S36" s="27">
        <f t="shared" si="0"/>
        <v>683558.7</v>
      </c>
    </row>
    <row r="37" spans="1:19" s="23" customFormat="1" x14ac:dyDescent="0.25">
      <c r="A37" s="24">
        <v>40330</v>
      </c>
      <c r="B37" s="25">
        <v>238376.80000000005</v>
      </c>
      <c r="C37" s="25">
        <v>126025.79999999997</v>
      </c>
      <c r="D37" s="25">
        <v>86114.9</v>
      </c>
      <c r="E37" s="25"/>
      <c r="F37" s="25"/>
      <c r="G37" s="25"/>
      <c r="H37" s="25">
        <v>1492</v>
      </c>
      <c r="I37" s="25">
        <v>1050</v>
      </c>
      <c r="J37" s="26" t="s">
        <v>2</v>
      </c>
      <c r="K37" s="25">
        <v>24223.999999999993</v>
      </c>
      <c r="L37" s="25">
        <v>8547.6000000000022</v>
      </c>
      <c r="M37" s="25">
        <v>24891</v>
      </c>
      <c r="N37" s="25">
        <v>37032.600000000006</v>
      </c>
      <c r="O37" s="27">
        <v>85821</v>
      </c>
      <c r="P37" s="28">
        <v>8391.7999999999993</v>
      </c>
      <c r="Q37" s="29">
        <v>181.8</v>
      </c>
      <c r="R37" s="27">
        <v>70952.3</v>
      </c>
      <c r="S37" s="27">
        <f t="shared" si="0"/>
        <v>713101.60000000009</v>
      </c>
    </row>
    <row r="38" spans="1:19" s="23" customFormat="1" x14ac:dyDescent="0.25">
      <c r="A38" s="24">
        <v>40360</v>
      </c>
      <c r="B38" s="25">
        <v>246537.7</v>
      </c>
      <c r="C38" s="25">
        <v>129963</v>
      </c>
      <c r="D38" s="25">
        <v>85926.399999999994</v>
      </c>
      <c r="E38" s="25"/>
      <c r="F38" s="25"/>
      <c r="G38" s="25"/>
      <c r="H38" s="25">
        <v>1078.3999999999999</v>
      </c>
      <c r="I38" s="25">
        <v>1450</v>
      </c>
      <c r="J38" s="26">
        <v>127.1</v>
      </c>
      <c r="K38" s="25">
        <v>22486.300000000003</v>
      </c>
      <c r="L38" s="25">
        <v>10740.2</v>
      </c>
      <c r="M38" s="25">
        <v>29026.800000000003</v>
      </c>
      <c r="N38" s="25">
        <v>39069.899999999994</v>
      </c>
      <c r="O38" s="27">
        <v>85809.8</v>
      </c>
      <c r="P38" s="28">
        <v>11443.999999999998</v>
      </c>
      <c r="Q38" s="29">
        <v>68.299999999999983</v>
      </c>
      <c r="R38" s="27">
        <v>70897.3</v>
      </c>
      <c r="S38" s="27">
        <f t="shared" si="0"/>
        <v>734625.20000000019</v>
      </c>
    </row>
    <row r="39" spans="1:19" s="23" customFormat="1" x14ac:dyDescent="0.25">
      <c r="A39" s="24">
        <v>40391</v>
      </c>
      <c r="B39" s="25">
        <v>260957.19999999995</v>
      </c>
      <c r="C39" s="25">
        <v>134263.90000000002</v>
      </c>
      <c r="D39" s="25">
        <v>84036</v>
      </c>
      <c r="E39" s="25"/>
      <c r="F39" s="25"/>
      <c r="G39" s="25"/>
      <c r="H39" s="25">
        <v>1163.6000000000001</v>
      </c>
      <c r="I39" s="25">
        <v>950</v>
      </c>
      <c r="J39" s="26">
        <v>598.6</v>
      </c>
      <c r="K39" s="25">
        <v>23271.4</v>
      </c>
      <c r="L39" s="25">
        <v>8351.2000000000007</v>
      </c>
      <c r="M39" s="25">
        <v>27179.4</v>
      </c>
      <c r="N39" s="25">
        <v>36289.300000000003</v>
      </c>
      <c r="O39" s="27">
        <v>85765.099999999991</v>
      </c>
      <c r="P39" s="28">
        <v>13484.4</v>
      </c>
      <c r="Q39" s="29">
        <v>-345.19999999999948</v>
      </c>
      <c r="R39" s="27">
        <v>77201.600000000006</v>
      </c>
      <c r="S39" s="27">
        <f t="shared" si="0"/>
        <v>753166.5</v>
      </c>
    </row>
    <row r="40" spans="1:19" s="23" customFormat="1" x14ac:dyDescent="0.25">
      <c r="A40" s="24">
        <v>40422</v>
      </c>
      <c r="B40" s="25">
        <v>266036.5</v>
      </c>
      <c r="C40" s="25">
        <v>134944.70000000001</v>
      </c>
      <c r="D40" s="25">
        <v>87639.60000000002</v>
      </c>
      <c r="E40" s="25"/>
      <c r="F40" s="25"/>
      <c r="G40" s="25"/>
      <c r="H40" s="25">
        <v>1671.4000000000003</v>
      </c>
      <c r="I40" s="25">
        <v>550</v>
      </c>
      <c r="J40" s="26" t="s">
        <v>2</v>
      </c>
      <c r="K40" s="25">
        <v>24892.799999999999</v>
      </c>
      <c r="L40" s="25">
        <v>8200.6</v>
      </c>
      <c r="M40" s="25">
        <v>26983.399999999998</v>
      </c>
      <c r="N40" s="25">
        <v>37379.599999999999</v>
      </c>
      <c r="O40" s="27">
        <v>85756.4</v>
      </c>
      <c r="P40" s="28">
        <v>15328.399999999998</v>
      </c>
      <c r="Q40" s="29">
        <v>965.1</v>
      </c>
      <c r="R40" s="27">
        <v>75870</v>
      </c>
      <c r="S40" s="27">
        <f t="shared" si="0"/>
        <v>766218.5</v>
      </c>
    </row>
    <row r="41" spans="1:19" s="23" customFormat="1" x14ac:dyDescent="0.25">
      <c r="A41" s="24">
        <v>40452</v>
      </c>
      <c r="B41" s="25">
        <v>259714.99999999994</v>
      </c>
      <c r="C41" s="25">
        <v>138672.1</v>
      </c>
      <c r="D41" s="25">
        <v>85571.400000000023</v>
      </c>
      <c r="E41" s="25"/>
      <c r="F41" s="25"/>
      <c r="G41" s="25"/>
      <c r="H41" s="25">
        <v>689.6</v>
      </c>
      <c r="I41" s="25">
        <v>610</v>
      </c>
      <c r="J41" s="26">
        <v>3740.2</v>
      </c>
      <c r="K41" s="25">
        <v>26282.9</v>
      </c>
      <c r="L41" s="25">
        <v>7967.1</v>
      </c>
      <c r="M41" s="25">
        <v>28540.700000000004</v>
      </c>
      <c r="N41" s="25">
        <v>40353.199999999997</v>
      </c>
      <c r="O41" s="27">
        <v>85745.9</v>
      </c>
      <c r="P41" s="28">
        <v>18416.7</v>
      </c>
      <c r="Q41" s="29">
        <v>1238.3000000000009</v>
      </c>
      <c r="R41" s="27">
        <v>81153.100000000006</v>
      </c>
      <c r="S41" s="27">
        <f t="shared" si="0"/>
        <v>778696.2</v>
      </c>
    </row>
    <row r="42" spans="1:19" s="23" customFormat="1" x14ac:dyDescent="0.25">
      <c r="A42" s="24">
        <v>40483</v>
      </c>
      <c r="B42" s="25">
        <v>270386.2</v>
      </c>
      <c r="C42" s="25">
        <v>136402.20000000001</v>
      </c>
      <c r="D42" s="25">
        <v>88843.6</v>
      </c>
      <c r="E42" s="25"/>
      <c r="F42" s="25"/>
      <c r="G42" s="25"/>
      <c r="H42" s="25">
        <v>1802.6000000000001</v>
      </c>
      <c r="I42" s="25">
        <v>610</v>
      </c>
      <c r="J42" s="26" t="s">
        <v>2</v>
      </c>
      <c r="K42" s="25">
        <v>25964.399999999994</v>
      </c>
      <c r="L42" s="25">
        <v>7609.7</v>
      </c>
      <c r="M42" s="25">
        <v>24621.9</v>
      </c>
      <c r="N42" s="25">
        <v>46726.1</v>
      </c>
      <c r="O42" s="27">
        <v>85734.799999999988</v>
      </c>
      <c r="P42" s="28">
        <v>21176.799999999999</v>
      </c>
      <c r="Q42" s="29">
        <v>1812.1</v>
      </c>
      <c r="R42" s="27">
        <v>82168.100000000006</v>
      </c>
      <c r="S42" s="27">
        <f t="shared" si="0"/>
        <v>793858.5</v>
      </c>
    </row>
    <row r="43" spans="1:19" s="23" customFormat="1" x14ac:dyDescent="0.25">
      <c r="A43" s="24">
        <v>40513</v>
      </c>
      <c r="B43" s="25">
        <v>273222.09999999998</v>
      </c>
      <c r="C43" s="25">
        <v>140294.30000000002</v>
      </c>
      <c r="D43" s="25">
        <v>89591.3</v>
      </c>
      <c r="E43" s="25">
        <v>2849.9</v>
      </c>
      <c r="F43" s="25">
        <v>1812.4</v>
      </c>
      <c r="G43" s="25">
        <v>0</v>
      </c>
      <c r="H43" s="25">
        <v>1128.8</v>
      </c>
      <c r="I43" s="25">
        <v>530</v>
      </c>
      <c r="J43" s="26" t="s">
        <v>2</v>
      </c>
      <c r="K43" s="25">
        <v>30800.699999999997</v>
      </c>
      <c r="L43" s="25">
        <v>5456.4</v>
      </c>
      <c r="M43" s="25">
        <v>27042.2</v>
      </c>
      <c r="N43" s="25">
        <v>50485.599999999991</v>
      </c>
      <c r="O43" s="27">
        <v>97362.8</v>
      </c>
      <c r="P43" s="28">
        <v>22695.399999999998</v>
      </c>
      <c r="Q43" s="29">
        <v>-98.600000000000051</v>
      </c>
      <c r="R43" s="27">
        <v>97373.599999999991</v>
      </c>
      <c r="S43" s="27">
        <f>SUM(B43:R43)</f>
        <v>840546.9</v>
      </c>
    </row>
    <row r="44" spans="1:19" s="23" customFormat="1" x14ac:dyDescent="0.25">
      <c r="A44" s="24">
        <v>40544</v>
      </c>
      <c r="B44" s="30">
        <v>271793.90000000002</v>
      </c>
      <c r="C44" s="30">
        <v>137579.29999999999</v>
      </c>
      <c r="D44" s="30">
        <v>72736.799999999988</v>
      </c>
      <c r="E44" s="30">
        <v>1578.1</v>
      </c>
      <c r="F44" s="30">
        <v>4862.3999999999996</v>
      </c>
      <c r="G44" s="30">
        <v>0</v>
      </c>
      <c r="H44" s="30">
        <v>2248.7000000000003</v>
      </c>
      <c r="I44" s="30">
        <v>230</v>
      </c>
      <c r="J44" s="30" t="s">
        <v>2</v>
      </c>
      <c r="K44" s="30">
        <v>33611.1</v>
      </c>
      <c r="L44" s="30">
        <v>4751.6000000000004</v>
      </c>
      <c r="M44" s="30">
        <v>41326.6</v>
      </c>
      <c r="N44" s="30">
        <v>44614.499999999993</v>
      </c>
      <c r="O44" s="27">
        <v>97456.7</v>
      </c>
      <c r="P44" s="28">
        <v>24765.699999999997</v>
      </c>
      <c r="Q44" s="29">
        <v>299.69999999999993</v>
      </c>
      <c r="R44" s="27">
        <v>98164.199999999983</v>
      </c>
      <c r="S44" s="27">
        <f t="shared" si="0"/>
        <v>836019.29999999981</v>
      </c>
    </row>
    <row r="45" spans="1:19" s="23" customFormat="1" x14ac:dyDescent="0.25">
      <c r="A45" s="24">
        <v>40575</v>
      </c>
      <c r="B45" s="30">
        <v>273343.59999999998</v>
      </c>
      <c r="C45" s="30">
        <v>136883.6</v>
      </c>
      <c r="D45" s="30">
        <v>75994.3</v>
      </c>
      <c r="E45" s="30">
        <v>1683.8000000000002</v>
      </c>
      <c r="F45" s="30">
        <v>5429.9</v>
      </c>
      <c r="G45" s="30">
        <v>0</v>
      </c>
      <c r="H45" s="30">
        <v>1700</v>
      </c>
      <c r="I45" s="30">
        <v>230</v>
      </c>
      <c r="J45" s="30">
        <v>1723.4</v>
      </c>
      <c r="K45" s="30">
        <v>31971.1</v>
      </c>
      <c r="L45" s="30">
        <v>4930.3</v>
      </c>
      <c r="M45" s="30">
        <v>35054.399999999994</v>
      </c>
      <c r="N45" s="30">
        <v>49423.19999999999</v>
      </c>
      <c r="O45" s="27">
        <v>100368.1</v>
      </c>
      <c r="P45" s="28">
        <v>19326.399999999998</v>
      </c>
      <c r="Q45" s="29">
        <v>1114.1999999999985</v>
      </c>
      <c r="R45" s="27">
        <v>102607.7</v>
      </c>
      <c r="S45" s="27">
        <f t="shared" si="0"/>
        <v>841783.99999999988</v>
      </c>
    </row>
    <row r="46" spans="1:19" s="23" customFormat="1" x14ac:dyDescent="0.25">
      <c r="A46" s="24">
        <v>40603</v>
      </c>
      <c r="B46" s="30">
        <v>265379.09999999998</v>
      </c>
      <c r="C46" s="30">
        <v>141656.20000000001</v>
      </c>
      <c r="D46" s="30">
        <v>73793.099999999948</v>
      </c>
      <c r="E46" s="30">
        <v>1806.8</v>
      </c>
      <c r="F46" s="30">
        <v>5417.5</v>
      </c>
      <c r="G46" s="30">
        <v>0</v>
      </c>
      <c r="H46" s="30">
        <v>1290.3</v>
      </c>
      <c r="I46" s="30">
        <v>230</v>
      </c>
      <c r="J46" s="30">
        <v>3410.3</v>
      </c>
      <c r="K46" s="30">
        <v>31775.899999999998</v>
      </c>
      <c r="L46" s="30">
        <v>5617.3</v>
      </c>
      <c r="M46" s="30">
        <v>29368</v>
      </c>
      <c r="N46" s="30">
        <v>39002.5</v>
      </c>
      <c r="O46" s="27">
        <v>116593.8</v>
      </c>
      <c r="P46" s="28">
        <v>12874.099999999999</v>
      </c>
      <c r="Q46" s="29">
        <v>2459.6999999999994</v>
      </c>
      <c r="R46" s="27">
        <v>114898.1</v>
      </c>
      <c r="S46" s="27">
        <f t="shared" si="0"/>
        <v>845572.69999999984</v>
      </c>
    </row>
    <row r="47" spans="1:19" s="23" customFormat="1" x14ac:dyDescent="0.25">
      <c r="A47" s="24">
        <v>40634</v>
      </c>
      <c r="B47" s="30">
        <v>278397.2</v>
      </c>
      <c r="C47" s="30">
        <v>140400.4</v>
      </c>
      <c r="D47" s="30">
        <v>73402.400000000009</v>
      </c>
      <c r="E47" s="30">
        <v>1161.8</v>
      </c>
      <c r="F47" s="30">
        <v>6029.9</v>
      </c>
      <c r="G47" s="30">
        <v>0</v>
      </c>
      <c r="H47" s="30">
        <v>1990.2999999999997</v>
      </c>
      <c r="I47" s="30">
        <v>230</v>
      </c>
      <c r="J47" s="30">
        <v>4017</v>
      </c>
      <c r="K47" s="30">
        <v>28636.100000000002</v>
      </c>
      <c r="L47" s="30">
        <v>7165.1999999999989</v>
      </c>
      <c r="M47" s="30">
        <v>32355.199999999997</v>
      </c>
      <c r="N47" s="30">
        <v>43570.299999999996</v>
      </c>
      <c r="O47" s="27">
        <v>117737.7</v>
      </c>
      <c r="P47" s="28">
        <v>11700.6</v>
      </c>
      <c r="Q47" s="29">
        <v>590.4000000000002</v>
      </c>
      <c r="R47" s="27">
        <v>92608.800000000017</v>
      </c>
      <c r="S47" s="27">
        <f t="shared" si="0"/>
        <v>839993.29999999993</v>
      </c>
    </row>
    <row r="48" spans="1:19" s="23" customFormat="1" x14ac:dyDescent="0.25">
      <c r="A48" s="24">
        <v>40664</v>
      </c>
      <c r="B48" s="30">
        <v>275079.59999999992</v>
      </c>
      <c r="C48" s="30">
        <v>144697.29999999999</v>
      </c>
      <c r="D48" s="30">
        <v>72428.700000000041</v>
      </c>
      <c r="E48" s="30">
        <v>1036.3</v>
      </c>
      <c r="F48" s="30">
        <v>6236.4</v>
      </c>
      <c r="G48" s="30">
        <v>0</v>
      </c>
      <c r="H48" s="30">
        <v>1634.3</v>
      </c>
      <c r="I48" s="30">
        <v>230</v>
      </c>
      <c r="J48" s="30">
        <v>8850.7999999999993</v>
      </c>
      <c r="K48" s="30">
        <v>30900.999999999993</v>
      </c>
      <c r="L48" s="30">
        <v>6206.9</v>
      </c>
      <c r="M48" s="30">
        <v>33662.700000000004</v>
      </c>
      <c r="N48" s="30">
        <v>41594.699999999997</v>
      </c>
      <c r="O48" s="27">
        <v>117729.1</v>
      </c>
      <c r="P48" s="28">
        <v>14594.6</v>
      </c>
      <c r="Q48" s="29">
        <v>3195.1</v>
      </c>
      <c r="R48" s="27">
        <v>97211.4</v>
      </c>
      <c r="S48" s="27">
        <f t="shared" si="0"/>
        <v>855288.89999999979</v>
      </c>
    </row>
    <row r="49" spans="1:19" s="23" customFormat="1" x14ac:dyDescent="0.25">
      <c r="A49" s="24">
        <v>40695</v>
      </c>
      <c r="B49" s="30">
        <v>272670.90000000002</v>
      </c>
      <c r="C49" s="30">
        <v>153379.6</v>
      </c>
      <c r="D49" s="30">
        <v>77435.999999999985</v>
      </c>
      <c r="E49" s="30">
        <v>1403.7</v>
      </c>
      <c r="F49" s="30">
        <v>4336.3999999999996</v>
      </c>
      <c r="G49" s="30">
        <v>0</v>
      </c>
      <c r="H49" s="30">
        <v>1811.1</v>
      </c>
      <c r="I49" s="30">
        <v>230</v>
      </c>
      <c r="J49" s="30">
        <v>21978.1</v>
      </c>
      <c r="K49" s="30">
        <v>29656.899999999998</v>
      </c>
      <c r="L49" s="30">
        <v>6361.1</v>
      </c>
      <c r="M49" s="30">
        <v>28131.5</v>
      </c>
      <c r="N49" s="30">
        <v>39056.400000000001</v>
      </c>
      <c r="O49" s="27">
        <v>117718.90000000001</v>
      </c>
      <c r="P49" s="28">
        <v>17607.399999999998</v>
      </c>
      <c r="Q49" s="29">
        <v>3184.1000000000026</v>
      </c>
      <c r="R49" s="27">
        <v>97087.6</v>
      </c>
      <c r="S49" s="27">
        <f t="shared" si="0"/>
        <v>872049.70000000007</v>
      </c>
    </row>
    <row r="50" spans="1:19" s="23" customFormat="1" x14ac:dyDescent="0.25">
      <c r="A50" s="24">
        <v>40725</v>
      </c>
      <c r="B50" s="30">
        <v>274926.90000000002</v>
      </c>
      <c r="C50" s="30">
        <v>158305.4</v>
      </c>
      <c r="D50" s="30">
        <v>91316.500000000015</v>
      </c>
      <c r="E50" s="30">
        <v>767.80000000000007</v>
      </c>
      <c r="F50" s="30">
        <v>4136.3999999999996</v>
      </c>
      <c r="G50" s="30">
        <v>0</v>
      </c>
      <c r="H50" s="30">
        <v>661.6</v>
      </c>
      <c r="I50" s="30">
        <v>230</v>
      </c>
      <c r="J50" s="30">
        <v>28323</v>
      </c>
      <c r="K50" s="30">
        <v>31714.600000000002</v>
      </c>
      <c r="L50" s="30">
        <v>7435.7</v>
      </c>
      <c r="M50" s="30">
        <v>22824.6</v>
      </c>
      <c r="N50" s="30">
        <v>42413.599999999999</v>
      </c>
      <c r="O50" s="27">
        <v>117709.1</v>
      </c>
      <c r="P50" s="28">
        <v>20758.199999999997</v>
      </c>
      <c r="Q50" s="29">
        <v>-63.700000000001772</v>
      </c>
      <c r="R50" s="27">
        <v>97576.5</v>
      </c>
      <c r="S50" s="27">
        <f t="shared" si="0"/>
        <v>899036.2</v>
      </c>
    </row>
    <row r="51" spans="1:19" s="23" customFormat="1" x14ac:dyDescent="0.25">
      <c r="A51" s="24">
        <v>40756</v>
      </c>
      <c r="B51" s="30">
        <v>275833.79999999993</v>
      </c>
      <c r="C51" s="30">
        <v>164701.79999999996</v>
      </c>
      <c r="D51" s="30">
        <v>86856.8</v>
      </c>
      <c r="E51" s="30">
        <v>1500.9</v>
      </c>
      <c r="F51" s="30">
        <v>4036.4</v>
      </c>
      <c r="G51" s="30">
        <v>0</v>
      </c>
      <c r="H51" s="30">
        <v>1011.4999999999999</v>
      </c>
      <c r="I51" s="30">
        <v>230</v>
      </c>
      <c r="J51" s="30">
        <v>30701.8</v>
      </c>
      <c r="K51" s="30">
        <v>30946.1</v>
      </c>
      <c r="L51" s="30">
        <v>8465</v>
      </c>
      <c r="M51" s="30">
        <v>27124.500000000004</v>
      </c>
      <c r="N51" s="30">
        <v>41757.4</v>
      </c>
      <c r="O51" s="27">
        <v>117698.50000000001</v>
      </c>
      <c r="P51" s="28">
        <v>24366</v>
      </c>
      <c r="Q51" s="29">
        <v>-61.500000000002181</v>
      </c>
      <c r="R51" s="27">
        <v>100242.4</v>
      </c>
      <c r="S51" s="27">
        <f t="shared" si="0"/>
        <v>915411.4</v>
      </c>
    </row>
    <row r="52" spans="1:19" s="23" customFormat="1" x14ac:dyDescent="0.25">
      <c r="A52" s="24">
        <v>40787</v>
      </c>
      <c r="B52" s="30">
        <v>257023.60000000003</v>
      </c>
      <c r="C52" s="30">
        <v>166744.29999999999</v>
      </c>
      <c r="D52" s="30">
        <v>83235.099999999991</v>
      </c>
      <c r="E52" s="30">
        <v>1358.0000000000002</v>
      </c>
      <c r="F52" s="30">
        <v>4086.4</v>
      </c>
      <c r="G52" s="30">
        <v>0</v>
      </c>
      <c r="H52" s="30">
        <v>1928.8999999999999</v>
      </c>
      <c r="I52" s="30">
        <v>230</v>
      </c>
      <c r="J52" s="30">
        <v>41135.1</v>
      </c>
      <c r="K52" s="30">
        <v>30672.800000000003</v>
      </c>
      <c r="L52" s="30">
        <v>8199.5</v>
      </c>
      <c r="M52" s="30">
        <v>30423.899999999998</v>
      </c>
      <c r="N52" s="30">
        <v>41451.9</v>
      </c>
      <c r="O52" s="27">
        <v>117688.70000000001</v>
      </c>
      <c r="P52" s="28">
        <v>27652.300000000003</v>
      </c>
      <c r="Q52" s="29">
        <v>242.30000000000288</v>
      </c>
      <c r="R52" s="27">
        <v>98128.2</v>
      </c>
      <c r="S52" s="27">
        <f t="shared" si="0"/>
        <v>910201.00000000023</v>
      </c>
    </row>
    <row r="53" spans="1:19" s="23" customFormat="1" x14ac:dyDescent="0.25">
      <c r="A53" s="24">
        <v>40817</v>
      </c>
      <c r="B53" s="30">
        <v>255311.9</v>
      </c>
      <c r="C53" s="30">
        <v>165659.1</v>
      </c>
      <c r="D53" s="30">
        <v>83808.899999999994</v>
      </c>
      <c r="E53" s="30">
        <v>2081.4</v>
      </c>
      <c r="F53" s="30">
        <v>3586.4</v>
      </c>
      <c r="G53" s="30">
        <v>0</v>
      </c>
      <c r="H53" s="30">
        <v>1231.5</v>
      </c>
      <c r="I53" s="30">
        <v>230</v>
      </c>
      <c r="J53" s="30">
        <v>34479.800000000003</v>
      </c>
      <c r="K53" s="30">
        <v>35131.4</v>
      </c>
      <c r="L53" s="30">
        <v>9151.2000000000007</v>
      </c>
      <c r="M53" s="30">
        <v>29507.8</v>
      </c>
      <c r="N53" s="30">
        <v>46516</v>
      </c>
      <c r="O53" s="27">
        <v>117677.90000000001</v>
      </c>
      <c r="P53" s="28">
        <v>31090.799999999999</v>
      </c>
      <c r="Q53" s="29">
        <v>698.2000000000013</v>
      </c>
      <c r="R53" s="27">
        <v>110142.1</v>
      </c>
      <c r="S53" s="27">
        <f t="shared" si="0"/>
        <v>926304.40000000014</v>
      </c>
    </row>
    <row r="54" spans="1:19" s="23" customFormat="1" x14ac:dyDescent="0.25">
      <c r="A54" s="24">
        <v>40848</v>
      </c>
      <c r="B54" s="30">
        <v>246334.99999999997</v>
      </c>
      <c r="C54" s="30">
        <v>169673.40000000002</v>
      </c>
      <c r="D54" s="30">
        <v>85868.799999999974</v>
      </c>
      <c r="E54" s="30">
        <v>2504.5</v>
      </c>
      <c r="F54" s="30">
        <v>4286.3999999999996</v>
      </c>
      <c r="G54" s="30">
        <v>0</v>
      </c>
      <c r="H54" s="30">
        <v>765.20000000000016</v>
      </c>
      <c r="I54" s="30">
        <v>230</v>
      </c>
      <c r="J54" s="30">
        <v>38992.799999999996</v>
      </c>
      <c r="K54" s="30">
        <v>36892.799999999996</v>
      </c>
      <c r="L54" s="30">
        <v>9256.7000000000007</v>
      </c>
      <c r="M54" s="30">
        <v>34346.299999999996</v>
      </c>
      <c r="N54" s="30">
        <v>54900.000000000007</v>
      </c>
      <c r="O54" s="27">
        <v>117667.6</v>
      </c>
      <c r="P54" s="28">
        <v>33981.200000000004</v>
      </c>
      <c r="Q54" s="29">
        <v>752.20000000000221</v>
      </c>
      <c r="R54" s="27">
        <v>103487.2</v>
      </c>
      <c r="S54" s="27">
        <f t="shared" si="0"/>
        <v>939940.1</v>
      </c>
    </row>
    <row r="55" spans="1:19" s="23" customFormat="1" x14ac:dyDescent="0.25">
      <c r="A55" s="24">
        <v>40878</v>
      </c>
      <c r="B55" s="30">
        <v>263857.99999999994</v>
      </c>
      <c r="C55" s="30">
        <v>173056.09999999998</v>
      </c>
      <c r="D55" s="30">
        <v>89107.6</v>
      </c>
      <c r="E55" s="30">
        <v>3654.7</v>
      </c>
      <c r="F55" s="30">
        <v>3786.4</v>
      </c>
      <c r="G55" s="30">
        <v>0</v>
      </c>
      <c r="H55" s="30">
        <v>570.1</v>
      </c>
      <c r="I55" s="30">
        <v>230</v>
      </c>
      <c r="J55" s="30">
        <v>23887.599999999999</v>
      </c>
      <c r="K55" s="30">
        <v>32739.100000000006</v>
      </c>
      <c r="L55" s="30">
        <v>6981.7999999999993</v>
      </c>
      <c r="M55" s="30">
        <v>38665.200000000004</v>
      </c>
      <c r="N55" s="30">
        <v>50033.100000000006</v>
      </c>
      <c r="O55" s="27">
        <v>117656.70000000001</v>
      </c>
      <c r="P55" s="28">
        <v>30401</v>
      </c>
      <c r="Q55" s="29">
        <v>563.60000000000093</v>
      </c>
      <c r="R55" s="27">
        <v>101557.2</v>
      </c>
      <c r="S55" s="27">
        <f t="shared" si="0"/>
        <v>936748.19999999984</v>
      </c>
    </row>
    <row r="56" spans="1:19" s="23" customFormat="1" x14ac:dyDescent="0.25">
      <c r="A56" s="24">
        <v>40909</v>
      </c>
      <c r="B56" s="30">
        <v>270523.30000000005</v>
      </c>
      <c r="C56" s="30">
        <v>162535.4</v>
      </c>
      <c r="D56" s="30">
        <v>97165.6</v>
      </c>
      <c r="E56" s="30">
        <v>3550.7000000000003</v>
      </c>
      <c r="F56" s="30">
        <v>4416.3999999999996</v>
      </c>
      <c r="G56" s="30">
        <v>0</v>
      </c>
      <c r="H56" s="30">
        <v>855.69999999999993</v>
      </c>
      <c r="I56" s="30">
        <v>230</v>
      </c>
      <c r="J56" s="26">
        <v>17905.5</v>
      </c>
      <c r="K56" s="30">
        <v>37725.600000000006</v>
      </c>
      <c r="L56" s="30">
        <v>8935.9000000000015</v>
      </c>
      <c r="M56" s="30">
        <v>35210.9</v>
      </c>
      <c r="N56" s="30">
        <v>53880.600000000006</v>
      </c>
      <c r="O56" s="27">
        <v>117646.3</v>
      </c>
      <c r="P56" s="28">
        <v>33758.199999999997</v>
      </c>
      <c r="Q56" s="29">
        <v>650.00000000000148</v>
      </c>
      <c r="R56" s="27">
        <v>104221</v>
      </c>
      <c r="S56" s="27">
        <f t="shared" si="0"/>
        <v>949211.1</v>
      </c>
    </row>
    <row r="57" spans="1:19" s="23" customFormat="1" x14ac:dyDescent="0.25">
      <c r="A57" s="24">
        <v>40940</v>
      </c>
      <c r="B57" s="30">
        <v>269505.20000000007</v>
      </c>
      <c r="C57" s="30">
        <v>159791.1</v>
      </c>
      <c r="D57" s="30">
        <v>100592.29999999999</v>
      </c>
      <c r="E57" s="30">
        <v>3181.2</v>
      </c>
      <c r="F57" s="30">
        <v>6576.4</v>
      </c>
      <c r="G57" s="30">
        <v>0</v>
      </c>
      <c r="H57" s="30">
        <v>1134</v>
      </c>
      <c r="I57" s="30">
        <v>230</v>
      </c>
      <c r="J57" s="26">
        <v>28977.9</v>
      </c>
      <c r="K57" s="30">
        <v>40219.500000000007</v>
      </c>
      <c r="L57" s="30">
        <v>8492.0999999999985</v>
      </c>
      <c r="M57" s="30">
        <v>28885.1</v>
      </c>
      <c r="N57" s="30">
        <v>56915.9</v>
      </c>
      <c r="O57" s="27">
        <v>122193.60000000001</v>
      </c>
      <c r="P57" s="28">
        <v>26064.9</v>
      </c>
      <c r="Q57" s="29">
        <v>733.00000000000102</v>
      </c>
      <c r="R57" s="27">
        <v>106414.5</v>
      </c>
      <c r="S57" s="27">
        <f t="shared" si="0"/>
        <v>959906.70000000007</v>
      </c>
    </row>
    <row r="58" spans="1:19" s="23" customFormat="1" x14ac:dyDescent="0.25">
      <c r="A58" s="24">
        <v>40969</v>
      </c>
      <c r="B58" s="30">
        <v>259706.40000000002</v>
      </c>
      <c r="C58" s="30">
        <v>164708.70000000001</v>
      </c>
      <c r="D58" s="30">
        <v>93403.200000000012</v>
      </c>
      <c r="E58" s="30">
        <v>1646.7</v>
      </c>
      <c r="F58" s="30">
        <v>5864</v>
      </c>
      <c r="G58" s="30">
        <v>0</v>
      </c>
      <c r="H58" s="30">
        <v>717.99999999999989</v>
      </c>
      <c r="I58" s="30">
        <v>230</v>
      </c>
      <c r="J58" s="26">
        <v>31870.5</v>
      </c>
      <c r="K58" s="30">
        <v>55936.899999999994</v>
      </c>
      <c r="L58" s="30">
        <v>10091.099999999999</v>
      </c>
      <c r="M58" s="30">
        <v>27345.300000000003</v>
      </c>
      <c r="N58" s="30">
        <v>62203.799999999996</v>
      </c>
      <c r="O58" s="27">
        <v>134289.1</v>
      </c>
      <c r="P58" s="28">
        <v>7570.6</v>
      </c>
      <c r="Q58" s="29">
        <v>-36.500000000000135</v>
      </c>
      <c r="R58" s="27">
        <v>103463</v>
      </c>
      <c r="S58" s="27">
        <f t="shared" si="0"/>
        <v>959010.8</v>
      </c>
    </row>
    <row r="59" spans="1:19" s="23" customFormat="1" x14ac:dyDescent="0.25">
      <c r="A59" s="24">
        <v>41000</v>
      </c>
      <c r="B59" s="30">
        <v>264156.5</v>
      </c>
      <c r="C59" s="30">
        <v>165197.4</v>
      </c>
      <c r="D59" s="30">
        <v>96935.8</v>
      </c>
      <c r="E59" s="30">
        <v>2098.1999999999998</v>
      </c>
      <c r="F59" s="30">
        <v>5904</v>
      </c>
      <c r="G59" s="30">
        <v>0</v>
      </c>
      <c r="H59" s="30">
        <v>628.69999999999993</v>
      </c>
      <c r="I59" s="30">
        <v>230</v>
      </c>
      <c r="J59" s="26">
        <v>42523.3</v>
      </c>
      <c r="K59" s="30">
        <v>34431.399999999994</v>
      </c>
      <c r="L59" s="30">
        <v>10053.099999999999</v>
      </c>
      <c r="M59" s="30">
        <v>25979.200000000004</v>
      </c>
      <c r="N59" s="30">
        <v>70678.399999999994</v>
      </c>
      <c r="O59" s="27">
        <v>134278.40000000002</v>
      </c>
      <c r="P59" s="28">
        <v>9105</v>
      </c>
      <c r="Q59" s="29">
        <v>128.49999999999849</v>
      </c>
      <c r="R59" s="27">
        <v>90626.5</v>
      </c>
      <c r="S59" s="27">
        <f t="shared" si="0"/>
        <v>952954.4</v>
      </c>
    </row>
    <row r="60" spans="1:19" s="23" customFormat="1" x14ac:dyDescent="0.25">
      <c r="A60" s="24">
        <v>41030</v>
      </c>
      <c r="B60" s="30">
        <v>262428</v>
      </c>
      <c r="C60" s="30">
        <v>156027.6</v>
      </c>
      <c r="D60" s="30">
        <v>97569.299999999901</v>
      </c>
      <c r="E60" s="30">
        <v>4906</v>
      </c>
      <c r="F60" s="30">
        <v>13097.6</v>
      </c>
      <c r="G60" s="30">
        <v>70.599999999999994</v>
      </c>
      <c r="H60" s="30">
        <v>1425.7</v>
      </c>
      <c r="I60" s="30">
        <v>1230</v>
      </c>
      <c r="J60" s="26">
        <v>52308</v>
      </c>
      <c r="K60" s="30">
        <v>32454.100000000002</v>
      </c>
      <c r="L60" s="30">
        <v>6547.5000000000009</v>
      </c>
      <c r="M60" s="30">
        <v>22903.100000000002</v>
      </c>
      <c r="N60" s="30">
        <v>68415.7</v>
      </c>
      <c r="O60" s="27">
        <v>134269.1</v>
      </c>
      <c r="P60" s="28">
        <v>11060.199999999999</v>
      </c>
      <c r="Q60" s="29">
        <v>-37.39999999999727</v>
      </c>
      <c r="R60" s="27">
        <v>94169</v>
      </c>
      <c r="S60" s="27">
        <f t="shared" si="0"/>
        <v>958844.09999999963</v>
      </c>
    </row>
    <row r="61" spans="1:19" s="23" customFormat="1" x14ac:dyDescent="0.25">
      <c r="A61" s="24">
        <v>41061</v>
      </c>
      <c r="B61" s="30">
        <v>256612.00000000003</v>
      </c>
      <c r="C61" s="30">
        <v>159523.6</v>
      </c>
      <c r="D61" s="30">
        <v>101943.79999999997</v>
      </c>
      <c r="E61" s="30">
        <v>6724.0999999999985</v>
      </c>
      <c r="F61" s="30">
        <v>11967.6</v>
      </c>
      <c r="G61" s="30">
        <v>72</v>
      </c>
      <c r="H61" s="30">
        <v>1338.3</v>
      </c>
      <c r="I61" s="30">
        <v>730</v>
      </c>
      <c r="J61" s="26">
        <v>60060.100000000006</v>
      </c>
      <c r="K61" s="30">
        <v>31556.400000000001</v>
      </c>
      <c r="L61" s="30">
        <v>7214.2000000000007</v>
      </c>
      <c r="M61" s="30">
        <v>22638.800000000003</v>
      </c>
      <c r="N61" s="30">
        <v>78002.399999999994</v>
      </c>
      <c r="O61" s="27">
        <v>134259.40000000002</v>
      </c>
      <c r="P61" s="28">
        <v>12766.1</v>
      </c>
      <c r="Q61" s="29">
        <v>85.599999999997266</v>
      </c>
      <c r="R61" s="27">
        <v>97022.399999999994</v>
      </c>
      <c r="S61" s="27">
        <f t="shared" si="0"/>
        <v>982516.8</v>
      </c>
    </row>
    <row r="62" spans="1:19" s="23" customFormat="1" x14ac:dyDescent="0.25">
      <c r="A62" s="24">
        <v>41091</v>
      </c>
      <c r="B62" s="30">
        <v>262242.09999999998</v>
      </c>
      <c r="C62" s="30">
        <v>157920.69999999998</v>
      </c>
      <c r="D62" s="30">
        <v>110734.2</v>
      </c>
      <c r="E62" s="30">
        <v>6075.8999999999987</v>
      </c>
      <c r="F62" s="30">
        <v>10711</v>
      </c>
      <c r="G62" s="30">
        <v>73.3</v>
      </c>
      <c r="H62" s="30">
        <v>1059</v>
      </c>
      <c r="I62" s="30">
        <v>730</v>
      </c>
      <c r="J62" s="26">
        <v>54159.9</v>
      </c>
      <c r="K62" s="30">
        <v>35590.100000000006</v>
      </c>
      <c r="L62" s="30">
        <v>8429</v>
      </c>
      <c r="M62" s="30">
        <v>19663.100000000002</v>
      </c>
      <c r="N62" s="30">
        <v>66653.899999999994</v>
      </c>
      <c r="O62" s="27">
        <v>145442.40000000002</v>
      </c>
      <c r="P62" s="28">
        <v>14668</v>
      </c>
      <c r="Q62" s="29">
        <v>-1479.1</v>
      </c>
      <c r="R62" s="27">
        <v>101018.79999999999</v>
      </c>
      <c r="S62" s="27">
        <f t="shared" si="0"/>
        <v>993692.3</v>
      </c>
    </row>
    <row r="63" spans="1:19" s="23" customFormat="1" x14ac:dyDescent="0.25">
      <c r="A63" s="24">
        <v>41122</v>
      </c>
      <c r="B63" s="30">
        <v>274197.00000000006</v>
      </c>
      <c r="C63" s="30">
        <v>157815.89999999997</v>
      </c>
      <c r="D63" s="30">
        <v>122459.39999999992</v>
      </c>
      <c r="E63" s="30">
        <v>3786</v>
      </c>
      <c r="F63" s="30">
        <v>11262.6</v>
      </c>
      <c r="G63" s="30">
        <v>73.7</v>
      </c>
      <c r="H63" s="30">
        <v>890.59999999999991</v>
      </c>
      <c r="I63" s="30">
        <v>730</v>
      </c>
      <c r="J63" s="26">
        <v>42538</v>
      </c>
      <c r="K63" s="30">
        <v>30768.7</v>
      </c>
      <c r="L63" s="30">
        <v>8883.2000000000007</v>
      </c>
      <c r="M63" s="30">
        <v>17402.400000000001</v>
      </c>
      <c r="N63" s="30">
        <v>71435.899999999994</v>
      </c>
      <c r="O63" s="27">
        <v>145432.70000000001</v>
      </c>
      <c r="P63" s="28">
        <v>16709.7</v>
      </c>
      <c r="Q63" s="29">
        <v>-1289.5000000000005</v>
      </c>
      <c r="R63" s="27">
        <v>104142.19999999998</v>
      </c>
      <c r="S63" s="27">
        <f t="shared" si="0"/>
        <v>1007238.4999999998</v>
      </c>
    </row>
    <row r="64" spans="1:19" s="23" customFormat="1" x14ac:dyDescent="0.25">
      <c r="A64" s="24">
        <v>41153</v>
      </c>
      <c r="B64" s="30">
        <v>276735.60000000009</v>
      </c>
      <c r="C64" s="30">
        <v>154764.19999999998</v>
      </c>
      <c r="D64" s="30">
        <v>125419.49999999999</v>
      </c>
      <c r="E64" s="30">
        <v>5107.3999999999996</v>
      </c>
      <c r="F64" s="30">
        <v>13347.2</v>
      </c>
      <c r="G64" s="30">
        <v>73.900000000000006</v>
      </c>
      <c r="H64" s="30">
        <v>898.90000000000009</v>
      </c>
      <c r="I64" s="30">
        <v>500</v>
      </c>
      <c r="J64" s="26">
        <v>29462.9</v>
      </c>
      <c r="K64" s="30">
        <v>31357.000000000004</v>
      </c>
      <c r="L64" s="30">
        <v>10100.700000000001</v>
      </c>
      <c r="M64" s="30">
        <v>14680.300000000001</v>
      </c>
      <c r="N64" s="30">
        <v>60492.30000000001</v>
      </c>
      <c r="O64" s="27">
        <v>145422.80000000002</v>
      </c>
      <c r="P64" s="28">
        <v>18133.500000000004</v>
      </c>
      <c r="Q64" s="29">
        <v>-706.49999999999488</v>
      </c>
      <c r="R64" s="27">
        <v>102133.90000000002</v>
      </c>
      <c r="S64" s="27">
        <f t="shared" si="0"/>
        <v>987923.60000000021</v>
      </c>
    </row>
    <row r="65" spans="1:19" s="23" customFormat="1" x14ac:dyDescent="0.25">
      <c r="A65" s="24">
        <v>41183</v>
      </c>
      <c r="B65" s="30">
        <v>268884.39999999997</v>
      </c>
      <c r="C65" s="30">
        <v>158843.20000000001</v>
      </c>
      <c r="D65" s="30">
        <v>123174.50000000009</v>
      </c>
      <c r="E65" s="30">
        <v>6670.9999999999991</v>
      </c>
      <c r="F65" s="30">
        <v>13767.3</v>
      </c>
      <c r="G65" s="30">
        <v>67.8</v>
      </c>
      <c r="H65" s="30">
        <v>1079.9000000000001</v>
      </c>
      <c r="I65" s="30">
        <v>730</v>
      </c>
      <c r="J65" s="26">
        <v>15843.4</v>
      </c>
      <c r="K65" s="30">
        <v>45764.399999999994</v>
      </c>
      <c r="L65" s="30">
        <v>8197.4</v>
      </c>
      <c r="M65" s="30">
        <v>19189.199999999997</v>
      </c>
      <c r="N65" s="30">
        <v>64807.700000000012</v>
      </c>
      <c r="O65" s="27">
        <v>145412.40000000002</v>
      </c>
      <c r="P65" s="28">
        <v>19170</v>
      </c>
      <c r="Q65" s="29">
        <v>850.19999999999857</v>
      </c>
      <c r="R65" s="27">
        <v>108481.9</v>
      </c>
      <c r="S65" s="27">
        <f t="shared" si="0"/>
        <v>1000934.7000000002</v>
      </c>
    </row>
    <row r="66" spans="1:19" s="23" customFormat="1" x14ac:dyDescent="0.25">
      <c r="A66" s="24">
        <v>41214</v>
      </c>
      <c r="B66" s="30">
        <v>274410.7</v>
      </c>
      <c r="C66" s="30">
        <v>166721.40000000002</v>
      </c>
      <c r="D66" s="30">
        <v>118407.09999999999</v>
      </c>
      <c r="E66" s="30">
        <v>6775.5</v>
      </c>
      <c r="F66" s="30">
        <v>16514.2</v>
      </c>
      <c r="G66" s="30">
        <v>69</v>
      </c>
      <c r="H66" s="30">
        <v>1863.1</v>
      </c>
      <c r="I66" s="30">
        <v>430</v>
      </c>
      <c r="J66" s="26">
        <v>9145.9</v>
      </c>
      <c r="K66" s="30">
        <v>31930.5</v>
      </c>
      <c r="L66" s="30">
        <v>9095.6</v>
      </c>
      <c r="M66" s="30">
        <v>30171.7</v>
      </c>
      <c r="N66" s="30">
        <v>69365.899999999994</v>
      </c>
      <c r="O66" s="27">
        <v>145402</v>
      </c>
      <c r="P66" s="28">
        <v>20646.900000000001</v>
      </c>
      <c r="Q66" s="29">
        <v>3804.5999999999981</v>
      </c>
      <c r="R66" s="27">
        <v>104669.19999999998</v>
      </c>
      <c r="S66" s="27">
        <f t="shared" si="0"/>
        <v>1009423.2999999999</v>
      </c>
    </row>
    <row r="67" spans="1:19" s="23" customFormat="1" x14ac:dyDescent="0.25">
      <c r="A67" s="24">
        <v>41244</v>
      </c>
      <c r="B67" s="30">
        <v>293628.7</v>
      </c>
      <c r="C67" s="30">
        <v>175495.9</v>
      </c>
      <c r="D67" s="30">
        <v>125922.79999999999</v>
      </c>
      <c r="E67" s="30">
        <v>7559.4</v>
      </c>
      <c r="F67" s="30">
        <v>17126.100000000002</v>
      </c>
      <c r="G67" s="30">
        <v>170.1</v>
      </c>
      <c r="H67" s="30">
        <v>1801.0000000000002</v>
      </c>
      <c r="I67" s="30">
        <v>430</v>
      </c>
      <c r="J67" s="26" t="s">
        <v>2</v>
      </c>
      <c r="K67" s="30">
        <v>33328.200000000004</v>
      </c>
      <c r="L67" s="30">
        <v>9660.5</v>
      </c>
      <c r="M67" s="30">
        <v>32270.799999999999</v>
      </c>
      <c r="N67" s="30">
        <v>62960.799999999996</v>
      </c>
      <c r="O67" s="27">
        <v>162470.70000000001</v>
      </c>
      <c r="P67" s="28">
        <v>20813.100000000002</v>
      </c>
      <c r="Q67" s="29">
        <v>4114.6000000000004</v>
      </c>
      <c r="R67" s="27">
        <v>96931.400000000009</v>
      </c>
      <c r="S67" s="27">
        <f t="shared" si="0"/>
        <v>1044684.1</v>
      </c>
    </row>
    <row r="68" spans="1:19" s="23" customFormat="1" x14ac:dyDescent="0.25">
      <c r="A68" s="24">
        <v>41275</v>
      </c>
      <c r="B68" s="25">
        <v>293968.59999999998</v>
      </c>
      <c r="C68" s="25">
        <v>177234.6</v>
      </c>
      <c r="D68" s="25">
        <v>131812.79999999996</v>
      </c>
      <c r="E68" s="25">
        <v>8135.4</v>
      </c>
      <c r="F68" s="25">
        <v>17800.099999999999</v>
      </c>
      <c r="G68" s="25">
        <v>176.1</v>
      </c>
      <c r="H68" s="25">
        <v>1106.8000000000002</v>
      </c>
      <c r="I68" s="25">
        <v>430</v>
      </c>
      <c r="J68" s="26">
        <v>586.9</v>
      </c>
      <c r="K68" s="25">
        <v>33955</v>
      </c>
      <c r="L68" s="25">
        <v>13243.399999999998</v>
      </c>
      <c r="M68" s="25">
        <v>31935.7</v>
      </c>
      <c r="N68" s="25">
        <v>68552.5</v>
      </c>
      <c r="O68" s="27">
        <v>162460.10000000003</v>
      </c>
      <c r="P68" s="28">
        <v>22701.600000000002</v>
      </c>
      <c r="Q68" s="29">
        <v>496.29999999999711</v>
      </c>
      <c r="R68" s="27">
        <v>104613.5</v>
      </c>
      <c r="S68" s="27">
        <f t="shared" si="0"/>
        <v>1069209.3999999999</v>
      </c>
    </row>
    <row r="69" spans="1:19" s="23" customFormat="1" x14ac:dyDescent="0.25">
      <c r="A69" s="24">
        <v>41306</v>
      </c>
      <c r="B69" s="25">
        <v>299521.1999999999</v>
      </c>
      <c r="C69" s="25">
        <v>175462.29999999996</v>
      </c>
      <c r="D69" s="25">
        <v>146775.79999999996</v>
      </c>
      <c r="E69" s="25">
        <v>9477.9</v>
      </c>
      <c r="F69" s="25">
        <v>16387.900000000001</v>
      </c>
      <c r="G69" s="25">
        <v>183.6</v>
      </c>
      <c r="H69" s="25">
        <v>1023.4000000000001</v>
      </c>
      <c r="I69" s="25">
        <v>430</v>
      </c>
      <c r="J69" s="26">
        <v>11950.7</v>
      </c>
      <c r="K69" s="25">
        <v>26738.9</v>
      </c>
      <c r="L69" s="25">
        <v>13352.4</v>
      </c>
      <c r="M69" s="25">
        <v>31572.800000000003</v>
      </c>
      <c r="N69" s="25">
        <v>69485.899999999994</v>
      </c>
      <c r="O69" s="27">
        <v>162448.9</v>
      </c>
      <c r="P69" s="28">
        <v>24801.3</v>
      </c>
      <c r="Q69" s="29">
        <v>4562.7999999999993</v>
      </c>
      <c r="R69" s="27">
        <v>110507</v>
      </c>
      <c r="S69" s="27">
        <f t="shared" si="0"/>
        <v>1104682.8</v>
      </c>
    </row>
    <row r="70" spans="1:19" s="23" customFormat="1" x14ac:dyDescent="0.25">
      <c r="A70" s="24">
        <v>41334</v>
      </c>
      <c r="B70" s="25">
        <v>297310.70000000007</v>
      </c>
      <c r="C70" s="25">
        <v>182175.3</v>
      </c>
      <c r="D70" s="25">
        <v>137848.39999999997</v>
      </c>
      <c r="E70" s="25">
        <v>11026.3</v>
      </c>
      <c r="F70" s="25">
        <v>15997.7</v>
      </c>
      <c r="G70" s="25">
        <v>168</v>
      </c>
      <c r="H70" s="25">
        <v>1118.7000000000003</v>
      </c>
      <c r="I70" s="25">
        <v>430</v>
      </c>
      <c r="J70" s="26">
        <v>7591.1</v>
      </c>
      <c r="K70" s="25">
        <v>48713.799999999996</v>
      </c>
      <c r="L70" s="25">
        <v>11006.099999999999</v>
      </c>
      <c r="M70" s="25">
        <v>28700.899999999998</v>
      </c>
      <c r="N70" s="25">
        <v>64117.1</v>
      </c>
      <c r="O70" s="27">
        <v>172005</v>
      </c>
      <c r="P70" s="28">
        <v>8212.7000000000007</v>
      </c>
      <c r="Q70" s="29">
        <v>2939.7000000000021</v>
      </c>
      <c r="R70" s="27">
        <v>109756.29999999999</v>
      </c>
      <c r="S70" s="27">
        <f t="shared" si="0"/>
        <v>1099117.7999999998</v>
      </c>
    </row>
    <row r="71" spans="1:19" s="23" customFormat="1" x14ac:dyDescent="0.25">
      <c r="A71" s="24">
        <v>41365</v>
      </c>
      <c r="B71" s="25">
        <v>303375.03999999998</v>
      </c>
      <c r="C71" s="25">
        <v>193839.39999999997</v>
      </c>
      <c r="D71" s="25">
        <v>144332.80000000002</v>
      </c>
      <c r="E71" s="25">
        <v>11133.46</v>
      </c>
      <c r="F71" s="25">
        <v>15251</v>
      </c>
      <c r="G71" s="25">
        <v>166.1</v>
      </c>
      <c r="H71" s="25">
        <v>1135.3</v>
      </c>
      <c r="I71" s="25">
        <v>430</v>
      </c>
      <c r="J71" s="26">
        <v>710.4</v>
      </c>
      <c r="K71" s="25">
        <v>31010.3</v>
      </c>
      <c r="L71" s="25">
        <v>11371.4</v>
      </c>
      <c r="M71" s="25">
        <v>24906.100000000002</v>
      </c>
      <c r="N71" s="25">
        <v>57229.700000000004</v>
      </c>
      <c r="O71" s="27">
        <v>171993.90000000002</v>
      </c>
      <c r="P71" s="28">
        <v>10963.900000000001</v>
      </c>
      <c r="Q71" s="29">
        <v>-66.7</v>
      </c>
      <c r="R71" s="27">
        <v>102555.6</v>
      </c>
      <c r="S71" s="27">
        <f t="shared" si="0"/>
        <v>1080337.7000000002</v>
      </c>
    </row>
    <row r="72" spans="1:19" s="23" customFormat="1" x14ac:dyDescent="0.25">
      <c r="A72" s="24">
        <v>41395</v>
      </c>
      <c r="B72" s="25">
        <v>312706.90000000002</v>
      </c>
      <c r="C72" s="25">
        <v>193415.3</v>
      </c>
      <c r="D72" s="25">
        <v>137910.30000000002</v>
      </c>
      <c r="E72" s="25">
        <v>7611.7</v>
      </c>
      <c r="F72" s="25">
        <v>15336</v>
      </c>
      <c r="G72" s="25">
        <v>164.6</v>
      </c>
      <c r="H72" s="25">
        <v>1457.7</v>
      </c>
      <c r="I72" s="25">
        <v>430</v>
      </c>
      <c r="J72" s="26" t="s">
        <v>2</v>
      </c>
      <c r="K72" s="25">
        <v>34013</v>
      </c>
      <c r="L72" s="25">
        <v>9097.2000000000007</v>
      </c>
      <c r="M72" s="25">
        <v>23383.099999999995</v>
      </c>
      <c r="N72" s="25">
        <v>62875</v>
      </c>
      <c r="O72" s="27">
        <v>171985</v>
      </c>
      <c r="P72" s="28">
        <v>13824.600000000002</v>
      </c>
      <c r="Q72" s="29">
        <v>530.3999999999993</v>
      </c>
      <c r="R72" s="27">
        <v>105621.00000000001</v>
      </c>
      <c r="S72" s="27">
        <f t="shared" si="0"/>
        <v>1090361.7999999998</v>
      </c>
    </row>
    <row r="73" spans="1:19" s="23" customFormat="1" x14ac:dyDescent="0.25">
      <c r="A73" s="24">
        <v>41426</v>
      </c>
      <c r="B73" s="25">
        <v>302894.09999999986</v>
      </c>
      <c r="C73" s="25">
        <v>192693.69999999998</v>
      </c>
      <c r="D73" s="25">
        <v>135016.69999999998</v>
      </c>
      <c r="E73" s="25">
        <v>7689.9000000000005</v>
      </c>
      <c r="F73" s="25">
        <v>12098.2</v>
      </c>
      <c r="G73" s="25">
        <v>164.29999999999998</v>
      </c>
      <c r="H73" s="25">
        <v>1608.3</v>
      </c>
      <c r="I73" s="25">
        <v>1204.8</v>
      </c>
      <c r="J73" s="26" t="s">
        <v>2</v>
      </c>
      <c r="K73" s="25">
        <v>47467.1</v>
      </c>
      <c r="L73" s="25">
        <v>8442.7999999999993</v>
      </c>
      <c r="M73" s="25">
        <v>22174.100000000002</v>
      </c>
      <c r="N73" s="25">
        <v>64026.799999999996</v>
      </c>
      <c r="O73" s="27">
        <v>173133.90000000002</v>
      </c>
      <c r="P73" s="28">
        <v>15155.099999999999</v>
      </c>
      <c r="Q73" s="29">
        <v>-4453.4000000000005</v>
      </c>
      <c r="R73" s="27">
        <v>113979.19999999998</v>
      </c>
      <c r="S73" s="27">
        <f t="shared" ref="S73:S136" si="1">SUM(B73:R73)</f>
        <v>1093295.5999999999</v>
      </c>
    </row>
    <row r="74" spans="1:19" s="23" customFormat="1" x14ac:dyDescent="0.25">
      <c r="A74" s="24">
        <v>41456</v>
      </c>
      <c r="B74" s="25">
        <v>311460.20000000013</v>
      </c>
      <c r="C74" s="25">
        <v>189804</v>
      </c>
      <c r="D74" s="25">
        <v>139324.1</v>
      </c>
      <c r="E74" s="25">
        <v>6444.0999999999995</v>
      </c>
      <c r="F74" s="25">
        <v>10509.300000000001</v>
      </c>
      <c r="G74" s="25">
        <v>151.6</v>
      </c>
      <c r="H74" s="25">
        <v>1271.1000000000001</v>
      </c>
      <c r="I74" s="25">
        <v>430</v>
      </c>
      <c r="J74" s="26" t="s">
        <v>2</v>
      </c>
      <c r="K74" s="25">
        <v>37548.6</v>
      </c>
      <c r="L74" s="25">
        <v>9384</v>
      </c>
      <c r="M74" s="25">
        <v>27952.999999999996</v>
      </c>
      <c r="N74" s="25">
        <v>93180.60000000002</v>
      </c>
      <c r="O74" s="27">
        <v>173123.90000000002</v>
      </c>
      <c r="P74" s="28">
        <v>16218.6</v>
      </c>
      <c r="Q74" s="29">
        <v>4661.8999999999996</v>
      </c>
      <c r="R74" s="27">
        <v>126674.79999999999</v>
      </c>
      <c r="S74" s="27">
        <f t="shared" si="1"/>
        <v>1148139.8</v>
      </c>
    </row>
    <row r="75" spans="1:19" s="23" customFormat="1" x14ac:dyDescent="0.25">
      <c r="A75" s="24">
        <v>41487</v>
      </c>
      <c r="B75" s="25">
        <v>323671.8</v>
      </c>
      <c r="C75" s="25">
        <v>197353.00000000003</v>
      </c>
      <c r="D75" s="25">
        <v>133701.70000000001</v>
      </c>
      <c r="E75" s="25">
        <v>7276.8</v>
      </c>
      <c r="F75" s="25">
        <v>9316.7999999999993</v>
      </c>
      <c r="G75" s="25">
        <v>151.79999999999998</v>
      </c>
      <c r="H75" s="25">
        <v>821.90000000000009</v>
      </c>
      <c r="I75" s="25">
        <v>430</v>
      </c>
      <c r="J75" s="26" t="s">
        <v>2</v>
      </c>
      <c r="K75" s="25">
        <v>36128.5</v>
      </c>
      <c r="L75" s="25">
        <v>8481.4</v>
      </c>
      <c r="M75" s="25">
        <v>26682.2</v>
      </c>
      <c r="N75" s="25">
        <v>97175</v>
      </c>
      <c r="O75" s="27">
        <v>173114.40000000002</v>
      </c>
      <c r="P75" s="28">
        <v>18653.5</v>
      </c>
      <c r="Q75" s="29">
        <v>-881.1000000000007</v>
      </c>
      <c r="R75" s="27">
        <v>130304.49999999999</v>
      </c>
      <c r="S75" s="27">
        <f t="shared" si="1"/>
        <v>1162382.2000000002</v>
      </c>
    </row>
    <row r="76" spans="1:19" s="23" customFormat="1" x14ac:dyDescent="0.25">
      <c r="A76" s="24">
        <v>41518</v>
      </c>
      <c r="B76" s="25">
        <v>323653.39999999997</v>
      </c>
      <c r="C76" s="25">
        <v>204700</v>
      </c>
      <c r="D76" s="25">
        <v>132655.39999999997</v>
      </c>
      <c r="E76" s="25">
        <v>7023.2</v>
      </c>
      <c r="F76" s="25">
        <v>8873.7999999999993</v>
      </c>
      <c r="G76" s="25">
        <v>251.89999999999998</v>
      </c>
      <c r="H76" s="25">
        <v>1411.8</v>
      </c>
      <c r="I76" s="25">
        <v>200</v>
      </c>
      <c r="J76" s="26" t="s">
        <v>2</v>
      </c>
      <c r="K76" s="25">
        <v>46894</v>
      </c>
      <c r="L76" s="25">
        <v>8065.6</v>
      </c>
      <c r="M76" s="25">
        <v>23839.200000000001</v>
      </c>
      <c r="N76" s="25">
        <v>97072.7</v>
      </c>
      <c r="O76" s="27">
        <v>173085.40000000002</v>
      </c>
      <c r="P76" s="28">
        <v>20594.5</v>
      </c>
      <c r="Q76" s="29">
        <v>-33.20000000000018</v>
      </c>
      <c r="R76" s="27">
        <v>135024.29999999999</v>
      </c>
      <c r="S76" s="27">
        <f t="shared" si="1"/>
        <v>1183311.9999999998</v>
      </c>
    </row>
    <row r="77" spans="1:19" s="23" customFormat="1" x14ac:dyDescent="0.25">
      <c r="A77" s="24">
        <v>41548</v>
      </c>
      <c r="B77" s="25">
        <v>329694.80000000005</v>
      </c>
      <c r="C77" s="25">
        <v>204328.00000000003</v>
      </c>
      <c r="D77" s="25">
        <v>135679.39999999988</v>
      </c>
      <c r="E77" s="25">
        <v>10347.099999999999</v>
      </c>
      <c r="F77" s="25">
        <v>7869.2</v>
      </c>
      <c r="G77" s="25">
        <v>251.89999999999998</v>
      </c>
      <c r="H77" s="25">
        <v>1657.5000000000002</v>
      </c>
      <c r="I77" s="25">
        <v>430</v>
      </c>
      <c r="J77" s="26" t="s">
        <v>2</v>
      </c>
      <c r="K77" s="25">
        <v>29490.199999999997</v>
      </c>
      <c r="L77" s="25">
        <v>9945</v>
      </c>
      <c r="M77" s="25">
        <v>26203.8</v>
      </c>
      <c r="N77" s="25">
        <v>93786.4</v>
      </c>
      <c r="O77" s="27">
        <v>173073.80000000002</v>
      </c>
      <c r="P77" s="28">
        <v>22401.499999999996</v>
      </c>
      <c r="Q77" s="29">
        <v>-914.99999999999852</v>
      </c>
      <c r="R77" s="27">
        <v>134823</v>
      </c>
      <c r="S77" s="27">
        <f t="shared" si="1"/>
        <v>1179066.6000000001</v>
      </c>
    </row>
    <row r="78" spans="1:19" s="23" customFormat="1" x14ac:dyDescent="0.25">
      <c r="A78" s="24">
        <v>41579</v>
      </c>
      <c r="B78" s="25">
        <v>323440.09999999986</v>
      </c>
      <c r="C78" s="25">
        <v>210015.90000000002</v>
      </c>
      <c r="D78" s="25">
        <v>132202.79999999993</v>
      </c>
      <c r="E78" s="25">
        <v>11080.3</v>
      </c>
      <c r="F78" s="25">
        <v>9822.2999999999993</v>
      </c>
      <c r="G78" s="25">
        <v>245.5</v>
      </c>
      <c r="H78" s="25">
        <v>1156.8</v>
      </c>
      <c r="I78" s="25">
        <v>430</v>
      </c>
      <c r="J78" s="26" t="s">
        <v>2</v>
      </c>
      <c r="K78" s="25">
        <v>37931.500000000007</v>
      </c>
      <c r="L78" s="25">
        <v>10511.900000000001</v>
      </c>
      <c r="M78" s="25">
        <v>24332.000000000004</v>
      </c>
      <c r="N78" s="25">
        <v>94731.5</v>
      </c>
      <c r="O78" s="27">
        <v>175995.2</v>
      </c>
      <c r="P78" s="28">
        <v>24831.399999999998</v>
      </c>
      <c r="Q78" s="29">
        <v>104.09999999999818</v>
      </c>
      <c r="R78" s="27">
        <v>131531.70000000001</v>
      </c>
      <c r="S78" s="27">
        <f t="shared" si="1"/>
        <v>1188363</v>
      </c>
    </row>
    <row r="79" spans="1:19" s="23" customFormat="1" x14ac:dyDescent="0.25">
      <c r="A79" s="24">
        <v>41609</v>
      </c>
      <c r="B79" s="25">
        <v>335552.69999999995</v>
      </c>
      <c r="C79" s="25">
        <v>211763.9</v>
      </c>
      <c r="D79" s="25">
        <v>134315.39999999997</v>
      </c>
      <c r="E79" s="25">
        <v>9698.1999999999989</v>
      </c>
      <c r="F79" s="25">
        <v>11803.2</v>
      </c>
      <c r="G79" s="25">
        <v>246.1</v>
      </c>
      <c r="H79" s="25">
        <v>1446.5</v>
      </c>
      <c r="I79" s="25">
        <v>430</v>
      </c>
      <c r="J79" s="26" t="s">
        <v>2</v>
      </c>
      <c r="K79" s="25">
        <v>50992.200000000004</v>
      </c>
      <c r="L79" s="25">
        <v>9056.5</v>
      </c>
      <c r="M79" s="25">
        <v>22059.600000000002</v>
      </c>
      <c r="N79" s="25">
        <v>89787.400000000009</v>
      </c>
      <c r="O79" s="27">
        <v>185759.6</v>
      </c>
      <c r="P79" s="28">
        <v>21766.899999999998</v>
      </c>
      <c r="Q79" s="29">
        <v>-198.70000000000019</v>
      </c>
      <c r="R79" s="27">
        <v>133537.29999999999</v>
      </c>
      <c r="S79" s="27">
        <f t="shared" si="1"/>
        <v>1218016.7999999998</v>
      </c>
    </row>
    <row r="80" spans="1:19" s="23" customFormat="1" x14ac:dyDescent="0.25">
      <c r="A80" s="24">
        <v>41640</v>
      </c>
      <c r="B80" s="31">
        <v>321921.59999999998</v>
      </c>
      <c r="C80" s="31">
        <v>215563.1</v>
      </c>
      <c r="D80" s="31">
        <v>136896.5</v>
      </c>
      <c r="E80" s="31">
        <v>6911.0999999999985</v>
      </c>
      <c r="F80" s="31">
        <v>13787.1</v>
      </c>
      <c r="G80" s="31">
        <v>246.3</v>
      </c>
      <c r="H80" s="25">
        <v>979</v>
      </c>
      <c r="I80" s="25">
        <v>430</v>
      </c>
      <c r="J80" s="25" t="s">
        <v>2</v>
      </c>
      <c r="K80" s="31">
        <v>36370.699999999997</v>
      </c>
      <c r="L80" s="25">
        <v>10394.200000000001</v>
      </c>
      <c r="M80" s="25">
        <v>23963.999999999996</v>
      </c>
      <c r="N80" s="25">
        <v>99764.5</v>
      </c>
      <c r="O80" s="32">
        <v>185457.7</v>
      </c>
      <c r="P80" s="28">
        <v>23367.8</v>
      </c>
      <c r="Q80" s="33">
        <v>-535.9000000000018</v>
      </c>
      <c r="R80" s="32">
        <v>138828.9</v>
      </c>
      <c r="S80" s="27">
        <f t="shared" si="1"/>
        <v>1214346.5999999999</v>
      </c>
    </row>
    <row r="81" spans="1:19" s="23" customFormat="1" x14ac:dyDescent="0.25">
      <c r="A81" s="24">
        <v>41671</v>
      </c>
      <c r="B81" s="31">
        <v>313123.20000000013</v>
      </c>
      <c r="C81" s="31">
        <v>230217.49999999997</v>
      </c>
      <c r="D81" s="31">
        <v>147004.29999999993</v>
      </c>
      <c r="E81" s="31">
        <v>6707.5999999999995</v>
      </c>
      <c r="F81" s="31">
        <v>12377.2</v>
      </c>
      <c r="G81" s="31">
        <v>288</v>
      </c>
      <c r="H81" s="25">
        <v>836.4</v>
      </c>
      <c r="I81" s="25">
        <v>430</v>
      </c>
      <c r="J81" s="25">
        <v>100.9</v>
      </c>
      <c r="K81" s="31">
        <v>36731</v>
      </c>
      <c r="L81" s="25">
        <v>7641.8</v>
      </c>
      <c r="M81" s="25">
        <v>36611.300000000003</v>
      </c>
      <c r="N81" s="25">
        <v>92448.099999999991</v>
      </c>
      <c r="O81" s="32">
        <v>185426.9</v>
      </c>
      <c r="P81" s="28">
        <v>24084.3</v>
      </c>
      <c r="Q81" s="33">
        <v>6371.5999999999967</v>
      </c>
      <c r="R81" s="32">
        <v>137081.70000000001</v>
      </c>
      <c r="S81" s="27">
        <f t="shared" si="1"/>
        <v>1237481.8</v>
      </c>
    </row>
    <row r="82" spans="1:19" s="23" customFormat="1" x14ac:dyDescent="0.25">
      <c r="A82" s="24">
        <v>41699</v>
      </c>
      <c r="B82" s="31">
        <v>327186.89999999997</v>
      </c>
      <c r="C82" s="31">
        <v>230375.10000000003</v>
      </c>
      <c r="D82" s="31">
        <v>149215.09999999989</v>
      </c>
      <c r="E82" s="31">
        <v>7228.7999999999993</v>
      </c>
      <c r="F82" s="31">
        <v>12602.2</v>
      </c>
      <c r="G82" s="31">
        <v>299.7</v>
      </c>
      <c r="H82" s="25">
        <v>1164.5999999999999</v>
      </c>
      <c r="I82" s="25">
        <v>430</v>
      </c>
      <c r="J82" s="25" t="s">
        <v>2</v>
      </c>
      <c r="K82" s="31">
        <v>44396.2</v>
      </c>
      <c r="L82" s="25">
        <v>7987.7</v>
      </c>
      <c r="M82" s="25">
        <v>28923.399999999998</v>
      </c>
      <c r="N82" s="25">
        <v>100768.70000000001</v>
      </c>
      <c r="O82" s="32">
        <v>189667.8</v>
      </c>
      <c r="P82" s="28">
        <v>16072.599999999999</v>
      </c>
      <c r="Q82" s="33">
        <v>-3172.1999999999994</v>
      </c>
      <c r="R82" s="32">
        <v>131176.70000000001</v>
      </c>
      <c r="S82" s="27">
        <f t="shared" si="1"/>
        <v>1244323.2999999998</v>
      </c>
    </row>
    <row r="83" spans="1:19" s="23" customFormat="1" x14ac:dyDescent="0.25">
      <c r="A83" s="24">
        <v>41730</v>
      </c>
      <c r="B83" s="31">
        <v>335300.59999999992</v>
      </c>
      <c r="C83" s="31">
        <v>234447.6</v>
      </c>
      <c r="D83" s="31">
        <v>161728.20000000004</v>
      </c>
      <c r="E83" s="31">
        <v>10572.9</v>
      </c>
      <c r="F83" s="31">
        <v>11776.6</v>
      </c>
      <c r="G83" s="31">
        <v>287.89999999999998</v>
      </c>
      <c r="H83" s="25">
        <v>1392.1</v>
      </c>
      <c r="I83" s="25">
        <v>430</v>
      </c>
      <c r="J83" s="25" t="s">
        <v>2</v>
      </c>
      <c r="K83" s="31">
        <v>37615.9</v>
      </c>
      <c r="L83" s="25">
        <v>7479.0999999999995</v>
      </c>
      <c r="M83" s="25">
        <v>23495.599999999999</v>
      </c>
      <c r="N83" s="25">
        <v>107327.5</v>
      </c>
      <c r="O83" s="32">
        <v>190120.80000000002</v>
      </c>
      <c r="P83" s="28">
        <v>15472.3</v>
      </c>
      <c r="Q83" s="33">
        <v>720.49999999999966</v>
      </c>
      <c r="R83" s="32">
        <v>135707.09999999998</v>
      </c>
      <c r="S83" s="27">
        <f t="shared" si="1"/>
        <v>1273874.7000000002</v>
      </c>
    </row>
    <row r="84" spans="1:19" s="23" customFormat="1" x14ac:dyDescent="0.25">
      <c r="A84" s="24">
        <v>41760</v>
      </c>
      <c r="B84" s="31">
        <v>336505.39999999997</v>
      </c>
      <c r="C84" s="31">
        <v>235632.09999999998</v>
      </c>
      <c r="D84" s="31">
        <v>147762.20000000007</v>
      </c>
      <c r="E84" s="31">
        <v>9806.7999999999993</v>
      </c>
      <c r="F84" s="31">
        <v>10787.1</v>
      </c>
      <c r="G84" s="31">
        <v>0</v>
      </c>
      <c r="H84" s="25">
        <v>1045</v>
      </c>
      <c r="I84" s="25">
        <v>480</v>
      </c>
      <c r="J84" s="25" t="s">
        <v>2</v>
      </c>
      <c r="K84" s="31">
        <v>36020.999999999993</v>
      </c>
      <c r="L84" s="25">
        <v>6780.4</v>
      </c>
      <c r="M84" s="25">
        <v>25618.3</v>
      </c>
      <c r="N84" s="25">
        <v>101540</v>
      </c>
      <c r="O84" s="32">
        <v>190121.3</v>
      </c>
      <c r="P84" s="28">
        <v>17198.5</v>
      </c>
      <c r="Q84" s="33">
        <v>-2080.0000000000005</v>
      </c>
      <c r="R84" s="32">
        <v>138727.9</v>
      </c>
      <c r="S84" s="27">
        <f t="shared" si="1"/>
        <v>1255946</v>
      </c>
    </row>
    <row r="85" spans="1:19" s="23" customFormat="1" x14ac:dyDescent="0.25">
      <c r="A85" s="24">
        <v>41791</v>
      </c>
      <c r="B85" s="31">
        <v>352182.9</v>
      </c>
      <c r="C85" s="31">
        <v>232053.8</v>
      </c>
      <c r="D85" s="31">
        <v>145441.80000000002</v>
      </c>
      <c r="E85" s="31">
        <v>11827.5</v>
      </c>
      <c r="F85" s="31">
        <v>10918.8</v>
      </c>
      <c r="G85" s="31">
        <v>0</v>
      </c>
      <c r="H85" s="25">
        <v>1983.8</v>
      </c>
      <c r="I85" s="25">
        <v>250</v>
      </c>
      <c r="J85" s="25" t="s">
        <v>2</v>
      </c>
      <c r="K85" s="31">
        <v>46972.9</v>
      </c>
      <c r="L85" s="25">
        <v>8690.2999999999993</v>
      </c>
      <c r="M85" s="25">
        <v>19697.099999999999</v>
      </c>
      <c r="N85" s="25">
        <v>102707.09999999999</v>
      </c>
      <c r="O85" s="32">
        <v>193171.39999999997</v>
      </c>
      <c r="P85" s="28">
        <v>16946.699999999997</v>
      </c>
      <c r="Q85" s="33">
        <v>-3933.8000000000015</v>
      </c>
      <c r="R85" s="32">
        <v>143366.29999999999</v>
      </c>
      <c r="S85" s="27">
        <f t="shared" si="1"/>
        <v>1282276.6000000001</v>
      </c>
    </row>
    <row r="86" spans="1:19" s="23" customFormat="1" x14ac:dyDescent="0.25">
      <c r="A86" s="24">
        <v>41821</v>
      </c>
      <c r="B86" s="31">
        <v>355902.89999999991</v>
      </c>
      <c r="C86" s="31">
        <v>239370.50000000003</v>
      </c>
      <c r="D86" s="31">
        <v>167466.59999999995</v>
      </c>
      <c r="E86" s="31">
        <v>8413.3000000000011</v>
      </c>
      <c r="F86" s="31">
        <v>11728.1</v>
      </c>
      <c r="G86" s="31">
        <v>0</v>
      </c>
      <c r="H86" s="25">
        <v>1297.8</v>
      </c>
      <c r="I86" s="25">
        <v>280</v>
      </c>
      <c r="J86" s="25" t="s">
        <v>2</v>
      </c>
      <c r="K86" s="31">
        <v>42318.3</v>
      </c>
      <c r="L86" s="25">
        <v>9695.1</v>
      </c>
      <c r="M86" s="25">
        <v>21321.7</v>
      </c>
      <c r="N86" s="25">
        <v>108563.80000000002</v>
      </c>
      <c r="O86" s="32">
        <v>193278.19999999998</v>
      </c>
      <c r="P86" s="28">
        <v>18872.8</v>
      </c>
      <c r="Q86" s="33">
        <v>-4907.3</v>
      </c>
      <c r="R86" s="32">
        <v>147930.20000000001</v>
      </c>
      <c r="S86" s="27">
        <f t="shared" si="1"/>
        <v>1321532</v>
      </c>
    </row>
    <row r="87" spans="1:19" s="23" customFormat="1" x14ac:dyDescent="0.25">
      <c r="A87" s="24">
        <v>41852</v>
      </c>
      <c r="B87" s="31">
        <v>362399.60000000003</v>
      </c>
      <c r="C87" s="31">
        <v>238744.6</v>
      </c>
      <c r="D87" s="31">
        <v>159011.39999999994</v>
      </c>
      <c r="E87" s="31">
        <v>9923.7999999999993</v>
      </c>
      <c r="F87" s="31">
        <v>11156.599999999999</v>
      </c>
      <c r="G87" s="31">
        <v>0</v>
      </c>
      <c r="H87" s="25">
        <v>1441.4</v>
      </c>
      <c r="I87" s="25">
        <v>280</v>
      </c>
      <c r="J87" s="25" t="s">
        <v>2</v>
      </c>
      <c r="K87" s="31">
        <v>43264.9</v>
      </c>
      <c r="L87" s="25">
        <v>6237.9</v>
      </c>
      <c r="M87" s="25">
        <v>15180.1</v>
      </c>
      <c r="N87" s="25">
        <v>125444.30000000002</v>
      </c>
      <c r="O87" s="32">
        <v>193266.9</v>
      </c>
      <c r="P87" s="28">
        <v>21790.5</v>
      </c>
      <c r="Q87" s="33">
        <v>-4975.2</v>
      </c>
      <c r="R87" s="32">
        <v>145338.5</v>
      </c>
      <c r="S87" s="27">
        <f t="shared" si="1"/>
        <v>1328505.3</v>
      </c>
    </row>
    <row r="88" spans="1:19" s="23" customFormat="1" x14ac:dyDescent="0.25">
      <c r="A88" s="24">
        <v>41883</v>
      </c>
      <c r="B88" s="31">
        <v>340745.7</v>
      </c>
      <c r="C88" s="31">
        <v>225034.69999999998</v>
      </c>
      <c r="D88" s="31">
        <v>148158.49999999988</v>
      </c>
      <c r="E88" s="31">
        <v>8632.8000000000011</v>
      </c>
      <c r="F88" s="31">
        <v>11457.199999999999</v>
      </c>
      <c r="G88" s="31">
        <v>0</v>
      </c>
      <c r="H88" s="25">
        <v>2127.3000000000002</v>
      </c>
      <c r="I88" s="25">
        <v>230</v>
      </c>
      <c r="J88" s="25" t="s">
        <v>2</v>
      </c>
      <c r="K88" s="31">
        <v>52172.800000000003</v>
      </c>
      <c r="L88" s="25">
        <v>9825.5</v>
      </c>
      <c r="M88" s="25">
        <v>14050.2</v>
      </c>
      <c r="N88" s="25">
        <v>123900.5</v>
      </c>
      <c r="O88" s="32">
        <v>193246.40000000002</v>
      </c>
      <c r="P88" s="28">
        <v>23804.1</v>
      </c>
      <c r="Q88" s="33">
        <v>-6415.5000000000018</v>
      </c>
      <c r="R88" s="32">
        <v>163481.60000000001</v>
      </c>
      <c r="S88" s="27">
        <f t="shared" si="1"/>
        <v>1310451.8000000003</v>
      </c>
    </row>
    <row r="89" spans="1:19" s="23" customFormat="1" x14ac:dyDescent="0.25">
      <c r="A89" s="24">
        <v>41913</v>
      </c>
      <c r="B89" s="31">
        <v>383785.00000000006</v>
      </c>
      <c r="C89" s="31">
        <v>223373.09999999998</v>
      </c>
      <c r="D89" s="31">
        <v>154115.89999999988</v>
      </c>
      <c r="E89" s="31">
        <v>12270.2</v>
      </c>
      <c r="F89" s="31">
        <v>13231.9</v>
      </c>
      <c r="G89" s="31">
        <v>0</v>
      </c>
      <c r="H89" s="25">
        <v>2114.6000000000004</v>
      </c>
      <c r="I89" s="25">
        <v>230</v>
      </c>
      <c r="J89" s="25" t="s">
        <v>2</v>
      </c>
      <c r="K89" s="31">
        <v>40593.699999999997</v>
      </c>
      <c r="L89" s="25">
        <v>11710.6</v>
      </c>
      <c r="M89" s="25">
        <v>16765.2</v>
      </c>
      <c r="N89" s="25">
        <v>126248.49999999999</v>
      </c>
      <c r="O89" s="32">
        <v>195355.19999999998</v>
      </c>
      <c r="P89" s="28">
        <v>25230</v>
      </c>
      <c r="Q89" s="33">
        <v>-5665.9</v>
      </c>
      <c r="R89" s="32">
        <v>148996</v>
      </c>
      <c r="S89" s="27">
        <f t="shared" si="1"/>
        <v>1348354</v>
      </c>
    </row>
    <row r="90" spans="1:19" s="23" customFormat="1" x14ac:dyDescent="0.25">
      <c r="A90" s="24">
        <v>41944</v>
      </c>
      <c r="B90" s="31">
        <v>369014.29999999993</v>
      </c>
      <c r="C90" s="31">
        <v>221357.8</v>
      </c>
      <c r="D90" s="31">
        <v>145251.5</v>
      </c>
      <c r="E90" s="31">
        <v>12303.999999999998</v>
      </c>
      <c r="F90" s="31">
        <v>14878.9</v>
      </c>
      <c r="G90" s="31">
        <v>0</v>
      </c>
      <c r="H90" s="25">
        <v>2101.8000000000006</v>
      </c>
      <c r="I90" s="25">
        <v>230</v>
      </c>
      <c r="J90" s="25">
        <v>1537.5</v>
      </c>
      <c r="K90" s="31">
        <v>44404.200000000004</v>
      </c>
      <c r="L90" s="25">
        <v>10074.700000000001</v>
      </c>
      <c r="M90" s="25">
        <v>15167.600000000002</v>
      </c>
      <c r="N90" s="25">
        <v>119263.00000000001</v>
      </c>
      <c r="O90" s="32">
        <v>196825.79999999996</v>
      </c>
      <c r="P90" s="28">
        <v>27592.400000000001</v>
      </c>
      <c r="Q90" s="33">
        <v>-5717.4000000000015</v>
      </c>
      <c r="R90" s="32">
        <v>151168.9</v>
      </c>
      <c r="S90" s="27">
        <f t="shared" si="1"/>
        <v>1325454.9999999998</v>
      </c>
    </row>
    <row r="91" spans="1:19" s="23" customFormat="1" x14ac:dyDescent="0.25">
      <c r="A91" s="24">
        <v>41974</v>
      </c>
      <c r="B91" s="31">
        <v>384656.60000000003</v>
      </c>
      <c r="C91" s="31">
        <v>227786.60000000003</v>
      </c>
      <c r="D91" s="31">
        <v>163209.70000000004</v>
      </c>
      <c r="E91" s="31">
        <v>15905.7</v>
      </c>
      <c r="F91" s="31">
        <v>12998.199999999999</v>
      </c>
      <c r="G91" s="31">
        <v>0</v>
      </c>
      <c r="H91" s="25">
        <v>1669.5</v>
      </c>
      <c r="I91" s="25">
        <v>230</v>
      </c>
      <c r="J91" s="25" t="s">
        <v>2</v>
      </c>
      <c r="K91" s="31">
        <v>48639.1</v>
      </c>
      <c r="L91" s="25">
        <v>9410.5</v>
      </c>
      <c r="M91" s="25">
        <v>17620.400000000001</v>
      </c>
      <c r="N91" s="25">
        <v>147751.79999999999</v>
      </c>
      <c r="O91" s="32">
        <v>205273.59999999995</v>
      </c>
      <c r="P91" s="28">
        <v>25746.6</v>
      </c>
      <c r="Q91" s="33">
        <v>-2380.1999999999975</v>
      </c>
      <c r="R91" s="32">
        <v>142120.29999999999</v>
      </c>
      <c r="S91" s="27">
        <f t="shared" si="1"/>
        <v>1400638.4000000001</v>
      </c>
    </row>
    <row r="92" spans="1:19" s="23" customFormat="1" x14ac:dyDescent="0.25">
      <c r="A92" s="24">
        <v>42005</v>
      </c>
      <c r="B92" s="31">
        <v>377092.1</v>
      </c>
      <c r="C92" s="31">
        <v>227743.40000000002</v>
      </c>
      <c r="D92" s="34">
        <v>157848.29999999999</v>
      </c>
      <c r="E92" s="34">
        <v>11765.9</v>
      </c>
      <c r="F92" s="34">
        <v>12887.900000000001</v>
      </c>
      <c r="G92" s="34">
        <v>0</v>
      </c>
      <c r="H92" s="25">
        <v>1257.5</v>
      </c>
      <c r="I92" s="25">
        <v>230</v>
      </c>
      <c r="J92" s="25">
        <v>462.2</v>
      </c>
      <c r="K92" s="31">
        <v>37217</v>
      </c>
      <c r="L92" s="25">
        <v>10765</v>
      </c>
      <c r="M92" s="25">
        <v>14643.7</v>
      </c>
      <c r="N92" s="25">
        <v>141155.80000000002</v>
      </c>
      <c r="O92" s="32">
        <v>205212.79999999999</v>
      </c>
      <c r="P92" s="28">
        <v>29053.4</v>
      </c>
      <c r="Q92" s="33">
        <v>-7358.5999999999967</v>
      </c>
      <c r="R92" s="34">
        <v>140232.5</v>
      </c>
      <c r="S92" s="27">
        <f t="shared" si="1"/>
        <v>1360208.9</v>
      </c>
    </row>
    <row r="93" spans="1:19" s="23" customFormat="1" x14ac:dyDescent="0.25">
      <c r="A93" s="24">
        <v>42036</v>
      </c>
      <c r="B93" s="31">
        <v>371144.59999999992</v>
      </c>
      <c r="C93" s="31">
        <v>233963.3</v>
      </c>
      <c r="D93" s="34">
        <v>153754.09999999995</v>
      </c>
      <c r="E93" s="34">
        <v>10802.000000000002</v>
      </c>
      <c r="F93" s="34">
        <v>13780.2</v>
      </c>
      <c r="G93" s="34">
        <v>0</v>
      </c>
      <c r="H93" s="25">
        <v>1416.6</v>
      </c>
      <c r="I93" s="25">
        <v>630</v>
      </c>
      <c r="J93" s="25" t="s">
        <v>2</v>
      </c>
      <c r="K93" s="31">
        <v>36743.599999999999</v>
      </c>
      <c r="L93" s="25">
        <v>11042.300000000001</v>
      </c>
      <c r="M93" s="25">
        <v>16076</v>
      </c>
      <c r="N93" s="25">
        <v>147645.9</v>
      </c>
      <c r="O93" s="32">
        <v>210500.89999999997</v>
      </c>
      <c r="P93" s="28">
        <v>23074.299999999996</v>
      </c>
      <c r="Q93" s="33">
        <v>-5337.8000000000011</v>
      </c>
      <c r="R93" s="34">
        <v>149373.9</v>
      </c>
      <c r="S93" s="27">
        <f t="shared" si="1"/>
        <v>1374609.8999999997</v>
      </c>
    </row>
    <row r="94" spans="1:19" s="23" customFormat="1" x14ac:dyDescent="0.25">
      <c r="A94" s="24">
        <v>42064</v>
      </c>
      <c r="B94" s="31">
        <v>344444.1</v>
      </c>
      <c r="C94" s="31">
        <v>238986.80000000005</v>
      </c>
      <c r="D94" s="34">
        <v>148154.4</v>
      </c>
      <c r="E94" s="34">
        <v>11731.800000000001</v>
      </c>
      <c r="F94" s="34">
        <v>8849.7999999999993</v>
      </c>
      <c r="G94" s="34" t="s">
        <v>2</v>
      </c>
      <c r="H94" s="25">
        <v>1196</v>
      </c>
      <c r="I94" s="25">
        <v>1133.5999999999999</v>
      </c>
      <c r="J94" s="25">
        <v>1123.2</v>
      </c>
      <c r="K94" s="31">
        <v>52869.700000000004</v>
      </c>
      <c r="L94" s="25">
        <v>10155.5</v>
      </c>
      <c r="M94" s="25">
        <v>14779.000000000002</v>
      </c>
      <c r="N94" s="25">
        <v>146198.79999999999</v>
      </c>
      <c r="O94" s="32">
        <v>215597.59999999998</v>
      </c>
      <c r="P94" s="28">
        <v>11497.699999999999</v>
      </c>
      <c r="Q94" s="33">
        <v>-4355.6000000000022</v>
      </c>
      <c r="R94" s="34">
        <v>156675.29999999999</v>
      </c>
      <c r="S94" s="27">
        <f t="shared" si="1"/>
        <v>1359037.6999999997</v>
      </c>
    </row>
    <row r="95" spans="1:19" s="23" customFormat="1" x14ac:dyDescent="0.25">
      <c r="A95" s="24">
        <v>42095</v>
      </c>
      <c r="B95" s="31">
        <v>365938.00000000006</v>
      </c>
      <c r="C95" s="31">
        <v>240662.00000000003</v>
      </c>
      <c r="D95" s="34">
        <v>156577.30000000002</v>
      </c>
      <c r="E95" s="34">
        <v>12946.199999999999</v>
      </c>
      <c r="F95" s="34">
        <v>13013.9</v>
      </c>
      <c r="G95" s="34" t="s">
        <v>2</v>
      </c>
      <c r="H95" s="25">
        <v>4460.1000000000004</v>
      </c>
      <c r="I95" s="25">
        <v>930</v>
      </c>
      <c r="J95" s="25">
        <v>10000</v>
      </c>
      <c r="K95" s="31">
        <v>34515.500000000007</v>
      </c>
      <c r="L95" s="25">
        <v>11071.300000000001</v>
      </c>
      <c r="M95" s="25">
        <v>16144.000000000002</v>
      </c>
      <c r="N95" s="25">
        <v>147867.09999999998</v>
      </c>
      <c r="O95" s="32">
        <v>215585.69999999995</v>
      </c>
      <c r="P95" s="28">
        <v>14661.499999999996</v>
      </c>
      <c r="Q95" s="33">
        <v>-5117.5000000000009</v>
      </c>
      <c r="R95" s="34">
        <v>147134.79999999999</v>
      </c>
      <c r="S95" s="27">
        <f t="shared" si="1"/>
        <v>1386389.9000000001</v>
      </c>
    </row>
    <row r="96" spans="1:19" s="23" customFormat="1" x14ac:dyDescent="0.25">
      <c r="A96" s="24">
        <v>42125</v>
      </c>
      <c r="B96" s="31">
        <v>384802.5</v>
      </c>
      <c r="C96" s="31">
        <v>239634.70000000004</v>
      </c>
      <c r="D96" s="34">
        <v>142297.59999999998</v>
      </c>
      <c r="E96" s="34">
        <v>13355.800000000001</v>
      </c>
      <c r="F96" s="34">
        <v>13178.300000000001</v>
      </c>
      <c r="G96" s="34" t="s">
        <v>2</v>
      </c>
      <c r="H96" s="25">
        <v>5451</v>
      </c>
      <c r="I96" s="25">
        <v>1433.8</v>
      </c>
      <c r="J96" s="25">
        <v>1260.5</v>
      </c>
      <c r="K96" s="31">
        <v>32965.699999999997</v>
      </c>
      <c r="L96" s="25">
        <v>10273.6</v>
      </c>
      <c r="M96" s="25">
        <v>15287.400000000001</v>
      </c>
      <c r="N96" s="25">
        <v>136900.59999999998</v>
      </c>
      <c r="O96" s="32">
        <v>215586.99999999997</v>
      </c>
      <c r="P96" s="28">
        <v>16481.2</v>
      </c>
      <c r="Q96" s="33">
        <v>-5653.6000000000013</v>
      </c>
      <c r="R96" s="34">
        <v>150382.79999999999</v>
      </c>
      <c r="S96" s="27">
        <f t="shared" si="1"/>
        <v>1373638.9</v>
      </c>
    </row>
    <row r="97" spans="1:19" s="23" customFormat="1" x14ac:dyDescent="0.25">
      <c r="A97" s="24">
        <v>42156</v>
      </c>
      <c r="B97" s="31">
        <v>359911.1999999999</v>
      </c>
      <c r="C97" s="31">
        <v>242095.29999999993</v>
      </c>
      <c r="D97" s="34">
        <v>135754.29999999996</v>
      </c>
      <c r="E97" s="34">
        <v>11068.599999999999</v>
      </c>
      <c r="F97" s="34">
        <v>14518.000000000002</v>
      </c>
      <c r="G97" s="34" t="s">
        <v>2</v>
      </c>
      <c r="H97" s="25">
        <v>4973.3000000000011</v>
      </c>
      <c r="I97" s="25">
        <v>2203.8000000000002</v>
      </c>
      <c r="J97" s="25">
        <v>20000</v>
      </c>
      <c r="K97" s="31">
        <v>43348.600000000006</v>
      </c>
      <c r="L97" s="25">
        <v>10359.799999999999</v>
      </c>
      <c r="M97" s="25">
        <v>13963.300000000001</v>
      </c>
      <c r="N97" s="25">
        <v>139562.5</v>
      </c>
      <c r="O97" s="32">
        <v>215514.19999999998</v>
      </c>
      <c r="P97" s="28">
        <v>19632</v>
      </c>
      <c r="Q97" s="33">
        <v>-8004.4000000000015</v>
      </c>
      <c r="R97" s="34">
        <v>158401.5</v>
      </c>
      <c r="S97" s="27">
        <f t="shared" si="1"/>
        <v>1383302</v>
      </c>
    </row>
    <row r="98" spans="1:19" s="23" customFormat="1" x14ac:dyDescent="0.25">
      <c r="A98" s="24">
        <v>42186</v>
      </c>
      <c r="B98" s="31">
        <v>369553</v>
      </c>
      <c r="C98" s="31">
        <v>245168.7</v>
      </c>
      <c r="D98" s="34">
        <v>143495.79999999993</v>
      </c>
      <c r="E98" s="34">
        <v>11991</v>
      </c>
      <c r="F98" s="34">
        <v>16419.100000000002</v>
      </c>
      <c r="G98" s="34" t="s">
        <v>2</v>
      </c>
      <c r="H98" s="25">
        <v>3761.9</v>
      </c>
      <c r="I98" s="25">
        <v>2433.9</v>
      </c>
      <c r="J98" s="25">
        <v>6000</v>
      </c>
      <c r="K98" s="31">
        <v>39988.899999999994</v>
      </c>
      <c r="L98" s="25">
        <v>11731.099999999999</v>
      </c>
      <c r="M98" s="25">
        <v>12530.8</v>
      </c>
      <c r="N98" s="25">
        <v>135310.6</v>
      </c>
      <c r="O98" s="32">
        <v>215504.19999999998</v>
      </c>
      <c r="P98" s="28">
        <v>22518.600000000002</v>
      </c>
      <c r="Q98" s="33">
        <v>-7789.4</v>
      </c>
      <c r="R98" s="34">
        <v>160539.09999999998</v>
      </c>
      <c r="S98" s="27">
        <f t="shared" si="1"/>
        <v>1389157.3000000003</v>
      </c>
    </row>
    <row r="99" spans="1:19" s="23" customFormat="1" x14ac:dyDescent="0.25">
      <c r="A99" s="24">
        <v>42217</v>
      </c>
      <c r="B99" s="31">
        <v>381300.8</v>
      </c>
      <c r="C99" s="31">
        <v>241425.90000000005</v>
      </c>
      <c r="D99" s="34">
        <v>148982.19999999992</v>
      </c>
      <c r="E99" s="34">
        <v>11356.5</v>
      </c>
      <c r="F99" s="34">
        <v>17564.3</v>
      </c>
      <c r="G99" s="34" t="s">
        <v>2</v>
      </c>
      <c r="H99" s="25">
        <v>6117.3</v>
      </c>
      <c r="I99" s="25">
        <v>2434.6</v>
      </c>
      <c r="J99" s="25">
        <v>8000</v>
      </c>
      <c r="K99" s="31">
        <v>34422.199999999997</v>
      </c>
      <c r="L99" s="25">
        <v>11551.8</v>
      </c>
      <c r="M99" s="25">
        <v>12551</v>
      </c>
      <c r="N99" s="25">
        <v>142073</v>
      </c>
      <c r="O99" s="32">
        <v>215449.9</v>
      </c>
      <c r="P99" s="28">
        <v>23313</v>
      </c>
      <c r="Q99" s="33">
        <v>-3912.2999999999993</v>
      </c>
      <c r="R99" s="34">
        <v>161469.00000000003</v>
      </c>
      <c r="S99" s="27">
        <f t="shared" si="1"/>
        <v>1414099.2</v>
      </c>
    </row>
    <row r="100" spans="1:19" s="23" customFormat="1" x14ac:dyDescent="0.25">
      <c r="A100" s="24">
        <v>42248</v>
      </c>
      <c r="B100" s="31">
        <v>381816.7</v>
      </c>
      <c r="C100" s="31">
        <v>243192.9</v>
      </c>
      <c r="D100" s="34">
        <v>140973.39999999991</v>
      </c>
      <c r="E100" s="34">
        <v>10390.800000000001</v>
      </c>
      <c r="F100" s="34">
        <v>15110.100000000002</v>
      </c>
      <c r="G100" s="34" t="s">
        <v>2</v>
      </c>
      <c r="H100" s="25">
        <v>4632.1000000000004</v>
      </c>
      <c r="I100" s="25">
        <v>2466.6999999999998</v>
      </c>
      <c r="J100" s="25">
        <v>5849.9</v>
      </c>
      <c r="K100" s="31">
        <v>38020.800000000003</v>
      </c>
      <c r="L100" s="25">
        <v>10291.799999999999</v>
      </c>
      <c r="M100" s="25">
        <v>8875.3000000000011</v>
      </c>
      <c r="N100" s="25">
        <v>135266.6</v>
      </c>
      <c r="O100" s="32">
        <v>215438.7</v>
      </c>
      <c r="P100" s="28">
        <v>26685.299999999996</v>
      </c>
      <c r="Q100" s="33">
        <v>-7733.7000000000016</v>
      </c>
      <c r="R100" s="34">
        <v>168768.2</v>
      </c>
      <c r="S100" s="27">
        <f t="shared" si="1"/>
        <v>1400045.6</v>
      </c>
    </row>
    <row r="101" spans="1:19" s="23" customFormat="1" x14ac:dyDescent="0.25">
      <c r="A101" s="24">
        <v>42278</v>
      </c>
      <c r="B101" s="31">
        <v>412455.90000000008</v>
      </c>
      <c r="C101" s="31">
        <v>247517.80000000005</v>
      </c>
      <c r="D101" s="34">
        <v>135456.09999999992</v>
      </c>
      <c r="E101" s="34">
        <v>13165.2</v>
      </c>
      <c r="F101" s="34">
        <v>17647.3</v>
      </c>
      <c r="G101" s="34" t="s">
        <v>2</v>
      </c>
      <c r="H101" s="25">
        <v>4735.1000000000004</v>
      </c>
      <c r="I101" s="25">
        <v>2471.1</v>
      </c>
      <c r="J101" s="25">
        <v>1000</v>
      </c>
      <c r="K101" s="31">
        <v>33996.999999999993</v>
      </c>
      <c r="L101" s="25">
        <v>10711.6</v>
      </c>
      <c r="M101" s="25">
        <v>5914.8</v>
      </c>
      <c r="N101" s="25">
        <v>132616.09999999998</v>
      </c>
      <c r="O101" s="32">
        <v>215393.49999999997</v>
      </c>
      <c r="P101" s="28">
        <v>30989.8</v>
      </c>
      <c r="Q101" s="33">
        <v>-7059.4000000000015</v>
      </c>
      <c r="R101" s="34">
        <v>173002.7</v>
      </c>
      <c r="S101" s="27">
        <f t="shared" si="1"/>
        <v>1430014.6</v>
      </c>
    </row>
    <row r="102" spans="1:19" s="23" customFormat="1" x14ac:dyDescent="0.25">
      <c r="A102" s="24">
        <v>42309</v>
      </c>
      <c r="B102" s="31">
        <v>379489.90000000008</v>
      </c>
      <c r="C102" s="31">
        <v>240166.90000000005</v>
      </c>
      <c r="D102" s="34">
        <v>142088.59999999998</v>
      </c>
      <c r="E102" s="34">
        <v>21745.300000000003</v>
      </c>
      <c r="F102" s="34">
        <v>24820.400000000001</v>
      </c>
      <c r="G102" s="34">
        <v>1353.2</v>
      </c>
      <c r="H102" s="25">
        <v>2557.5000000000005</v>
      </c>
      <c r="I102" s="25">
        <v>7496.9000000000005</v>
      </c>
      <c r="J102" s="25">
        <v>16192.3</v>
      </c>
      <c r="K102" s="31">
        <v>43312.6</v>
      </c>
      <c r="L102" s="25">
        <v>9363.9</v>
      </c>
      <c r="M102" s="25">
        <v>5820.6</v>
      </c>
      <c r="N102" s="25">
        <v>154302.79999999999</v>
      </c>
      <c r="O102" s="32">
        <v>217801.9</v>
      </c>
      <c r="P102" s="28">
        <v>20422.600000000002</v>
      </c>
      <c r="Q102" s="33">
        <v>-2715</v>
      </c>
      <c r="R102" s="34">
        <v>144959.5</v>
      </c>
      <c r="S102" s="27">
        <f t="shared" si="1"/>
        <v>1429179.9000000001</v>
      </c>
    </row>
    <row r="103" spans="1:19" s="23" customFormat="1" x14ac:dyDescent="0.25">
      <c r="A103" s="24">
        <v>42339</v>
      </c>
      <c r="B103" s="31">
        <v>383820.99999999994</v>
      </c>
      <c r="C103" s="31">
        <v>244640.30000000008</v>
      </c>
      <c r="D103" s="34">
        <v>135171.70000000001</v>
      </c>
      <c r="E103" s="34">
        <v>22882.2</v>
      </c>
      <c r="F103" s="34">
        <v>27827.9</v>
      </c>
      <c r="G103" s="34">
        <v>1256.3</v>
      </c>
      <c r="H103" s="25">
        <v>5303.8</v>
      </c>
      <c r="I103" s="25">
        <v>8529.9000000000015</v>
      </c>
      <c r="J103" s="25">
        <v>19805</v>
      </c>
      <c r="K103" s="31">
        <v>54292.999999999993</v>
      </c>
      <c r="L103" s="25">
        <v>8972.2999999999993</v>
      </c>
      <c r="M103" s="25">
        <v>6801.5</v>
      </c>
      <c r="N103" s="25">
        <v>149973.5</v>
      </c>
      <c r="O103" s="32">
        <v>222014.39999999997</v>
      </c>
      <c r="P103" s="28">
        <v>15971.3</v>
      </c>
      <c r="Q103" s="33">
        <v>-5932.1999999999989</v>
      </c>
      <c r="R103" s="34">
        <v>154248.5</v>
      </c>
      <c r="S103" s="27">
        <f t="shared" si="1"/>
        <v>1455580.4000000001</v>
      </c>
    </row>
    <row r="104" spans="1:19" s="23" customFormat="1" x14ac:dyDescent="0.25">
      <c r="A104" s="24">
        <v>42370</v>
      </c>
      <c r="B104" s="31">
        <v>381742.5</v>
      </c>
      <c r="C104" s="31">
        <v>240521</v>
      </c>
      <c r="D104" s="34">
        <v>134764.69999999998</v>
      </c>
      <c r="E104" s="34">
        <v>20739.000000000004</v>
      </c>
      <c r="F104" s="34">
        <v>26735.7</v>
      </c>
      <c r="G104" s="34">
        <v>1403.1000000000001</v>
      </c>
      <c r="H104" s="25">
        <v>3483.2000000000003</v>
      </c>
      <c r="I104" s="25">
        <v>8541.4000000000015</v>
      </c>
      <c r="J104" s="25">
        <v>37716.6</v>
      </c>
      <c r="K104" s="31">
        <v>44790.3</v>
      </c>
      <c r="L104" s="25">
        <v>10289.5</v>
      </c>
      <c r="M104" s="25">
        <v>7911.8</v>
      </c>
      <c r="N104" s="25">
        <v>147014.70000000001</v>
      </c>
      <c r="O104" s="27">
        <v>217321.99999999997</v>
      </c>
      <c r="P104" s="28">
        <v>21439.599999999999</v>
      </c>
      <c r="Q104" s="33">
        <v>-9348.0999999999985</v>
      </c>
      <c r="R104" s="34">
        <v>152198.5</v>
      </c>
      <c r="S104" s="27">
        <f t="shared" si="1"/>
        <v>1447265.5</v>
      </c>
    </row>
    <row r="105" spans="1:19" s="23" customFormat="1" x14ac:dyDescent="0.25">
      <c r="A105" s="24">
        <v>42401</v>
      </c>
      <c r="B105" s="31">
        <v>390403.6</v>
      </c>
      <c r="C105" s="31">
        <v>233480.69999999998</v>
      </c>
      <c r="D105" s="34">
        <v>135746.1</v>
      </c>
      <c r="E105" s="34">
        <v>15291.699999999997</v>
      </c>
      <c r="F105" s="34">
        <v>28538.7</v>
      </c>
      <c r="G105" s="34">
        <v>1341.8000000000002</v>
      </c>
      <c r="H105" s="25">
        <v>3770.8</v>
      </c>
      <c r="I105" s="25">
        <v>8535.4</v>
      </c>
      <c r="J105" s="25">
        <v>44452.799999999996</v>
      </c>
      <c r="K105" s="31">
        <v>48553.8</v>
      </c>
      <c r="L105" s="25">
        <v>10591.800000000001</v>
      </c>
      <c r="M105" s="25">
        <v>8703.4000000000015</v>
      </c>
      <c r="N105" s="25">
        <v>144711</v>
      </c>
      <c r="O105" s="27">
        <v>216346.39999999997</v>
      </c>
      <c r="P105" s="28">
        <v>22465.700000000004</v>
      </c>
      <c r="Q105" s="33">
        <v>-7072.3000000000029</v>
      </c>
      <c r="R105" s="34">
        <v>154623.09999999998</v>
      </c>
      <c r="S105" s="27">
        <f t="shared" si="1"/>
        <v>1460484.5</v>
      </c>
    </row>
    <row r="106" spans="1:19" s="23" customFormat="1" x14ac:dyDescent="0.25">
      <c r="A106" s="24">
        <v>42430</v>
      </c>
      <c r="B106" s="31">
        <v>378921</v>
      </c>
      <c r="C106" s="31">
        <v>246210.99999999994</v>
      </c>
      <c r="D106" s="34">
        <v>118395.09999999998</v>
      </c>
      <c r="E106" s="34">
        <v>17631.5</v>
      </c>
      <c r="F106" s="34">
        <v>29819</v>
      </c>
      <c r="G106" s="34">
        <v>1303.6000000000001</v>
      </c>
      <c r="H106" s="25">
        <v>5382</v>
      </c>
      <c r="I106" s="25">
        <v>8565.2000000000007</v>
      </c>
      <c r="J106" s="25">
        <v>71864.5</v>
      </c>
      <c r="K106" s="31">
        <v>56605</v>
      </c>
      <c r="L106" s="25">
        <v>9451.0000000000018</v>
      </c>
      <c r="M106" s="25">
        <v>7517.2</v>
      </c>
      <c r="N106" s="25">
        <v>148879.5</v>
      </c>
      <c r="O106" s="27">
        <v>222189.39999999997</v>
      </c>
      <c r="P106" s="28">
        <v>11870.400000000001</v>
      </c>
      <c r="Q106" s="33">
        <v>-6615.1000000000049</v>
      </c>
      <c r="R106" s="34">
        <v>159337.79999999999</v>
      </c>
      <c r="S106" s="27">
        <f t="shared" si="1"/>
        <v>1487328.0999999996</v>
      </c>
    </row>
    <row r="107" spans="1:19" s="23" customFormat="1" x14ac:dyDescent="0.25">
      <c r="A107" s="24">
        <v>42461</v>
      </c>
      <c r="B107" s="31">
        <v>386454.6999999999</v>
      </c>
      <c r="C107" s="31">
        <v>246235.80000000005</v>
      </c>
      <c r="D107" s="34">
        <v>123001.59999999998</v>
      </c>
      <c r="E107" s="34">
        <v>21093.599999999999</v>
      </c>
      <c r="F107" s="34">
        <v>26535.499999999996</v>
      </c>
      <c r="G107" s="34">
        <v>1098.8000000000002</v>
      </c>
      <c r="H107" s="25">
        <v>4183.8</v>
      </c>
      <c r="I107" s="25">
        <v>9276.3000000000011</v>
      </c>
      <c r="J107" s="25">
        <v>75220.3</v>
      </c>
      <c r="K107" s="31">
        <v>45477.500000000007</v>
      </c>
      <c r="L107" s="25">
        <v>10415.5</v>
      </c>
      <c r="M107" s="25">
        <v>2945.7000000000003</v>
      </c>
      <c r="N107" s="25">
        <v>151565.19999999998</v>
      </c>
      <c r="O107" s="27">
        <v>217768.3</v>
      </c>
      <c r="P107" s="28">
        <v>15811.7</v>
      </c>
      <c r="Q107" s="33">
        <v>-5407.699999999998</v>
      </c>
      <c r="R107" s="34">
        <v>163380.09999999998</v>
      </c>
      <c r="S107" s="27">
        <f t="shared" si="1"/>
        <v>1495056.7000000002</v>
      </c>
    </row>
    <row r="108" spans="1:19" s="23" customFormat="1" x14ac:dyDescent="0.25">
      <c r="A108" s="24">
        <v>42491</v>
      </c>
      <c r="B108" s="31">
        <v>385184.30000000005</v>
      </c>
      <c r="C108" s="31">
        <v>254373.2</v>
      </c>
      <c r="D108" s="34">
        <v>111745.29999999999</v>
      </c>
      <c r="E108" s="34">
        <v>15836.399999999998</v>
      </c>
      <c r="F108" s="34">
        <v>24170</v>
      </c>
      <c r="G108" s="34">
        <v>1212.5999999999999</v>
      </c>
      <c r="H108" s="25">
        <v>3384.3</v>
      </c>
      <c r="I108" s="25">
        <v>9295.2000000000007</v>
      </c>
      <c r="J108" s="25">
        <v>90016</v>
      </c>
      <c r="K108" s="31">
        <v>48198</v>
      </c>
      <c r="L108" s="25">
        <v>15243.3</v>
      </c>
      <c r="M108" s="25">
        <v>2725.4</v>
      </c>
      <c r="N108" s="25">
        <v>155149.9</v>
      </c>
      <c r="O108" s="27">
        <v>217726.3</v>
      </c>
      <c r="P108" s="28">
        <v>18578.400000000001</v>
      </c>
      <c r="Q108" s="33">
        <v>-6310.0999999999967</v>
      </c>
      <c r="R108" s="34">
        <v>163570.29999999996</v>
      </c>
      <c r="S108" s="27">
        <f t="shared" si="1"/>
        <v>1510098.8</v>
      </c>
    </row>
    <row r="109" spans="1:19" s="23" customFormat="1" x14ac:dyDescent="0.25">
      <c r="A109" s="24">
        <v>42522</v>
      </c>
      <c r="B109" s="31">
        <v>380921</v>
      </c>
      <c r="C109" s="31">
        <v>248133.3</v>
      </c>
      <c r="D109" s="34">
        <v>113952.7</v>
      </c>
      <c r="E109" s="34">
        <v>34010.699999999997</v>
      </c>
      <c r="F109" s="34">
        <v>21476.999999999996</v>
      </c>
      <c r="G109" s="34">
        <v>1446.4000000000003</v>
      </c>
      <c r="H109" s="25">
        <v>1924.6000000000001</v>
      </c>
      <c r="I109" s="25">
        <v>8610.4</v>
      </c>
      <c r="J109" s="25">
        <v>101025.7</v>
      </c>
      <c r="K109" s="31">
        <v>47685.400000000009</v>
      </c>
      <c r="L109" s="25">
        <v>17003.600000000002</v>
      </c>
      <c r="M109" s="25">
        <v>2654.6</v>
      </c>
      <c r="N109" s="25">
        <v>143107</v>
      </c>
      <c r="O109" s="27">
        <v>224810.5</v>
      </c>
      <c r="P109" s="28">
        <v>17493.3</v>
      </c>
      <c r="Q109" s="33">
        <v>-6318.3999999999915</v>
      </c>
      <c r="R109" s="34">
        <v>181984.3</v>
      </c>
      <c r="S109" s="27">
        <f t="shared" si="1"/>
        <v>1539922.1</v>
      </c>
    </row>
    <row r="110" spans="1:19" s="23" customFormat="1" x14ac:dyDescent="0.25">
      <c r="A110" s="24">
        <v>42552</v>
      </c>
      <c r="B110" s="31">
        <v>393320.80000000005</v>
      </c>
      <c r="C110" s="31">
        <v>238477.60000000009</v>
      </c>
      <c r="D110" s="34">
        <v>108225.90000000001</v>
      </c>
      <c r="E110" s="34">
        <v>16855.300000000003</v>
      </c>
      <c r="F110" s="34">
        <v>19746.800000000003</v>
      </c>
      <c r="G110" s="34">
        <v>1417.3000000000002</v>
      </c>
      <c r="H110" s="25">
        <v>1132.5000000000002</v>
      </c>
      <c r="I110" s="25">
        <v>9780.1999999999989</v>
      </c>
      <c r="J110" s="25">
        <v>112764.5</v>
      </c>
      <c r="K110" s="31">
        <v>53369.1</v>
      </c>
      <c r="L110" s="25">
        <v>17794.800000000003</v>
      </c>
      <c r="M110" s="25">
        <v>2250.6999999999998</v>
      </c>
      <c r="N110" s="25">
        <v>143986.80000000002</v>
      </c>
      <c r="O110" s="27">
        <v>225543.19999999998</v>
      </c>
      <c r="P110" s="28">
        <v>20988.2</v>
      </c>
      <c r="Q110" s="33">
        <v>-6607.9999999999973</v>
      </c>
      <c r="R110" s="34">
        <v>177676.59999999998</v>
      </c>
      <c r="S110" s="27">
        <f t="shared" si="1"/>
        <v>1536722.3000000003</v>
      </c>
    </row>
    <row r="111" spans="1:19" s="23" customFormat="1" x14ac:dyDescent="0.25">
      <c r="A111" s="24">
        <v>42583</v>
      </c>
      <c r="B111" s="31">
        <v>420997.09999999992</v>
      </c>
      <c r="C111" s="31">
        <v>235186.10000000006</v>
      </c>
      <c r="D111" s="34">
        <v>102155.49999999999</v>
      </c>
      <c r="E111" s="34">
        <v>16968.600000000002</v>
      </c>
      <c r="F111" s="34">
        <v>17632.8</v>
      </c>
      <c r="G111" s="34">
        <v>889.5</v>
      </c>
      <c r="H111" s="25">
        <v>2169.7000000000003</v>
      </c>
      <c r="I111" s="25">
        <v>9844.6</v>
      </c>
      <c r="J111" s="25">
        <v>101933.5</v>
      </c>
      <c r="K111" s="31">
        <v>49018.100000000006</v>
      </c>
      <c r="L111" s="25">
        <v>16660.8</v>
      </c>
      <c r="M111" s="25">
        <v>916.6</v>
      </c>
      <c r="N111" s="25">
        <v>137165.50000000003</v>
      </c>
      <c r="O111" s="27">
        <v>225003.09999999998</v>
      </c>
      <c r="P111" s="28">
        <v>24325.7</v>
      </c>
      <c r="Q111" s="33">
        <v>-9028.9000000000033</v>
      </c>
      <c r="R111" s="34">
        <v>182122.7</v>
      </c>
      <c r="S111" s="27">
        <f t="shared" si="1"/>
        <v>1533961</v>
      </c>
    </row>
    <row r="112" spans="1:19" s="23" customFormat="1" x14ac:dyDescent="0.25">
      <c r="A112" s="24">
        <v>42614</v>
      </c>
      <c r="B112" s="31">
        <v>424362.8</v>
      </c>
      <c r="C112" s="31">
        <v>242880</v>
      </c>
      <c r="D112" s="34">
        <v>107043.7</v>
      </c>
      <c r="E112" s="34">
        <v>15867.100000000002</v>
      </c>
      <c r="F112" s="34">
        <v>18024.399999999998</v>
      </c>
      <c r="G112" s="34">
        <v>984.5</v>
      </c>
      <c r="H112" s="25">
        <v>3677.6000000000004</v>
      </c>
      <c r="I112" s="25">
        <v>9113.9</v>
      </c>
      <c r="J112" s="25">
        <v>118763.79999999999</v>
      </c>
      <c r="K112" s="31">
        <v>51358.6</v>
      </c>
      <c r="L112" s="25">
        <v>13416.9</v>
      </c>
      <c r="M112" s="25">
        <v>934</v>
      </c>
      <c r="N112" s="25">
        <v>139965.09999999998</v>
      </c>
      <c r="O112" s="27">
        <v>224794.99999999997</v>
      </c>
      <c r="P112" s="28">
        <v>21976.800000000003</v>
      </c>
      <c r="Q112" s="33">
        <v>-905.90000000000089</v>
      </c>
      <c r="R112" s="34">
        <v>187480</v>
      </c>
      <c r="S112" s="27">
        <f t="shared" si="1"/>
        <v>1579738.3</v>
      </c>
    </row>
    <row r="113" spans="1:19" s="23" customFormat="1" x14ac:dyDescent="0.25">
      <c r="A113" s="24">
        <v>42644</v>
      </c>
      <c r="B113" s="31">
        <v>426022.1</v>
      </c>
      <c r="C113" s="31">
        <v>246717.5</v>
      </c>
      <c r="D113" s="34">
        <v>102526.49999999999</v>
      </c>
      <c r="E113" s="34">
        <v>19916.2</v>
      </c>
      <c r="F113" s="34">
        <v>17906.8</v>
      </c>
      <c r="G113" s="34">
        <v>936.1</v>
      </c>
      <c r="H113" s="25">
        <v>2861.2999999999993</v>
      </c>
      <c r="I113" s="25">
        <v>9018.9</v>
      </c>
      <c r="J113" s="25">
        <v>102986.79999999999</v>
      </c>
      <c r="K113" s="31">
        <v>45399.7</v>
      </c>
      <c r="L113" s="25">
        <v>14489.5</v>
      </c>
      <c r="M113" s="25">
        <v>945.6</v>
      </c>
      <c r="N113" s="25">
        <v>142544.60000000003</v>
      </c>
      <c r="O113" s="27">
        <v>224774.2</v>
      </c>
      <c r="P113" s="28">
        <v>24782.199999999997</v>
      </c>
      <c r="Q113" s="33">
        <v>-852.20000000000289</v>
      </c>
      <c r="R113" s="34">
        <v>188211.7</v>
      </c>
      <c r="S113" s="27">
        <f t="shared" si="1"/>
        <v>1569187.4999999998</v>
      </c>
    </row>
    <row r="114" spans="1:19" s="23" customFormat="1" x14ac:dyDescent="0.25">
      <c r="A114" s="24">
        <v>42675</v>
      </c>
      <c r="B114" s="31">
        <v>448920.99999999988</v>
      </c>
      <c r="C114" s="31">
        <v>239190.1</v>
      </c>
      <c r="D114" s="34">
        <v>101459.39999999998</v>
      </c>
      <c r="E114" s="34">
        <v>24014.400000000005</v>
      </c>
      <c r="F114" s="34">
        <v>16280.300000000001</v>
      </c>
      <c r="G114" s="34">
        <v>875</v>
      </c>
      <c r="H114" s="25">
        <v>1931.3000000000002</v>
      </c>
      <c r="I114" s="25">
        <v>10236</v>
      </c>
      <c r="J114" s="25">
        <v>102347.09999999999</v>
      </c>
      <c r="K114" s="31">
        <v>49029.700000000004</v>
      </c>
      <c r="L114" s="25">
        <v>15706.600000000002</v>
      </c>
      <c r="M114" s="25">
        <v>944.10000000000014</v>
      </c>
      <c r="N114" s="25">
        <v>150685.4</v>
      </c>
      <c r="O114" s="27">
        <v>225240.8</v>
      </c>
      <c r="P114" s="28">
        <v>28733.5</v>
      </c>
      <c r="Q114" s="33">
        <v>-2151.3000000000043</v>
      </c>
      <c r="R114" s="34">
        <v>188856.4</v>
      </c>
      <c r="S114" s="27">
        <f t="shared" si="1"/>
        <v>1602299.7999999998</v>
      </c>
    </row>
    <row r="115" spans="1:19" s="23" customFormat="1" x14ac:dyDescent="0.25">
      <c r="A115" s="24">
        <v>42705</v>
      </c>
      <c r="B115" s="31">
        <v>473463.40000000014</v>
      </c>
      <c r="C115" s="31">
        <v>235254.40000000002</v>
      </c>
      <c r="D115" s="34">
        <v>93961.800000000017</v>
      </c>
      <c r="E115" s="34">
        <v>24043.8</v>
      </c>
      <c r="F115" s="34">
        <v>20378.800000000003</v>
      </c>
      <c r="G115" s="34">
        <v>985.80000000000007</v>
      </c>
      <c r="H115" s="25">
        <v>2909.7000000000003</v>
      </c>
      <c r="I115" s="25">
        <v>8653</v>
      </c>
      <c r="J115" s="25">
        <v>87064.099999999991</v>
      </c>
      <c r="K115" s="31">
        <v>58899.3</v>
      </c>
      <c r="L115" s="25">
        <v>16378.7</v>
      </c>
      <c r="M115" s="25">
        <v>973.70000000000016</v>
      </c>
      <c r="N115" s="25">
        <v>139935.4</v>
      </c>
      <c r="O115" s="27">
        <v>224498.3</v>
      </c>
      <c r="P115" s="28">
        <v>26055.199999999993</v>
      </c>
      <c r="Q115" s="33">
        <v>-829.10000000000616</v>
      </c>
      <c r="R115" s="34">
        <v>194069.49999999994</v>
      </c>
      <c r="S115" s="27">
        <f t="shared" si="1"/>
        <v>1606695.8</v>
      </c>
    </row>
    <row r="116" spans="1:19" s="23" customFormat="1" x14ac:dyDescent="0.25">
      <c r="A116" s="24">
        <v>42736</v>
      </c>
      <c r="B116" s="31">
        <v>485241.89999999997</v>
      </c>
      <c r="C116" s="31">
        <v>250275.89999999997</v>
      </c>
      <c r="D116" s="34">
        <v>94328.900000000023</v>
      </c>
      <c r="E116" s="34">
        <v>20507.8</v>
      </c>
      <c r="F116" s="34">
        <v>18012.2</v>
      </c>
      <c r="G116" s="34">
        <v>883.4</v>
      </c>
      <c r="H116" s="25">
        <v>1957.8999999999999</v>
      </c>
      <c r="I116" s="25">
        <v>8500.8000000000011</v>
      </c>
      <c r="J116" s="25">
        <v>85600.3</v>
      </c>
      <c r="K116" s="31">
        <v>55281.600000000006</v>
      </c>
      <c r="L116" s="25">
        <v>15883.499999999996</v>
      </c>
      <c r="M116" s="25">
        <v>979.2</v>
      </c>
      <c r="N116" s="25">
        <v>145736.79999999999</v>
      </c>
      <c r="O116" s="27">
        <v>220394.09999999998</v>
      </c>
      <c r="P116" s="28">
        <v>28144.300000000003</v>
      </c>
      <c r="Q116" s="33">
        <v>-2471.3000000000006</v>
      </c>
      <c r="R116" s="34">
        <v>197838.09999999998</v>
      </c>
      <c r="S116" s="27">
        <f t="shared" si="1"/>
        <v>1627095.4</v>
      </c>
    </row>
    <row r="117" spans="1:19" s="23" customFormat="1" x14ac:dyDescent="0.25">
      <c r="A117" s="24">
        <v>42767</v>
      </c>
      <c r="B117" s="31">
        <v>510866.99999999988</v>
      </c>
      <c r="C117" s="31">
        <v>242976.70000000004</v>
      </c>
      <c r="D117" s="34">
        <v>96146.9</v>
      </c>
      <c r="E117" s="34">
        <v>22134</v>
      </c>
      <c r="F117" s="34">
        <v>19355.100000000002</v>
      </c>
      <c r="G117" s="34">
        <v>1054.5</v>
      </c>
      <c r="H117" s="25">
        <v>3033.6000000000004</v>
      </c>
      <c r="I117" s="25">
        <v>8526.1999999999989</v>
      </c>
      <c r="J117" s="25">
        <v>95156.1</v>
      </c>
      <c r="K117" s="31">
        <v>49746.3</v>
      </c>
      <c r="L117" s="25">
        <v>14152.300000000001</v>
      </c>
      <c r="M117" s="25">
        <v>859.3</v>
      </c>
      <c r="N117" s="25">
        <v>151954.29999999999</v>
      </c>
      <c r="O117" s="27">
        <v>226492.59999999998</v>
      </c>
      <c r="P117" s="28">
        <v>29597</v>
      </c>
      <c r="Q117" s="33">
        <v>337.9000000000093</v>
      </c>
      <c r="R117" s="34">
        <v>141217.19999999998</v>
      </c>
      <c r="S117" s="27">
        <f t="shared" si="1"/>
        <v>1613606.9999999998</v>
      </c>
    </row>
    <row r="118" spans="1:19" s="23" customFormat="1" x14ac:dyDescent="0.25">
      <c r="A118" s="24">
        <v>42795</v>
      </c>
      <c r="B118" s="31">
        <v>516686.20000000007</v>
      </c>
      <c r="C118" s="31">
        <v>253722.5</v>
      </c>
      <c r="D118" s="34">
        <v>97050.9</v>
      </c>
      <c r="E118" s="34">
        <v>23270.600000000002</v>
      </c>
      <c r="F118" s="34">
        <v>19964.5</v>
      </c>
      <c r="G118" s="34">
        <v>824.19999999999993</v>
      </c>
      <c r="H118" s="25">
        <v>4699.3</v>
      </c>
      <c r="I118" s="25">
        <v>8556.9</v>
      </c>
      <c r="J118" s="25">
        <v>87865.1</v>
      </c>
      <c r="K118" s="31">
        <v>65740.799999999988</v>
      </c>
      <c r="L118" s="25">
        <v>13207.499999999998</v>
      </c>
      <c r="M118" s="25">
        <v>1005.3000000000001</v>
      </c>
      <c r="N118" s="25">
        <v>150057.70000000001</v>
      </c>
      <c r="O118" s="27">
        <v>229646.59999999998</v>
      </c>
      <c r="P118" s="28">
        <v>19404.099999999999</v>
      </c>
      <c r="Q118" s="33">
        <v>-652.9</v>
      </c>
      <c r="R118" s="34">
        <v>124308.99999999999</v>
      </c>
      <c r="S118" s="27">
        <f t="shared" si="1"/>
        <v>1615358.3000000003</v>
      </c>
    </row>
    <row r="119" spans="1:19" s="23" customFormat="1" x14ac:dyDescent="0.25">
      <c r="A119" s="24">
        <v>42826</v>
      </c>
      <c r="B119" s="31">
        <v>543031.9</v>
      </c>
      <c r="C119" s="31">
        <v>244433.2</v>
      </c>
      <c r="D119" s="34">
        <v>97457.9</v>
      </c>
      <c r="E119" s="34">
        <v>23241.5</v>
      </c>
      <c r="F119" s="34">
        <v>19732.900000000001</v>
      </c>
      <c r="G119" s="34">
        <v>897.6</v>
      </c>
      <c r="H119" s="25">
        <v>5002.3</v>
      </c>
      <c r="I119" s="25">
        <v>8568.9</v>
      </c>
      <c r="J119" s="25">
        <v>100060</v>
      </c>
      <c r="K119" s="31">
        <v>48526.9</v>
      </c>
      <c r="L119" s="25">
        <v>13890.1</v>
      </c>
      <c r="M119" s="25">
        <v>973.2</v>
      </c>
      <c r="N119" s="25">
        <v>152411.79999999999</v>
      </c>
      <c r="O119" s="27">
        <v>230304.5</v>
      </c>
      <c r="P119" s="28">
        <v>19878.400000000001</v>
      </c>
      <c r="Q119" s="33">
        <v>-1797.4000000000033</v>
      </c>
      <c r="R119" s="34">
        <v>133274.29999999999</v>
      </c>
      <c r="S119" s="27">
        <f t="shared" si="1"/>
        <v>1639888.0000000002</v>
      </c>
    </row>
    <row r="120" spans="1:19" s="23" customFormat="1" x14ac:dyDescent="0.25">
      <c r="A120" s="24">
        <v>42856</v>
      </c>
      <c r="B120" s="31">
        <v>543926.9</v>
      </c>
      <c r="C120" s="31">
        <v>245136</v>
      </c>
      <c r="D120" s="34">
        <v>99695.099999999991</v>
      </c>
      <c r="E120" s="34">
        <v>71573.399999999994</v>
      </c>
      <c r="F120" s="34">
        <v>23123.5</v>
      </c>
      <c r="G120" s="34">
        <v>845.2</v>
      </c>
      <c r="H120" s="25">
        <v>6615.1</v>
      </c>
      <c r="I120" s="25">
        <v>8608.2999999999993</v>
      </c>
      <c r="J120" s="25">
        <v>99453.6</v>
      </c>
      <c r="K120" s="31">
        <v>53764.5</v>
      </c>
      <c r="L120" s="25">
        <v>12962.2</v>
      </c>
      <c r="M120" s="25">
        <v>993</v>
      </c>
      <c r="N120" s="25">
        <v>160420.20000000001</v>
      </c>
      <c r="O120" s="27">
        <v>230366</v>
      </c>
      <c r="P120" s="28">
        <v>22072.2</v>
      </c>
      <c r="Q120" s="33">
        <v>-3735.9999999999986</v>
      </c>
      <c r="R120" s="34">
        <v>125284.4</v>
      </c>
      <c r="S120" s="27">
        <f t="shared" si="1"/>
        <v>1701103.5999999999</v>
      </c>
    </row>
    <row r="121" spans="1:19" s="23" customFormat="1" x14ac:dyDescent="0.25">
      <c r="A121" s="24">
        <v>42887</v>
      </c>
      <c r="B121" s="31">
        <v>539270.40000000002</v>
      </c>
      <c r="C121" s="31">
        <v>255875.8</v>
      </c>
      <c r="D121" s="34">
        <v>103650.3</v>
      </c>
      <c r="E121" s="34">
        <v>103085.3</v>
      </c>
      <c r="F121" s="34">
        <v>23391</v>
      </c>
      <c r="G121" s="34">
        <v>744.2</v>
      </c>
      <c r="H121" s="25">
        <v>4639.5</v>
      </c>
      <c r="I121" s="25">
        <v>6586</v>
      </c>
      <c r="J121" s="25">
        <v>75531.600000000006</v>
      </c>
      <c r="K121" s="31">
        <v>55593.1</v>
      </c>
      <c r="L121" s="25">
        <v>13076.1</v>
      </c>
      <c r="M121" s="25">
        <v>992.7</v>
      </c>
      <c r="N121" s="25">
        <v>166549</v>
      </c>
      <c r="O121" s="27">
        <v>229730</v>
      </c>
      <c r="P121" s="28">
        <v>31643.4</v>
      </c>
      <c r="Q121" s="33">
        <v>5523.2999999999975</v>
      </c>
      <c r="R121" s="34">
        <v>137420.40000000002</v>
      </c>
      <c r="S121" s="27">
        <f t="shared" si="1"/>
        <v>1753302.1</v>
      </c>
    </row>
    <row r="122" spans="1:19" s="23" customFormat="1" x14ac:dyDescent="0.25">
      <c r="A122" s="24">
        <v>42917</v>
      </c>
      <c r="B122" s="31">
        <v>538988</v>
      </c>
      <c r="C122" s="31">
        <v>266566.8</v>
      </c>
      <c r="D122" s="34">
        <v>109581</v>
      </c>
      <c r="E122" s="34">
        <v>43609.200000000004</v>
      </c>
      <c r="F122" s="34">
        <v>26268.5</v>
      </c>
      <c r="G122" s="34">
        <v>993.1</v>
      </c>
      <c r="H122" s="25">
        <v>5147.1000000000004</v>
      </c>
      <c r="I122" s="25">
        <v>7675.8</v>
      </c>
      <c r="J122" s="25">
        <v>117631.6</v>
      </c>
      <c r="K122" s="31">
        <v>46889.7</v>
      </c>
      <c r="L122" s="25">
        <v>14293.5</v>
      </c>
      <c r="M122" s="25">
        <v>1004.6</v>
      </c>
      <c r="N122" s="25">
        <v>164117.6</v>
      </c>
      <c r="O122" s="27">
        <v>229390.5</v>
      </c>
      <c r="P122" s="28">
        <v>35976.1</v>
      </c>
      <c r="Q122" s="33">
        <v>-5006.5</v>
      </c>
      <c r="R122" s="34">
        <v>134815.59999999998</v>
      </c>
      <c r="S122" s="27">
        <f t="shared" si="1"/>
        <v>1737942.2000000002</v>
      </c>
    </row>
    <row r="123" spans="1:19" s="23" customFormat="1" x14ac:dyDescent="0.25">
      <c r="A123" s="24">
        <v>42948</v>
      </c>
      <c r="B123" s="31">
        <v>565098</v>
      </c>
      <c r="C123" s="31">
        <v>265277.8</v>
      </c>
      <c r="D123" s="34">
        <v>105359.7</v>
      </c>
      <c r="E123" s="34">
        <v>23890.100000000002</v>
      </c>
      <c r="F123" s="34">
        <v>32965.9</v>
      </c>
      <c r="G123" s="34">
        <v>1012.2</v>
      </c>
      <c r="H123" s="25">
        <v>3783.9</v>
      </c>
      <c r="I123" s="25">
        <v>7620.8</v>
      </c>
      <c r="J123" s="25">
        <v>108316.9</v>
      </c>
      <c r="K123" s="31">
        <v>49894.7</v>
      </c>
      <c r="L123" s="25">
        <v>13647.3</v>
      </c>
      <c r="M123" s="25">
        <v>1039</v>
      </c>
      <c r="N123" s="25">
        <v>174781.7</v>
      </c>
      <c r="O123" s="27">
        <v>230665.9</v>
      </c>
      <c r="P123" s="28">
        <v>41288.300000000003</v>
      </c>
      <c r="Q123" s="33">
        <v>-1949.2000000000003</v>
      </c>
      <c r="R123" s="34">
        <v>143776.4</v>
      </c>
      <c r="S123" s="27">
        <f t="shared" si="1"/>
        <v>1766469.4</v>
      </c>
    </row>
    <row r="124" spans="1:19" s="23" customFormat="1" x14ac:dyDescent="0.25">
      <c r="A124" s="24">
        <v>42979</v>
      </c>
      <c r="B124" s="31">
        <v>581848.60000000009</v>
      </c>
      <c r="C124" s="31">
        <v>264591.2</v>
      </c>
      <c r="D124" s="34">
        <v>101009.90000000001</v>
      </c>
      <c r="E124" s="34">
        <v>23710</v>
      </c>
      <c r="F124" s="34">
        <v>29580.2</v>
      </c>
      <c r="G124" s="34">
        <v>819.9</v>
      </c>
      <c r="H124" s="25">
        <v>3154.4</v>
      </c>
      <c r="I124" s="25">
        <v>8703.6</v>
      </c>
      <c r="J124" s="25">
        <v>123220.7</v>
      </c>
      <c r="K124" s="31">
        <v>49725.1</v>
      </c>
      <c r="L124" s="25">
        <v>13260.6</v>
      </c>
      <c r="M124" s="25">
        <v>1009.7</v>
      </c>
      <c r="N124" s="25">
        <v>184125.7</v>
      </c>
      <c r="O124" s="27">
        <v>230902.9</v>
      </c>
      <c r="P124" s="28">
        <v>44365</v>
      </c>
      <c r="Q124" s="33">
        <v>-1403.2999999999993</v>
      </c>
      <c r="R124" s="34">
        <v>147178.40000000002</v>
      </c>
      <c r="S124" s="27">
        <f t="shared" si="1"/>
        <v>1805802.6</v>
      </c>
    </row>
    <row r="125" spans="1:19" s="23" customFormat="1" x14ac:dyDescent="0.25">
      <c r="A125" s="24">
        <v>43009</v>
      </c>
      <c r="B125" s="31">
        <v>579848.19999999995</v>
      </c>
      <c r="C125" s="31">
        <v>282650.90000000002</v>
      </c>
      <c r="D125" s="34">
        <v>115478.2</v>
      </c>
      <c r="E125" s="34">
        <v>20147.7</v>
      </c>
      <c r="F125" s="34">
        <v>29719.5</v>
      </c>
      <c r="G125" s="34">
        <v>795.9</v>
      </c>
      <c r="H125" s="25">
        <v>3416.3</v>
      </c>
      <c r="I125" s="25">
        <v>8669.7999999999993</v>
      </c>
      <c r="J125" s="25">
        <v>118903.3</v>
      </c>
      <c r="K125" s="31">
        <v>49202.400000000009</v>
      </c>
      <c r="L125" s="25">
        <v>16253.3</v>
      </c>
      <c r="M125" s="25">
        <v>39511.199999999997</v>
      </c>
      <c r="N125" s="25">
        <v>165526.39999999999</v>
      </c>
      <c r="O125" s="27">
        <v>232005.2</v>
      </c>
      <c r="P125" s="28">
        <v>45711.6</v>
      </c>
      <c r="Q125" s="33">
        <v>-1797.1999999999996</v>
      </c>
      <c r="R125" s="34">
        <v>150505.4</v>
      </c>
      <c r="S125" s="27">
        <f t="shared" si="1"/>
        <v>1856548.0999999999</v>
      </c>
    </row>
    <row r="126" spans="1:19" s="23" customFormat="1" x14ac:dyDescent="0.25">
      <c r="A126" s="24">
        <v>43040</v>
      </c>
      <c r="B126" s="31">
        <v>581331.80000000005</v>
      </c>
      <c r="C126" s="31">
        <v>288118.90000000002</v>
      </c>
      <c r="D126" s="34">
        <v>124631.4</v>
      </c>
      <c r="E126" s="34">
        <v>36975.800000000003</v>
      </c>
      <c r="F126" s="34">
        <v>27999.4</v>
      </c>
      <c r="G126" s="34">
        <v>720.2</v>
      </c>
      <c r="H126" s="25">
        <v>4067.3</v>
      </c>
      <c r="I126" s="25">
        <v>8696.7000000000007</v>
      </c>
      <c r="J126" s="25">
        <v>134262.9</v>
      </c>
      <c r="K126" s="31">
        <v>48900.399999999994</v>
      </c>
      <c r="L126" s="25">
        <v>17088.400000000001</v>
      </c>
      <c r="M126" s="25">
        <v>1277.9000000000001</v>
      </c>
      <c r="N126" s="25">
        <v>159454.70000000001</v>
      </c>
      <c r="O126" s="27">
        <v>230783.5</v>
      </c>
      <c r="P126" s="28">
        <v>50530.2</v>
      </c>
      <c r="Q126" s="33">
        <v>-450.09999999999991</v>
      </c>
      <c r="R126" s="34">
        <v>147530.1</v>
      </c>
      <c r="S126" s="27">
        <f t="shared" si="1"/>
        <v>1861919.4999999995</v>
      </c>
    </row>
    <row r="127" spans="1:19" s="23" customFormat="1" x14ac:dyDescent="0.25">
      <c r="A127" s="24">
        <v>43070</v>
      </c>
      <c r="B127" s="31">
        <v>606474.10000000009</v>
      </c>
      <c r="C127" s="31">
        <v>283463</v>
      </c>
      <c r="D127" s="34">
        <v>119675</v>
      </c>
      <c r="E127" s="34">
        <v>31975.600000000002</v>
      </c>
      <c r="F127" s="34">
        <v>34803.1</v>
      </c>
      <c r="G127" s="34">
        <v>923.6</v>
      </c>
      <c r="H127" s="25">
        <v>4126.2</v>
      </c>
      <c r="I127" s="25">
        <v>8711.4</v>
      </c>
      <c r="J127" s="25">
        <v>160080.29999999999</v>
      </c>
      <c r="K127" s="31">
        <v>66829.5</v>
      </c>
      <c r="L127" s="25">
        <v>19650.5</v>
      </c>
      <c r="M127" s="25">
        <v>782.6</v>
      </c>
      <c r="N127" s="25">
        <v>156052.6</v>
      </c>
      <c r="O127" s="27">
        <v>230717.9</v>
      </c>
      <c r="P127" s="28">
        <v>47407.8</v>
      </c>
      <c r="Q127" s="33">
        <v>-712.40000000000043</v>
      </c>
      <c r="R127" s="34">
        <v>151517.5</v>
      </c>
      <c r="S127" s="27">
        <f t="shared" si="1"/>
        <v>1922478.3000000003</v>
      </c>
    </row>
    <row r="128" spans="1:19" s="23" customFormat="1" x14ac:dyDescent="0.25">
      <c r="A128" s="24">
        <v>43101</v>
      </c>
      <c r="B128" s="31">
        <v>630114.19999999995</v>
      </c>
      <c r="C128" s="31">
        <v>292504.10000000003</v>
      </c>
      <c r="D128" s="34">
        <v>117216.7</v>
      </c>
      <c r="E128" s="34">
        <v>18958.7</v>
      </c>
      <c r="F128" s="34">
        <v>38468.199999999997</v>
      </c>
      <c r="G128" s="34">
        <v>885.2</v>
      </c>
      <c r="H128" s="25">
        <v>3377.7999999999997</v>
      </c>
      <c r="I128" s="25">
        <v>8734.4</v>
      </c>
      <c r="J128" s="25">
        <v>175423.5</v>
      </c>
      <c r="K128" s="31">
        <v>50557.2</v>
      </c>
      <c r="L128" s="25">
        <v>22382.399999999998</v>
      </c>
      <c r="M128" s="25">
        <v>799.5</v>
      </c>
      <c r="N128" s="25">
        <v>153626.6</v>
      </c>
      <c r="O128" s="27">
        <v>229270.39999999999</v>
      </c>
      <c r="P128" s="28">
        <v>52495.100000000006</v>
      </c>
      <c r="Q128" s="33">
        <v>-571.2999999999995</v>
      </c>
      <c r="R128" s="34">
        <v>145869.79999999999</v>
      </c>
      <c r="S128" s="27">
        <f t="shared" si="1"/>
        <v>1940112.4999999998</v>
      </c>
    </row>
    <row r="129" spans="1:19" s="23" customFormat="1" x14ac:dyDescent="0.25">
      <c r="A129" s="38">
        <v>43132</v>
      </c>
      <c r="B129" s="39">
        <v>630199.1</v>
      </c>
      <c r="C129" s="39">
        <v>300716.79999999999</v>
      </c>
      <c r="D129" s="40">
        <v>131549.6</v>
      </c>
      <c r="E129" s="40">
        <v>56838.700000000004</v>
      </c>
      <c r="F129" s="40">
        <v>34359.699999999997</v>
      </c>
      <c r="G129" s="40">
        <v>735.6</v>
      </c>
      <c r="H129" s="41">
        <v>5815.2</v>
      </c>
      <c r="I129" s="41">
        <v>8746.7000000000007</v>
      </c>
      <c r="J129" s="41">
        <v>172694</v>
      </c>
      <c r="K129" s="39">
        <v>51263.6</v>
      </c>
      <c r="L129" s="41">
        <v>20147.099999999999</v>
      </c>
      <c r="M129" s="41">
        <v>732.69999999999993</v>
      </c>
      <c r="N129" s="41">
        <v>155919.79999999999</v>
      </c>
      <c r="O129" s="42">
        <v>229142.6</v>
      </c>
      <c r="P129" s="43">
        <v>57791.9</v>
      </c>
      <c r="Q129" s="44">
        <v>-1162.8000000000002</v>
      </c>
      <c r="R129" s="40">
        <v>149275.90000000002</v>
      </c>
      <c r="S129" s="27">
        <f t="shared" si="1"/>
        <v>2004766.2000000002</v>
      </c>
    </row>
    <row r="130" spans="1:19" s="23" customFormat="1" x14ac:dyDescent="0.25">
      <c r="A130" s="38">
        <v>43190</v>
      </c>
      <c r="B130" s="39">
        <v>628352.9</v>
      </c>
      <c r="C130" s="39">
        <v>299742.40000000002</v>
      </c>
      <c r="D130" s="40">
        <v>135071.70000000001</v>
      </c>
      <c r="E130" s="40">
        <v>40168.600000000006</v>
      </c>
      <c r="F130" s="40">
        <v>34318</v>
      </c>
      <c r="G130" s="40">
        <v>687.3</v>
      </c>
      <c r="H130" s="41">
        <v>2878.2</v>
      </c>
      <c r="I130" s="41">
        <v>8758.7999999999993</v>
      </c>
      <c r="J130" s="41">
        <v>182298.8</v>
      </c>
      <c r="K130" s="39">
        <v>66329.200000000012</v>
      </c>
      <c r="L130" s="41">
        <v>22087.8</v>
      </c>
      <c r="M130" s="41">
        <v>743.8</v>
      </c>
      <c r="N130" s="41">
        <v>158712.29999999999</v>
      </c>
      <c r="O130" s="42">
        <v>242144.9</v>
      </c>
      <c r="P130" s="43">
        <v>34920.199999999997</v>
      </c>
      <c r="Q130" s="44">
        <v>-635.00000000000034</v>
      </c>
      <c r="R130" s="40">
        <v>158037.69999999998</v>
      </c>
      <c r="S130" s="27">
        <f t="shared" si="1"/>
        <v>2014617.6000000001</v>
      </c>
    </row>
    <row r="131" spans="1:19" s="23" customFormat="1" x14ac:dyDescent="0.25">
      <c r="A131" s="57">
        <v>43191</v>
      </c>
      <c r="B131" s="39">
        <v>644888.79999999993</v>
      </c>
      <c r="C131" s="39">
        <v>297953.89999999997</v>
      </c>
      <c r="D131" s="40">
        <v>133408.70000000001</v>
      </c>
      <c r="E131" s="40">
        <v>30936.899999999998</v>
      </c>
      <c r="F131" s="40">
        <v>34076.6</v>
      </c>
      <c r="G131" s="40">
        <v>605.9</v>
      </c>
      <c r="H131" s="41">
        <v>3939.7</v>
      </c>
      <c r="I131" s="41">
        <v>8777.5999999999985</v>
      </c>
      <c r="J131" s="41">
        <v>246263.19999999998</v>
      </c>
      <c r="K131" s="39">
        <v>49115.1</v>
      </c>
      <c r="L131" s="41">
        <v>20985</v>
      </c>
      <c r="M131" s="41">
        <v>763.5</v>
      </c>
      <c r="N131" s="41">
        <v>161703.89999999997</v>
      </c>
      <c r="O131" s="42">
        <v>242440.69999999998</v>
      </c>
      <c r="P131" s="43">
        <v>38247.300000000003</v>
      </c>
      <c r="Q131" s="44">
        <v>-802.70000000000107</v>
      </c>
      <c r="R131" s="40">
        <v>145774.9</v>
      </c>
      <c r="S131" s="27">
        <f t="shared" si="1"/>
        <v>2059078.9999999998</v>
      </c>
    </row>
    <row r="132" spans="1:19" s="23" customFormat="1" x14ac:dyDescent="0.25">
      <c r="A132" s="57">
        <v>43251</v>
      </c>
      <c r="B132" s="39">
        <v>654029.70000000007</v>
      </c>
      <c r="C132" s="39">
        <v>315624</v>
      </c>
      <c r="D132" s="40">
        <v>125459</v>
      </c>
      <c r="E132" s="40">
        <v>22791.3</v>
      </c>
      <c r="F132" s="40">
        <v>39816.1</v>
      </c>
      <c r="G132" s="40">
        <v>613.30000000000007</v>
      </c>
      <c r="H132" s="41">
        <v>4498.8999999999996</v>
      </c>
      <c r="I132" s="41">
        <v>8795.7999999999993</v>
      </c>
      <c r="J132" s="41">
        <v>239184.09999999998</v>
      </c>
      <c r="K132" s="39">
        <v>51750.2</v>
      </c>
      <c r="L132" s="41">
        <v>19049.5</v>
      </c>
      <c r="M132" s="41">
        <v>1103.9000000000001</v>
      </c>
      <c r="N132" s="41">
        <v>156873.4</v>
      </c>
      <c r="O132" s="42">
        <v>242991.8</v>
      </c>
      <c r="P132" s="43">
        <v>44918.1</v>
      </c>
      <c r="Q132" s="44">
        <v>-1165</v>
      </c>
      <c r="R132" s="40">
        <v>134572.79999999999</v>
      </c>
      <c r="S132" s="27">
        <f t="shared" si="1"/>
        <v>2060906.9000000001</v>
      </c>
    </row>
    <row r="133" spans="1:19" s="23" customFormat="1" x14ac:dyDescent="0.25">
      <c r="A133" s="57">
        <v>43281</v>
      </c>
      <c r="B133" s="39">
        <v>658927.20000000007</v>
      </c>
      <c r="C133" s="39">
        <v>314557.7</v>
      </c>
      <c r="D133" s="40">
        <v>125554.8</v>
      </c>
      <c r="E133" s="40">
        <v>25170.600000000002</v>
      </c>
      <c r="F133" s="40">
        <v>39256.699999999997</v>
      </c>
      <c r="G133" s="40">
        <v>558.4</v>
      </c>
      <c r="H133" s="41">
        <v>3577.9</v>
      </c>
      <c r="I133" s="41">
        <v>8806</v>
      </c>
      <c r="J133" s="41">
        <v>286106</v>
      </c>
      <c r="K133" s="39">
        <v>57002.500000000007</v>
      </c>
      <c r="L133" s="41">
        <v>18952.900000000001</v>
      </c>
      <c r="M133" s="41">
        <v>1095.5</v>
      </c>
      <c r="N133" s="41">
        <v>198291.5</v>
      </c>
      <c r="O133" s="42">
        <v>243166</v>
      </c>
      <c r="P133" s="43">
        <v>46697.1</v>
      </c>
      <c r="Q133" s="44">
        <v>-1260.4000000000005</v>
      </c>
      <c r="R133" s="40">
        <v>143599.6</v>
      </c>
      <c r="S133" s="27">
        <f t="shared" si="1"/>
        <v>2170060</v>
      </c>
    </row>
    <row r="134" spans="1:19" s="23" customFormat="1" x14ac:dyDescent="0.25">
      <c r="A134" s="57">
        <v>43282</v>
      </c>
      <c r="B134" s="39">
        <v>677066.9</v>
      </c>
      <c r="C134" s="39">
        <v>324665</v>
      </c>
      <c r="D134" s="40">
        <v>134672.4</v>
      </c>
      <c r="E134" s="40">
        <v>44589.599999999999</v>
      </c>
      <c r="F134" s="40">
        <v>35554.1</v>
      </c>
      <c r="G134" s="40">
        <v>625.5</v>
      </c>
      <c r="H134" s="41">
        <v>2523.4</v>
      </c>
      <c r="I134" s="41">
        <v>8827.9</v>
      </c>
      <c r="J134" s="41">
        <v>290876.59999999998</v>
      </c>
      <c r="K134" s="39">
        <v>51343.3</v>
      </c>
      <c r="L134" s="41">
        <v>19665.900000000001</v>
      </c>
      <c r="M134" s="41">
        <v>1081.9000000000001</v>
      </c>
      <c r="N134" s="41">
        <v>183027.7</v>
      </c>
      <c r="O134" s="42">
        <v>242277.9</v>
      </c>
      <c r="P134" s="43">
        <v>51367.1</v>
      </c>
      <c r="Q134" s="44">
        <v>-23.899999999999544</v>
      </c>
      <c r="R134" s="40">
        <v>148886</v>
      </c>
      <c r="S134" s="27">
        <f t="shared" si="1"/>
        <v>2217027.2999999998</v>
      </c>
    </row>
    <row r="135" spans="1:19" s="23" customFormat="1" x14ac:dyDescent="0.25">
      <c r="A135" s="57">
        <v>43343</v>
      </c>
      <c r="B135" s="39">
        <v>711573.6</v>
      </c>
      <c r="C135" s="39">
        <v>327448</v>
      </c>
      <c r="D135" s="40">
        <v>138366</v>
      </c>
      <c r="E135" s="40">
        <v>21404.800000000003</v>
      </c>
      <c r="F135" s="40">
        <v>35222.1</v>
      </c>
      <c r="G135" s="40">
        <v>579.9</v>
      </c>
      <c r="H135" s="41">
        <v>3152.8</v>
      </c>
      <c r="I135" s="41">
        <v>6843.6</v>
      </c>
      <c r="J135" s="41">
        <v>310686.3</v>
      </c>
      <c r="K135" s="39">
        <v>56990.899999999994</v>
      </c>
      <c r="L135" s="41">
        <v>17501</v>
      </c>
      <c r="M135" s="41">
        <v>994.59999999999991</v>
      </c>
      <c r="N135" s="41">
        <v>186203.5</v>
      </c>
      <c r="O135" s="42">
        <v>243031.6</v>
      </c>
      <c r="P135" s="43">
        <v>58628</v>
      </c>
      <c r="Q135" s="44">
        <v>-836.00000000000011</v>
      </c>
      <c r="R135" s="40">
        <v>151641.4</v>
      </c>
      <c r="S135" s="27">
        <f t="shared" si="1"/>
        <v>2269432.1</v>
      </c>
    </row>
    <row r="136" spans="1:19" s="23" customFormat="1" x14ac:dyDescent="0.25">
      <c r="A136" s="57">
        <v>43344</v>
      </c>
      <c r="B136" s="39">
        <v>696640.4</v>
      </c>
      <c r="C136" s="39">
        <v>344819.5</v>
      </c>
      <c r="D136" s="40">
        <v>135918.9</v>
      </c>
      <c r="E136" s="40">
        <v>25494</v>
      </c>
      <c r="F136" s="40">
        <v>37564.9</v>
      </c>
      <c r="G136" s="40">
        <v>758.3</v>
      </c>
      <c r="H136" s="41">
        <v>3837.5</v>
      </c>
      <c r="I136" s="41">
        <v>5368.6</v>
      </c>
      <c r="J136" s="41">
        <v>282564.09999999998</v>
      </c>
      <c r="K136" s="39">
        <v>58434</v>
      </c>
      <c r="L136" s="41">
        <v>21296.1</v>
      </c>
      <c r="M136" s="41">
        <v>8534.5</v>
      </c>
      <c r="N136" s="41">
        <v>176524.4</v>
      </c>
      <c r="O136" s="42">
        <v>243012.2</v>
      </c>
      <c r="P136" s="43">
        <v>66650.5</v>
      </c>
      <c r="Q136" s="44">
        <v>-996.30000000000018</v>
      </c>
      <c r="R136" s="40">
        <v>157429.70000000001</v>
      </c>
      <c r="S136" s="27">
        <f t="shared" si="1"/>
        <v>2263851.3000000007</v>
      </c>
    </row>
    <row r="137" spans="1:19" s="23" customFormat="1" x14ac:dyDescent="0.25">
      <c r="A137" s="57">
        <v>43404</v>
      </c>
      <c r="B137" s="39">
        <v>739820.4</v>
      </c>
      <c r="C137" s="39">
        <v>347848.6</v>
      </c>
      <c r="D137" s="40">
        <v>140067.19999999998</v>
      </c>
      <c r="E137" s="40">
        <v>29680.400000000001</v>
      </c>
      <c r="F137" s="40">
        <v>42591.199999999997</v>
      </c>
      <c r="G137" s="40">
        <v>786.7</v>
      </c>
      <c r="H137" s="41">
        <v>2914.8</v>
      </c>
      <c r="I137" s="41">
        <v>5408.8</v>
      </c>
      <c r="J137" s="41">
        <v>292086</v>
      </c>
      <c r="K137" s="39">
        <v>49968.399999999994</v>
      </c>
      <c r="L137" s="41">
        <v>22739.1</v>
      </c>
      <c r="M137" s="41">
        <v>1009.4</v>
      </c>
      <c r="N137" s="41">
        <v>177795.4</v>
      </c>
      <c r="O137" s="42">
        <v>242863.3</v>
      </c>
      <c r="P137" s="43">
        <v>74751.199999999997</v>
      </c>
      <c r="Q137" s="44">
        <v>-5622.6</v>
      </c>
      <c r="R137" s="40">
        <v>149083.20000000001</v>
      </c>
      <c r="S137" s="27">
        <f t="shared" ref="S137:S139" si="2">SUM(B137:R137)</f>
        <v>2313791.5</v>
      </c>
    </row>
    <row r="138" spans="1:19" s="23" customFormat="1" x14ac:dyDescent="0.25">
      <c r="A138" s="57">
        <v>43405</v>
      </c>
      <c r="B138" s="39">
        <v>755614.39999999991</v>
      </c>
      <c r="C138" s="39">
        <v>344509.99999999994</v>
      </c>
      <c r="D138" s="40">
        <v>140370.79999999999</v>
      </c>
      <c r="E138" s="40">
        <f>58.4+44872.1</f>
        <v>44930.5</v>
      </c>
      <c r="F138" s="40">
        <v>39176.6</v>
      </c>
      <c r="G138" s="40">
        <v>758.7</v>
      </c>
      <c r="H138" s="41">
        <v>3136.6</v>
      </c>
      <c r="I138" s="41">
        <v>5444.7</v>
      </c>
      <c r="J138" s="41">
        <v>235456.3</v>
      </c>
      <c r="K138" s="39">
        <v>60327.5</v>
      </c>
      <c r="L138" s="41">
        <v>22873.5</v>
      </c>
      <c r="M138" s="41">
        <v>920.6</v>
      </c>
      <c r="N138" s="41">
        <v>180998.6</v>
      </c>
      <c r="O138" s="42">
        <v>242893.49999999997</v>
      </c>
      <c r="P138" s="43">
        <v>83296.100000000006</v>
      </c>
      <c r="Q138" s="44">
        <v>110.20000000000027</v>
      </c>
      <c r="R138" s="40">
        <v>148815.69999999998</v>
      </c>
      <c r="S138" s="27">
        <f t="shared" si="2"/>
        <v>2309634.3000000007</v>
      </c>
    </row>
    <row r="139" spans="1:19" s="23" customFormat="1" x14ac:dyDescent="0.25">
      <c r="A139" s="57">
        <v>43465</v>
      </c>
      <c r="B139" s="39">
        <v>768239.6</v>
      </c>
      <c r="C139" s="39">
        <v>346751.4</v>
      </c>
      <c r="D139" s="40">
        <v>141412.09999999998</v>
      </c>
      <c r="E139" s="40">
        <v>36886.5</v>
      </c>
      <c r="F139" s="40">
        <v>35997.4</v>
      </c>
      <c r="G139" s="40">
        <v>1023.4</v>
      </c>
      <c r="H139" s="41">
        <v>3637.7999999999993</v>
      </c>
      <c r="I139" s="41">
        <v>4437.6000000000004</v>
      </c>
      <c r="J139" s="41">
        <v>249568.7</v>
      </c>
      <c r="K139" s="39">
        <v>72439.7</v>
      </c>
      <c r="L139" s="41">
        <v>20202.199999999997</v>
      </c>
      <c r="M139" s="41">
        <v>960.2</v>
      </c>
      <c r="N139" s="41">
        <v>182222.7</v>
      </c>
      <c r="O139" s="42">
        <v>244861.3</v>
      </c>
      <c r="P139" s="43">
        <v>72531.399999999994</v>
      </c>
      <c r="Q139" s="44">
        <v>-1427.4999999999998</v>
      </c>
      <c r="R139" s="40">
        <v>130520.1</v>
      </c>
      <c r="S139" s="27">
        <f t="shared" si="2"/>
        <v>2310264.5999999996</v>
      </c>
    </row>
    <row r="140" spans="1:19" s="23" customFormat="1" x14ac:dyDescent="0.25">
      <c r="A140" s="57">
        <v>43496</v>
      </c>
      <c r="B140" s="39">
        <v>822532.5</v>
      </c>
      <c r="C140" s="39">
        <v>360153</v>
      </c>
      <c r="D140" s="40">
        <v>140667</v>
      </c>
      <c r="E140" s="40">
        <f>21611.3+58.4</f>
        <v>21669.7</v>
      </c>
      <c r="F140" s="40">
        <v>43362.8</v>
      </c>
      <c r="G140" s="40">
        <v>779.5</v>
      </c>
      <c r="H140" s="41">
        <v>2466.7000000000003</v>
      </c>
      <c r="I140" s="41">
        <v>2422.4</v>
      </c>
      <c r="J140" s="41">
        <v>249068.6</v>
      </c>
      <c r="K140" s="39">
        <v>51614.2</v>
      </c>
      <c r="L140" s="41">
        <v>19926.599999999999</v>
      </c>
      <c r="M140" s="41">
        <v>877.6</v>
      </c>
      <c r="N140" s="41">
        <v>185965.4</v>
      </c>
      <c r="O140" s="42">
        <v>244471.1</v>
      </c>
      <c r="P140" s="43">
        <v>82320.2</v>
      </c>
      <c r="Q140" s="44">
        <f>-6675.7+5001.4</f>
        <v>-1674.3000000000002</v>
      </c>
      <c r="R140" s="40">
        <v>130555.7</v>
      </c>
      <c r="S140" s="27">
        <f t="shared" ref="S140:S199" si="3">SUM(B140:R140)</f>
        <v>2357178.7000000007</v>
      </c>
    </row>
    <row r="141" spans="1:19" s="23" customFormat="1" x14ac:dyDescent="0.25">
      <c r="A141" s="57">
        <v>43524</v>
      </c>
      <c r="B141" s="39">
        <v>836435.59999999974</v>
      </c>
      <c r="C141" s="39">
        <v>353836.3</v>
      </c>
      <c r="D141" s="40">
        <v>143471.20000000001</v>
      </c>
      <c r="E141" s="40">
        <f>41303.5+58.4</f>
        <v>41361.9</v>
      </c>
      <c r="F141" s="40">
        <v>40793.200000000004</v>
      </c>
      <c r="G141" s="40">
        <v>743.5</v>
      </c>
      <c r="H141" s="41">
        <v>3716.9999999999995</v>
      </c>
      <c r="I141" s="41">
        <v>4500.1000000000004</v>
      </c>
      <c r="J141" s="41">
        <v>267212.10000000003</v>
      </c>
      <c r="K141" s="39">
        <v>49250.500000000007</v>
      </c>
      <c r="L141" s="41">
        <v>24633.699999999997</v>
      </c>
      <c r="M141" s="41">
        <v>882.19999999999993</v>
      </c>
      <c r="N141" s="41">
        <v>188555.49999999997</v>
      </c>
      <c r="O141" s="42">
        <v>244398.9</v>
      </c>
      <c r="P141" s="43">
        <v>89647.5</v>
      </c>
      <c r="Q141" s="44">
        <f>44.9+0+260.3-27.5-0-31.4-1.4</f>
        <v>244.89999999999998</v>
      </c>
      <c r="R141" s="40">
        <v>133122.9</v>
      </c>
      <c r="S141" s="27">
        <f t="shared" si="3"/>
        <v>2422806.9999999995</v>
      </c>
    </row>
    <row r="142" spans="1:19" s="23" customFormat="1" x14ac:dyDescent="0.25">
      <c r="A142" s="57">
        <v>43555</v>
      </c>
      <c r="B142" s="39">
        <f>830900.1+18699.4</f>
        <v>849599.5</v>
      </c>
      <c r="C142" s="39">
        <v>360524.2</v>
      </c>
      <c r="D142" s="40">
        <f>121032.6+26391</f>
        <v>147423.6</v>
      </c>
      <c r="E142" s="40">
        <f>42170+58.4</f>
        <v>42228.4</v>
      </c>
      <c r="F142" s="40">
        <v>41693.4</v>
      </c>
      <c r="G142" s="40">
        <v>773.2</v>
      </c>
      <c r="H142" s="41">
        <v>5116.8</v>
      </c>
      <c r="I142" s="41">
        <v>4523.8</v>
      </c>
      <c r="J142" s="41">
        <v>287105</v>
      </c>
      <c r="K142" s="39">
        <f>35733.8+11845.2+39025.9</f>
        <v>86604.9</v>
      </c>
      <c r="L142" s="41">
        <v>22691.9</v>
      </c>
      <c r="M142" s="41">
        <f>21.5+786.3</f>
        <v>807.8</v>
      </c>
      <c r="N142" s="41">
        <v>196903.4</v>
      </c>
      <c r="O142" s="42">
        <v>269775.5</v>
      </c>
      <c r="P142" s="43">
        <v>48614</v>
      </c>
      <c r="Q142" s="44">
        <v>3258.5</v>
      </c>
      <c r="R142" s="40">
        <f>71880.5+89003.8+3129.1-18699.4-11845.2</f>
        <v>133468.79999999999</v>
      </c>
      <c r="S142" s="27">
        <f t="shared" si="3"/>
        <v>2501112.6999999993</v>
      </c>
    </row>
    <row r="143" spans="1:19" s="23" customFormat="1" x14ac:dyDescent="0.25">
      <c r="A143" s="57">
        <v>43556</v>
      </c>
      <c r="B143" s="39">
        <f>845684.2+16100.4</f>
        <v>861784.6</v>
      </c>
      <c r="C143" s="39">
        <v>361614.9</v>
      </c>
      <c r="D143" s="40">
        <f>21540.4+121425.3</f>
        <v>142965.70000000001</v>
      </c>
      <c r="E143" s="40">
        <f>38062.2+58.4</f>
        <v>38120.6</v>
      </c>
      <c r="F143" s="40">
        <v>43638.8</v>
      </c>
      <c r="G143" s="40">
        <v>738.1</v>
      </c>
      <c r="H143" s="41">
        <v>3310.3</v>
      </c>
      <c r="I143" s="41">
        <v>4492.3</v>
      </c>
      <c r="J143" s="41">
        <v>295103.8</v>
      </c>
      <c r="K143" s="39">
        <f>1807.8+10988.7+47443.8</f>
        <v>60240.3</v>
      </c>
      <c r="L143" s="41">
        <v>17022.2</v>
      </c>
      <c r="M143" s="41">
        <v>807.7</v>
      </c>
      <c r="N143" s="41">
        <v>197777.1</v>
      </c>
      <c r="O143" s="42">
        <v>271061.59999999998</v>
      </c>
      <c r="P143" s="43">
        <v>62743.199999999997</v>
      </c>
      <c r="Q143" s="44">
        <f>319.1+791.6-3.6-33.2-31.4-4.7</f>
        <v>1037.8</v>
      </c>
      <c r="R143" s="40">
        <f>60674.9+85740.6+2396.7-16100.4-10988.7</f>
        <v>121723.10000000002</v>
      </c>
      <c r="S143" s="27">
        <f t="shared" si="3"/>
        <v>2484182.1000000006</v>
      </c>
    </row>
    <row r="144" spans="1:19" s="23" customFormat="1" x14ac:dyDescent="0.25">
      <c r="A144" s="57">
        <v>43616</v>
      </c>
      <c r="B144" s="39">
        <f>879505.7+17958.3</f>
        <v>897464</v>
      </c>
      <c r="C144" s="39">
        <v>369521.6</v>
      </c>
      <c r="D144" s="40">
        <f>19836.8+117717.6</f>
        <v>137554.4</v>
      </c>
      <c r="E144" s="40">
        <f>33757+58.4</f>
        <v>33815.4</v>
      </c>
      <c r="F144" s="40">
        <v>45062.1</v>
      </c>
      <c r="G144" s="40">
        <v>782.5</v>
      </c>
      <c r="H144" s="41">
        <v>3170.4</v>
      </c>
      <c r="I144" s="41">
        <v>4586.7</v>
      </c>
      <c r="J144" s="41">
        <v>320092.09999999998</v>
      </c>
      <c r="K144" s="39">
        <f>9699.8+11945.5+36787.6</f>
        <v>58432.899999999994</v>
      </c>
      <c r="L144" s="41">
        <v>25015.8</v>
      </c>
      <c r="M144" s="41">
        <v>801.5</v>
      </c>
      <c r="N144" s="41">
        <v>198646.2</v>
      </c>
      <c r="O144" s="42">
        <v>279015.59999999998</v>
      </c>
      <c r="P144" s="43">
        <v>58688.9</v>
      </c>
      <c r="Q144" s="44">
        <f>9305.8+7501.2-844.1-11830.7-31.4-4.7</f>
        <v>4096.0999999999995</v>
      </c>
      <c r="R144" s="40">
        <f>64902+88177.2+1929.2-11945.5-17958.3</f>
        <v>125104.60000000002</v>
      </c>
      <c r="S144" s="27">
        <f t="shared" si="3"/>
        <v>2561850.7999999998</v>
      </c>
    </row>
    <row r="145" spans="1:19" s="23" customFormat="1" x14ac:dyDescent="0.25">
      <c r="A145" s="57">
        <v>43617</v>
      </c>
      <c r="B145" s="39">
        <f>883112+35432.4</f>
        <v>918544.4</v>
      </c>
      <c r="C145" s="39">
        <v>384199</v>
      </c>
      <c r="D145" s="40">
        <f>21144.9+119745.4</f>
        <v>140890.29999999999</v>
      </c>
      <c r="E145" s="40">
        <f>33415.3+58.4</f>
        <v>33473.700000000004</v>
      </c>
      <c r="F145" s="40">
        <v>45316</v>
      </c>
      <c r="G145" s="40">
        <v>784.9</v>
      </c>
      <c r="H145" s="41">
        <v>5296.3</v>
      </c>
      <c r="I145" s="41">
        <v>4605</v>
      </c>
      <c r="J145" s="41">
        <v>334675.3</v>
      </c>
      <c r="K145" s="39">
        <f>29603.4+9328.2+40739.2</f>
        <v>79670.8</v>
      </c>
      <c r="L145" s="41">
        <v>23651.200000000001</v>
      </c>
      <c r="M145" s="41">
        <v>807.1</v>
      </c>
      <c r="N145" s="41">
        <v>199660</v>
      </c>
      <c r="O145" s="42">
        <v>279968.5</v>
      </c>
      <c r="P145" s="43">
        <v>64021.4</v>
      </c>
      <c r="Q145" s="44">
        <f>165.2+2000.8-381.5-2003.6-31.4-3.5</f>
        <v>-253.99999999999991</v>
      </c>
      <c r="R145" s="40">
        <f>86888.9+93900.6+1980.8-9328.2-35432.4</f>
        <v>138009.69999999998</v>
      </c>
      <c r="S145" s="27">
        <f t="shared" si="3"/>
        <v>2653319.6</v>
      </c>
    </row>
    <row r="146" spans="1:19" s="23" customFormat="1" x14ac:dyDescent="0.25">
      <c r="A146" s="57">
        <v>43677</v>
      </c>
      <c r="B146" s="39">
        <f>917090.5+17843.4</f>
        <v>934933.9</v>
      </c>
      <c r="C146" s="39">
        <v>378991.5</v>
      </c>
      <c r="D146" s="40">
        <f>20933+122025.5</f>
        <v>142958.5</v>
      </c>
      <c r="E146" s="40">
        <f>22592+58.4</f>
        <v>22650.400000000001</v>
      </c>
      <c r="F146" s="40">
        <v>42263.8</v>
      </c>
      <c r="G146" s="40">
        <v>1110.1999999999998</v>
      </c>
      <c r="H146" s="41">
        <v>3422.3</v>
      </c>
      <c r="I146" s="41">
        <v>4645.6000000000004</v>
      </c>
      <c r="J146" s="41">
        <v>349600.4</v>
      </c>
      <c r="K146" s="39">
        <f>9464.2+9488.6+39333.7</f>
        <v>58286.5</v>
      </c>
      <c r="L146" s="41">
        <v>21066.5</v>
      </c>
      <c r="M146" s="41">
        <v>823.90000000000009</v>
      </c>
      <c r="N146" s="41">
        <v>231174</v>
      </c>
      <c r="O146" s="42">
        <v>280107.3</v>
      </c>
      <c r="P146" s="43">
        <v>74769</v>
      </c>
      <c r="Q146" s="44">
        <v>-20948.099999999999</v>
      </c>
      <c r="R146" s="40">
        <v>134382.39999999999</v>
      </c>
      <c r="S146" s="27">
        <f t="shared" si="3"/>
        <v>2660238.0999999996</v>
      </c>
    </row>
    <row r="147" spans="1:19" s="23" customFormat="1" x14ac:dyDescent="0.25">
      <c r="A147" s="57">
        <v>43678</v>
      </c>
      <c r="B147" s="39">
        <f>931394+14925.8</f>
        <v>946319.8</v>
      </c>
      <c r="C147" s="39">
        <v>383572.8</v>
      </c>
      <c r="D147" s="40">
        <f>21157.2+122509.3</f>
        <v>143666.5</v>
      </c>
      <c r="E147" s="40">
        <f>25771.9+56.2</f>
        <v>25828.100000000002</v>
      </c>
      <c r="F147" s="40">
        <v>41449.9</v>
      </c>
      <c r="G147" s="40">
        <v>1066.8999999999999</v>
      </c>
      <c r="H147" s="41">
        <v>6192.2999999999984</v>
      </c>
      <c r="I147" s="41">
        <v>4666.2000000000007</v>
      </c>
      <c r="J147" s="41">
        <v>342795</v>
      </c>
      <c r="K147" s="39">
        <f>8470.8+10429.6+42090.3</f>
        <v>60990.700000000004</v>
      </c>
      <c r="L147" s="41">
        <v>20171.599999999999</v>
      </c>
      <c r="M147" s="41">
        <v>840</v>
      </c>
      <c r="N147" s="41">
        <v>221742.39999999997</v>
      </c>
      <c r="O147" s="42">
        <v>281778</v>
      </c>
      <c r="P147" s="43">
        <v>84939</v>
      </c>
      <c r="Q147" s="44">
        <f>23481.8+0-270.2-28473-31.4-0.1</f>
        <v>-5292.9000000000015</v>
      </c>
      <c r="R147" s="40">
        <f>62894.2+96830.8+2799.1-10429.6-14925.8</f>
        <v>137168.70000000001</v>
      </c>
      <c r="S147" s="27">
        <f t="shared" si="3"/>
        <v>2697895.0000000005</v>
      </c>
    </row>
    <row r="148" spans="1:19" s="23" customFormat="1" x14ac:dyDescent="0.25">
      <c r="A148" s="57">
        <v>43738</v>
      </c>
      <c r="B148" s="31">
        <f>940224.1+11001.8</f>
        <v>951225.9</v>
      </c>
      <c r="C148" s="31">
        <v>377943.99999999994</v>
      </c>
      <c r="D148" s="34">
        <f>20172.8+125072</f>
        <v>145244.79999999999</v>
      </c>
      <c r="E148" s="34">
        <f>33907.9+58.4</f>
        <v>33966.300000000003</v>
      </c>
      <c r="F148" s="34">
        <v>37680.5</v>
      </c>
      <c r="G148" s="34">
        <v>1051.9999999999998</v>
      </c>
      <c r="H148" s="25">
        <v>4654.6000000000004</v>
      </c>
      <c r="I148" s="25">
        <v>4591.7</v>
      </c>
      <c r="J148" s="25">
        <v>393162.60000000003</v>
      </c>
      <c r="K148" s="31">
        <f>19187.6+11457.2+41442</f>
        <v>72086.8</v>
      </c>
      <c r="L148" s="25">
        <v>20434.300000000003</v>
      </c>
      <c r="M148" s="25">
        <v>843.9</v>
      </c>
      <c r="N148" s="25">
        <v>223096</v>
      </c>
      <c r="O148" s="27">
        <v>282742.8</v>
      </c>
      <c r="P148" s="28">
        <v>96432.3</v>
      </c>
      <c r="Q148" s="33">
        <f>4759.4+0+24.3-6253.7-31.4-0.1</f>
        <v>-1501.5</v>
      </c>
      <c r="R148" s="34">
        <f>67293.7+94223.8+2985.9-11457.2-11001.8</f>
        <v>142044.4</v>
      </c>
      <c r="S148" s="27">
        <f t="shared" si="3"/>
        <v>2785701.4</v>
      </c>
    </row>
    <row r="149" spans="1:19" s="23" customFormat="1" x14ac:dyDescent="0.25">
      <c r="A149" s="57">
        <v>43739</v>
      </c>
      <c r="B149" s="31">
        <f>911372.4+8744.2</f>
        <v>920116.6</v>
      </c>
      <c r="C149" s="31">
        <v>398486.00000000006</v>
      </c>
      <c r="D149" s="34">
        <f>20145.7+123101.3</f>
        <v>143247</v>
      </c>
      <c r="E149" s="34">
        <f>38741.9+58.4</f>
        <v>38800.300000000003</v>
      </c>
      <c r="F149" s="34">
        <v>47789.1</v>
      </c>
      <c r="G149" s="34">
        <v>1044.0000000000002</v>
      </c>
      <c r="H149" s="25">
        <v>7033.7999999999993</v>
      </c>
      <c r="I149" s="25">
        <v>4627.8999999999996</v>
      </c>
      <c r="J149" s="25">
        <v>413805.2</v>
      </c>
      <c r="K149" s="31">
        <f>7509.3+12254.1+40236.9</f>
        <v>60000.3</v>
      </c>
      <c r="L149" s="25">
        <v>30107.299999999996</v>
      </c>
      <c r="M149" s="25">
        <v>868.30000000000007</v>
      </c>
      <c r="N149" s="25">
        <v>216587.20000000004</v>
      </c>
      <c r="O149" s="27">
        <v>282913.5</v>
      </c>
      <c r="P149" s="28">
        <v>107692.40000000001</v>
      </c>
      <c r="Q149" s="33">
        <f>9737.1+0-1.4-20233.2-31.4-0.1</f>
        <v>-10529</v>
      </c>
      <c r="R149" s="34">
        <f>64876.5+90325.6+2979.3-12254.1-8744.2</f>
        <v>137183.09999999998</v>
      </c>
      <c r="S149" s="27">
        <f t="shared" si="3"/>
        <v>2799773.0000000005</v>
      </c>
    </row>
    <row r="150" spans="1:19" s="23" customFormat="1" x14ac:dyDescent="0.25">
      <c r="A150" s="57">
        <v>43799</v>
      </c>
      <c r="B150" s="31">
        <f>844530.1+9359.1</f>
        <v>853889.2</v>
      </c>
      <c r="C150" s="31">
        <v>479912.69999999995</v>
      </c>
      <c r="D150" s="34">
        <f>19884.7+123394.4</f>
        <v>143279.1</v>
      </c>
      <c r="E150" s="34">
        <f>56892.1+58.4</f>
        <v>56950.5</v>
      </c>
      <c r="F150" s="34">
        <v>43721.3</v>
      </c>
      <c r="G150" s="34">
        <v>1095.8000000000002</v>
      </c>
      <c r="H150" s="25">
        <v>6393.2999999999993</v>
      </c>
      <c r="I150" s="25">
        <v>4653.2999999999993</v>
      </c>
      <c r="J150" s="25">
        <v>406709.49999999994</v>
      </c>
      <c r="K150" s="31">
        <f>6432+12829.4+54337.9</f>
        <v>73599.3</v>
      </c>
      <c r="L150" s="25">
        <v>29939</v>
      </c>
      <c r="M150" s="25">
        <v>1689.4</v>
      </c>
      <c r="N150" s="25">
        <v>218706.9</v>
      </c>
      <c r="O150" s="27">
        <v>283069.8</v>
      </c>
      <c r="P150" s="28">
        <v>112941.40000000001</v>
      </c>
      <c r="Q150" s="33">
        <f>17918.9+1800+0.6-12209.8-31.4-2.1</f>
        <v>7476.2000000000007</v>
      </c>
      <c r="R150" s="34">
        <f>63982.2+91597.8+3471.7-12829.4-9359.1</f>
        <v>136863.20000000001</v>
      </c>
      <c r="S150" s="27">
        <f t="shared" si="3"/>
        <v>2860889.9</v>
      </c>
    </row>
    <row r="151" spans="1:19" s="23" customFormat="1" x14ac:dyDescent="0.25">
      <c r="A151" s="57">
        <v>43800</v>
      </c>
      <c r="B151" s="31">
        <v>889356.69999999984</v>
      </c>
      <c r="C151" s="31">
        <v>497195.6</v>
      </c>
      <c r="D151" s="34">
        <v>147319.79999999999</v>
      </c>
      <c r="E151" s="34">
        <f>42949.2+58.4</f>
        <v>43007.6</v>
      </c>
      <c r="F151" s="34">
        <v>52965.500000000007</v>
      </c>
      <c r="G151" s="34">
        <v>1109.6999999999998</v>
      </c>
      <c r="H151" s="25">
        <v>5917.9</v>
      </c>
      <c r="I151" s="25">
        <v>4674.6000000000004</v>
      </c>
      <c r="J151" s="25">
        <v>427469.4</v>
      </c>
      <c r="K151" s="31">
        <v>82888.800000000003</v>
      </c>
      <c r="L151" s="25">
        <v>32600.300000000003</v>
      </c>
      <c r="M151" s="25">
        <v>927.60000000000014</v>
      </c>
      <c r="N151" s="25">
        <v>216615.89999999997</v>
      </c>
      <c r="O151" s="27">
        <v>291528.80000000005</v>
      </c>
      <c r="P151" s="28">
        <v>120578.99999999999</v>
      </c>
      <c r="Q151" s="33">
        <f>79.8+10119.5-13.2-15220.2-31.4-0</f>
        <v>-5065.5000000000018</v>
      </c>
      <c r="R151" s="34">
        <f>72539.8+74054.3+1953-16514.7-8349.2</f>
        <v>123683.2</v>
      </c>
      <c r="S151" s="27">
        <f t="shared" si="3"/>
        <v>2932774.8999999994</v>
      </c>
    </row>
    <row r="152" spans="1:19" s="23" customFormat="1" x14ac:dyDescent="0.25">
      <c r="A152" s="57">
        <v>43861</v>
      </c>
      <c r="B152" s="31">
        <f>876972.4+10062.3</f>
        <v>887034.70000000007</v>
      </c>
      <c r="C152" s="31">
        <v>503164.49999999994</v>
      </c>
      <c r="D152" s="34">
        <f>132084.1+15550.1</f>
        <v>147634.20000000001</v>
      </c>
      <c r="E152" s="34">
        <f>56127.5+58.4</f>
        <v>56185.9</v>
      </c>
      <c r="F152" s="34">
        <v>47317.5</v>
      </c>
      <c r="G152" s="34">
        <v>1184.5</v>
      </c>
      <c r="H152" s="25">
        <v>4083.9999999999995</v>
      </c>
      <c r="I152" s="25">
        <v>4707.8</v>
      </c>
      <c r="J152" s="25">
        <v>430666.30000000005</v>
      </c>
      <c r="K152" s="31">
        <v>60141.399999999994</v>
      </c>
      <c r="L152" s="25">
        <v>32598.800000000003</v>
      </c>
      <c r="M152" s="25">
        <v>1107.1000000000001</v>
      </c>
      <c r="N152" s="25">
        <v>279253.2</v>
      </c>
      <c r="O152" s="27">
        <v>292428.60000000003</v>
      </c>
      <c r="P152" s="28">
        <v>132411.9</v>
      </c>
      <c r="Q152" s="33">
        <f>35.8+10300.8+119.9+5.6-13507.3-31.4-0</f>
        <v>-3076.6000000000008</v>
      </c>
      <c r="R152" s="34">
        <f>71161.2+73207.7+2344-10062.3-14975</f>
        <v>121675.6</v>
      </c>
      <c r="S152" s="27">
        <f t="shared" si="3"/>
        <v>2998519.4</v>
      </c>
    </row>
    <row r="153" spans="1:19" s="23" customFormat="1" x14ac:dyDescent="0.25">
      <c r="A153" s="57">
        <v>43890</v>
      </c>
      <c r="B153" s="31">
        <f>892727.8+12475.8</f>
        <v>905203.60000000009</v>
      </c>
      <c r="C153" s="31">
        <v>518459.00000000006</v>
      </c>
      <c r="D153" s="34">
        <f>133037+16561.5</f>
        <v>149598.5</v>
      </c>
      <c r="E153" s="34">
        <f>51732+58.4</f>
        <v>51790.400000000001</v>
      </c>
      <c r="F153" s="34">
        <v>54796.600000000006</v>
      </c>
      <c r="G153" s="34">
        <v>1077.8</v>
      </c>
      <c r="H153" s="25">
        <v>4279.5</v>
      </c>
      <c r="I153" s="25">
        <v>2677.9</v>
      </c>
      <c r="J153" s="25">
        <v>472340.60000000003</v>
      </c>
      <c r="K153" s="31">
        <f>39654.6+15460.3+6067.1</f>
        <v>61181.999999999993</v>
      </c>
      <c r="L153" s="25">
        <v>31878.600000000002</v>
      </c>
      <c r="M153" s="25">
        <v>922.00000000000011</v>
      </c>
      <c r="N153" s="25">
        <v>268234.5</v>
      </c>
      <c r="O153" s="27">
        <v>293937.3</v>
      </c>
      <c r="P153" s="28">
        <v>141144.89999999997</v>
      </c>
      <c r="Q153" s="33">
        <f>29.7+13900.2+272.4+9.6-13909.6-31.4-0</f>
        <v>270.90000000000111</v>
      </c>
      <c r="R153" s="34">
        <f>74809.3+74262.8+2580.3-15460.3-12475.8</f>
        <v>123716.3</v>
      </c>
      <c r="S153" s="27">
        <f t="shared" si="3"/>
        <v>3081510.3999999994</v>
      </c>
    </row>
    <row r="154" spans="1:19" s="23" customFormat="1" x14ac:dyDescent="0.25">
      <c r="A154" s="57">
        <v>43921</v>
      </c>
      <c r="B154" s="31">
        <f>880232.3+14473</f>
        <v>894705.3</v>
      </c>
      <c r="C154" s="31">
        <v>515934.60000000003</v>
      </c>
      <c r="D154" s="34">
        <f>133805+17170.8</f>
        <v>150975.79999999999</v>
      </c>
      <c r="E154" s="34">
        <f>38896.5+58.4</f>
        <v>38954.9</v>
      </c>
      <c r="F154" s="34">
        <v>55232.2</v>
      </c>
      <c r="G154" s="34">
        <v>1138.8000000000002</v>
      </c>
      <c r="H154" s="25">
        <v>2980</v>
      </c>
      <c r="I154" s="25">
        <v>2724.3</v>
      </c>
      <c r="J154" s="25">
        <v>420015.1</v>
      </c>
      <c r="K154" s="31">
        <f>65237.4+14956.4+16693.7</f>
        <v>96887.5</v>
      </c>
      <c r="L154" s="25">
        <v>31920.1</v>
      </c>
      <c r="M154" s="25">
        <v>2013.3</v>
      </c>
      <c r="N154" s="25">
        <v>261170.6</v>
      </c>
      <c r="O154" s="27">
        <v>355771</v>
      </c>
      <c r="P154" s="28">
        <v>61517.7</v>
      </c>
      <c r="Q154" s="33">
        <f>6028.1+27313.9+0+12.7-25011.2-31.4-0</f>
        <v>8312.0999999999967</v>
      </c>
      <c r="R154" s="34">
        <f>81934.8+76845+2468.1-14956.4-14473</f>
        <v>131818.5</v>
      </c>
      <c r="S154" s="27">
        <f t="shared" si="3"/>
        <v>3032071.8000000003</v>
      </c>
    </row>
    <row r="155" spans="1:19" s="23" customFormat="1" x14ac:dyDescent="0.25">
      <c r="A155" s="57">
        <v>43951</v>
      </c>
      <c r="B155" s="31">
        <f>915468.6+8560.4</f>
        <v>924029</v>
      </c>
      <c r="C155" s="31">
        <v>527890.70000000007</v>
      </c>
      <c r="D155" s="34">
        <f>137256.4+16593.2</f>
        <v>153849.60000000001</v>
      </c>
      <c r="E155" s="34">
        <f>48528+58.4</f>
        <v>48586.400000000001</v>
      </c>
      <c r="F155" s="34">
        <v>50544.399999999994</v>
      </c>
      <c r="G155" s="34">
        <v>1293.8000000000002</v>
      </c>
      <c r="H155" s="25">
        <v>2940.1000000000004</v>
      </c>
      <c r="I155" s="25">
        <v>2734.3</v>
      </c>
      <c r="J155" s="25">
        <v>433028</v>
      </c>
      <c r="K155" s="31">
        <f>45379.5+10722.4+5370</f>
        <v>61471.9</v>
      </c>
      <c r="L155" s="25">
        <v>40171.9</v>
      </c>
      <c r="M155" s="25">
        <v>906.7</v>
      </c>
      <c r="N155" s="25">
        <v>266161.90000000002</v>
      </c>
      <c r="O155" s="27">
        <v>357594.99999999994</v>
      </c>
      <c r="P155" s="28">
        <v>70295.5</v>
      </c>
      <c r="Q155" s="33">
        <f>28.1+207.7+0+328.6-503.5-31.4-208.7</f>
        <v>-179.20000000000002</v>
      </c>
      <c r="R155" s="34">
        <f>62271.6+77735.6+2182.4-10722.4-8560.4</f>
        <v>122906.80000000002</v>
      </c>
      <c r="S155" s="27">
        <f t="shared" si="3"/>
        <v>3064226.8</v>
      </c>
    </row>
    <row r="156" spans="1:19" s="23" customFormat="1" x14ac:dyDescent="0.25">
      <c r="A156" s="57">
        <v>43952</v>
      </c>
      <c r="B156" s="31">
        <f>908529.2+9658.7</f>
        <v>918187.89999999991</v>
      </c>
      <c r="C156" s="31">
        <v>535637.6</v>
      </c>
      <c r="D156" s="34">
        <f>136795.9+16730.4</f>
        <v>153526.29999999999</v>
      </c>
      <c r="E156" s="34">
        <f>48397.9+58.4</f>
        <v>48456.3</v>
      </c>
      <c r="F156" s="34">
        <v>47778.1</v>
      </c>
      <c r="G156" s="34">
        <v>1033.5</v>
      </c>
      <c r="H156" s="25">
        <v>1957.8000000000002</v>
      </c>
      <c r="I156" s="25">
        <v>2768.1</v>
      </c>
      <c r="J156" s="25">
        <v>435227.50000000006</v>
      </c>
      <c r="K156" s="31">
        <f>70943.8+11433.8+4871.8</f>
        <v>87249.400000000009</v>
      </c>
      <c r="L156" s="25">
        <v>38575.5</v>
      </c>
      <c r="M156" s="25">
        <v>2046.2</v>
      </c>
      <c r="N156" s="25">
        <v>285542.30000000005</v>
      </c>
      <c r="O156" s="27">
        <v>357758.39999999997</v>
      </c>
      <c r="P156" s="28">
        <v>79429</v>
      </c>
      <c r="Q156" s="33">
        <f>27.6+7475.4+393.7-9004.9-31.4-0</f>
        <v>-1139.5999999999999</v>
      </c>
      <c r="R156" s="34">
        <f>69443.1+78453.9+2144-11433.8-9658.7</f>
        <v>128948.50000000001</v>
      </c>
      <c r="S156" s="27">
        <f t="shared" si="3"/>
        <v>3122982.8000000007</v>
      </c>
    </row>
    <row r="157" spans="1:19" s="23" customFormat="1" x14ac:dyDescent="0.25">
      <c r="A157" s="57">
        <v>44012</v>
      </c>
      <c r="B157" s="31">
        <f>977338.4+22228</f>
        <v>999566.4</v>
      </c>
      <c r="C157" s="31">
        <v>544257.6</v>
      </c>
      <c r="D157" s="34">
        <f>140066.8+18516.8</f>
        <v>158583.59999999998</v>
      </c>
      <c r="E157" s="34">
        <f>38666.5+58.4</f>
        <v>38724.9</v>
      </c>
      <c r="F157" s="34">
        <v>48625.599999999999</v>
      </c>
      <c r="G157" s="34">
        <v>965.4</v>
      </c>
      <c r="H157" s="25">
        <v>12187.100000000002</v>
      </c>
      <c r="I157" s="25">
        <v>2374.9</v>
      </c>
      <c r="J157" s="25">
        <v>411333</v>
      </c>
      <c r="K157" s="31">
        <f>39095.6+11963.7+12321.6</f>
        <v>63380.9</v>
      </c>
      <c r="L157" s="25">
        <v>28888.899999999998</v>
      </c>
      <c r="M157" s="25">
        <v>1210.8999999999999</v>
      </c>
      <c r="N157" s="25">
        <v>277077.40000000002</v>
      </c>
      <c r="O157" s="27">
        <v>358684.4</v>
      </c>
      <c r="P157" s="28">
        <v>90832.3</v>
      </c>
      <c r="Q157" s="33">
        <f>11.8+2922.5+563.6-2529.2-31.4-15.9</f>
        <v>921.40000000000032</v>
      </c>
      <c r="R157" s="34">
        <f>79835.9+79765.3+2201.1-11963.7-22228</f>
        <v>127610.6</v>
      </c>
      <c r="S157" s="27">
        <f t="shared" si="3"/>
        <v>3165225.2999999993</v>
      </c>
    </row>
    <row r="158" spans="1:19" s="23" customFormat="1" x14ac:dyDescent="0.25">
      <c r="A158" s="57">
        <v>44043</v>
      </c>
      <c r="B158" s="31">
        <f>951734.9+13911.4</f>
        <v>965646.3</v>
      </c>
      <c r="C158" s="31">
        <v>595768.19999999995</v>
      </c>
      <c r="D158" s="34">
        <f>149833.7+16804.7</f>
        <v>166638.40000000002</v>
      </c>
      <c r="E158" s="34">
        <f>34998.2+58.4</f>
        <v>35056.6</v>
      </c>
      <c r="F158" s="34">
        <v>49373.5</v>
      </c>
      <c r="G158" s="34">
        <v>918.40000000000009</v>
      </c>
      <c r="H158" s="25">
        <v>4915.0999999999995</v>
      </c>
      <c r="I158" s="25">
        <v>1791.5</v>
      </c>
      <c r="J158" s="25">
        <v>414781.3</v>
      </c>
      <c r="K158" s="31">
        <f>53088.6+12001+8350.1</f>
        <v>73439.7</v>
      </c>
      <c r="L158" s="25">
        <v>33471.1</v>
      </c>
      <c r="M158" s="25">
        <v>1187.0999999999999</v>
      </c>
      <c r="N158" s="25">
        <v>279283.7</v>
      </c>
      <c r="O158" s="27">
        <v>357981.4</v>
      </c>
      <c r="P158" s="28">
        <v>107807</v>
      </c>
      <c r="Q158" s="33">
        <f>7.3+16485.9+851.6-10003.6-31.4-242.1</f>
        <v>7067.6999999999989</v>
      </c>
      <c r="R158" s="34">
        <f>71615.7+81342.5+2448.4-12001-13911.4</f>
        <v>129494.20000000001</v>
      </c>
      <c r="S158" s="27">
        <f t="shared" si="3"/>
        <v>3224621.2000000007</v>
      </c>
    </row>
    <row r="159" spans="1:19" s="23" customFormat="1" x14ac:dyDescent="0.25">
      <c r="A159" s="57">
        <v>44074</v>
      </c>
      <c r="B159" s="31">
        <f>990021.1+14934</f>
        <v>1004955.1</v>
      </c>
      <c r="C159" s="31">
        <v>604738.80000000005</v>
      </c>
      <c r="D159" s="34">
        <f>151468.8+16898.3</f>
        <v>168367.09999999998</v>
      </c>
      <c r="E159" s="34">
        <f>32336.5+58.4</f>
        <v>32394.9</v>
      </c>
      <c r="F159" s="34">
        <v>43572.899999999994</v>
      </c>
      <c r="G159" s="34">
        <v>953.20000000000016</v>
      </c>
      <c r="H159" s="25">
        <v>3871.8000000000006</v>
      </c>
      <c r="I159" s="25">
        <v>0</v>
      </c>
      <c r="J159" s="25">
        <v>454791.89999999997</v>
      </c>
      <c r="K159" s="31">
        <f>36104.1+12869.6+3777.4</f>
        <v>52751.1</v>
      </c>
      <c r="L159" s="25">
        <v>33518.099999999991</v>
      </c>
      <c r="M159" s="25">
        <v>1203.4000000000001</v>
      </c>
      <c r="N159" s="25">
        <v>263229.29999999993</v>
      </c>
      <c r="O159" s="27">
        <v>358842.89999999997</v>
      </c>
      <c r="P159" s="28">
        <v>119072.00000000001</v>
      </c>
      <c r="Q159" s="33">
        <f>6.5+9989.1+871.1-3753.8-31.4-0</f>
        <v>7081.5000000000009</v>
      </c>
      <c r="R159" s="34">
        <f>76331.1+83467.9+2393.2-12869.6-14934</f>
        <v>134388.6</v>
      </c>
      <c r="S159" s="27">
        <f t="shared" si="3"/>
        <v>3283732.5999999996</v>
      </c>
    </row>
    <row r="160" spans="1:19" s="23" customFormat="1" x14ac:dyDescent="0.25">
      <c r="A160" s="57">
        <v>44104</v>
      </c>
      <c r="B160" s="31">
        <f>1087600.6+17969.8</f>
        <v>1105570.4000000001</v>
      </c>
      <c r="C160" s="31">
        <f>574223.4+118.2+2167+21378.5+5392.5</f>
        <v>603279.6</v>
      </c>
      <c r="D160" s="34">
        <f>155734.1+13918+39.8+1487.6+1283.3</f>
        <v>172462.8</v>
      </c>
      <c r="E160" s="34">
        <f>34287.7+58.4</f>
        <v>34346.1</v>
      </c>
      <c r="F160" s="34">
        <v>38828.9</v>
      </c>
      <c r="G160" s="34">
        <v>845.40000000000009</v>
      </c>
      <c r="H160" s="25">
        <v>3097.2999999999997</v>
      </c>
      <c r="I160" s="25">
        <v>3666.3</v>
      </c>
      <c r="J160" s="25">
        <v>360531.8</v>
      </c>
      <c r="K160" s="31">
        <f>40194.7+13712.3+18796.8+66</f>
        <v>72769.8</v>
      </c>
      <c r="L160" s="25">
        <v>16865.2</v>
      </c>
      <c r="M160" s="25">
        <f>8692.2+17902.1</f>
        <v>26594.3</v>
      </c>
      <c r="N160" s="25">
        <f>289503.6+550+195.5</f>
        <v>290249.09999999998</v>
      </c>
      <c r="O160" s="27">
        <v>373196.39999999997</v>
      </c>
      <c r="P160" s="28">
        <v>132637.1</v>
      </c>
      <c r="Q160" s="33">
        <f>45.3+2.1+884.1-43.7-31.4-0</f>
        <v>856.4</v>
      </c>
      <c r="R160" s="34">
        <f>85068.9+84622.2+2137.4-13712.3-17969.8</f>
        <v>140146.4</v>
      </c>
      <c r="S160" s="27">
        <f t="shared" si="3"/>
        <v>3375943.3</v>
      </c>
    </row>
    <row r="161" spans="1:19" s="23" customFormat="1" x14ac:dyDescent="0.25">
      <c r="A161" s="57">
        <v>44135</v>
      </c>
      <c r="B161" s="31">
        <f>1073574.8+19256.1</f>
        <v>1092830.9000000001</v>
      </c>
      <c r="C161" s="31">
        <f>589405.9+118.2+2182.1+22632.4+5319.8</f>
        <v>619658.4</v>
      </c>
      <c r="D161" s="34">
        <f>155958.2+15616.7+68.8+2584.4+190.7</f>
        <v>174418.80000000002</v>
      </c>
      <c r="E161" s="34">
        <f>41615.7+58.4</f>
        <v>41674.1</v>
      </c>
      <c r="F161" s="34">
        <v>41701</v>
      </c>
      <c r="G161" s="34">
        <v>889.3</v>
      </c>
      <c r="H161" s="25">
        <v>2958.5</v>
      </c>
      <c r="I161" s="25">
        <f>0+3660.2</f>
        <v>3660.2</v>
      </c>
      <c r="J161" s="25">
        <v>325327.8</v>
      </c>
      <c r="K161" s="31">
        <f>38061+14067.3+4078.3+66</f>
        <v>56272.600000000006</v>
      </c>
      <c r="L161" s="25">
        <v>26422.3</v>
      </c>
      <c r="M161" s="25">
        <f>8683.3+17947.8</f>
        <v>26631.1</v>
      </c>
      <c r="N161" s="25">
        <f>303443+558.9+72.7</f>
        <v>304074.60000000003</v>
      </c>
      <c r="O161" s="27">
        <v>373149.7</v>
      </c>
      <c r="P161" s="28">
        <v>143089.90000000002</v>
      </c>
      <c r="Q161" s="33">
        <f>819.8+24663+801.7-23994.9-31.4-95</f>
        <v>2163.1999999999985</v>
      </c>
      <c r="R161" s="34">
        <f>84483+80490.5+2466.6-14067.3-19256.1</f>
        <v>134116.70000000001</v>
      </c>
      <c r="S161" s="27">
        <f t="shared" si="3"/>
        <v>3369039.100000001</v>
      </c>
    </row>
    <row r="162" spans="1:19" s="23" customFormat="1" x14ac:dyDescent="0.25">
      <c r="A162" s="57">
        <v>44165</v>
      </c>
      <c r="B162" s="31">
        <f>1098173.6+22237.5</f>
        <v>1120411.1000000001</v>
      </c>
      <c r="C162" s="31">
        <f>598457.1+118.2+2139.8+21280.5+5252.5</f>
        <v>627248.1</v>
      </c>
      <c r="D162" s="34">
        <f>157437.2+14397+69.9+2561.2+241.4</f>
        <v>174706.7</v>
      </c>
      <c r="E162" s="34">
        <f>45966.5+58.4</f>
        <v>46024.9</v>
      </c>
      <c r="F162" s="34">
        <v>39951.1</v>
      </c>
      <c r="G162" s="34">
        <v>774.00000000000011</v>
      </c>
      <c r="H162" s="25">
        <v>4531.3999999999996</v>
      </c>
      <c r="I162" s="25">
        <f>6000.3+3664.8</f>
        <v>9665.1</v>
      </c>
      <c r="J162" s="25">
        <v>318574.8</v>
      </c>
      <c r="K162" s="31">
        <f>42394.6+14836.2+4903.4+66</f>
        <v>62200.200000000004</v>
      </c>
      <c r="L162" s="25">
        <v>19618.599999999999</v>
      </c>
      <c r="M162" s="25">
        <f>8905.8+8826.6</f>
        <v>17732.400000000001</v>
      </c>
      <c r="N162" s="25">
        <f>322797.5+562.6+74.6</f>
        <v>323434.69999999995</v>
      </c>
      <c r="O162" s="27">
        <v>373229.09999999992</v>
      </c>
      <c r="P162" s="28">
        <v>151983.99999999997</v>
      </c>
      <c r="Q162" s="33">
        <f>84.8+12000+875+1.4-8349.5-31.4-0</f>
        <v>4580.2999999999993</v>
      </c>
      <c r="R162" s="34">
        <f>88268.9+80032+3732.5-14836.2-22237.5</f>
        <v>134959.69999999998</v>
      </c>
      <c r="S162" s="27">
        <f t="shared" si="3"/>
        <v>3429626.2000000007</v>
      </c>
    </row>
    <row r="163" spans="1:19" s="23" customFormat="1" ht="15" customHeight="1" x14ac:dyDescent="0.25">
      <c r="A163" s="57">
        <v>44196</v>
      </c>
      <c r="B163" s="31">
        <f>1127406.1+14327.1</f>
        <v>1141733.2000000002</v>
      </c>
      <c r="C163" s="31">
        <f>612431.2+3166.9+2942.3+21501.2+5260.4</f>
        <v>645302</v>
      </c>
      <c r="D163" s="34">
        <f>158492+13303+71.2+7277+232.4</f>
        <v>179375.6</v>
      </c>
      <c r="E163" s="34">
        <f>87099.3+58.4</f>
        <v>87157.7</v>
      </c>
      <c r="F163" s="34">
        <v>44679.6</v>
      </c>
      <c r="G163" s="34">
        <v>899.49999999999989</v>
      </c>
      <c r="H163" s="25">
        <v>3485.6</v>
      </c>
      <c r="I163" s="25">
        <f>0+3667.1</f>
        <v>3667.1</v>
      </c>
      <c r="J163" s="25">
        <v>296859.40000000008</v>
      </c>
      <c r="K163" s="31">
        <f>53343.2+20079.5+26571.3+66</f>
        <v>100060</v>
      </c>
      <c r="L163" s="25">
        <v>22821.599999999999</v>
      </c>
      <c r="M163" s="25">
        <f>13386.5+0</f>
        <v>13386.5</v>
      </c>
      <c r="N163" s="25">
        <f>307050.9+560.2+76.7</f>
        <v>307687.80000000005</v>
      </c>
      <c r="O163" s="27">
        <v>375585</v>
      </c>
      <c r="P163" s="28">
        <v>158256</v>
      </c>
      <c r="Q163" s="33">
        <f>84.4+2023.3+600.1+0-2083.8-31.4-0</f>
        <v>592.59999999999957</v>
      </c>
      <c r="R163" s="34">
        <f>85368.1+75821.6+2271.8-20079.5-14327.1</f>
        <v>129054.9</v>
      </c>
      <c r="S163" s="27">
        <f t="shared" si="3"/>
        <v>3510604.1000000006</v>
      </c>
    </row>
    <row r="164" spans="1:19" s="23" customFormat="1" x14ac:dyDescent="0.25">
      <c r="A164" s="57">
        <v>44227</v>
      </c>
      <c r="B164" s="31">
        <v>1178942.8</v>
      </c>
      <c r="C164" s="31">
        <v>644626.30000000005</v>
      </c>
      <c r="D164" s="34">
        <v>180716</v>
      </c>
      <c r="E164" s="34">
        <v>62323.6</v>
      </c>
      <c r="F164" s="34">
        <v>48993.5</v>
      </c>
      <c r="G164" s="34">
        <v>836.00000000000011</v>
      </c>
      <c r="H164" s="25">
        <v>3073.7</v>
      </c>
      <c r="I164" s="25">
        <v>3458.8</v>
      </c>
      <c r="J164" s="25">
        <v>299135.7</v>
      </c>
      <c r="K164" s="31">
        <v>80605.399999999994</v>
      </c>
      <c r="L164" s="25">
        <v>29471.5</v>
      </c>
      <c r="M164" s="25">
        <v>16464.8</v>
      </c>
      <c r="N164" s="25">
        <v>339536.1</v>
      </c>
      <c r="O164" s="27">
        <v>381978.39999999997</v>
      </c>
      <c r="P164" s="28">
        <v>167858.40000000002</v>
      </c>
      <c r="Q164" s="33">
        <v>-1326.1999999999989</v>
      </c>
      <c r="R164" s="34">
        <v>132208</v>
      </c>
      <c r="S164" s="27">
        <f t="shared" si="3"/>
        <v>3568902.8</v>
      </c>
    </row>
    <row r="165" spans="1:19" s="23" customFormat="1" x14ac:dyDescent="0.25">
      <c r="A165" s="57">
        <v>44255</v>
      </c>
      <c r="B165" s="31">
        <v>1206249.4000000001</v>
      </c>
      <c r="C165" s="31">
        <v>666491.79999999993</v>
      </c>
      <c r="D165" s="34">
        <v>183955.20000000001</v>
      </c>
      <c r="E165" s="34">
        <v>58440.6</v>
      </c>
      <c r="F165" s="34">
        <v>49556.6</v>
      </c>
      <c r="G165" s="34">
        <v>1021.4</v>
      </c>
      <c r="H165" s="25">
        <v>3603.9</v>
      </c>
      <c r="I165" s="25">
        <v>3460.1</v>
      </c>
      <c r="J165" s="25">
        <v>293901.2</v>
      </c>
      <c r="K165" s="31">
        <v>72456.899999999994</v>
      </c>
      <c r="L165" s="25">
        <v>29683.700000000004</v>
      </c>
      <c r="M165" s="25">
        <v>44983.4</v>
      </c>
      <c r="N165" s="25">
        <v>328994</v>
      </c>
      <c r="O165" s="27">
        <v>382766.29999999993</v>
      </c>
      <c r="P165" s="28">
        <v>177366.7</v>
      </c>
      <c r="Q165" s="33">
        <v>1190.6999999999994</v>
      </c>
      <c r="R165" s="34">
        <v>135422.19999999998</v>
      </c>
      <c r="S165" s="27">
        <f t="shared" si="3"/>
        <v>3639544.1000000006</v>
      </c>
    </row>
    <row r="166" spans="1:19" s="23" customFormat="1" x14ac:dyDescent="0.25">
      <c r="A166" s="57">
        <v>44286</v>
      </c>
      <c r="B166" s="31">
        <v>1202220.3</v>
      </c>
      <c r="C166" s="31">
        <v>684475.5</v>
      </c>
      <c r="D166" s="34">
        <v>188208.9</v>
      </c>
      <c r="E166" s="34">
        <v>73049.2</v>
      </c>
      <c r="F166" s="34">
        <v>52828.2</v>
      </c>
      <c r="G166" s="34">
        <v>897.49999999999989</v>
      </c>
      <c r="H166" s="25">
        <v>3049.4</v>
      </c>
      <c r="I166" s="25">
        <v>3000.6</v>
      </c>
      <c r="J166" s="25">
        <v>286862.39999999997</v>
      </c>
      <c r="K166" s="31">
        <v>97139.1</v>
      </c>
      <c r="L166" s="25">
        <v>30244.799999999996</v>
      </c>
      <c r="M166" s="25">
        <v>22145.7</v>
      </c>
      <c r="N166" s="25">
        <v>318779.09999999998</v>
      </c>
      <c r="O166" s="27">
        <v>449838.1</v>
      </c>
      <c r="P166" s="28">
        <v>90021.900000000009</v>
      </c>
      <c r="Q166" s="33">
        <v>3572.9999999999977</v>
      </c>
      <c r="R166" s="34">
        <v>136536.69999999998</v>
      </c>
      <c r="S166" s="27">
        <f t="shared" si="3"/>
        <v>3642870.4000000004</v>
      </c>
    </row>
    <row r="167" spans="1:19" s="23" customFormat="1" x14ac:dyDescent="0.25">
      <c r="A167" s="57">
        <v>44316</v>
      </c>
      <c r="B167" s="31">
        <v>1185029.3</v>
      </c>
      <c r="C167" s="31">
        <v>688444.89999999991</v>
      </c>
      <c r="D167" s="34">
        <v>180261.9</v>
      </c>
      <c r="E167" s="34">
        <v>70043.099999999991</v>
      </c>
      <c r="F167" s="34">
        <v>54483.3</v>
      </c>
      <c r="G167" s="34">
        <v>889.09999999999991</v>
      </c>
      <c r="H167" s="25">
        <v>2964.2</v>
      </c>
      <c r="I167" s="25">
        <v>3008.6</v>
      </c>
      <c r="J167" s="25">
        <v>328555.7</v>
      </c>
      <c r="K167" s="31">
        <v>92701.7</v>
      </c>
      <c r="L167" s="25">
        <v>53214.6</v>
      </c>
      <c r="M167" s="25">
        <v>15748.4</v>
      </c>
      <c r="N167" s="25">
        <v>324733.2</v>
      </c>
      <c r="O167" s="27">
        <v>451250.7</v>
      </c>
      <c r="P167" s="28">
        <v>99618.6</v>
      </c>
      <c r="Q167" s="33">
        <v>1799.0999999999963</v>
      </c>
      <c r="R167" s="34">
        <v>132201.49999999997</v>
      </c>
      <c r="S167" s="27">
        <f t="shared" si="3"/>
        <v>3684947.9000000008</v>
      </c>
    </row>
    <row r="168" spans="1:19" s="23" customFormat="1" x14ac:dyDescent="0.25">
      <c r="A168" s="57">
        <v>44347</v>
      </c>
      <c r="B168" s="31">
        <v>1240287.8</v>
      </c>
      <c r="C168" s="31">
        <v>677094.7</v>
      </c>
      <c r="D168" s="34">
        <v>184536.9</v>
      </c>
      <c r="E168" s="34">
        <v>69457.5</v>
      </c>
      <c r="F168" s="34">
        <v>59127.6</v>
      </c>
      <c r="G168" s="34">
        <v>941.69999999999993</v>
      </c>
      <c r="H168" s="25">
        <v>3546.9</v>
      </c>
      <c r="I168" s="25">
        <v>3165.8</v>
      </c>
      <c r="J168" s="25">
        <v>337369.5</v>
      </c>
      <c r="K168" s="31">
        <v>98502.6</v>
      </c>
      <c r="L168" s="25">
        <v>39388.1</v>
      </c>
      <c r="M168" s="25">
        <v>13855.9</v>
      </c>
      <c r="N168" s="25">
        <v>321370.8</v>
      </c>
      <c r="O168" s="27">
        <v>457617.39999999997</v>
      </c>
      <c r="P168" s="28">
        <v>103628</v>
      </c>
      <c r="Q168" s="33">
        <v>2986.9000000000028</v>
      </c>
      <c r="R168" s="34">
        <v>141956.1</v>
      </c>
      <c r="S168" s="27">
        <f t="shared" si="3"/>
        <v>3754834.1999999997</v>
      </c>
    </row>
    <row r="169" spans="1:19" s="23" customFormat="1" x14ac:dyDescent="0.25">
      <c r="A169" s="57">
        <v>44377</v>
      </c>
      <c r="B169" s="31">
        <v>1286822.8</v>
      </c>
      <c r="C169" s="31">
        <v>721614.2</v>
      </c>
      <c r="D169" s="34">
        <v>189498.80000000002</v>
      </c>
      <c r="E169" s="34">
        <v>83296.299999999988</v>
      </c>
      <c r="F169" s="34">
        <v>68262</v>
      </c>
      <c r="G169" s="34">
        <v>928.99999999999989</v>
      </c>
      <c r="H169" s="25">
        <v>4514.5000000000009</v>
      </c>
      <c r="I169" s="25">
        <v>3152.6000000000004</v>
      </c>
      <c r="J169" s="25">
        <v>326958.8</v>
      </c>
      <c r="K169" s="31">
        <v>106563.7</v>
      </c>
      <c r="L169" s="25">
        <v>43689.200000000004</v>
      </c>
      <c r="M169" s="25">
        <v>3815.2999999999997</v>
      </c>
      <c r="N169" s="25">
        <v>365639.5</v>
      </c>
      <c r="O169" s="27">
        <v>458055</v>
      </c>
      <c r="P169" s="28">
        <v>118526.59999999999</v>
      </c>
      <c r="Q169" s="33">
        <v>6332.5000000000018</v>
      </c>
      <c r="R169" s="34">
        <v>145309.60000000003</v>
      </c>
      <c r="S169" s="27">
        <f t="shared" si="3"/>
        <v>3932980.4</v>
      </c>
    </row>
    <row r="170" spans="1:19" s="23" customFormat="1" x14ac:dyDescent="0.25">
      <c r="A170" s="57">
        <v>44408</v>
      </c>
      <c r="B170" s="31">
        <v>1345873</v>
      </c>
      <c r="C170" s="31">
        <v>730307</v>
      </c>
      <c r="D170" s="34">
        <v>191099.69999999998</v>
      </c>
      <c r="E170" s="34">
        <v>89115.299999999988</v>
      </c>
      <c r="F170" s="34">
        <v>77587.900000000009</v>
      </c>
      <c r="G170" s="34">
        <v>929.7</v>
      </c>
      <c r="H170" s="25">
        <v>1753.8999999999999</v>
      </c>
      <c r="I170" s="25">
        <v>3179.5</v>
      </c>
      <c r="J170" s="25">
        <v>338519.60000000003</v>
      </c>
      <c r="K170" s="31">
        <v>124248.9</v>
      </c>
      <c r="L170" s="25">
        <v>47449.5</v>
      </c>
      <c r="M170" s="25">
        <v>1284.5</v>
      </c>
      <c r="N170" s="25">
        <v>389848.3</v>
      </c>
      <c r="O170" s="27">
        <v>458032.69999999995</v>
      </c>
      <c r="P170" s="28">
        <v>134403.59999999998</v>
      </c>
      <c r="Q170" s="33">
        <v>19494.30000000001</v>
      </c>
      <c r="R170" s="34">
        <v>142356.59999999998</v>
      </c>
      <c r="S170" s="27">
        <f>SUM(A170:R170)</f>
        <v>4139892</v>
      </c>
    </row>
    <row r="171" spans="1:19" s="23" customFormat="1" x14ac:dyDescent="0.25">
      <c r="A171" s="57">
        <v>44439</v>
      </c>
      <c r="B171" s="31">
        <v>1371977.4000000001</v>
      </c>
      <c r="C171" s="31">
        <v>770356</v>
      </c>
      <c r="D171" s="34">
        <v>187468.99999999997</v>
      </c>
      <c r="E171" s="34">
        <v>71270.399999999994</v>
      </c>
      <c r="F171" s="34">
        <v>71812.5</v>
      </c>
      <c r="G171" s="34">
        <v>928.80000000000007</v>
      </c>
      <c r="H171" s="25">
        <v>5319.5</v>
      </c>
      <c r="I171" s="25">
        <v>3140.9</v>
      </c>
      <c r="J171" s="25">
        <v>373225.1</v>
      </c>
      <c r="K171" s="31">
        <v>111252.1</v>
      </c>
      <c r="L171" s="25">
        <v>46693.1</v>
      </c>
      <c r="M171" s="25">
        <v>11550.099999999999</v>
      </c>
      <c r="N171" s="25">
        <v>391729.80000000005</v>
      </c>
      <c r="O171" s="27">
        <v>457936.1</v>
      </c>
      <c r="P171" s="28">
        <v>149814.5</v>
      </c>
      <c r="Q171" s="33">
        <v>777.6</v>
      </c>
      <c r="R171" s="34">
        <v>143079.4</v>
      </c>
      <c r="S171" s="27">
        <f t="shared" si="3"/>
        <v>4168332.3000000003</v>
      </c>
    </row>
    <row r="172" spans="1:19" s="23" customFormat="1" x14ac:dyDescent="0.25">
      <c r="A172" s="57">
        <v>44469</v>
      </c>
      <c r="B172" s="31">
        <v>1356468.8</v>
      </c>
      <c r="C172" s="31">
        <v>948933.69999999984</v>
      </c>
      <c r="D172" s="34">
        <v>199716.30000000002</v>
      </c>
      <c r="E172" s="34">
        <v>66753.799999999988</v>
      </c>
      <c r="F172" s="34">
        <v>82765.8</v>
      </c>
      <c r="G172" s="34">
        <v>967.6</v>
      </c>
      <c r="H172" s="25">
        <v>1248.5999999999999</v>
      </c>
      <c r="I172" s="25">
        <v>3180.4</v>
      </c>
      <c r="J172" s="25">
        <v>405892.60000000003</v>
      </c>
      <c r="K172" s="31">
        <v>101173.6</v>
      </c>
      <c r="L172" s="25">
        <v>44536.299999999996</v>
      </c>
      <c r="M172" s="25">
        <v>5183.2</v>
      </c>
      <c r="N172" s="25">
        <v>429239.7</v>
      </c>
      <c r="O172" s="27">
        <v>490103.5</v>
      </c>
      <c r="P172" s="28">
        <v>169591.2</v>
      </c>
      <c r="Q172" s="33">
        <v>1111.5</v>
      </c>
      <c r="R172" s="34">
        <v>175004.2</v>
      </c>
      <c r="S172" s="27">
        <f t="shared" si="3"/>
        <v>4481870.8</v>
      </c>
    </row>
    <row r="173" spans="1:19" s="23" customFormat="1" x14ac:dyDescent="0.25">
      <c r="A173" s="57">
        <v>44500</v>
      </c>
      <c r="B173" s="31">
        <v>1367304.3</v>
      </c>
      <c r="C173" s="31">
        <v>946475</v>
      </c>
      <c r="D173" s="34">
        <v>218059.59999999998</v>
      </c>
      <c r="E173" s="34">
        <v>76853.099999999991</v>
      </c>
      <c r="F173" s="34">
        <v>73682.2</v>
      </c>
      <c r="G173" s="34">
        <v>1001.8</v>
      </c>
      <c r="H173" s="25">
        <v>928.99999999999989</v>
      </c>
      <c r="I173" s="25">
        <v>3186.4</v>
      </c>
      <c r="J173" s="25">
        <v>405120.1</v>
      </c>
      <c r="K173" s="31">
        <v>106538.99999999999</v>
      </c>
      <c r="L173" s="25">
        <v>51896</v>
      </c>
      <c r="M173" s="25">
        <v>1222.1000000000001</v>
      </c>
      <c r="N173" s="25">
        <v>413868.60000000003</v>
      </c>
      <c r="O173" s="27">
        <v>490929.39999999997</v>
      </c>
      <c r="P173" s="28">
        <v>182962.2</v>
      </c>
      <c r="Q173" s="33">
        <v>-4788.8999999999915</v>
      </c>
      <c r="R173" s="34">
        <v>178713.2</v>
      </c>
      <c r="S173" s="27">
        <f t="shared" si="3"/>
        <v>4513953.0999999996</v>
      </c>
    </row>
    <row r="174" spans="1:19" s="23" customFormat="1" x14ac:dyDescent="0.25">
      <c r="A174" s="57">
        <v>44501</v>
      </c>
      <c r="B174" s="31">
        <v>1337822.5</v>
      </c>
      <c r="C174" s="31">
        <v>985392.8</v>
      </c>
      <c r="D174" s="34">
        <v>219745.6</v>
      </c>
      <c r="E174" s="34">
        <v>76215.099999999991</v>
      </c>
      <c r="F174" s="34">
        <v>77619.199999999997</v>
      </c>
      <c r="G174" s="34">
        <v>1247.2</v>
      </c>
      <c r="H174" s="25">
        <v>1463.4999999999998</v>
      </c>
      <c r="I174" s="25">
        <v>3195.5</v>
      </c>
      <c r="J174" s="25">
        <v>513831.50000000006</v>
      </c>
      <c r="K174" s="31">
        <v>101980.5</v>
      </c>
      <c r="L174" s="25">
        <v>44006.400000000001</v>
      </c>
      <c r="M174" s="25">
        <v>1219.2</v>
      </c>
      <c r="N174" s="25">
        <v>379758.4</v>
      </c>
      <c r="O174" s="27">
        <v>491601.4</v>
      </c>
      <c r="P174" s="28">
        <v>195444.99999999997</v>
      </c>
      <c r="Q174" s="33">
        <v>-4886.9999999999854</v>
      </c>
      <c r="R174" s="34">
        <v>185861.90000000002</v>
      </c>
      <c r="S174" s="27">
        <f t="shared" si="3"/>
        <v>4611518.7000000011</v>
      </c>
    </row>
    <row r="175" spans="1:19" s="23" customFormat="1" x14ac:dyDescent="0.25">
      <c r="A175" s="57">
        <v>44532</v>
      </c>
      <c r="B175" s="31">
        <v>1308690.2</v>
      </c>
      <c r="C175" s="31">
        <v>989411.8</v>
      </c>
      <c r="D175" s="34">
        <v>225857.4</v>
      </c>
      <c r="E175" s="34">
        <v>62768</v>
      </c>
      <c r="F175" s="34">
        <v>88575.900000000009</v>
      </c>
      <c r="G175" s="34">
        <v>1237.9999999999998</v>
      </c>
      <c r="H175" s="25">
        <v>2437.7999999999997</v>
      </c>
      <c r="I175" s="25">
        <v>3014.6</v>
      </c>
      <c r="J175" s="25">
        <v>512988.39999999997</v>
      </c>
      <c r="K175" s="31">
        <v>110830.1</v>
      </c>
      <c r="L175" s="25">
        <v>33877.5</v>
      </c>
      <c r="M175" s="25">
        <v>4750.2999999999993</v>
      </c>
      <c r="N175" s="25">
        <v>366326.19999999995</v>
      </c>
      <c r="O175" s="27">
        <v>488662.39999999997</v>
      </c>
      <c r="P175" s="28">
        <v>205676.69999999998</v>
      </c>
      <c r="Q175" s="33">
        <v>7861.1999999999916</v>
      </c>
      <c r="R175" s="34">
        <v>181337.30000000002</v>
      </c>
      <c r="S175" s="27">
        <f t="shared" si="3"/>
        <v>4594303.8</v>
      </c>
    </row>
    <row r="176" spans="1:19" s="23" customFormat="1" x14ac:dyDescent="0.25">
      <c r="A176" s="57">
        <v>44564</v>
      </c>
      <c r="B176" s="31">
        <v>1482240.2</v>
      </c>
      <c r="C176" s="31">
        <v>978336</v>
      </c>
      <c r="D176" s="34">
        <v>231105.19999999998</v>
      </c>
      <c r="E176" s="34">
        <v>73575.3</v>
      </c>
      <c r="F176" s="34">
        <v>89338.599999999991</v>
      </c>
      <c r="G176" s="34">
        <v>1189.3</v>
      </c>
      <c r="H176" s="25">
        <v>2004.9999999999998</v>
      </c>
      <c r="I176" s="25">
        <v>3546.2</v>
      </c>
      <c r="J176" s="25">
        <v>486744.7</v>
      </c>
      <c r="K176" s="31">
        <v>101655.1</v>
      </c>
      <c r="L176" s="25">
        <v>45225.299999999996</v>
      </c>
      <c r="M176" s="25">
        <v>1263.4000000000001</v>
      </c>
      <c r="N176" s="25">
        <v>403035.80000000005</v>
      </c>
      <c r="O176" s="27">
        <v>490316</v>
      </c>
      <c r="P176" s="28">
        <v>219506.8</v>
      </c>
      <c r="Q176" s="33">
        <v>26596.80000000001</v>
      </c>
      <c r="R176" s="34">
        <v>198594.59999999998</v>
      </c>
      <c r="S176" s="27">
        <f t="shared" si="3"/>
        <v>4834274.3</v>
      </c>
    </row>
    <row r="177" spans="1:19" s="23" customFormat="1" x14ac:dyDescent="0.25">
      <c r="A177" s="57">
        <v>44596</v>
      </c>
      <c r="B177" s="31">
        <v>1431480.7999999998</v>
      </c>
      <c r="C177" s="31">
        <v>1022636.7</v>
      </c>
      <c r="D177" s="34">
        <v>268265.10000000003</v>
      </c>
      <c r="E177" s="34">
        <v>89568.9</v>
      </c>
      <c r="F177" s="34">
        <v>78533.2</v>
      </c>
      <c r="G177" s="34">
        <v>1056.6999999999998</v>
      </c>
      <c r="H177" s="25">
        <v>1580.9</v>
      </c>
      <c r="I177" s="25">
        <v>3488</v>
      </c>
      <c r="J177" s="25">
        <v>425633.39999999997</v>
      </c>
      <c r="K177" s="31">
        <v>106388.7</v>
      </c>
      <c r="L177" s="25">
        <v>52943.099999999991</v>
      </c>
      <c r="M177" s="25">
        <v>1255.8000000000002</v>
      </c>
      <c r="N177" s="25">
        <v>371618.8</v>
      </c>
      <c r="O177" s="27">
        <v>502440.7</v>
      </c>
      <c r="P177" s="28">
        <v>230790.6</v>
      </c>
      <c r="Q177" s="33">
        <v>-25030.7</v>
      </c>
      <c r="R177" s="34">
        <v>220997.29999999996</v>
      </c>
      <c r="S177" s="27">
        <f t="shared" si="3"/>
        <v>4783647.9999999991</v>
      </c>
    </row>
    <row r="178" spans="1:19" s="23" customFormat="1" x14ac:dyDescent="0.25">
      <c r="A178" s="57">
        <v>44628</v>
      </c>
      <c r="B178" s="31">
        <v>1438299</v>
      </c>
      <c r="C178" s="31">
        <v>1033568.9999999999</v>
      </c>
      <c r="D178" s="34">
        <v>268880</v>
      </c>
      <c r="E178" s="34">
        <v>73916.800000000003</v>
      </c>
      <c r="F178" s="34">
        <v>73966.2</v>
      </c>
      <c r="G178" s="34">
        <v>1028.0999999999999</v>
      </c>
      <c r="H178" s="25">
        <v>1517.5</v>
      </c>
      <c r="I178" s="25">
        <v>3242.1</v>
      </c>
      <c r="J178" s="25">
        <v>459748.30000000005</v>
      </c>
      <c r="K178" s="31">
        <v>125751.29999999999</v>
      </c>
      <c r="L178" s="25">
        <v>58094.9</v>
      </c>
      <c r="M178" s="25">
        <v>1431.6</v>
      </c>
      <c r="N178" s="25">
        <v>342869.8</v>
      </c>
      <c r="O178" s="27">
        <v>604713.5</v>
      </c>
      <c r="P178" s="28">
        <v>109779.3</v>
      </c>
      <c r="Q178" s="33">
        <v>-1987.9999999999914</v>
      </c>
      <c r="R178" s="34">
        <v>218478.90000000002</v>
      </c>
      <c r="S178" s="27">
        <f t="shared" si="3"/>
        <v>4813298.3</v>
      </c>
    </row>
    <row r="179" spans="1:19" s="23" customFormat="1" x14ac:dyDescent="0.25">
      <c r="A179" s="57">
        <v>44660</v>
      </c>
      <c r="B179" s="31">
        <v>1544039.1</v>
      </c>
      <c r="C179" s="31">
        <v>1061249</v>
      </c>
      <c r="D179" s="34">
        <v>246789.9</v>
      </c>
      <c r="E179" s="34">
        <v>51285.1</v>
      </c>
      <c r="F179" s="34">
        <v>79008.900000000009</v>
      </c>
      <c r="G179" s="34">
        <v>1088.2</v>
      </c>
      <c r="H179" s="25">
        <v>1964.4000000000003</v>
      </c>
      <c r="I179" s="25">
        <v>3710.5</v>
      </c>
      <c r="J179" s="25">
        <v>484918.19999999995</v>
      </c>
      <c r="K179" s="31">
        <v>95606.3</v>
      </c>
      <c r="L179" s="25">
        <v>53033.2</v>
      </c>
      <c r="M179" s="25">
        <v>1265.5</v>
      </c>
      <c r="N179" s="25">
        <v>371592.10000000003</v>
      </c>
      <c r="O179" s="27">
        <v>606693.39999999991</v>
      </c>
      <c r="P179" s="28">
        <v>121490.5</v>
      </c>
      <c r="Q179" s="33">
        <v>21277.900000000005</v>
      </c>
      <c r="R179" s="34">
        <v>190517.3</v>
      </c>
      <c r="S179" s="27">
        <f t="shared" si="3"/>
        <v>4935529.5</v>
      </c>
    </row>
    <row r="180" spans="1:19" s="23" customFormat="1" x14ac:dyDescent="0.25">
      <c r="A180" s="57">
        <v>44691</v>
      </c>
      <c r="B180" s="31">
        <v>1597743.2</v>
      </c>
      <c r="C180" s="31">
        <v>1072156.8</v>
      </c>
      <c r="D180" s="34">
        <v>273549</v>
      </c>
      <c r="E180" s="34">
        <v>69002.100000000006</v>
      </c>
      <c r="F180" s="34">
        <v>69357.800000000017</v>
      </c>
      <c r="G180" s="34">
        <v>969.9</v>
      </c>
      <c r="H180" s="25">
        <v>1103.8000000000002</v>
      </c>
      <c r="I180" s="25">
        <v>3701.1</v>
      </c>
      <c r="J180" s="25">
        <v>478478.6</v>
      </c>
      <c r="K180" s="31">
        <v>121877.79999999999</v>
      </c>
      <c r="L180" s="25">
        <v>26988.2</v>
      </c>
      <c r="M180" s="25">
        <v>1232.0999999999999</v>
      </c>
      <c r="N180" s="25">
        <v>393846.29999999993</v>
      </c>
      <c r="O180" s="27">
        <v>606185.29999999993</v>
      </c>
      <c r="P180" s="28">
        <v>134881.60000000001</v>
      </c>
      <c r="Q180" s="33">
        <v>41067.699999999997</v>
      </c>
      <c r="R180" s="34">
        <v>194340.6</v>
      </c>
      <c r="S180" s="27">
        <f t="shared" si="3"/>
        <v>5086481.8999999994</v>
      </c>
    </row>
    <row r="181" spans="1:19" s="23" customFormat="1" x14ac:dyDescent="0.25">
      <c r="A181" s="57">
        <v>44722</v>
      </c>
      <c r="B181" s="31">
        <v>1647203</v>
      </c>
      <c r="C181" s="31">
        <v>1120414.8</v>
      </c>
      <c r="D181" s="34">
        <v>234016.59999999998</v>
      </c>
      <c r="E181" s="34">
        <v>47376.799999999996</v>
      </c>
      <c r="F181" s="34">
        <v>76096.000000000015</v>
      </c>
      <c r="G181" s="34">
        <v>877.2</v>
      </c>
      <c r="H181" s="25">
        <v>1202</v>
      </c>
      <c r="I181" s="25">
        <v>3739.3</v>
      </c>
      <c r="J181" s="25">
        <v>550425.79999999993</v>
      </c>
      <c r="K181" s="31">
        <v>122898.7</v>
      </c>
      <c r="L181" s="25">
        <v>50033.899999999994</v>
      </c>
      <c r="M181" s="25">
        <v>1154</v>
      </c>
      <c r="N181" s="25">
        <v>448858.10000000003</v>
      </c>
      <c r="O181" s="27">
        <v>621068.39999999991</v>
      </c>
      <c r="P181" s="28">
        <v>149595.20000000001</v>
      </c>
      <c r="Q181" s="33">
        <v>4301.6999999999944</v>
      </c>
      <c r="R181" s="34">
        <v>191348.5</v>
      </c>
      <c r="S181" s="27">
        <f t="shared" si="3"/>
        <v>5270610</v>
      </c>
    </row>
    <row r="182" spans="1:19" s="23" customFormat="1" x14ac:dyDescent="0.25">
      <c r="A182" s="57">
        <v>44752</v>
      </c>
      <c r="B182" s="31">
        <v>1970881.3</v>
      </c>
      <c r="C182" s="31">
        <v>1094035</v>
      </c>
      <c r="D182" s="34">
        <v>258088.9</v>
      </c>
      <c r="E182" s="34">
        <v>47204.2</v>
      </c>
      <c r="F182" s="34">
        <v>75051.999999999985</v>
      </c>
      <c r="G182" s="34">
        <v>887.9</v>
      </c>
      <c r="H182" s="25">
        <v>1683.4</v>
      </c>
      <c r="I182" s="25">
        <v>3889.3</v>
      </c>
      <c r="J182" s="25">
        <v>562703.19999999995</v>
      </c>
      <c r="K182" s="31">
        <v>97229.2</v>
      </c>
      <c r="L182" s="25">
        <v>52346.400000000001</v>
      </c>
      <c r="M182" s="25">
        <v>1139.0999999999999</v>
      </c>
      <c r="N182" s="25">
        <v>453246.39999999997</v>
      </c>
      <c r="O182" s="27">
        <v>620999.19999999995</v>
      </c>
      <c r="P182" s="28">
        <v>163963.5</v>
      </c>
      <c r="Q182" s="33">
        <v>31453.900000000034</v>
      </c>
      <c r="R182" s="34">
        <v>197924</v>
      </c>
      <c r="S182" s="27">
        <f t="shared" si="3"/>
        <v>5632726.9000000004</v>
      </c>
    </row>
    <row r="183" spans="1:19" s="23" customFormat="1" x14ac:dyDescent="0.25">
      <c r="A183" s="57">
        <v>44783</v>
      </c>
      <c r="B183" s="31">
        <v>1917635.5</v>
      </c>
      <c r="C183" s="31">
        <v>1123857.9999999998</v>
      </c>
      <c r="D183" s="34">
        <v>248267.80000000002</v>
      </c>
      <c r="E183" s="34">
        <v>58754.399999999987</v>
      </c>
      <c r="F183" s="34">
        <v>61967.3</v>
      </c>
      <c r="G183" s="34">
        <v>898.30000000000007</v>
      </c>
      <c r="H183" s="25">
        <v>1497.7</v>
      </c>
      <c r="I183" s="25">
        <v>33986.200000000004</v>
      </c>
      <c r="J183" s="25">
        <v>577445.5</v>
      </c>
      <c r="K183" s="31">
        <v>87506.800000000017</v>
      </c>
      <c r="L183" s="25">
        <v>51634.1</v>
      </c>
      <c r="M183" s="25">
        <v>1154</v>
      </c>
      <c r="N183" s="25">
        <v>521199.1999999999</v>
      </c>
      <c r="O183" s="27">
        <v>621136</v>
      </c>
      <c r="P183" s="28">
        <v>174695.7</v>
      </c>
      <c r="Q183" s="33">
        <v>2000.2</v>
      </c>
      <c r="R183" s="34">
        <v>183841.69999999998</v>
      </c>
      <c r="S183" s="27">
        <f t="shared" si="3"/>
        <v>5667478.4000000004</v>
      </c>
    </row>
    <row r="184" spans="1:19" s="23" customFormat="1" x14ac:dyDescent="0.25">
      <c r="A184" s="57">
        <v>44814</v>
      </c>
      <c r="B184" s="31">
        <v>1896482.6</v>
      </c>
      <c r="C184" s="31">
        <v>1144966.8</v>
      </c>
      <c r="D184" s="34">
        <v>246467.69999999998</v>
      </c>
      <c r="E184" s="34">
        <v>52463.199999999997</v>
      </c>
      <c r="F184" s="34">
        <v>57406.5</v>
      </c>
      <c r="G184" s="34">
        <v>908.90000000000009</v>
      </c>
      <c r="H184" s="25">
        <v>2431.8999999999996</v>
      </c>
      <c r="I184" s="25">
        <v>33997.1</v>
      </c>
      <c r="J184" s="25">
        <v>599198.80000000005</v>
      </c>
      <c r="K184" s="31">
        <v>109734.3</v>
      </c>
      <c r="L184" s="25">
        <v>46883.899999999994</v>
      </c>
      <c r="M184" s="25">
        <v>2932.9</v>
      </c>
      <c r="N184" s="25">
        <v>584494.19999999995</v>
      </c>
      <c r="O184" s="27">
        <v>621256.80000000005</v>
      </c>
      <c r="P184" s="28">
        <v>189250.2</v>
      </c>
      <c r="Q184" s="33">
        <v>2474.6000000000349</v>
      </c>
      <c r="R184" s="34">
        <v>197039.39999999997</v>
      </c>
      <c r="S184" s="27">
        <f t="shared" si="3"/>
        <v>5788389.8000000007</v>
      </c>
    </row>
    <row r="185" spans="1:19" s="23" customFormat="1" x14ac:dyDescent="0.25">
      <c r="A185" s="57">
        <v>44845</v>
      </c>
      <c r="B185" s="31">
        <v>1941001.1999999997</v>
      </c>
      <c r="C185" s="31">
        <v>1153204.9999999998</v>
      </c>
      <c r="D185" s="34">
        <v>251198.10000000003</v>
      </c>
      <c r="E185" s="34">
        <v>102772.09999999999</v>
      </c>
      <c r="F185" s="34">
        <v>65192.800000000003</v>
      </c>
      <c r="G185" s="34">
        <v>936</v>
      </c>
      <c r="H185" s="25">
        <v>2127.3000000000002</v>
      </c>
      <c r="I185" s="25">
        <v>33516.5</v>
      </c>
      <c r="J185" s="25">
        <v>604248.69999999995</v>
      </c>
      <c r="K185" s="31">
        <v>125384.80000000002</v>
      </c>
      <c r="L185" s="25">
        <v>56331.7</v>
      </c>
      <c r="M185" s="25">
        <v>1149.8</v>
      </c>
      <c r="N185" s="25">
        <v>500557.50000000006</v>
      </c>
      <c r="O185" s="27">
        <v>618729.70000000007</v>
      </c>
      <c r="P185" s="28">
        <v>198568.2</v>
      </c>
      <c r="Q185" s="33">
        <v>2697.0999999999708</v>
      </c>
      <c r="R185" s="34">
        <v>206632.59999999995</v>
      </c>
      <c r="S185" s="27">
        <f t="shared" si="3"/>
        <v>5864249.0999999987</v>
      </c>
    </row>
    <row r="186" spans="1:19" s="23" customFormat="1" x14ac:dyDescent="0.25">
      <c r="A186" s="57">
        <v>44877</v>
      </c>
      <c r="B186" s="31">
        <v>1945543.0000000005</v>
      </c>
      <c r="C186" s="31">
        <v>1178663.8</v>
      </c>
      <c r="D186" s="34">
        <v>266305.00000000006</v>
      </c>
      <c r="E186" s="34">
        <v>71067.500000000015</v>
      </c>
      <c r="F186" s="34">
        <v>84333.1</v>
      </c>
      <c r="G186" s="34">
        <v>925.9</v>
      </c>
      <c r="H186" s="25">
        <v>3000.6000000000004</v>
      </c>
      <c r="I186" s="25">
        <v>33585.699999999997</v>
      </c>
      <c r="J186" s="25">
        <v>576530.5</v>
      </c>
      <c r="K186" s="31">
        <v>125441.49999999997</v>
      </c>
      <c r="L186" s="25">
        <v>41164.799999999996</v>
      </c>
      <c r="M186" s="25">
        <v>1105</v>
      </c>
      <c r="N186" s="25">
        <v>498885.7</v>
      </c>
      <c r="O186" s="27">
        <v>619266.6</v>
      </c>
      <c r="P186" s="28">
        <v>210576.6</v>
      </c>
      <c r="Q186" s="33">
        <v>3203.9000000000524</v>
      </c>
      <c r="R186" s="34">
        <v>202238.1</v>
      </c>
      <c r="S186" s="27">
        <f t="shared" si="3"/>
        <v>5861837.2999999998</v>
      </c>
    </row>
    <row r="187" spans="1:19" s="23" customFormat="1" x14ac:dyDescent="0.25">
      <c r="A187" s="57">
        <v>44908</v>
      </c>
      <c r="B187" s="31">
        <v>2025031.6</v>
      </c>
      <c r="C187" s="31">
        <v>1218764.4000000001</v>
      </c>
      <c r="D187" s="34">
        <v>258313.40000000002</v>
      </c>
      <c r="E187" s="34">
        <v>56856.2</v>
      </c>
      <c r="F187" s="34">
        <v>92199.7</v>
      </c>
      <c r="G187" s="34">
        <v>1176.7</v>
      </c>
      <c r="H187" s="25">
        <v>2548.8000000000006</v>
      </c>
      <c r="I187" s="25">
        <v>33519.9</v>
      </c>
      <c r="J187" s="25">
        <v>521529.70000000007</v>
      </c>
      <c r="K187" s="31">
        <v>183817.2</v>
      </c>
      <c r="L187" s="25">
        <v>51762.1</v>
      </c>
      <c r="M187" s="25">
        <v>1430.1</v>
      </c>
      <c r="N187" s="25">
        <v>497807.3</v>
      </c>
      <c r="O187" s="27">
        <v>675149.5</v>
      </c>
      <c r="P187" s="28">
        <v>222997.10000000003</v>
      </c>
      <c r="Q187" s="33">
        <v>9311.2000000000244</v>
      </c>
      <c r="R187" s="34">
        <v>184107.2</v>
      </c>
      <c r="S187" s="27">
        <f t="shared" si="3"/>
        <v>6036322.0999999996</v>
      </c>
    </row>
    <row r="188" spans="1:19" s="23" customFormat="1" x14ac:dyDescent="0.25">
      <c r="A188" s="57">
        <v>44927</v>
      </c>
      <c r="B188" s="31">
        <v>2073825.5</v>
      </c>
      <c r="C188" s="31">
        <v>1249194.6000000001</v>
      </c>
      <c r="D188" s="34">
        <v>260178.50000000003</v>
      </c>
      <c r="E188" s="34">
        <v>93699.8</v>
      </c>
      <c r="F188" s="34">
        <v>86689.9</v>
      </c>
      <c r="G188" s="34">
        <v>1162.7</v>
      </c>
      <c r="H188" s="25">
        <v>2186.4</v>
      </c>
      <c r="I188" s="25">
        <v>33521.699999999997</v>
      </c>
      <c r="J188" s="25">
        <v>516715.3</v>
      </c>
      <c r="K188" s="31">
        <v>195929</v>
      </c>
      <c r="L188" s="25">
        <v>45546.399999999994</v>
      </c>
      <c r="M188" s="25">
        <v>1128.2999999999997</v>
      </c>
      <c r="N188" s="25">
        <v>469165.60000000003</v>
      </c>
      <c r="O188" s="27">
        <v>684135.7</v>
      </c>
      <c r="P188" s="28">
        <v>227760.9</v>
      </c>
      <c r="Q188" s="33">
        <v>11903.099999999991</v>
      </c>
      <c r="R188" s="34">
        <v>193922.79999999996</v>
      </c>
      <c r="S188" s="27">
        <f t="shared" si="3"/>
        <v>6146666.2000000002</v>
      </c>
    </row>
    <row r="189" spans="1:19" s="23" customFormat="1" x14ac:dyDescent="0.25">
      <c r="A189" s="57">
        <v>44959</v>
      </c>
      <c r="B189" s="31">
        <v>2073452.5000000005</v>
      </c>
      <c r="C189" s="31">
        <v>1252909.0999999999</v>
      </c>
      <c r="D189" s="34">
        <v>262127.59999999995</v>
      </c>
      <c r="E189" s="34">
        <v>80690.499999999985</v>
      </c>
      <c r="F189" s="34">
        <v>79779.100000000006</v>
      </c>
      <c r="G189" s="34">
        <v>1074.1000000000001</v>
      </c>
      <c r="H189" s="25">
        <v>1327.2000000000003</v>
      </c>
      <c r="I189" s="25">
        <v>33624.799999999996</v>
      </c>
      <c r="J189" s="25">
        <v>493830</v>
      </c>
      <c r="K189" s="31">
        <v>171087.09999999998</v>
      </c>
      <c r="L189" s="25">
        <v>56709.8</v>
      </c>
      <c r="M189" s="25">
        <v>1134.5999999999999</v>
      </c>
      <c r="N189" s="25">
        <v>472285.20000000007</v>
      </c>
      <c r="O189" s="27">
        <v>685040.4</v>
      </c>
      <c r="P189" s="28">
        <v>237918.19999999998</v>
      </c>
      <c r="Q189" s="33">
        <v>43685.700000000041</v>
      </c>
      <c r="R189" s="34">
        <v>203094.39999999999</v>
      </c>
      <c r="S189" s="27">
        <f t="shared" si="3"/>
        <v>6149770.3000000007</v>
      </c>
    </row>
    <row r="190" spans="1:19" s="23" customFormat="1" x14ac:dyDescent="0.25">
      <c r="A190" s="57">
        <v>44988</v>
      </c>
      <c r="B190" s="31">
        <v>2024957.8999999994</v>
      </c>
      <c r="C190" s="31">
        <v>1267450.6999999995</v>
      </c>
      <c r="D190" s="34">
        <v>332833.59999999992</v>
      </c>
      <c r="E190" s="34">
        <v>75522.8</v>
      </c>
      <c r="F190" s="34">
        <v>73981.699999999983</v>
      </c>
      <c r="G190" s="34">
        <v>1083</v>
      </c>
      <c r="H190" s="25">
        <v>1229.2</v>
      </c>
      <c r="I190" s="25">
        <v>33649.300000000003</v>
      </c>
      <c r="J190" s="25">
        <v>437844</v>
      </c>
      <c r="K190" s="31">
        <v>214413.30000000002</v>
      </c>
      <c r="L190" s="25">
        <v>43641.900000000009</v>
      </c>
      <c r="M190" s="25">
        <v>695.6</v>
      </c>
      <c r="N190" s="25">
        <v>494952.9</v>
      </c>
      <c r="O190" s="27">
        <v>747377.49999999988</v>
      </c>
      <c r="P190" s="28">
        <v>143340.5</v>
      </c>
      <c r="Q190" s="33">
        <v>9863.3000000000302</v>
      </c>
      <c r="R190" s="34">
        <v>224336.89999999997</v>
      </c>
      <c r="S190" s="27">
        <f t="shared" si="3"/>
        <v>6127174.0999999996</v>
      </c>
    </row>
    <row r="191" spans="1:19" s="23" customFormat="1" x14ac:dyDescent="0.25">
      <c r="A191" s="57">
        <v>45020</v>
      </c>
      <c r="B191" s="31">
        <v>2100081.7999999998</v>
      </c>
      <c r="C191" s="31">
        <v>1269483.4999999998</v>
      </c>
      <c r="D191" s="34">
        <v>267388.99999999994</v>
      </c>
      <c r="E191" s="34">
        <v>75711.900000000009</v>
      </c>
      <c r="F191" s="34">
        <v>84773.300000000017</v>
      </c>
      <c r="G191" s="34">
        <v>1049</v>
      </c>
      <c r="H191" s="25">
        <v>1199</v>
      </c>
      <c r="I191" s="25">
        <v>33091.299999999996</v>
      </c>
      <c r="J191" s="25">
        <v>487935.19999999995</v>
      </c>
      <c r="K191" s="31">
        <v>196327.6</v>
      </c>
      <c r="L191" s="25">
        <v>42294.899999999994</v>
      </c>
      <c r="M191" s="25">
        <v>1283.6999999999998</v>
      </c>
      <c r="N191" s="25">
        <v>550781.5</v>
      </c>
      <c r="O191" s="27">
        <v>771937.9</v>
      </c>
      <c r="P191" s="28">
        <v>128750.3</v>
      </c>
      <c r="Q191" s="33">
        <v>9929.5000000000182</v>
      </c>
      <c r="R191" s="34">
        <v>198499.1</v>
      </c>
      <c r="S191" s="27">
        <f t="shared" si="3"/>
        <v>6220518.4999999991</v>
      </c>
    </row>
    <row r="192" spans="1:19" s="23" customFormat="1" x14ac:dyDescent="0.25">
      <c r="A192" s="57">
        <v>45051</v>
      </c>
      <c r="B192" s="31">
        <v>2071026.0999999999</v>
      </c>
      <c r="C192" s="31">
        <v>1308169.4000000004</v>
      </c>
      <c r="D192" s="34">
        <v>355939.69999999995</v>
      </c>
      <c r="E192" s="34">
        <v>73797.2</v>
      </c>
      <c r="F192" s="34">
        <v>94614.5</v>
      </c>
      <c r="G192" s="34">
        <v>1280.5</v>
      </c>
      <c r="H192" s="25">
        <v>3185.6</v>
      </c>
      <c r="I192" s="25">
        <v>30783.599999999999</v>
      </c>
      <c r="J192" s="25">
        <v>562833.9</v>
      </c>
      <c r="K192" s="31">
        <v>180653.2</v>
      </c>
      <c r="L192" s="25">
        <v>47317</v>
      </c>
      <c r="M192" s="25">
        <v>1679.9999999999998</v>
      </c>
      <c r="N192" s="25">
        <v>700437.60000000009</v>
      </c>
      <c r="O192" s="27">
        <v>771658.9</v>
      </c>
      <c r="P192" s="28">
        <v>136876.19999999998</v>
      </c>
      <c r="Q192" s="33">
        <v>-9965.2000000000298</v>
      </c>
      <c r="R192" s="34">
        <v>198793.49999999997</v>
      </c>
      <c r="S192" s="27">
        <f t="shared" si="3"/>
        <v>6529081.7000000011</v>
      </c>
    </row>
    <row r="193" spans="1:19" s="23" customFormat="1" x14ac:dyDescent="0.25">
      <c r="A193" s="57">
        <v>45083</v>
      </c>
      <c r="B193" s="31">
        <v>2119753.6999999997</v>
      </c>
      <c r="C193" s="31">
        <v>1304232.6000000003</v>
      </c>
      <c r="D193" s="34">
        <v>369019.9</v>
      </c>
      <c r="E193" s="34">
        <v>118305.5</v>
      </c>
      <c r="F193" s="34">
        <v>100698.2</v>
      </c>
      <c r="G193" s="34">
        <v>1304.4999999999998</v>
      </c>
      <c r="H193" s="25">
        <v>1680.6</v>
      </c>
      <c r="I193" s="25">
        <v>30808.399999999998</v>
      </c>
      <c r="J193" s="25">
        <v>451110.10000000003</v>
      </c>
      <c r="K193" s="31">
        <v>195489.19999999998</v>
      </c>
      <c r="L193" s="25">
        <v>69560.099999999991</v>
      </c>
      <c r="M193" s="25">
        <v>1663.1</v>
      </c>
      <c r="N193" s="25">
        <v>682090.8</v>
      </c>
      <c r="O193" s="27">
        <v>795864.6</v>
      </c>
      <c r="P193" s="28">
        <v>154558.29999999999</v>
      </c>
      <c r="Q193" s="33">
        <v>6464.8</v>
      </c>
      <c r="R193" s="34">
        <v>207221.3</v>
      </c>
      <c r="S193" s="27">
        <f t="shared" si="3"/>
        <v>6609825.6999999983</v>
      </c>
    </row>
    <row r="194" spans="1:19" s="23" customFormat="1" x14ac:dyDescent="0.25">
      <c r="A194" s="57">
        <v>45114</v>
      </c>
      <c r="B194" s="31">
        <v>2089279</v>
      </c>
      <c r="C194" s="31">
        <v>1308970.2</v>
      </c>
      <c r="D194" s="34">
        <v>390033.6</v>
      </c>
      <c r="E194" s="34">
        <v>54991.9</v>
      </c>
      <c r="F194" s="34">
        <v>93397.799999999988</v>
      </c>
      <c r="G194" s="34">
        <v>1441.3999999999999</v>
      </c>
      <c r="H194" s="25">
        <v>1508.2999999999997</v>
      </c>
      <c r="I194" s="25">
        <v>27938.899999999998</v>
      </c>
      <c r="J194" s="25">
        <v>537216.79999999993</v>
      </c>
      <c r="K194" s="31">
        <v>157821.20000000001</v>
      </c>
      <c r="L194" s="25">
        <v>41397.699999999997</v>
      </c>
      <c r="M194" s="25">
        <v>1774.5999999999997</v>
      </c>
      <c r="N194" s="25">
        <v>746664.99999999988</v>
      </c>
      <c r="O194" s="27">
        <v>796324.9</v>
      </c>
      <c r="P194" s="28">
        <v>166535.19999999998</v>
      </c>
      <c r="Q194" s="33">
        <v>36179.299999999974</v>
      </c>
      <c r="R194" s="34">
        <v>216331.30000000002</v>
      </c>
      <c r="S194" s="27">
        <f t="shared" si="3"/>
        <v>6667807.0999999996</v>
      </c>
    </row>
    <row r="195" spans="1:19" s="23" customFormat="1" x14ac:dyDescent="0.25">
      <c r="A195" s="57">
        <v>45146</v>
      </c>
      <c r="B195" s="31">
        <v>2103259.2999999998</v>
      </c>
      <c r="C195" s="31">
        <v>1292866.3999999999</v>
      </c>
      <c r="D195" s="34">
        <v>390844.00000000006</v>
      </c>
      <c r="E195" s="34">
        <v>51292.5</v>
      </c>
      <c r="F195" s="34">
        <v>81168.799999999988</v>
      </c>
      <c r="G195" s="34">
        <v>1470.2</v>
      </c>
      <c r="H195" s="25">
        <v>1834.1</v>
      </c>
      <c r="I195" s="25">
        <v>29182.399999999998</v>
      </c>
      <c r="J195" s="25">
        <v>538120.6</v>
      </c>
      <c r="K195" s="31">
        <v>157485.70000000001</v>
      </c>
      <c r="L195" s="25">
        <v>58762.600000000006</v>
      </c>
      <c r="M195" s="25">
        <v>1519.5</v>
      </c>
      <c r="N195" s="25">
        <v>729596.89999999991</v>
      </c>
      <c r="O195" s="27">
        <v>799766</v>
      </c>
      <c r="P195" s="28">
        <v>175925.2</v>
      </c>
      <c r="Q195" s="33">
        <v>10460.199999999993</v>
      </c>
      <c r="R195" s="34">
        <v>222545.19999999995</v>
      </c>
      <c r="S195" s="27">
        <f t="shared" si="3"/>
        <v>6646099.6000000006</v>
      </c>
    </row>
    <row r="196" spans="1:19" s="23" customFormat="1" x14ac:dyDescent="0.25">
      <c r="A196" s="57">
        <v>45178</v>
      </c>
      <c r="B196" s="31">
        <v>2104036.7000000002</v>
      </c>
      <c r="C196" s="31">
        <v>1327567.5</v>
      </c>
      <c r="D196" s="34">
        <v>517005.89999999985</v>
      </c>
      <c r="E196" s="34">
        <v>58262.999999999993</v>
      </c>
      <c r="F196" s="34">
        <v>78740.3</v>
      </c>
      <c r="G196" s="34">
        <v>1517.6999999999998</v>
      </c>
      <c r="H196" s="25">
        <v>2128.1</v>
      </c>
      <c r="I196" s="25">
        <v>29372.3</v>
      </c>
      <c r="J196" s="25">
        <v>563314.20000000007</v>
      </c>
      <c r="K196" s="31">
        <v>156505.40000000002</v>
      </c>
      <c r="L196" s="25">
        <v>69427.399999999994</v>
      </c>
      <c r="M196" s="25">
        <v>1519.8</v>
      </c>
      <c r="N196" s="25">
        <v>710613.6</v>
      </c>
      <c r="O196" s="27">
        <v>804500.10000000009</v>
      </c>
      <c r="P196" s="28">
        <v>189831.5</v>
      </c>
      <c r="Q196" s="33">
        <v>-1689.0000000000175</v>
      </c>
      <c r="R196" s="34">
        <v>235674.09999999998</v>
      </c>
      <c r="S196" s="27">
        <f t="shared" si="3"/>
        <v>6848328.5999999996</v>
      </c>
    </row>
    <row r="197" spans="1:19" s="23" customFormat="1" x14ac:dyDescent="0.25">
      <c r="A197" s="57">
        <v>45209</v>
      </c>
      <c r="B197" s="31">
        <v>2142774.0999999996</v>
      </c>
      <c r="C197" s="31">
        <v>1345715.5</v>
      </c>
      <c r="D197" s="34">
        <v>514214.49999999994</v>
      </c>
      <c r="E197" s="34">
        <v>53324.5</v>
      </c>
      <c r="F197" s="34">
        <v>76069.7</v>
      </c>
      <c r="G197" s="34">
        <v>1442.2</v>
      </c>
      <c r="H197" s="25">
        <v>2182.7999999999997</v>
      </c>
      <c r="I197" s="25">
        <v>29403</v>
      </c>
      <c r="J197" s="25">
        <v>628434.69999999995</v>
      </c>
      <c r="K197" s="31">
        <v>143416.70000000001</v>
      </c>
      <c r="L197" s="25">
        <v>74421.099999999991</v>
      </c>
      <c r="M197" s="25">
        <v>1521.1000000000001</v>
      </c>
      <c r="N197" s="25">
        <v>739980.7</v>
      </c>
      <c r="O197" s="27">
        <v>810211.20000000007</v>
      </c>
      <c r="P197" s="28">
        <v>206236.69999999998</v>
      </c>
      <c r="Q197" s="33">
        <v>4200.7999999999856</v>
      </c>
      <c r="R197" s="34">
        <v>237259.80000000005</v>
      </c>
      <c r="S197" s="27">
        <f t="shared" si="3"/>
        <v>7010809.0999999996</v>
      </c>
    </row>
    <row r="198" spans="1:19" s="23" customFormat="1" x14ac:dyDescent="0.25">
      <c r="A198" s="57">
        <v>45241</v>
      </c>
      <c r="B198" s="31">
        <v>2103463.5000000005</v>
      </c>
      <c r="C198" s="31">
        <v>1361730.1999999997</v>
      </c>
      <c r="D198" s="34">
        <v>494638.49999999988</v>
      </c>
      <c r="E198" s="34">
        <v>69241.89999999998</v>
      </c>
      <c r="F198" s="34">
        <v>73845.500000000015</v>
      </c>
      <c r="G198" s="34">
        <v>2550.5</v>
      </c>
      <c r="H198" s="25">
        <v>1683</v>
      </c>
      <c r="I198" s="25">
        <v>29092</v>
      </c>
      <c r="J198" s="25">
        <v>632456</v>
      </c>
      <c r="K198" s="31">
        <v>145140.00000000003</v>
      </c>
      <c r="L198" s="25">
        <v>70588.299999999988</v>
      </c>
      <c r="M198" s="25">
        <v>1906.4</v>
      </c>
      <c r="N198" s="25">
        <v>809965.49999999977</v>
      </c>
      <c r="O198" s="27">
        <v>813872.1</v>
      </c>
      <c r="P198" s="28">
        <v>213387.2</v>
      </c>
      <c r="Q198" s="33">
        <v>-1815.7999999999913</v>
      </c>
      <c r="R198" s="34">
        <v>255279.5</v>
      </c>
      <c r="S198" s="27">
        <f t="shared" si="3"/>
        <v>7077024.2999999998</v>
      </c>
    </row>
    <row r="199" spans="1:19" s="23" customFormat="1" x14ac:dyDescent="0.25">
      <c r="A199" s="57">
        <v>45273</v>
      </c>
      <c r="B199" s="31">
        <v>2146671.0999999996</v>
      </c>
      <c r="C199" s="31">
        <v>1542405.5</v>
      </c>
      <c r="D199" s="34">
        <v>525019.30000000005</v>
      </c>
      <c r="E199" s="34">
        <v>102246.90000000001</v>
      </c>
      <c r="F199" s="34">
        <v>70586.900000000009</v>
      </c>
      <c r="G199" s="34">
        <v>3020.2</v>
      </c>
      <c r="H199" s="25">
        <v>3236.9000000000005</v>
      </c>
      <c r="I199" s="25">
        <v>29096.499999999996</v>
      </c>
      <c r="J199" s="25">
        <v>567382.60000000009</v>
      </c>
      <c r="K199" s="31">
        <v>134007.29999999999</v>
      </c>
      <c r="L199" s="25">
        <v>85269</v>
      </c>
      <c r="M199" s="25">
        <v>3441.3</v>
      </c>
      <c r="N199" s="25">
        <v>787413.8</v>
      </c>
      <c r="O199" s="27">
        <v>821154.60000000009</v>
      </c>
      <c r="P199" s="28">
        <v>240235.3</v>
      </c>
      <c r="Q199" s="33">
        <v>699.5000000000407</v>
      </c>
      <c r="R199" s="34">
        <v>254779.50000000003</v>
      </c>
      <c r="S199" s="27">
        <f t="shared" si="3"/>
        <v>7316666.2000000002</v>
      </c>
    </row>
    <row r="200" spans="1:19" s="23" customFormat="1" x14ac:dyDescent="0.25">
      <c r="A200" s="57">
        <v>45322</v>
      </c>
      <c r="B200" s="31">
        <v>2154854.9</v>
      </c>
      <c r="C200" s="31">
        <v>1551626.3</v>
      </c>
      <c r="D200" s="34">
        <v>465055.5</v>
      </c>
      <c r="E200" s="34">
        <v>61937.1</v>
      </c>
      <c r="F200" s="34">
        <v>66937.700000000012</v>
      </c>
      <c r="G200" s="34">
        <v>2932.0999999999995</v>
      </c>
      <c r="H200" s="25">
        <v>1845.8</v>
      </c>
      <c r="I200" s="25">
        <v>29064.5</v>
      </c>
      <c r="J200" s="25">
        <v>557828.9</v>
      </c>
      <c r="K200" s="31">
        <v>138325.5</v>
      </c>
      <c r="L200" s="25">
        <v>65367.999999999993</v>
      </c>
      <c r="M200" s="25">
        <v>4465.7</v>
      </c>
      <c r="N200" s="25">
        <v>853100.49999999988</v>
      </c>
      <c r="O200" s="27">
        <v>819303.20000000007</v>
      </c>
      <c r="P200" s="28">
        <v>255004.30000000002</v>
      </c>
      <c r="Q200" s="33">
        <v>266.90000000002328</v>
      </c>
      <c r="R200" s="34">
        <v>266736.8</v>
      </c>
      <c r="S200" s="27">
        <f t="shared" ref="S200:S211" si="4">SUM(B200:R200)</f>
        <v>7294653.7000000002</v>
      </c>
    </row>
    <row r="201" spans="1:19" s="23" customFormat="1" x14ac:dyDescent="0.25">
      <c r="A201" s="57">
        <v>45351</v>
      </c>
      <c r="B201" s="31">
        <v>2123074.7999999998</v>
      </c>
      <c r="C201" s="31">
        <v>1513972.1</v>
      </c>
      <c r="D201" s="34">
        <v>479499.00000000006</v>
      </c>
      <c r="E201" s="34">
        <v>70449.8</v>
      </c>
      <c r="F201" s="34">
        <v>64624.799999999996</v>
      </c>
      <c r="G201" s="34">
        <v>2334.6999999999998</v>
      </c>
      <c r="H201" s="25">
        <v>2860</v>
      </c>
      <c r="I201" s="25">
        <v>29361.900000000005</v>
      </c>
      <c r="J201" s="25">
        <v>635470.70000000007</v>
      </c>
      <c r="K201" s="31">
        <v>141325.60000000003</v>
      </c>
      <c r="L201" s="25">
        <v>97298.5</v>
      </c>
      <c r="M201" s="25">
        <v>4441.1000000000004</v>
      </c>
      <c r="N201" s="25">
        <v>891142.79999999993</v>
      </c>
      <c r="O201" s="27">
        <v>819917</v>
      </c>
      <c r="P201" s="28">
        <v>266523.60000000003</v>
      </c>
      <c r="Q201" s="33">
        <v>11778.799999999959</v>
      </c>
      <c r="R201" s="34">
        <v>269440.30000000005</v>
      </c>
      <c r="S201" s="27">
        <f t="shared" si="4"/>
        <v>7423515.4999999991</v>
      </c>
    </row>
    <row r="202" spans="1:19" s="23" customFormat="1" x14ac:dyDescent="0.25">
      <c r="A202" s="57">
        <v>45382</v>
      </c>
      <c r="B202" s="31">
        <v>2053811.6000000006</v>
      </c>
      <c r="C202" s="31">
        <v>1597213.3</v>
      </c>
      <c r="D202" s="34">
        <v>540154.20000000007</v>
      </c>
      <c r="E202" s="34">
        <v>69555.200000000012</v>
      </c>
      <c r="F202" s="34">
        <v>76284.999999999985</v>
      </c>
      <c r="G202" s="34">
        <v>2304.7999999999997</v>
      </c>
      <c r="H202" s="25">
        <v>2066.7999999999997</v>
      </c>
      <c r="I202" s="25">
        <v>29378.000000000004</v>
      </c>
      <c r="J202" s="25">
        <v>566041.89999999991</v>
      </c>
      <c r="K202" s="31">
        <v>144039.70000000001</v>
      </c>
      <c r="L202" s="25">
        <v>106513.7</v>
      </c>
      <c r="M202" s="25">
        <v>4219.7000000000007</v>
      </c>
      <c r="N202" s="25">
        <v>1013729.2999999999</v>
      </c>
      <c r="O202" s="27">
        <v>913243.3</v>
      </c>
      <c r="P202" s="28">
        <v>123576.69999999998</v>
      </c>
      <c r="Q202" s="33">
        <v>10746.199999999983</v>
      </c>
      <c r="R202" s="34">
        <v>294571.09999999998</v>
      </c>
      <c r="S202" s="27">
        <f t="shared" si="4"/>
        <v>7547450.5000000009</v>
      </c>
    </row>
    <row r="203" spans="1:19" s="23" customFormat="1" x14ac:dyDescent="0.25">
      <c r="A203" s="57">
        <v>45412</v>
      </c>
      <c r="B203" s="31">
        <v>2124683.6</v>
      </c>
      <c r="C203" s="31">
        <v>1588878.3000000003</v>
      </c>
      <c r="D203" s="34">
        <v>519533.60000000009</v>
      </c>
      <c r="E203" s="34">
        <v>69204.899999999994</v>
      </c>
      <c r="F203" s="34">
        <v>77935.899999999994</v>
      </c>
      <c r="G203" s="34">
        <v>2303.9</v>
      </c>
      <c r="H203" s="25">
        <v>2868</v>
      </c>
      <c r="I203" s="25">
        <v>29206.7</v>
      </c>
      <c r="J203" s="25">
        <v>563847.30000000005</v>
      </c>
      <c r="K203" s="31">
        <v>128460.5</v>
      </c>
      <c r="L203" s="25">
        <v>135320.29999999999</v>
      </c>
      <c r="M203" s="25">
        <v>3590.8</v>
      </c>
      <c r="N203" s="25">
        <v>1044904.4999999999</v>
      </c>
      <c r="O203" s="27">
        <v>944179.5</v>
      </c>
      <c r="P203" s="28">
        <v>129758.09999999999</v>
      </c>
      <c r="Q203" s="33">
        <v>1564.1000000000058</v>
      </c>
      <c r="R203" s="34">
        <v>280078.90000000002</v>
      </c>
      <c r="S203" s="27">
        <f t="shared" si="4"/>
        <v>7646318.9000000004</v>
      </c>
    </row>
    <row r="204" spans="1:19" s="23" customFormat="1" x14ac:dyDescent="0.25">
      <c r="A204" s="57">
        <v>45443</v>
      </c>
      <c r="B204" s="31">
        <v>2147497.0999999996</v>
      </c>
      <c r="C204" s="31">
        <v>1595824.0999999999</v>
      </c>
      <c r="D204" s="34">
        <v>613486.69999999984</v>
      </c>
      <c r="E204" s="34">
        <v>78138.700000000012</v>
      </c>
      <c r="F204" s="34">
        <v>82785.2</v>
      </c>
      <c r="G204" s="34">
        <v>2269</v>
      </c>
      <c r="H204" s="25">
        <v>2001.3999999999999</v>
      </c>
      <c r="I204" s="25">
        <v>29277.4</v>
      </c>
      <c r="J204" s="25">
        <v>557636.6</v>
      </c>
      <c r="K204" s="31">
        <v>175375</v>
      </c>
      <c r="L204" s="25">
        <v>100146.29999999999</v>
      </c>
      <c r="M204" s="25">
        <v>305.89999999999998</v>
      </c>
      <c r="N204" s="25">
        <v>1021570.2999999999</v>
      </c>
      <c r="O204" s="27">
        <v>944310.39999999991</v>
      </c>
      <c r="P204" s="28">
        <v>142644.69999999998</v>
      </c>
      <c r="Q204" s="33">
        <v>1387.6000000000058</v>
      </c>
      <c r="R204" s="34">
        <v>356704.5</v>
      </c>
      <c r="S204" s="27">
        <f t="shared" si="4"/>
        <v>7851360.8999999994</v>
      </c>
    </row>
    <row r="205" spans="1:19" s="23" customFormat="1" x14ac:dyDescent="0.25">
      <c r="A205" s="57">
        <v>45473</v>
      </c>
      <c r="B205" s="31">
        <v>2252870.6999999993</v>
      </c>
      <c r="C205" s="31">
        <v>1546224.9000000004</v>
      </c>
      <c r="D205" s="34">
        <v>467701.6</v>
      </c>
      <c r="E205" s="34">
        <v>75483.600000000006</v>
      </c>
      <c r="F205" s="34">
        <v>83335.099999999991</v>
      </c>
      <c r="G205" s="34">
        <v>2347.6999999999998</v>
      </c>
      <c r="H205" s="25">
        <v>4145.0999999999995</v>
      </c>
      <c r="I205" s="25">
        <v>29140.3</v>
      </c>
      <c r="J205" s="25">
        <v>541659.10000000009</v>
      </c>
      <c r="K205" s="31">
        <v>128614.89999999998</v>
      </c>
      <c r="L205" s="25">
        <v>147512.60000000003</v>
      </c>
      <c r="M205" s="25">
        <v>10823.899999999998</v>
      </c>
      <c r="N205" s="25">
        <v>1178475.5999999999</v>
      </c>
      <c r="O205" s="27">
        <v>943495.39999999991</v>
      </c>
      <c r="P205" s="28">
        <v>162858.69999999998</v>
      </c>
      <c r="Q205" s="33">
        <v>-28090.799999999959</v>
      </c>
      <c r="R205" s="34">
        <v>401436.3</v>
      </c>
      <c r="S205" s="27">
        <f t="shared" si="4"/>
        <v>7948034.6999999983</v>
      </c>
    </row>
    <row r="206" spans="1:19" s="23" customFormat="1" x14ac:dyDescent="0.25">
      <c r="A206" s="57">
        <v>45474</v>
      </c>
      <c r="B206" s="31">
        <v>2429899</v>
      </c>
      <c r="C206" s="31">
        <v>1572699.9999999998</v>
      </c>
      <c r="D206" s="34">
        <v>459143.19999999995</v>
      </c>
      <c r="E206" s="34">
        <v>87916.800000000017</v>
      </c>
      <c r="F206" s="34">
        <v>89683.999999999971</v>
      </c>
      <c r="G206" s="34">
        <v>2268.1</v>
      </c>
      <c r="H206" s="25">
        <v>3272.8</v>
      </c>
      <c r="I206" s="25">
        <v>30064.399999999998</v>
      </c>
      <c r="J206" s="25">
        <v>474449.8</v>
      </c>
      <c r="K206" s="31">
        <v>133227.80000000005</v>
      </c>
      <c r="L206" s="25">
        <v>148941.9</v>
      </c>
      <c r="M206" s="25">
        <v>1894.1999999999998</v>
      </c>
      <c r="N206" s="25">
        <v>1159737.0999999999</v>
      </c>
      <c r="O206" s="27">
        <v>943542.6</v>
      </c>
      <c r="P206" s="28">
        <v>177825</v>
      </c>
      <c r="Q206" s="33">
        <v>296.69999999998254</v>
      </c>
      <c r="R206" s="34">
        <v>459427.90000000008</v>
      </c>
      <c r="S206" s="27">
        <f t="shared" si="4"/>
        <v>8174291.2999999998</v>
      </c>
    </row>
    <row r="207" spans="1:19" s="23" customFormat="1" x14ac:dyDescent="0.25">
      <c r="A207" s="57">
        <v>45506</v>
      </c>
      <c r="B207" s="31">
        <v>2413757.6999999997</v>
      </c>
      <c r="C207" s="31">
        <v>1592567.4000000001</v>
      </c>
      <c r="D207" s="34">
        <v>465110.99999999994</v>
      </c>
      <c r="E207" s="34">
        <v>99708.499999999985</v>
      </c>
      <c r="F207" s="34">
        <v>84415.799999999988</v>
      </c>
      <c r="G207" s="34">
        <v>2217.6</v>
      </c>
      <c r="H207" s="25">
        <v>2810.1000000000004</v>
      </c>
      <c r="I207" s="25">
        <v>30322.1</v>
      </c>
      <c r="J207" s="25">
        <v>446276.00000000006</v>
      </c>
      <c r="K207" s="31">
        <v>133176.70000000001</v>
      </c>
      <c r="L207" s="25">
        <v>149165</v>
      </c>
      <c r="M207" s="25">
        <v>1945.2</v>
      </c>
      <c r="N207" s="25">
        <v>1181861.2</v>
      </c>
      <c r="O207" s="27">
        <v>943794.5</v>
      </c>
      <c r="P207" s="28">
        <v>189217.40000000002</v>
      </c>
      <c r="Q207" s="33">
        <v>27690.899999999994</v>
      </c>
      <c r="R207" s="34">
        <v>413564.2</v>
      </c>
      <c r="S207" s="27">
        <f t="shared" si="4"/>
        <v>8177601.2999999998</v>
      </c>
    </row>
    <row r="208" spans="1:19" s="23" customFormat="1" x14ac:dyDescent="0.25">
      <c r="A208" s="57">
        <v>45538</v>
      </c>
      <c r="B208" s="31">
        <v>2391082.9000000004</v>
      </c>
      <c r="C208" s="31">
        <v>1659846.2000000002</v>
      </c>
      <c r="D208" s="34">
        <v>459203.40000000008</v>
      </c>
      <c r="E208" s="34">
        <v>86697.000000000015</v>
      </c>
      <c r="F208" s="34">
        <v>110970.2</v>
      </c>
      <c r="G208" s="34">
        <v>2186.5</v>
      </c>
      <c r="H208" s="25">
        <v>2559.1</v>
      </c>
      <c r="I208" s="25">
        <v>30578.400000000001</v>
      </c>
      <c r="J208" s="25">
        <v>436566.50000000006</v>
      </c>
      <c r="K208" s="31">
        <v>149486.20000000001</v>
      </c>
      <c r="L208" s="25">
        <v>149511.69999999998</v>
      </c>
      <c r="M208" s="25">
        <v>1909.0999999999997</v>
      </c>
      <c r="N208" s="25">
        <v>1225453.1000000001</v>
      </c>
      <c r="O208" s="27">
        <v>959219.19999999995</v>
      </c>
      <c r="P208" s="28">
        <v>210232.8</v>
      </c>
      <c r="Q208" s="33">
        <v>2246.0999999999972</v>
      </c>
      <c r="R208" s="34">
        <v>437973.5</v>
      </c>
      <c r="S208" s="27">
        <f t="shared" si="4"/>
        <v>8315721.9000000004</v>
      </c>
    </row>
    <row r="209" spans="1:19" s="23" customFormat="1" x14ac:dyDescent="0.25">
      <c r="A209" s="57">
        <v>45570</v>
      </c>
      <c r="B209" s="31">
        <v>2496029.1</v>
      </c>
      <c r="C209" s="31">
        <v>1604938.1</v>
      </c>
      <c r="D209" s="34">
        <v>494393.50000000006</v>
      </c>
      <c r="E209" s="34">
        <v>121596</v>
      </c>
      <c r="F209" s="34">
        <v>112582.69999999998</v>
      </c>
      <c r="G209" s="34">
        <v>4560.0999999999995</v>
      </c>
      <c r="H209" s="25">
        <v>2495.9</v>
      </c>
      <c r="I209" s="25">
        <v>30837.1</v>
      </c>
      <c r="J209" s="25">
        <v>451273.4</v>
      </c>
      <c r="K209" s="31">
        <v>150290.10000000003</v>
      </c>
      <c r="L209" s="25">
        <v>155226.6</v>
      </c>
      <c r="M209" s="25">
        <v>1884.8999999999999</v>
      </c>
      <c r="N209" s="25">
        <v>1234521.2999999998</v>
      </c>
      <c r="O209" s="27">
        <v>959078.8</v>
      </c>
      <c r="P209" s="28">
        <v>217384.90000000005</v>
      </c>
      <c r="Q209" s="33">
        <v>4103.5</v>
      </c>
      <c r="R209" s="34">
        <v>475272.20000000013</v>
      </c>
      <c r="S209" s="27">
        <f t="shared" si="4"/>
        <v>8516468.1999999993</v>
      </c>
    </row>
    <row r="210" spans="1:19" s="23" customFormat="1" x14ac:dyDescent="0.25">
      <c r="A210" s="57">
        <v>45602</v>
      </c>
      <c r="B210" s="31">
        <v>2491078.5999999996</v>
      </c>
      <c r="C210" s="31">
        <v>1642257.4000000001</v>
      </c>
      <c r="D210" s="34">
        <v>497759.59999999992</v>
      </c>
      <c r="E210" s="34">
        <v>111748.70000000001</v>
      </c>
      <c r="F210" s="34">
        <v>128221.8</v>
      </c>
      <c r="G210" s="34">
        <v>5307</v>
      </c>
      <c r="H210" s="25">
        <v>1440.9</v>
      </c>
      <c r="I210" s="25">
        <v>31093</v>
      </c>
      <c r="J210" s="25">
        <v>450431</v>
      </c>
      <c r="K210" s="31">
        <v>146513.00000000003</v>
      </c>
      <c r="L210" s="25">
        <v>152208.09999999998</v>
      </c>
      <c r="M210" s="25">
        <v>1819.8000000000002</v>
      </c>
      <c r="N210" s="25">
        <v>1231528</v>
      </c>
      <c r="O210" s="27">
        <v>957476.8</v>
      </c>
      <c r="P210" s="28">
        <v>238306.99999999997</v>
      </c>
      <c r="Q210" s="33">
        <v>3131.0000000000027</v>
      </c>
      <c r="R210" s="34">
        <v>348400.09999999992</v>
      </c>
      <c r="S210" s="27">
        <f t="shared" si="4"/>
        <v>8438721.7999999989</v>
      </c>
    </row>
    <row r="211" spans="1:19" s="23" customFormat="1" x14ac:dyDescent="0.25">
      <c r="A211" s="57">
        <v>45639</v>
      </c>
      <c r="B211" s="31">
        <v>2535599.0999999996</v>
      </c>
      <c r="C211" s="31">
        <v>1678765.6</v>
      </c>
      <c r="D211" s="34">
        <v>497742.39999999991</v>
      </c>
      <c r="E211" s="34">
        <v>103083.70000000001</v>
      </c>
      <c r="F211" s="34">
        <v>141254.20000000001</v>
      </c>
      <c r="G211" s="34">
        <v>5947.2000000000007</v>
      </c>
      <c r="H211" s="25">
        <v>2997.9999999999995</v>
      </c>
      <c r="I211" s="25">
        <v>31368.899999999998</v>
      </c>
      <c r="J211" s="25">
        <v>458538.69999999995</v>
      </c>
      <c r="K211" s="31">
        <v>161980.80000000002</v>
      </c>
      <c r="L211" s="25">
        <v>152977</v>
      </c>
      <c r="M211" s="25">
        <v>2244.7000000000003</v>
      </c>
      <c r="N211" s="25">
        <v>1334377.7000000002</v>
      </c>
      <c r="O211" s="27">
        <v>957299.8</v>
      </c>
      <c r="P211" s="28">
        <v>250039.69999999995</v>
      </c>
      <c r="Q211" s="33">
        <v>3787.3999999999883</v>
      </c>
      <c r="R211" s="34">
        <v>331966.2</v>
      </c>
      <c r="S211" s="27">
        <f t="shared" si="4"/>
        <v>8649971.1000000015</v>
      </c>
    </row>
    <row r="212" spans="1:19" s="23" customFormat="1" x14ac:dyDescent="0.25">
      <c r="A212" s="57">
        <v>45671</v>
      </c>
      <c r="B212" s="31">
        <v>2594640.7999999993</v>
      </c>
      <c r="C212" s="31">
        <v>1714071.3000000003</v>
      </c>
      <c r="D212" s="34">
        <v>493222.40000000002</v>
      </c>
      <c r="E212" s="34">
        <v>113774.00000000001</v>
      </c>
      <c r="F212" s="34">
        <v>135658.4</v>
      </c>
      <c r="G212" s="34">
        <v>5939.3</v>
      </c>
      <c r="H212" s="25">
        <v>9792.9</v>
      </c>
      <c r="I212" s="25">
        <v>31650.9</v>
      </c>
      <c r="J212" s="25">
        <v>461680.3</v>
      </c>
      <c r="K212" s="31">
        <v>153939.80000000002</v>
      </c>
      <c r="L212" s="25">
        <v>173092.4</v>
      </c>
      <c r="M212" s="25">
        <v>1907.8999999999996</v>
      </c>
      <c r="N212" s="25">
        <v>1332351.8999999999</v>
      </c>
      <c r="O212" s="27">
        <v>961023.1</v>
      </c>
      <c r="P212" s="28">
        <v>273074.49999999994</v>
      </c>
      <c r="Q212" s="33">
        <v>1782.4999999999884</v>
      </c>
      <c r="R212" s="34">
        <v>353232</v>
      </c>
      <c r="S212" s="27">
        <f t="shared" ref="S212:S225" si="5">SUM(B212:R212)</f>
        <v>8810834.4000000004</v>
      </c>
    </row>
    <row r="213" spans="1:19" s="23" customFormat="1" x14ac:dyDescent="0.25">
      <c r="A213" s="57">
        <v>45702</v>
      </c>
      <c r="B213" s="31">
        <v>2536829.4999999995</v>
      </c>
      <c r="C213" s="31">
        <v>1746286.1000000003</v>
      </c>
      <c r="D213" s="34">
        <v>522158.1999999999</v>
      </c>
      <c r="E213" s="34">
        <v>118953.70000000001</v>
      </c>
      <c r="F213" s="34">
        <v>140994.9</v>
      </c>
      <c r="G213" s="34">
        <v>5950.2</v>
      </c>
      <c r="H213" s="25">
        <v>20665.600000000002</v>
      </c>
      <c r="I213" s="25">
        <v>31887.200000000004</v>
      </c>
      <c r="J213" s="25">
        <v>429490.99999999994</v>
      </c>
      <c r="K213" s="31">
        <v>237445.9</v>
      </c>
      <c r="L213" s="25">
        <v>96696.300000000017</v>
      </c>
      <c r="M213" s="25">
        <v>32793.600000000006</v>
      </c>
      <c r="N213" s="25">
        <v>1353325.5</v>
      </c>
      <c r="O213" s="27">
        <v>968710.6</v>
      </c>
      <c r="P213" s="28">
        <v>284228.30000000005</v>
      </c>
      <c r="Q213" s="33">
        <v>24651.300000000065</v>
      </c>
      <c r="R213" s="34">
        <v>368616.50000000006</v>
      </c>
      <c r="S213" s="27">
        <f t="shared" si="5"/>
        <v>8919684.4000000004</v>
      </c>
    </row>
    <row r="214" spans="1:19" s="23" customFormat="1" x14ac:dyDescent="0.25">
      <c r="A214" s="57">
        <v>45747</v>
      </c>
      <c r="B214" s="31">
        <v>2644653.4000000004</v>
      </c>
      <c r="C214" s="31">
        <v>1770070.2</v>
      </c>
      <c r="D214" s="34">
        <v>557151.19999999984</v>
      </c>
      <c r="E214" s="34">
        <v>93853.699999999983</v>
      </c>
      <c r="F214" s="34">
        <v>153768.9</v>
      </c>
      <c r="G214" s="34">
        <v>5976.0999999999995</v>
      </c>
      <c r="H214" s="25">
        <v>21358.399999999994</v>
      </c>
      <c r="I214" s="25">
        <v>32166.9</v>
      </c>
      <c r="J214" s="25">
        <v>464040</v>
      </c>
      <c r="K214" s="31">
        <v>170247.7</v>
      </c>
      <c r="L214" s="25">
        <v>153353.9</v>
      </c>
      <c r="M214" s="25">
        <v>1944.8000000000002</v>
      </c>
      <c r="N214" s="25">
        <v>1271289.8999999999</v>
      </c>
      <c r="O214" s="27">
        <v>1023381.7</v>
      </c>
      <c r="P214" s="28">
        <v>198575.9</v>
      </c>
      <c r="Q214" s="33">
        <v>8085.2000000000171</v>
      </c>
      <c r="R214" s="34">
        <v>387518.80000000005</v>
      </c>
      <c r="S214" s="27">
        <f t="shared" si="5"/>
        <v>8957436.7000000011</v>
      </c>
    </row>
    <row r="215" spans="1:19" s="23" customFormat="1" x14ac:dyDescent="0.25">
      <c r="A215" s="57">
        <v>45777</v>
      </c>
      <c r="B215" s="31">
        <v>2598080.3000000007</v>
      </c>
      <c r="C215" s="31">
        <v>1731562.4000000004</v>
      </c>
      <c r="D215" s="34">
        <v>604140.00000000012</v>
      </c>
      <c r="E215" s="34">
        <v>82977</v>
      </c>
      <c r="F215" s="34">
        <v>145397</v>
      </c>
      <c r="G215" s="34">
        <v>6056.2</v>
      </c>
      <c r="H215" s="25">
        <v>26351.200000000001</v>
      </c>
      <c r="I215" s="25">
        <v>32436.300000000003</v>
      </c>
      <c r="J215" s="25">
        <v>517051.1</v>
      </c>
      <c r="K215" s="31">
        <v>172037.50000000003</v>
      </c>
      <c r="L215" s="25">
        <v>161070.9</v>
      </c>
      <c r="M215" s="25">
        <v>1671.3999999999999</v>
      </c>
      <c r="N215" s="25">
        <v>1325546.3</v>
      </c>
      <c r="O215" s="27">
        <v>1040784.6</v>
      </c>
      <c r="P215" s="28">
        <v>198244.4</v>
      </c>
      <c r="Q215" s="33">
        <v>4177.9999999999591</v>
      </c>
      <c r="R215" s="34">
        <v>419832.5</v>
      </c>
      <c r="S215" s="27">
        <f t="shared" si="5"/>
        <v>9067417.1000000015</v>
      </c>
    </row>
    <row r="216" spans="1:19" s="23" customFormat="1" x14ac:dyDescent="0.25">
      <c r="A216" s="57">
        <v>45807</v>
      </c>
      <c r="B216" s="31">
        <v>2776591.3000000007</v>
      </c>
      <c r="C216" s="31">
        <v>1729253.9</v>
      </c>
      <c r="D216" s="34">
        <v>537036.30000000005</v>
      </c>
      <c r="E216" s="34">
        <v>73758.5</v>
      </c>
      <c r="F216" s="34">
        <v>143841.70000000001</v>
      </c>
      <c r="G216" s="34">
        <v>6055.9</v>
      </c>
      <c r="H216" s="25">
        <v>25704.5</v>
      </c>
      <c r="I216" s="25">
        <v>32672.300000000003</v>
      </c>
      <c r="J216" s="25">
        <v>519408.9</v>
      </c>
      <c r="K216" s="31">
        <v>185409.6</v>
      </c>
      <c r="L216" s="25">
        <v>150924.20000000001</v>
      </c>
      <c r="M216" s="25">
        <v>10902.300000000001</v>
      </c>
      <c r="N216" s="25">
        <v>1338853.8</v>
      </c>
      <c r="O216" s="27">
        <v>1050507.3999999999</v>
      </c>
      <c r="P216" s="28">
        <v>189315.80000000002</v>
      </c>
      <c r="Q216" s="33">
        <v>3551.8000000000088</v>
      </c>
      <c r="R216" s="34">
        <v>401010.39999999997</v>
      </c>
      <c r="S216" s="27">
        <f t="shared" si="5"/>
        <v>9174798.6000000034</v>
      </c>
    </row>
    <row r="217" spans="1:19" s="23" customFormat="1" x14ac:dyDescent="0.25">
      <c r="A217" s="57">
        <v>45838</v>
      </c>
      <c r="B217" s="31">
        <v>2770607.4000000004</v>
      </c>
      <c r="C217" s="31">
        <v>1754303.0999999996</v>
      </c>
      <c r="D217" s="34">
        <v>608003.69999999984</v>
      </c>
      <c r="E217" s="34">
        <v>74284.099999999991</v>
      </c>
      <c r="F217" s="34">
        <v>117338</v>
      </c>
      <c r="G217" s="34">
        <v>6119.5</v>
      </c>
      <c r="H217" s="25">
        <v>31076.2</v>
      </c>
      <c r="I217" s="25">
        <v>33010.1</v>
      </c>
      <c r="J217" s="25">
        <v>383041.3</v>
      </c>
      <c r="K217" s="31">
        <v>324569.10000000003</v>
      </c>
      <c r="L217" s="25">
        <v>183381.99999999997</v>
      </c>
      <c r="M217" s="25">
        <v>11347</v>
      </c>
      <c r="N217" s="25">
        <v>1303135.9000000001</v>
      </c>
      <c r="O217" s="27">
        <v>1056321.6000000001</v>
      </c>
      <c r="P217" s="28">
        <v>207292.89999999997</v>
      </c>
      <c r="Q217" s="33">
        <v>1180.2999999999943</v>
      </c>
      <c r="R217" s="34">
        <v>487625.00000000006</v>
      </c>
      <c r="S217" s="27">
        <f t="shared" si="5"/>
        <v>9352637.2000000011</v>
      </c>
    </row>
    <row r="218" spans="1:19" s="23" customFormat="1" x14ac:dyDescent="0.25">
      <c r="A218" s="57">
        <v>45839</v>
      </c>
      <c r="B218" s="31">
        <v>2903457.5999999992</v>
      </c>
      <c r="C218" s="31">
        <v>1795669.9999999998</v>
      </c>
      <c r="D218" s="34">
        <v>570064.6</v>
      </c>
      <c r="E218" s="34">
        <v>73870</v>
      </c>
      <c r="F218" s="34">
        <v>123772.59999999999</v>
      </c>
      <c r="G218" s="34">
        <v>6122.9</v>
      </c>
      <c r="H218" s="25">
        <v>24176.9</v>
      </c>
      <c r="I218" s="25">
        <v>33265.9</v>
      </c>
      <c r="J218" s="25">
        <v>434007.7</v>
      </c>
      <c r="K218" s="31">
        <v>322745.59999999998</v>
      </c>
      <c r="L218" s="25">
        <v>191567.99999999997</v>
      </c>
      <c r="M218" s="25">
        <v>67137.000000000015</v>
      </c>
      <c r="N218" s="25">
        <v>1505212.9999999998</v>
      </c>
      <c r="O218" s="27">
        <v>1071994.3999999999</v>
      </c>
      <c r="P218" s="28">
        <v>220726.40000000002</v>
      </c>
      <c r="Q218" s="33">
        <v>-49559.499999999978</v>
      </c>
      <c r="R218" s="34">
        <v>418401.2</v>
      </c>
      <c r="S218" s="27">
        <f t="shared" si="5"/>
        <v>9712634.2999999989</v>
      </c>
    </row>
    <row r="219" spans="1:19" s="23" customFormat="1" x14ac:dyDescent="0.25">
      <c r="A219" s="57">
        <v>45871</v>
      </c>
      <c r="B219" s="31">
        <v>2919924.0999999992</v>
      </c>
      <c r="C219" s="31">
        <v>1729139.9999999998</v>
      </c>
      <c r="D219" s="34">
        <v>593202.20000000019</v>
      </c>
      <c r="E219" s="34">
        <v>83856.5</v>
      </c>
      <c r="F219" s="34">
        <v>129871.8</v>
      </c>
      <c r="G219" s="34">
        <v>6155.9</v>
      </c>
      <c r="H219" s="25">
        <v>26215.399999999998</v>
      </c>
      <c r="I219" s="25">
        <v>36498.500000000007</v>
      </c>
      <c r="J219" s="25">
        <v>429401.70000000007</v>
      </c>
      <c r="K219" s="31">
        <v>329629.30000000005</v>
      </c>
      <c r="L219" s="25">
        <v>193422.7</v>
      </c>
      <c r="M219" s="25">
        <v>12228.900000000003</v>
      </c>
      <c r="N219" s="25">
        <v>1501871.3</v>
      </c>
      <c r="O219" s="27">
        <v>1071503</v>
      </c>
      <c r="P219" s="28">
        <v>242198.40000000002</v>
      </c>
      <c r="Q219" s="33">
        <v>2046.6000000000174</v>
      </c>
      <c r="R219" s="34">
        <v>444354.69999999984</v>
      </c>
      <c r="S219" s="27">
        <f t="shared" si="5"/>
        <v>9751521</v>
      </c>
    </row>
    <row r="220" spans="1:19" s="23" customFormat="1" x14ac:dyDescent="0.25">
      <c r="A220" s="57">
        <v>45903</v>
      </c>
      <c r="B220" s="31">
        <v>2942901.5</v>
      </c>
      <c r="C220" s="31">
        <v>1815919</v>
      </c>
      <c r="D220" s="34">
        <v>607367</v>
      </c>
      <c r="E220" s="34">
        <v>89075.200000000012</v>
      </c>
      <c r="F220" s="34">
        <v>139634.79999999999</v>
      </c>
      <c r="G220" s="34">
        <v>9072.6999999999989</v>
      </c>
      <c r="H220" s="25">
        <v>24633.899999999994</v>
      </c>
      <c r="I220" s="25">
        <v>36766.663000000008</v>
      </c>
      <c r="J220" s="25">
        <v>413545.3</v>
      </c>
      <c r="K220" s="31">
        <v>485739.9</v>
      </c>
      <c r="L220" s="25">
        <v>189928.09999999998</v>
      </c>
      <c r="M220" s="25">
        <v>307080.09999999998</v>
      </c>
      <c r="N220" s="25">
        <v>1506734.3000000003</v>
      </c>
      <c r="O220" s="27">
        <v>1070931.8999999999</v>
      </c>
      <c r="P220" s="28">
        <v>267435.2</v>
      </c>
      <c r="Q220" s="33">
        <v>2051.8369999999995</v>
      </c>
      <c r="R220" s="34">
        <v>493790.10000000003</v>
      </c>
      <c r="S220" s="27">
        <f t="shared" si="5"/>
        <v>10402607.499999998</v>
      </c>
    </row>
    <row r="221" spans="1:19" s="23" customFormat="1" x14ac:dyDescent="0.25">
      <c r="A221" s="57">
        <v>45935</v>
      </c>
      <c r="B221" s="31">
        <v>3037005.6999999997</v>
      </c>
      <c r="C221" s="31">
        <v>1813534.4000000004</v>
      </c>
      <c r="D221" s="34">
        <v>621816.60000000009</v>
      </c>
      <c r="E221" s="34">
        <v>96545.600000000006</v>
      </c>
      <c r="F221" s="34">
        <v>144962.69999999998</v>
      </c>
      <c r="G221" s="34">
        <v>9800</v>
      </c>
      <c r="H221" s="25">
        <v>26684.1</v>
      </c>
      <c r="I221" s="25">
        <v>34118.464</v>
      </c>
      <c r="J221" s="25">
        <v>420530.20000000007</v>
      </c>
      <c r="K221" s="31">
        <v>488290.1</v>
      </c>
      <c r="L221" s="25">
        <v>192354.5</v>
      </c>
      <c r="M221" s="25">
        <v>285656.99999999994</v>
      </c>
      <c r="N221" s="25">
        <v>1473987.1</v>
      </c>
      <c r="O221" s="27">
        <v>1071526.0000000002</v>
      </c>
      <c r="P221" s="28">
        <v>285410.80000000005</v>
      </c>
      <c r="Q221" s="33">
        <v>8033.435999999987</v>
      </c>
      <c r="R221" s="34">
        <v>485411</v>
      </c>
      <c r="S221" s="27">
        <f t="shared" si="5"/>
        <v>10495667.699999999</v>
      </c>
    </row>
    <row r="222" spans="1:19" s="23" customFormat="1" x14ac:dyDescent="0.25">
      <c r="A222" s="57">
        <v>45967</v>
      </c>
      <c r="B222" s="31">
        <v>3043989.9</v>
      </c>
      <c r="C222" s="31">
        <v>1825922.3999999997</v>
      </c>
      <c r="D222" s="34">
        <v>636182.5</v>
      </c>
      <c r="E222" s="34">
        <v>106243.79999999999</v>
      </c>
      <c r="F222" s="34">
        <v>173111.1</v>
      </c>
      <c r="G222" s="34">
        <v>9821.2999999999993</v>
      </c>
      <c r="H222" s="25">
        <v>40098.200000000004</v>
      </c>
      <c r="I222" s="25">
        <v>34378.904000000002</v>
      </c>
      <c r="J222" s="25">
        <v>415238.50000000006</v>
      </c>
      <c r="K222" s="31">
        <v>620318.80000000005</v>
      </c>
      <c r="L222" s="25">
        <v>81760.099999999991</v>
      </c>
      <c r="M222" s="25">
        <v>1461.2999999999995</v>
      </c>
      <c r="N222" s="25">
        <v>1754275.1</v>
      </c>
      <c r="O222" s="27">
        <v>1072121.5</v>
      </c>
      <c r="P222" s="28">
        <v>307090</v>
      </c>
      <c r="Q222" s="33">
        <v>6083.6959999999963</v>
      </c>
      <c r="R222" s="34">
        <v>496103.4</v>
      </c>
      <c r="S222" s="27">
        <f t="shared" si="5"/>
        <v>10624200.5</v>
      </c>
    </row>
    <row r="223" spans="1:19" s="23" customFormat="1" x14ac:dyDescent="0.25">
      <c r="A223" s="57">
        <v>46004</v>
      </c>
      <c r="B223" s="31">
        <v>3184801.6000000006</v>
      </c>
      <c r="C223" s="31">
        <v>1847881.7999999996</v>
      </c>
      <c r="D223" s="34">
        <v>667252.19999999995</v>
      </c>
      <c r="E223" s="34">
        <v>102889.1</v>
      </c>
      <c r="F223" s="34">
        <v>169603.9</v>
      </c>
      <c r="G223" s="34">
        <v>13056.199999999999</v>
      </c>
      <c r="H223" s="25">
        <v>26094</v>
      </c>
      <c r="I223" s="25">
        <v>34675.800000000003</v>
      </c>
      <c r="J223" s="25">
        <v>377603.39999999997</v>
      </c>
      <c r="K223" s="31">
        <v>654353.4</v>
      </c>
      <c r="L223" s="25">
        <v>80249.7</v>
      </c>
      <c r="M223" s="25">
        <v>1441</v>
      </c>
      <c r="N223" s="25">
        <v>1768006.2</v>
      </c>
      <c r="O223" s="27">
        <v>1098402.1000000001</v>
      </c>
      <c r="P223" s="28">
        <v>322832.80000000005</v>
      </c>
      <c r="Q223" s="33">
        <v>6500.8000000000347</v>
      </c>
      <c r="R223" s="34">
        <v>516945.89999999997</v>
      </c>
      <c r="S223" s="27">
        <f t="shared" si="5"/>
        <v>10872589.900000002</v>
      </c>
    </row>
    <row r="224" spans="1:19" s="23" customFormat="1" x14ac:dyDescent="0.25">
      <c r="A224" s="57">
        <v>46041</v>
      </c>
      <c r="B224" s="31">
        <v>3021661.6000000006</v>
      </c>
      <c r="C224" s="31">
        <v>1811201.6</v>
      </c>
      <c r="D224" s="34">
        <v>675237.2</v>
      </c>
      <c r="E224" s="34">
        <v>91350.299999999988</v>
      </c>
      <c r="F224" s="34">
        <v>148736.4</v>
      </c>
      <c r="G224" s="34">
        <v>12950.499999999998</v>
      </c>
      <c r="H224" s="25">
        <v>21290.399999999998</v>
      </c>
      <c r="I224" s="25">
        <v>207.50000000000003</v>
      </c>
      <c r="J224" s="25">
        <v>359841.5</v>
      </c>
      <c r="K224" s="31">
        <v>507675.4</v>
      </c>
      <c r="L224" s="25">
        <v>226121.99999999997</v>
      </c>
      <c r="M224" s="25">
        <v>4895.3999999999996</v>
      </c>
      <c r="N224" s="25">
        <v>1751079.2</v>
      </c>
      <c r="O224" s="27">
        <v>1116893.1000000001</v>
      </c>
      <c r="P224" s="28">
        <v>326045.09999999998</v>
      </c>
      <c r="Q224" s="33">
        <v>117601.39999999994</v>
      </c>
      <c r="R224" s="34">
        <v>525470.5</v>
      </c>
      <c r="S224" s="27">
        <f t="shared" si="5"/>
        <v>10718259.100000001</v>
      </c>
    </row>
    <row r="225" spans="1:20" s="23" customFormat="1" x14ac:dyDescent="0.25">
      <c r="A225" s="57">
        <v>46078</v>
      </c>
      <c r="B225" s="31">
        <v>2994719.8000000003</v>
      </c>
      <c r="C225" s="31">
        <v>1829683</v>
      </c>
      <c r="D225" s="34">
        <v>676698.89999999979</v>
      </c>
      <c r="E225" s="34">
        <v>98652.1</v>
      </c>
      <c r="F225" s="34">
        <v>144972.5</v>
      </c>
      <c r="G225" s="34">
        <v>12967.499999999998</v>
      </c>
      <c r="H225" s="25">
        <v>16431</v>
      </c>
      <c r="I225" s="25">
        <v>202.3</v>
      </c>
      <c r="J225" s="25">
        <v>390617.39999999991</v>
      </c>
      <c r="K225" s="31">
        <v>493164.9</v>
      </c>
      <c r="L225" s="25">
        <v>218273.1</v>
      </c>
      <c r="M225" s="25">
        <v>11647.699999999999</v>
      </c>
      <c r="N225" s="25">
        <v>1758579.9999999998</v>
      </c>
      <c r="O225" s="27">
        <v>1102377.3999999999</v>
      </c>
      <c r="P225" s="28">
        <v>362626.3</v>
      </c>
      <c r="Q225" s="33">
        <v>164618</v>
      </c>
      <c r="R225" s="34">
        <v>584064.00000000012</v>
      </c>
      <c r="S225" s="27">
        <f t="shared" si="5"/>
        <v>10860295.9</v>
      </c>
    </row>
    <row r="226" spans="1:20" s="23" customFormat="1" x14ac:dyDescent="0.25">
      <c r="A226" s="64" t="s">
        <v>3</v>
      </c>
      <c r="B226" s="65"/>
      <c r="C226" s="66"/>
      <c r="D226" s="66"/>
      <c r="E226" s="66"/>
      <c r="F226" s="66"/>
      <c r="G226" s="66"/>
      <c r="H226" s="66"/>
      <c r="I226" s="66"/>
      <c r="J226" s="66"/>
      <c r="K226" s="66"/>
      <c r="L226" s="66"/>
      <c r="M226" s="66"/>
      <c r="N226" s="66"/>
      <c r="O226" s="66"/>
      <c r="P226" s="66"/>
      <c r="Q226" s="66"/>
      <c r="R226" s="66"/>
      <c r="S226" s="63"/>
      <c r="T226"/>
    </row>
    <row r="227" spans="1:20" x14ac:dyDescent="0.25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35"/>
      <c r="P227" s="35"/>
      <c r="Q227" s="36"/>
      <c r="R227" s="35"/>
    </row>
    <row r="229" spans="1:20" x14ac:dyDescent="0.25">
      <c r="B229" s="10"/>
      <c r="C229" s="10"/>
      <c r="D229" s="10"/>
    </row>
    <row r="230" spans="1:20" x14ac:dyDescent="0.25">
      <c r="B230" s="10"/>
      <c r="C230" s="10"/>
      <c r="D230" s="10"/>
    </row>
    <row r="231" spans="1:20" x14ac:dyDescent="0.25">
      <c r="B231" s="10"/>
      <c r="C231" s="10"/>
      <c r="D231" s="10"/>
    </row>
    <row r="232" spans="1:20" x14ac:dyDescent="0.25">
      <c r="B232" s="10"/>
      <c r="C232" s="10"/>
      <c r="D232" s="10"/>
    </row>
    <row r="233" spans="1:20" x14ac:dyDescent="0.25">
      <c r="B233" s="10"/>
      <c r="C233" s="10"/>
      <c r="D233" s="10"/>
    </row>
    <row r="234" spans="1:20" x14ac:dyDescent="0.25">
      <c r="B234" s="10"/>
      <c r="C234" s="10"/>
      <c r="D234" s="10"/>
    </row>
    <row r="235" spans="1:20" x14ac:dyDescent="0.25">
      <c r="B235" s="10"/>
      <c r="C235" s="10"/>
      <c r="D235" s="10"/>
    </row>
    <row r="236" spans="1:20" x14ac:dyDescent="0.25">
      <c r="B236" s="10"/>
      <c r="C236" s="10"/>
      <c r="D236" s="10"/>
    </row>
    <row r="237" spans="1:20" x14ac:dyDescent="0.25">
      <c r="B237" s="10"/>
      <c r="C237" s="10"/>
      <c r="D237" s="10"/>
    </row>
    <row r="238" spans="1:20" x14ac:dyDescent="0.25">
      <c r="B238" s="10"/>
      <c r="C238" s="10"/>
      <c r="D238" s="10"/>
    </row>
    <row r="239" spans="1:20" x14ac:dyDescent="0.25">
      <c r="B239" s="10"/>
      <c r="C239" s="10"/>
      <c r="D239" s="10"/>
    </row>
    <row r="240" spans="1:20" x14ac:dyDescent="0.25">
      <c r="B240" s="10"/>
      <c r="C240" s="10"/>
      <c r="D240" s="10"/>
    </row>
    <row r="241" spans="2:4" x14ac:dyDescent="0.25">
      <c r="B241" s="10"/>
      <c r="C241" s="10"/>
      <c r="D241" s="10"/>
    </row>
    <row r="242" spans="2:4" x14ac:dyDescent="0.25">
      <c r="B242" s="10"/>
      <c r="C242" s="10"/>
      <c r="D242" s="10"/>
    </row>
  </sheetData>
  <mergeCells count="18"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  <ignoredErrors>
    <ignoredError sqref="S170" formula="1"/>
    <ignoredError sqref="S17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81"/>
  <sheetViews>
    <sheetView workbookViewId="0">
      <pane xSplit="1" ySplit="7" topLeftCell="H71" activePane="bottomRight" state="frozen"/>
      <selection pane="topRight" activeCell="B1" sqref="B1"/>
      <selection pane="bottomLeft" activeCell="A8" sqref="A8"/>
      <selection pane="bottomRight" activeCell="H77" sqref="H77"/>
    </sheetView>
  </sheetViews>
  <sheetFormatPr baseColWidth="10" defaultColWidth="11.5546875" defaultRowHeight="15.75" x14ac:dyDescent="0.25"/>
  <cols>
    <col min="1" max="1" width="30" style="10" customWidth="1"/>
    <col min="2" max="2" width="12.88671875" style="10" customWidth="1"/>
    <col min="3" max="3" width="14.77734375" style="10" customWidth="1"/>
    <col min="4" max="6" width="11.5546875" style="10"/>
    <col min="7" max="7" width="19.88671875" style="10" customWidth="1"/>
    <col min="8" max="8" width="16.21875" style="10" customWidth="1"/>
    <col min="9" max="9" width="14.5546875" style="10" customWidth="1"/>
    <col min="10" max="10" width="12.5546875" style="10" customWidth="1"/>
    <col min="11" max="11" width="15.21875" style="10" customWidth="1"/>
    <col min="12" max="12" width="11.5546875" style="10"/>
    <col min="13" max="13" width="15.6640625" style="10" customWidth="1"/>
    <col min="14" max="14" width="12.5546875" style="10" customWidth="1"/>
    <col min="15" max="15" width="13.88671875" style="10" customWidth="1"/>
    <col min="16" max="16" width="10.21875" style="10" customWidth="1"/>
    <col min="17" max="17" width="14.44140625" style="10" customWidth="1"/>
    <col min="18" max="18" width="11.5546875" style="10"/>
    <col min="19" max="19" width="13.77734375" style="10" customWidth="1"/>
    <col min="20" max="16384" width="11.5546875" style="10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70" t="s">
        <v>16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2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73" t="s">
        <v>49</v>
      </c>
      <c r="B6" s="68" t="s">
        <v>4</v>
      </c>
      <c r="C6" s="67" t="s">
        <v>5</v>
      </c>
      <c r="D6" s="67" t="s">
        <v>41</v>
      </c>
      <c r="E6" s="75" t="s">
        <v>47</v>
      </c>
      <c r="F6" s="75"/>
      <c r="G6" s="75"/>
      <c r="H6" s="67" t="s">
        <v>7</v>
      </c>
      <c r="I6" s="67" t="s">
        <v>8</v>
      </c>
      <c r="J6" s="67" t="s">
        <v>9</v>
      </c>
      <c r="K6" s="67" t="s">
        <v>10</v>
      </c>
      <c r="L6" s="67" t="s">
        <v>45</v>
      </c>
      <c r="M6" s="67" t="s">
        <v>11</v>
      </c>
      <c r="N6" s="67" t="s">
        <v>42</v>
      </c>
      <c r="O6" s="67" t="s">
        <v>43</v>
      </c>
      <c r="P6" s="68" t="s">
        <v>12</v>
      </c>
      <c r="Q6" s="69" t="s">
        <v>13</v>
      </c>
      <c r="R6" s="67" t="s">
        <v>14</v>
      </c>
      <c r="S6" s="68" t="s">
        <v>15</v>
      </c>
    </row>
    <row r="7" spans="1:19" s="37" customFormat="1" ht="90" customHeight="1" x14ac:dyDescent="0.3">
      <c r="A7" s="74"/>
      <c r="B7" s="68"/>
      <c r="C7" s="67"/>
      <c r="D7" s="67"/>
      <c r="E7" s="48" t="s">
        <v>4</v>
      </c>
      <c r="F7" s="48" t="s">
        <v>5</v>
      </c>
      <c r="G7" s="48" t="s">
        <v>48</v>
      </c>
      <c r="H7" s="67"/>
      <c r="I7" s="67"/>
      <c r="J7" s="67"/>
      <c r="K7" s="67"/>
      <c r="L7" s="67"/>
      <c r="M7" s="67"/>
      <c r="N7" s="67"/>
      <c r="O7" s="67"/>
      <c r="P7" s="68"/>
      <c r="Q7" s="69"/>
      <c r="R7" s="67"/>
      <c r="S7" s="68"/>
    </row>
    <row r="8" spans="1:19" s="23" customFormat="1" x14ac:dyDescent="0.25">
      <c r="A8" s="24">
        <v>39508</v>
      </c>
      <c r="B8" s="25">
        <v>158956.1</v>
      </c>
      <c r="C8" s="25">
        <v>88787.5</v>
      </c>
      <c r="D8" s="25">
        <v>59399.799999999988</v>
      </c>
      <c r="E8" s="25"/>
      <c r="F8" s="25"/>
      <c r="G8" s="25"/>
      <c r="H8" s="25">
        <v>798.5</v>
      </c>
      <c r="I8" s="25">
        <v>294</v>
      </c>
      <c r="J8" s="26">
        <v>1000</v>
      </c>
      <c r="K8" s="25">
        <v>8187.2000000000007</v>
      </c>
      <c r="L8" s="25">
        <v>5997.5</v>
      </c>
      <c r="M8" s="25">
        <v>11842.8</v>
      </c>
      <c r="N8" s="25">
        <v>27821.300000000003</v>
      </c>
      <c r="O8" s="27">
        <v>35343.100000000006</v>
      </c>
      <c r="P8" s="28">
        <v>14042.7</v>
      </c>
      <c r="Q8" s="29">
        <v>88.30000000000004</v>
      </c>
      <c r="R8" s="27">
        <v>57907</v>
      </c>
      <c r="S8" s="27">
        <f t="shared" ref="S8:S28" si="0">SUM(B8:R8)</f>
        <v>470465.80000000005</v>
      </c>
    </row>
    <row r="9" spans="1:19" s="23" customFormat="1" x14ac:dyDescent="0.25">
      <c r="A9" s="24">
        <v>39600</v>
      </c>
      <c r="B9" s="25">
        <v>152474.20000000001</v>
      </c>
      <c r="C9" s="25">
        <v>86596.6</v>
      </c>
      <c r="D9" s="25">
        <v>53258.199999999983</v>
      </c>
      <c r="E9" s="25"/>
      <c r="F9" s="25"/>
      <c r="G9" s="25"/>
      <c r="H9" s="25">
        <v>1239</v>
      </c>
      <c r="I9" s="25">
        <v>250</v>
      </c>
      <c r="J9" s="26">
        <v>1474.9</v>
      </c>
      <c r="K9" s="25">
        <v>12477.300000000003</v>
      </c>
      <c r="L9" s="25">
        <v>5614.9</v>
      </c>
      <c r="M9" s="25">
        <v>15336.5</v>
      </c>
      <c r="N9" s="25">
        <v>28737.400000000005</v>
      </c>
      <c r="O9" s="27">
        <v>37655.500000000007</v>
      </c>
      <c r="P9" s="28">
        <v>12540</v>
      </c>
      <c r="Q9" s="29">
        <v>518.50000000000023</v>
      </c>
      <c r="R9" s="27">
        <v>67494</v>
      </c>
      <c r="S9" s="27">
        <f t="shared" si="0"/>
        <v>475667.00000000006</v>
      </c>
    </row>
    <row r="10" spans="1:19" s="23" customFormat="1" x14ac:dyDescent="0.25">
      <c r="A10" s="24">
        <v>39692</v>
      </c>
      <c r="B10" s="25">
        <v>172053.90000000002</v>
      </c>
      <c r="C10" s="25">
        <v>93967.900000000009</v>
      </c>
      <c r="D10" s="25">
        <v>63151.69999999999</v>
      </c>
      <c r="E10" s="25"/>
      <c r="F10" s="25"/>
      <c r="G10" s="25"/>
      <c r="H10" s="25">
        <v>383.4</v>
      </c>
      <c r="I10" s="25">
        <v>550</v>
      </c>
      <c r="J10" s="26">
        <v>10622.1</v>
      </c>
      <c r="K10" s="25">
        <v>12500.700000000004</v>
      </c>
      <c r="L10" s="25">
        <v>4075.7</v>
      </c>
      <c r="M10" s="25">
        <v>32357.599999999999</v>
      </c>
      <c r="N10" s="25">
        <v>27827.299999999996</v>
      </c>
      <c r="O10" s="27">
        <v>39113.599999999999</v>
      </c>
      <c r="P10" s="28">
        <v>17031</v>
      </c>
      <c r="Q10" s="29">
        <v>-179.09999999999994</v>
      </c>
      <c r="R10" s="27">
        <v>69173.5</v>
      </c>
      <c r="S10" s="27">
        <f t="shared" si="0"/>
        <v>542629.30000000005</v>
      </c>
    </row>
    <row r="11" spans="1:19" s="23" customFormat="1" x14ac:dyDescent="0.25">
      <c r="A11" s="24">
        <v>39783</v>
      </c>
      <c r="B11" s="25">
        <v>191381.50000000003</v>
      </c>
      <c r="C11" s="25">
        <v>99286.999999999985</v>
      </c>
      <c r="D11" s="25">
        <v>62928.999999999956</v>
      </c>
      <c r="E11" s="25"/>
      <c r="F11" s="25"/>
      <c r="G11" s="25"/>
      <c r="H11" s="25">
        <v>603.5</v>
      </c>
      <c r="I11" s="25">
        <v>550</v>
      </c>
      <c r="J11" s="26" t="s">
        <v>2</v>
      </c>
      <c r="K11" s="25">
        <v>14305</v>
      </c>
      <c r="L11" s="25">
        <v>5052.6000000000004</v>
      </c>
      <c r="M11" s="25">
        <v>24400</v>
      </c>
      <c r="N11" s="25">
        <v>30009.400000000009</v>
      </c>
      <c r="O11" s="27">
        <v>41916.799999999996</v>
      </c>
      <c r="P11" s="28">
        <v>18433.2</v>
      </c>
      <c r="Q11" s="29">
        <v>311.60000000000002</v>
      </c>
      <c r="R11" s="27">
        <v>72950</v>
      </c>
      <c r="S11" s="27">
        <f t="shared" si="0"/>
        <v>562129.59999999986</v>
      </c>
    </row>
    <row r="12" spans="1:19" s="23" customFormat="1" x14ac:dyDescent="0.25">
      <c r="A12" s="24">
        <v>39873</v>
      </c>
      <c r="B12" s="25">
        <v>193487.00000000003</v>
      </c>
      <c r="C12" s="25">
        <v>99341.599999999991</v>
      </c>
      <c r="D12" s="25">
        <v>67743</v>
      </c>
      <c r="E12" s="25"/>
      <c r="F12" s="25"/>
      <c r="G12" s="25"/>
      <c r="H12" s="25">
        <v>596.49999999999989</v>
      </c>
      <c r="I12" s="25">
        <v>650</v>
      </c>
      <c r="J12" s="26" t="s">
        <v>2</v>
      </c>
      <c r="K12" s="25">
        <v>17668.999999999993</v>
      </c>
      <c r="L12" s="25">
        <v>6239.7999999999993</v>
      </c>
      <c r="M12" s="25">
        <v>17902.900000000001</v>
      </c>
      <c r="N12" s="25">
        <v>28111.9</v>
      </c>
      <c r="O12" s="27">
        <v>49158.8</v>
      </c>
      <c r="P12" s="28">
        <v>10940.9</v>
      </c>
      <c r="Q12" s="29">
        <v>704.4</v>
      </c>
      <c r="R12" s="27">
        <v>68053.399999999994</v>
      </c>
      <c r="S12" s="27">
        <f t="shared" si="0"/>
        <v>560599.20000000007</v>
      </c>
    </row>
    <row r="13" spans="1:19" s="23" customFormat="1" x14ac:dyDescent="0.25">
      <c r="A13" s="24">
        <v>39965</v>
      </c>
      <c r="B13" s="25">
        <v>189677.49999999997</v>
      </c>
      <c r="C13" s="25">
        <v>106663.59999999998</v>
      </c>
      <c r="D13" s="25">
        <v>68982.700000000012</v>
      </c>
      <c r="E13" s="25"/>
      <c r="F13" s="25"/>
      <c r="G13" s="25"/>
      <c r="H13" s="25">
        <v>509.40000000000003</v>
      </c>
      <c r="I13" s="25">
        <v>250</v>
      </c>
      <c r="J13" s="26" t="s">
        <v>2</v>
      </c>
      <c r="K13" s="25">
        <v>21121.899999999998</v>
      </c>
      <c r="L13" s="25">
        <v>7416.3</v>
      </c>
      <c r="M13" s="25">
        <v>16926.8</v>
      </c>
      <c r="N13" s="25">
        <v>37042.699999999997</v>
      </c>
      <c r="O13" s="27">
        <v>60352.9</v>
      </c>
      <c r="P13" s="28">
        <v>15173.199999999999</v>
      </c>
      <c r="Q13" s="29">
        <v>890.00000000000023</v>
      </c>
      <c r="R13" s="27">
        <v>66951</v>
      </c>
      <c r="S13" s="27">
        <f t="shared" si="0"/>
        <v>591958.00000000012</v>
      </c>
    </row>
    <row r="14" spans="1:19" s="23" customFormat="1" x14ac:dyDescent="0.25">
      <c r="A14" s="24">
        <v>40057</v>
      </c>
      <c r="B14" s="25">
        <v>218751.30000000005</v>
      </c>
      <c r="C14" s="25">
        <v>101272.9</v>
      </c>
      <c r="D14" s="25">
        <v>70998.700000000012</v>
      </c>
      <c r="E14" s="25"/>
      <c r="F14" s="25"/>
      <c r="G14" s="25"/>
      <c r="H14" s="25">
        <v>567.19999999999993</v>
      </c>
      <c r="I14" s="25">
        <v>250</v>
      </c>
      <c r="J14" s="26" t="s">
        <v>2</v>
      </c>
      <c r="K14" s="25">
        <v>21198.800000000003</v>
      </c>
      <c r="L14" s="25">
        <v>7648.5000000000009</v>
      </c>
      <c r="M14" s="25">
        <v>14750.699999999999</v>
      </c>
      <c r="N14" s="25">
        <v>37309.800000000003</v>
      </c>
      <c r="O14" s="27">
        <v>64261.3</v>
      </c>
      <c r="P14" s="28">
        <v>18787.999999999996</v>
      </c>
      <c r="Q14" s="29">
        <v>729.79999999999984</v>
      </c>
      <c r="R14" s="27">
        <v>67320.600000000006</v>
      </c>
      <c r="S14" s="27">
        <f t="shared" si="0"/>
        <v>623847.60000000009</v>
      </c>
    </row>
    <row r="15" spans="1:19" s="23" customFormat="1" x14ac:dyDescent="0.25">
      <c r="A15" s="24">
        <v>40148</v>
      </c>
      <c r="B15" s="25">
        <v>226504.30000000002</v>
      </c>
      <c r="C15" s="25">
        <v>116535.90000000001</v>
      </c>
      <c r="D15" s="25">
        <v>81175.299999999988</v>
      </c>
      <c r="E15" s="25"/>
      <c r="F15" s="25"/>
      <c r="G15" s="25"/>
      <c r="H15" s="25">
        <v>1234.8999999999999</v>
      </c>
      <c r="I15" s="25">
        <v>400</v>
      </c>
      <c r="J15" s="26" t="s">
        <v>2</v>
      </c>
      <c r="K15" s="25">
        <v>23913.5</v>
      </c>
      <c r="L15" s="25">
        <v>8608.5999999999985</v>
      </c>
      <c r="M15" s="25">
        <v>33663.599999999999</v>
      </c>
      <c r="N15" s="25">
        <v>36237.599999999999</v>
      </c>
      <c r="O15" s="27">
        <v>69695</v>
      </c>
      <c r="P15" s="28">
        <v>21190.100000000002</v>
      </c>
      <c r="Q15" s="29">
        <v>1123.9000000000001</v>
      </c>
      <c r="R15" s="27">
        <v>69028</v>
      </c>
      <c r="S15" s="27">
        <f t="shared" si="0"/>
        <v>689310.7</v>
      </c>
    </row>
    <row r="16" spans="1:19" s="23" customFormat="1" x14ac:dyDescent="0.25">
      <c r="A16" s="24">
        <v>40238</v>
      </c>
      <c r="B16" s="25">
        <v>243881.79999999996</v>
      </c>
      <c r="C16" s="25">
        <v>121262.00000000001</v>
      </c>
      <c r="D16" s="25">
        <v>82919.399999999907</v>
      </c>
      <c r="E16" s="25"/>
      <c r="F16" s="25"/>
      <c r="G16" s="25"/>
      <c r="H16" s="25">
        <v>1962.6</v>
      </c>
      <c r="I16" s="25">
        <v>1120</v>
      </c>
      <c r="J16" s="26">
        <v>30.6</v>
      </c>
      <c r="K16" s="25">
        <v>25001.8</v>
      </c>
      <c r="L16" s="25">
        <v>9623.5</v>
      </c>
      <c r="M16" s="25">
        <v>32319.000000000004</v>
      </c>
      <c r="N16" s="25">
        <v>33546.700000000004</v>
      </c>
      <c r="O16" s="27">
        <v>77502.3</v>
      </c>
      <c r="P16" s="28">
        <v>10329.4</v>
      </c>
      <c r="Q16" s="29">
        <v>1438.3</v>
      </c>
      <c r="R16" s="27">
        <v>67919.899999999994</v>
      </c>
      <c r="S16" s="27">
        <f t="shared" si="0"/>
        <v>708857.29999999993</v>
      </c>
    </row>
    <row r="17" spans="1:19" s="23" customFormat="1" x14ac:dyDescent="0.25">
      <c r="A17" s="24">
        <v>40330</v>
      </c>
      <c r="B17" s="25">
        <v>238376.80000000005</v>
      </c>
      <c r="C17" s="25">
        <v>126025.79999999997</v>
      </c>
      <c r="D17" s="25">
        <v>86114.9</v>
      </c>
      <c r="E17" s="25"/>
      <c r="F17" s="25"/>
      <c r="G17" s="25"/>
      <c r="H17" s="25">
        <v>1492</v>
      </c>
      <c r="I17" s="25">
        <v>1050</v>
      </c>
      <c r="J17" s="26" t="s">
        <v>2</v>
      </c>
      <c r="K17" s="25">
        <v>24223.999999999993</v>
      </c>
      <c r="L17" s="25">
        <v>8547.6000000000022</v>
      </c>
      <c r="M17" s="25">
        <v>24891</v>
      </c>
      <c r="N17" s="25">
        <v>37032.600000000006</v>
      </c>
      <c r="O17" s="27">
        <v>85821</v>
      </c>
      <c r="P17" s="28">
        <v>8391.7999999999993</v>
      </c>
      <c r="Q17" s="29">
        <v>181.8</v>
      </c>
      <c r="R17" s="27">
        <v>70952.3</v>
      </c>
      <c r="S17" s="27">
        <f t="shared" si="0"/>
        <v>713101.60000000009</v>
      </c>
    </row>
    <row r="18" spans="1:19" s="23" customFormat="1" x14ac:dyDescent="0.25">
      <c r="A18" s="24">
        <v>40422</v>
      </c>
      <c r="B18" s="25">
        <v>266036.5</v>
      </c>
      <c r="C18" s="25">
        <v>134944.70000000001</v>
      </c>
      <c r="D18" s="25">
        <v>87639.60000000002</v>
      </c>
      <c r="E18" s="25"/>
      <c r="F18" s="25"/>
      <c r="G18" s="25"/>
      <c r="H18" s="25">
        <v>1671.4000000000003</v>
      </c>
      <c r="I18" s="25">
        <v>550</v>
      </c>
      <c r="J18" s="26" t="s">
        <v>2</v>
      </c>
      <c r="K18" s="25">
        <v>24892.799999999999</v>
      </c>
      <c r="L18" s="25">
        <v>8200.6</v>
      </c>
      <c r="M18" s="25">
        <v>26983.399999999998</v>
      </c>
      <c r="N18" s="25">
        <v>37379.599999999999</v>
      </c>
      <c r="O18" s="27">
        <v>85756.4</v>
      </c>
      <c r="P18" s="28">
        <v>15328.399999999998</v>
      </c>
      <c r="Q18" s="29">
        <v>965.1</v>
      </c>
      <c r="R18" s="27">
        <v>75870</v>
      </c>
      <c r="S18" s="27">
        <f t="shared" si="0"/>
        <v>766218.5</v>
      </c>
    </row>
    <row r="19" spans="1:19" s="23" customFormat="1" x14ac:dyDescent="0.25">
      <c r="A19" s="24">
        <v>40513</v>
      </c>
      <c r="B19" s="25">
        <v>273222.09999999998</v>
      </c>
      <c r="C19" s="25">
        <v>140294.30000000002</v>
      </c>
      <c r="D19" s="25">
        <v>89591.3</v>
      </c>
      <c r="E19" s="25">
        <v>2849.9</v>
      </c>
      <c r="F19" s="25">
        <v>1812.4</v>
      </c>
      <c r="G19" s="25">
        <v>0</v>
      </c>
      <c r="H19" s="25">
        <v>1128.8</v>
      </c>
      <c r="I19" s="25">
        <v>530</v>
      </c>
      <c r="J19" s="26" t="s">
        <v>2</v>
      </c>
      <c r="K19" s="25">
        <v>30800.699999999997</v>
      </c>
      <c r="L19" s="25">
        <v>5456.4</v>
      </c>
      <c r="M19" s="25">
        <v>27042.2</v>
      </c>
      <c r="N19" s="25">
        <v>50485.599999999991</v>
      </c>
      <c r="O19" s="27">
        <v>97362.8</v>
      </c>
      <c r="P19" s="28">
        <v>22695.399999999998</v>
      </c>
      <c r="Q19" s="29">
        <v>-98.600000000000051</v>
      </c>
      <c r="R19" s="27">
        <v>97373.599999999991</v>
      </c>
      <c r="S19" s="27">
        <f>SUM(B19:R19)</f>
        <v>840546.9</v>
      </c>
    </row>
    <row r="20" spans="1:19" s="23" customFormat="1" x14ac:dyDescent="0.25">
      <c r="A20" s="24">
        <v>40603</v>
      </c>
      <c r="B20" s="30">
        <v>265379.09999999998</v>
      </c>
      <c r="C20" s="30">
        <v>141656.20000000001</v>
      </c>
      <c r="D20" s="30">
        <v>73793.099999999948</v>
      </c>
      <c r="E20" s="30">
        <v>1806.8</v>
      </c>
      <c r="F20" s="30">
        <v>5417.5</v>
      </c>
      <c r="G20" s="30">
        <v>0</v>
      </c>
      <c r="H20" s="30">
        <v>1290.3</v>
      </c>
      <c r="I20" s="30">
        <v>230</v>
      </c>
      <c r="J20" s="30">
        <v>3410.3</v>
      </c>
      <c r="K20" s="30">
        <v>31775.899999999998</v>
      </c>
      <c r="L20" s="30">
        <v>5617.3</v>
      </c>
      <c r="M20" s="30">
        <v>29368</v>
      </c>
      <c r="N20" s="30">
        <v>39002.5</v>
      </c>
      <c r="O20" s="27">
        <v>116593.8</v>
      </c>
      <c r="P20" s="28">
        <v>12874.099999999999</v>
      </c>
      <c r="Q20" s="29">
        <v>2459.6999999999994</v>
      </c>
      <c r="R20" s="27">
        <v>114898.1</v>
      </c>
      <c r="S20" s="27">
        <f t="shared" si="0"/>
        <v>845572.69999999984</v>
      </c>
    </row>
    <row r="21" spans="1:19" s="23" customFormat="1" x14ac:dyDescent="0.25">
      <c r="A21" s="24">
        <v>40695</v>
      </c>
      <c r="B21" s="30">
        <v>272670.90000000002</v>
      </c>
      <c r="C21" s="30">
        <v>153379.6</v>
      </c>
      <c r="D21" s="30">
        <v>77435.999999999985</v>
      </c>
      <c r="E21" s="30">
        <v>1403.7</v>
      </c>
      <c r="F21" s="30">
        <v>4336.3999999999996</v>
      </c>
      <c r="G21" s="30">
        <v>0</v>
      </c>
      <c r="H21" s="30">
        <v>1811.1</v>
      </c>
      <c r="I21" s="30">
        <v>230</v>
      </c>
      <c r="J21" s="30">
        <v>21978.1</v>
      </c>
      <c r="K21" s="30">
        <v>29656.899999999998</v>
      </c>
      <c r="L21" s="30">
        <v>6361.1</v>
      </c>
      <c r="M21" s="30">
        <v>28131.5</v>
      </c>
      <c r="N21" s="30">
        <v>39056.400000000001</v>
      </c>
      <c r="O21" s="27">
        <v>117718.90000000001</v>
      </c>
      <c r="P21" s="28">
        <v>17607.399999999998</v>
      </c>
      <c r="Q21" s="29">
        <v>3184.1000000000026</v>
      </c>
      <c r="R21" s="27">
        <v>97087.6</v>
      </c>
      <c r="S21" s="27">
        <f t="shared" si="0"/>
        <v>872049.70000000007</v>
      </c>
    </row>
    <row r="22" spans="1:19" s="23" customFormat="1" x14ac:dyDescent="0.25">
      <c r="A22" s="24">
        <v>40787</v>
      </c>
      <c r="B22" s="30">
        <v>257023.60000000003</v>
      </c>
      <c r="C22" s="30">
        <v>166744.29999999999</v>
      </c>
      <c r="D22" s="30">
        <v>83235.099999999991</v>
      </c>
      <c r="E22" s="30">
        <v>1358.0000000000002</v>
      </c>
      <c r="F22" s="30">
        <v>4086.4</v>
      </c>
      <c r="G22" s="30">
        <v>0</v>
      </c>
      <c r="H22" s="30">
        <v>1928.8999999999999</v>
      </c>
      <c r="I22" s="30">
        <v>230</v>
      </c>
      <c r="J22" s="30">
        <v>41135.1</v>
      </c>
      <c r="K22" s="30">
        <v>30672.800000000003</v>
      </c>
      <c r="L22" s="30">
        <v>8199.5</v>
      </c>
      <c r="M22" s="30">
        <v>30423.899999999998</v>
      </c>
      <c r="N22" s="30">
        <v>41451.9</v>
      </c>
      <c r="O22" s="27">
        <v>117688.70000000001</v>
      </c>
      <c r="P22" s="28">
        <v>27652.300000000003</v>
      </c>
      <c r="Q22" s="29">
        <v>242.30000000000288</v>
      </c>
      <c r="R22" s="27">
        <v>98128.2</v>
      </c>
      <c r="S22" s="27">
        <f t="shared" si="0"/>
        <v>910201.00000000023</v>
      </c>
    </row>
    <row r="23" spans="1:19" s="23" customFormat="1" x14ac:dyDescent="0.25">
      <c r="A23" s="24">
        <v>40878</v>
      </c>
      <c r="B23" s="30">
        <v>263857.99999999994</v>
      </c>
      <c r="C23" s="30">
        <v>173056.09999999998</v>
      </c>
      <c r="D23" s="30">
        <v>89107.6</v>
      </c>
      <c r="E23" s="30">
        <v>3654.7</v>
      </c>
      <c r="F23" s="30">
        <v>3786.4</v>
      </c>
      <c r="G23" s="30">
        <v>0</v>
      </c>
      <c r="H23" s="30">
        <v>570.1</v>
      </c>
      <c r="I23" s="30">
        <v>230</v>
      </c>
      <c r="J23" s="30">
        <v>23887.599999999999</v>
      </c>
      <c r="K23" s="30">
        <v>32739.100000000006</v>
      </c>
      <c r="L23" s="30">
        <v>6981.7999999999993</v>
      </c>
      <c r="M23" s="30">
        <v>38665.200000000004</v>
      </c>
      <c r="N23" s="30">
        <v>50033.100000000006</v>
      </c>
      <c r="O23" s="27">
        <v>117656.70000000001</v>
      </c>
      <c r="P23" s="28">
        <v>30401</v>
      </c>
      <c r="Q23" s="29">
        <v>563.60000000000093</v>
      </c>
      <c r="R23" s="27">
        <v>101557.2</v>
      </c>
      <c r="S23" s="27">
        <f t="shared" si="0"/>
        <v>936748.19999999984</v>
      </c>
    </row>
    <row r="24" spans="1:19" s="23" customFormat="1" x14ac:dyDescent="0.25">
      <c r="A24" s="24">
        <v>40969</v>
      </c>
      <c r="B24" s="30">
        <v>259706.40000000002</v>
      </c>
      <c r="C24" s="30">
        <v>164708.70000000001</v>
      </c>
      <c r="D24" s="30">
        <v>93403.200000000012</v>
      </c>
      <c r="E24" s="30">
        <v>1646.7</v>
      </c>
      <c r="F24" s="30">
        <v>5864</v>
      </c>
      <c r="G24" s="30">
        <v>0</v>
      </c>
      <c r="H24" s="30">
        <v>717.99999999999989</v>
      </c>
      <c r="I24" s="30">
        <v>230</v>
      </c>
      <c r="J24" s="26">
        <v>31870.5</v>
      </c>
      <c r="K24" s="30">
        <v>55936.899999999994</v>
      </c>
      <c r="L24" s="30">
        <v>10091.099999999999</v>
      </c>
      <c r="M24" s="30">
        <v>27345.300000000003</v>
      </c>
      <c r="N24" s="30">
        <v>62203.799999999996</v>
      </c>
      <c r="O24" s="27">
        <v>134289.1</v>
      </c>
      <c r="P24" s="28">
        <v>7570.6</v>
      </c>
      <c r="Q24" s="29">
        <v>-36.500000000000135</v>
      </c>
      <c r="R24" s="27">
        <v>103463</v>
      </c>
      <c r="S24" s="27">
        <f t="shared" si="0"/>
        <v>959010.8</v>
      </c>
    </row>
    <row r="25" spans="1:19" s="23" customFormat="1" x14ac:dyDescent="0.25">
      <c r="A25" s="24">
        <v>41061</v>
      </c>
      <c r="B25" s="30">
        <v>256612.00000000003</v>
      </c>
      <c r="C25" s="30">
        <v>159523.6</v>
      </c>
      <c r="D25" s="30">
        <v>101943.79999999997</v>
      </c>
      <c r="E25" s="30">
        <v>6724.0999999999985</v>
      </c>
      <c r="F25" s="30">
        <v>11967.6</v>
      </c>
      <c r="G25" s="30">
        <v>72</v>
      </c>
      <c r="H25" s="30">
        <v>1338.3</v>
      </c>
      <c r="I25" s="30">
        <v>730</v>
      </c>
      <c r="J25" s="26">
        <v>60060.100000000006</v>
      </c>
      <c r="K25" s="30">
        <v>31556.400000000001</v>
      </c>
      <c r="L25" s="30">
        <v>7214.2000000000007</v>
      </c>
      <c r="M25" s="30">
        <v>22638.800000000003</v>
      </c>
      <c r="N25" s="30">
        <v>78002.399999999994</v>
      </c>
      <c r="O25" s="27">
        <v>134259.40000000002</v>
      </c>
      <c r="P25" s="28">
        <v>12766.1</v>
      </c>
      <c r="Q25" s="29">
        <v>85.599999999997266</v>
      </c>
      <c r="R25" s="27">
        <v>97022.399999999994</v>
      </c>
      <c r="S25" s="27">
        <f t="shared" si="0"/>
        <v>982516.8</v>
      </c>
    </row>
    <row r="26" spans="1:19" s="23" customFormat="1" x14ac:dyDescent="0.25">
      <c r="A26" s="24">
        <v>41153</v>
      </c>
      <c r="B26" s="30">
        <v>276735.60000000009</v>
      </c>
      <c r="C26" s="30">
        <v>154764.19999999998</v>
      </c>
      <c r="D26" s="30">
        <v>125419.49999999999</v>
      </c>
      <c r="E26" s="30">
        <v>5107.3999999999996</v>
      </c>
      <c r="F26" s="30">
        <v>13347.2</v>
      </c>
      <c r="G26" s="30">
        <v>73.900000000000006</v>
      </c>
      <c r="H26" s="30">
        <v>898.90000000000009</v>
      </c>
      <c r="I26" s="30">
        <v>500</v>
      </c>
      <c r="J26" s="26">
        <v>29462.9</v>
      </c>
      <c r="K26" s="30">
        <v>31357.000000000004</v>
      </c>
      <c r="L26" s="30">
        <v>10100.700000000001</v>
      </c>
      <c r="M26" s="30">
        <v>14680.300000000001</v>
      </c>
      <c r="N26" s="30">
        <v>60492.30000000001</v>
      </c>
      <c r="O26" s="27">
        <v>145422.80000000002</v>
      </c>
      <c r="P26" s="28">
        <v>18133.500000000004</v>
      </c>
      <c r="Q26" s="29">
        <v>-706.49999999999488</v>
      </c>
      <c r="R26" s="27">
        <v>102133.90000000002</v>
      </c>
      <c r="S26" s="27">
        <f t="shared" si="0"/>
        <v>987923.60000000021</v>
      </c>
    </row>
    <row r="27" spans="1:19" s="23" customFormat="1" x14ac:dyDescent="0.25">
      <c r="A27" s="24">
        <v>41244</v>
      </c>
      <c r="B27" s="30">
        <v>293628.7</v>
      </c>
      <c r="C27" s="30">
        <v>175495.9</v>
      </c>
      <c r="D27" s="30">
        <v>125922.79999999999</v>
      </c>
      <c r="E27" s="30">
        <v>7559.4</v>
      </c>
      <c r="F27" s="30">
        <v>17126.100000000002</v>
      </c>
      <c r="G27" s="30">
        <v>170.1</v>
      </c>
      <c r="H27" s="30">
        <v>1801.0000000000002</v>
      </c>
      <c r="I27" s="30">
        <v>430</v>
      </c>
      <c r="J27" s="26" t="s">
        <v>2</v>
      </c>
      <c r="K27" s="30">
        <v>33328.200000000004</v>
      </c>
      <c r="L27" s="30">
        <v>9660.5</v>
      </c>
      <c r="M27" s="30">
        <v>32270.799999999999</v>
      </c>
      <c r="N27" s="30">
        <v>62960.799999999996</v>
      </c>
      <c r="O27" s="27">
        <v>162470.70000000001</v>
      </c>
      <c r="P27" s="28">
        <v>20813.100000000002</v>
      </c>
      <c r="Q27" s="29">
        <v>4114.6000000000004</v>
      </c>
      <c r="R27" s="27">
        <v>96931.400000000009</v>
      </c>
      <c r="S27" s="27">
        <f t="shared" si="0"/>
        <v>1044684.1</v>
      </c>
    </row>
    <row r="28" spans="1:19" s="23" customFormat="1" x14ac:dyDescent="0.25">
      <c r="A28" s="24">
        <v>41334</v>
      </c>
      <c r="B28" s="25">
        <v>297310.70000000007</v>
      </c>
      <c r="C28" s="25">
        <v>182175.3</v>
      </c>
      <c r="D28" s="25">
        <v>137848.39999999997</v>
      </c>
      <c r="E28" s="25">
        <v>11026.3</v>
      </c>
      <c r="F28" s="25">
        <v>15997.7</v>
      </c>
      <c r="G28" s="25">
        <v>168</v>
      </c>
      <c r="H28" s="25">
        <v>1118.7000000000003</v>
      </c>
      <c r="I28" s="25">
        <v>430</v>
      </c>
      <c r="J28" s="26">
        <v>7591.1</v>
      </c>
      <c r="K28" s="25">
        <v>48713.799999999996</v>
      </c>
      <c r="L28" s="25">
        <v>11006.099999999999</v>
      </c>
      <c r="M28" s="25">
        <v>28700.899999999998</v>
      </c>
      <c r="N28" s="25">
        <v>64117.1</v>
      </c>
      <c r="O28" s="27">
        <v>172005</v>
      </c>
      <c r="P28" s="28">
        <v>8212.7000000000007</v>
      </c>
      <c r="Q28" s="29">
        <v>2939.7000000000021</v>
      </c>
      <c r="R28" s="27">
        <v>109756.29999999999</v>
      </c>
      <c r="S28" s="27">
        <f t="shared" si="0"/>
        <v>1099117.7999999998</v>
      </c>
    </row>
    <row r="29" spans="1:19" s="23" customFormat="1" x14ac:dyDescent="0.25">
      <c r="A29" s="24">
        <v>41426</v>
      </c>
      <c r="B29" s="25">
        <v>302894.09999999986</v>
      </c>
      <c r="C29" s="25">
        <v>192693.69999999998</v>
      </c>
      <c r="D29" s="25">
        <v>135016.69999999998</v>
      </c>
      <c r="E29" s="25">
        <v>7689.9000000000005</v>
      </c>
      <c r="F29" s="25">
        <v>12098.2</v>
      </c>
      <c r="G29" s="25">
        <v>164.29999999999998</v>
      </c>
      <c r="H29" s="25">
        <v>1608.3</v>
      </c>
      <c r="I29" s="25">
        <v>1204.8</v>
      </c>
      <c r="J29" s="26" t="s">
        <v>2</v>
      </c>
      <c r="K29" s="25">
        <v>47467.1</v>
      </c>
      <c r="L29" s="25">
        <v>8442.7999999999993</v>
      </c>
      <c r="M29" s="25">
        <v>22174.100000000002</v>
      </c>
      <c r="N29" s="25">
        <v>64026.799999999996</v>
      </c>
      <c r="O29" s="27">
        <v>173133.90000000002</v>
      </c>
      <c r="P29" s="28">
        <v>15155.099999999999</v>
      </c>
      <c r="Q29" s="29">
        <v>-4453.4000000000005</v>
      </c>
      <c r="R29" s="27">
        <v>113979.19999999998</v>
      </c>
      <c r="S29" s="27">
        <f t="shared" ref="S29:S50" si="1">SUM(B29:R29)</f>
        <v>1093295.5999999999</v>
      </c>
    </row>
    <row r="30" spans="1:19" s="23" customFormat="1" x14ac:dyDescent="0.25">
      <c r="A30" s="24">
        <v>41518</v>
      </c>
      <c r="B30" s="25">
        <v>323653.39999999997</v>
      </c>
      <c r="C30" s="25">
        <v>204700</v>
      </c>
      <c r="D30" s="25">
        <v>132655.39999999997</v>
      </c>
      <c r="E30" s="25">
        <v>7023.2</v>
      </c>
      <c r="F30" s="25">
        <v>8873.7999999999993</v>
      </c>
      <c r="G30" s="25">
        <v>251.89999999999998</v>
      </c>
      <c r="H30" s="25">
        <v>1411.8</v>
      </c>
      <c r="I30" s="25">
        <v>200</v>
      </c>
      <c r="J30" s="26" t="s">
        <v>2</v>
      </c>
      <c r="K30" s="25">
        <v>46894</v>
      </c>
      <c r="L30" s="25">
        <v>8065.6</v>
      </c>
      <c r="M30" s="25">
        <v>23839.200000000001</v>
      </c>
      <c r="N30" s="25">
        <v>97072.7</v>
      </c>
      <c r="O30" s="27">
        <v>173085.40000000002</v>
      </c>
      <c r="P30" s="28">
        <v>20594.5</v>
      </c>
      <c r="Q30" s="29">
        <v>-33.20000000000018</v>
      </c>
      <c r="R30" s="27">
        <v>135024.29999999999</v>
      </c>
      <c r="S30" s="27">
        <f t="shared" si="1"/>
        <v>1183311.9999999998</v>
      </c>
    </row>
    <row r="31" spans="1:19" s="23" customFormat="1" x14ac:dyDescent="0.25">
      <c r="A31" s="24">
        <v>41609</v>
      </c>
      <c r="B31" s="25">
        <v>335552.69999999995</v>
      </c>
      <c r="C31" s="25">
        <v>211763.9</v>
      </c>
      <c r="D31" s="25">
        <v>134315.39999999997</v>
      </c>
      <c r="E31" s="25">
        <v>9698.1999999999989</v>
      </c>
      <c r="F31" s="25">
        <v>11803.2</v>
      </c>
      <c r="G31" s="25">
        <v>246.1</v>
      </c>
      <c r="H31" s="25">
        <v>1446.5</v>
      </c>
      <c r="I31" s="25">
        <v>430</v>
      </c>
      <c r="J31" s="26" t="s">
        <v>2</v>
      </c>
      <c r="K31" s="25">
        <v>50992.200000000004</v>
      </c>
      <c r="L31" s="25">
        <v>9056.5</v>
      </c>
      <c r="M31" s="25">
        <v>22059.600000000002</v>
      </c>
      <c r="N31" s="25">
        <v>89787.400000000009</v>
      </c>
      <c r="O31" s="27">
        <v>185759.6</v>
      </c>
      <c r="P31" s="28">
        <v>21766.899999999998</v>
      </c>
      <c r="Q31" s="29">
        <v>-198.70000000000019</v>
      </c>
      <c r="R31" s="27">
        <v>133537.29999999999</v>
      </c>
      <c r="S31" s="27">
        <f t="shared" si="1"/>
        <v>1218016.7999999998</v>
      </c>
    </row>
    <row r="32" spans="1:19" s="23" customFormat="1" x14ac:dyDescent="0.25">
      <c r="A32" s="24">
        <v>41699</v>
      </c>
      <c r="B32" s="31">
        <v>327186.89999999997</v>
      </c>
      <c r="C32" s="31">
        <v>230375.10000000003</v>
      </c>
      <c r="D32" s="31">
        <v>149215.09999999989</v>
      </c>
      <c r="E32" s="31">
        <v>7228.7999999999993</v>
      </c>
      <c r="F32" s="31">
        <v>12602.2</v>
      </c>
      <c r="G32" s="31">
        <v>299.7</v>
      </c>
      <c r="H32" s="25">
        <v>1164.5999999999999</v>
      </c>
      <c r="I32" s="25">
        <v>430</v>
      </c>
      <c r="J32" s="25" t="s">
        <v>2</v>
      </c>
      <c r="K32" s="31">
        <v>44396.2</v>
      </c>
      <c r="L32" s="25">
        <v>7987.7</v>
      </c>
      <c r="M32" s="25">
        <v>28923.399999999998</v>
      </c>
      <c r="N32" s="25">
        <v>100768.70000000001</v>
      </c>
      <c r="O32" s="32">
        <v>189667.8</v>
      </c>
      <c r="P32" s="28">
        <v>16072.599999999999</v>
      </c>
      <c r="Q32" s="33">
        <v>-3172.1999999999994</v>
      </c>
      <c r="R32" s="32">
        <v>131176.70000000001</v>
      </c>
      <c r="S32" s="27">
        <f t="shared" si="1"/>
        <v>1244323.2999999998</v>
      </c>
    </row>
    <row r="33" spans="1:19" s="23" customFormat="1" x14ac:dyDescent="0.25">
      <c r="A33" s="24">
        <v>41791</v>
      </c>
      <c r="B33" s="31">
        <v>352182.9</v>
      </c>
      <c r="C33" s="31">
        <v>232053.8</v>
      </c>
      <c r="D33" s="31">
        <v>145441.80000000002</v>
      </c>
      <c r="E33" s="31">
        <v>11827.5</v>
      </c>
      <c r="F33" s="31">
        <v>10918.8</v>
      </c>
      <c r="G33" s="31">
        <v>0</v>
      </c>
      <c r="H33" s="25">
        <v>1983.8</v>
      </c>
      <c r="I33" s="25">
        <v>250</v>
      </c>
      <c r="J33" s="25" t="s">
        <v>2</v>
      </c>
      <c r="K33" s="31">
        <v>46972.9</v>
      </c>
      <c r="L33" s="25">
        <v>8690.2999999999993</v>
      </c>
      <c r="M33" s="25">
        <v>19697.099999999999</v>
      </c>
      <c r="N33" s="25">
        <v>102707.09999999999</v>
      </c>
      <c r="O33" s="32">
        <v>193171.39999999997</v>
      </c>
      <c r="P33" s="28">
        <v>16946.699999999997</v>
      </c>
      <c r="Q33" s="33">
        <v>-3933.8000000000015</v>
      </c>
      <c r="R33" s="32">
        <v>143366.29999999999</v>
      </c>
      <c r="S33" s="27">
        <f t="shared" si="1"/>
        <v>1282276.6000000001</v>
      </c>
    </row>
    <row r="34" spans="1:19" s="23" customFormat="1" x14ac:dyDescent="0.25">
      <c r="A34" s="24">
        <v>41883</v>
      </c>
      <c r="B34" s="31">
        <v>340745.7</v>
      </c>
      <c r="C34" s="31">
        <v>225034.69999999998</v>
      </c>
      <c r="D34" s="31">
        <v>148158.49999999988</v>
      </c>
      <c r="E34" s="31">
        <v>8632.8000000000011</v>
      </c>
      <c r="F34" s="31">
        <v>11457.199999999999</v>
      </c>
      <c r="G34" s="31">
        <v>0</v>
      </c>
      <c r="H34" s="25">
        <v>2127.3000000000002</v>
      </c>
      <c r="I34" s="25">
        <v>230</v>
      </c>
      <c r="J34" s="25" t="s">
        <v>2</v>
      </c>
      <c r="K34" s="31">
        <v>52172.800000000003</v>
      </c>
      <c r="L34" s="25">
        <v>9825.5</v>
      </c>
      <c r="M34" s="25">
        <v>14050.2</v>
      </c>
      <c r="N34" s="25">
        <v>123900.5</v>
      </c>
      <c r="O34" s="32">
        <v>193246.40000000002</v>
      </c>
      <c r="P34" s="28">
        <v>23804.1</v>
      </c>
      <c r="Q34" s="33">
        <v>-6415.5000000000018</v>
      </c>
      <c r="R34" s="32">
        <v>163481.60000000001</v>
      </c>
      <c r="S34" s="27">
        <f t="shared" si="1"/>
        <v>1310451.8000000003</v>
      </c>
    </row>
    <row r="35" spans="1:19" s="23" customFormat="1" x14ac:dyDescent="0.25">
      <c r="A35" s="24">
        <v>41974</v>
      </c>
      <c r="B35" s="31">
        <v>384656.60000000003</v>
      </c>
      <c r="C35" s="31">
        <v>227786.60000000003</v>
      </c>
      <c r="D35" s="31">
        <v>163209.70000000004</v>
      </c>
      <c r="E35" s="31">
        <v>15905.7</v>
      </c>
      <c r="F35" s="31">
        <v>12998.199999999999</v>
      </c>
      <c r="G35" s="31">
        <v>0</v>
      </c>
      <c r="H35" s="25">
        <v>1669.5</v>
      </c>
      <c r="I35" s="25">
        <v>230</v>
      </c>
      <c r="J35" s="25" t="s">
        <v>2</v>
      </c>
      <c r="K35" s="31">
        <v>48639.1</v>
      </c>
      <c r="L35" s="25">
        <v>9410.5</v>
      </c>
      <c r="M35" s="25">
        <v>17620.400000000001</v>
      </c>
      <c r="N35" s="25">
        <v>147751.79999999999</v>
      </c>
      <c r="O35" s="32">
        <v>205273.59999999995</v>
      </c>
      <c r="P35" s="28">
        <v>25746.6</v>
      </c>
      <c r="Q35" s="33">
        <v>-2380.1999999999975</v>
      </c>
      <c r="R35" s="32">
        <v>142120.29999999999</v>
      </c>
      <c r="S35" s="27">
        <f t="shared" si="1"/>
        <v>1400638.4000000001</v>
      </c>
    </row>
    <row r="36" spans="1:19" s="23" customFormat="1" x14ac:dyDescent="0.25">
      <c r="A36" s="24">
        <v>42064</v>
      </c>
      <c r="B36" s="31">
        <v>344444.1</v>
      </c>
      <c r="C36" s="31">
        <v>238986.80000000005</v>
      </c>
      <c r="D36" s="34">
        <v>148154.4</v>
      </c>
      <c r="E36" s="34">
        <v>11731.800000000001</v>
      </c>
      <c r="F36" s="34">
        <v>8849.7999999999993</v>
      </c>
      <c r="G36" s="34" t="s">
        <v>2</v>
      </c>
      <c r="H36" s="25">
        <v>1196</v>
      </c>
      <c r="I36" s="25">
        <v>1133.5999999999999</v>
      </c>
      <c r="J36" s="25">
        <v>1123.2</v>
      </c>
      <c r="K36" s="31">
        <v>52869.700000000004</v>
      </c>
      <c r="L36" s="25">
        <v>10155.5</v>
      </c>
      <c r="M36" s="25">
        <v>14779.000000000002</v>
      </c>
      <c r="N36" s="25">
        <v>146198.79999999999</v>
      </c>
      <c r="O36" s="32">
        <v>215597.59999999998</v>
      </c>
      <c r="P36" s="28">
        <v>11497.699999999999</v>
      </c>
      <c r="Q36" s="33">
        <v>-4355.6000000000022</v>
      </c>
      <c r="R36" s="34">
        <v>156675.29999999999</v>
      </c>
      <c r="S36" s="27">
        <f t="shared" si="1"/>
        <v>1359037.6999999997</v>
      </c>
    </row>
    <row r="37" spans="1:19" s="23" customFormat="1" x14ac:dyDescent="0.25">
      <c r="A37" s="24">
        <v>42156</v>
      </c>
      <c r="B37" s="31">
        <v>359911.1999999999</v>
      </c>
      <c r="C37" s="31">
        <v>242095.29999999993</v>
      </c>
      <c r="D37" s="34">
        <v>135754.29999999996</v>
      </c>
      <c r="E37" s="34">
        <v>11068.599999999999</v>
      </c>
      <c r="F37" s="34">
        <v>14518.000000000002</v>
      </c>
      <c r="G37" s="34" t="s">
        <v>2</v>
      </c>
      <c r="H37" s="25">
        <v>4973.3000000000011</v>
      </c>
      <c r="I37" s="25">
        <v>2203.8000000000002</v>
      </c>
      <c r="J37" s="25">
        <v>20000</v>
      </c>
      <c r="K37" s="31">
        <v>43348.600000000006</v>
      </c>
      <c r="L37" s="25">
        <v>10359.799999999999</v>
      </c>
      <c r="M37" s="25">
        <v>13963.300000000001</v>
      </c>
      <c r="N37" s="25">
        <v>139562.5</v>
      </c>
      <c r="O37" s="32">
        <v>215514.19999999998</v>
      </c>
      <c r="P37" s="28">
        <v>19632</v>
      </c>
      <c r="Q37" s="33">
        <v>-8004.4000000000015</v>
      </c>
      <c r="R37" s="34">
        <v>158401.5</v>
      </c>
      <c r="S37" s="27">
        <f t="shared" si="1"/>
        <v>1383302</v>
      </c>
    </row>
    <row r="38" spans="1:19" s="23" customFormat="1" x14ac:dyDescent="0.25">
      <c r="A38" s="24">
        <v>42248</v>
      </c>
      <c r="B38" s="31">
        <v>381816.7</v>
      </c>
      <c r="C38" s="31">
        <v>243192.9</v>
      </c>
      <c r="D38" s="34">
        <v>140973.39999999991</v>
      </c>
      <c r="E38" s="34">
        <v>10390.800000000001</v>
      </c>
      <c r="F38" s="34">
        <v>15110.100000000002</v>
      </c>
      <c r="G38" s="34" t="s">
        <v>2</v>
      </c>
      <c r="H38" s="25">
        <v>4632.1000000000004</v>
      </c>
      <c r="I38" s="25">
        <v>2466.6999999999998</v>
      </c>
      <c r="J38" s="25">
        <v>5849.9</v>
      </c>
      <c r="K38" s="31">
        <v>38020.800000000003</v>
      </c>
      <c r="L38" s="25">
        <v>10291.799999999999</v>
      </c>
      <c r="M38" s="25">
        <v>8875.3000000000011</v>
      </c>
      <c r="N38" s="25">
        <v>135266.6</v>
      </c>
      <c r="O38" s="32">
        <v>215438.7</v>
      </c>
      <c r="P38" s="28">
        <v>26685.299999999996</v>
      </c>
      <c r="Q38" s="33">
        <v>-7733.7000000000016</v>
      </c>
      <c r="R38" s="34">
        <v>168768.2</v>
      </c>
      <c r="S38" s="27">
        <f t="shared" si="1"/>
        <v>1400045.6</v>
      </c>
    </row>
    <row r="39" spans="1:19" s="23" customFormat="1" x14ac:dyDescent="0.25">
      <c r="A39" s="24">
        <v>42339</v>
      </c>
      <c r="B39" s="31">
        <v>383820.99999999994</v>
      </c>
      <c r="C39" s="31">
        <v>244640.30000000008</v>
      </c>
      <c r="D39" s="34">
        <v>135171.70000000001</v>
      </c>
      <c r="E39" s="34">
        <v>22882.2</v>
      </c>
      <c r="F39" s="34">
        <v>27827.9</v>
      </c>
      <c r="G39" s="34">
        <v>1256.3</v>
      </c>
      <c r="H39" s="25">
        <v>5303.8</v>
      </c>
      <c r="I39" s="25">
        <v>8529.9000000000015</v>
      </c>
      <c r="J39" s="25">
        <v>19805</v>
      </c>
      <c r="K39" s="31">
        <v>54292.999999999993</v>
      </c>
      <c r="L39" s="25">
        <v>8972.2999999999993</v>
      </c>
      <c r="M39" s="25">
        <v>6801.5</v>
      </c>
      <c r="N39" s="25">
        <v>149973.5</v>
      </c>
      <c r="O39" s="32">
        <v>222014.39999999997</v>
      </c>
      <c r="P39" s="28">
        <v>15971.3</v>
      </c>
      <c r="Q39" s="33">
        <v>-5932.1999999999989</v>
      </c>
      <c r="R39" s="34">
        <v>154248.5</v>
      </c>
      <c r="S39" s="27">
        <f t="shared" si="1"/>
        <v>1455580.4000000001</v>
      </c>
    </row>
    <row r="40" spans="1:19" s="23" customFormat="1" x14ac:dyDescent="0.25">
      <c r="A40" s="24">
        <v>42430</v>
      </c>
      <c r="B40" s="31">
        <v>378921</v>
      </c>
      <c r="C40" s="31">
        <v>246210.99999999994</v>
      </c>
      <c r="D40" s="34">
        <v>118395.09999999998</v>
      </c>
      <c r="E40" s="34">
        <v>17631.5</v>
      </c>
      <c r="F40" s="34">
        <v>29819</v>
      </c>
      <c r="G40" s="34">
        <v>1303.6000000000001</v>
      </c>
      <c r="H40" s="25">
        <v>5382</v>
      </c>
      <c r="I40" s="25">
        <v>8565.2000000000007</v>
      </c>
      <c r="J40" s="25">
        <v>71864.5</v>
      </c>
      <c r="K40" s="31">
        <v>56605</v>
      </c>
      <c r="L40" s="25">
        <v>9451.0000000000018</v>
      </c>
      <c r="M40" s="25">
        <v>7517.2</v>
      </c>
      <c r="N40" s="25">
        <v>148879.5</v>
      </c>
      <c r="O40" s="27">
        <v>222189.39999999997</v>
      </c>
      <c r="P40" s="28">
        <v>11870.400000000001</v>
      </c>
      <c r="Q40" s="33">
        <v>-6615.1000000000049</v>
      </c>
      <c r="R40" s="34">
        <v>159337.79999999999</v>
      </c>
      <c r="S40" s="27">
        <f t="shared" si="1"/>
        <v>1487328.0999999996</v>
      </c>
    </row>
    <row r="41" spans="1:19" s="23" customFormat="1" x14ac:dyDescent="0.25">
      <c r="A41" s="24">
        <v>42522</v>
      </c>
      <c r="B41" s="31">
        <v>380921</v>
      </c>
      <c r="C41" s="31">
        <v>248133.3</v>
      </c>
      <c r="D41" s="34">
        <v>113952.7</v>
      </c>
      <c r="E41" s="34">
        <v>34010.699999999997</v>
      </c>
      <c r="F41" s="34">
        <v>21476.999999999996</v>
      </c>
      <c r="G41" s="34">
        <v>1446.4000000000003</v>
      </c>
      <c r="H41" s="25">
        <v>1924.6000000000001</v>
      </c>
      <c r="I41" s="25">
        <v>8610.4</v>
      </c>
      <c r="J41" s="25">
        <v>101025.7</v>
      </c>
      <c r="K41" s="31">
        <v>47685.400000000009</v>
      </c>
      <c r="L41" s="25">
        <v>17003.600000000002</v>
      </c>
      <c r="M41" s="25">
        <v>2654.6</v>
      </c>
      <c r="N41" s="25">
        <v>143107</v>
      </c>
      <c r="O41" s="27">
        <v>224810.5</v>
      </c>
      <c r="P41" s="28">
        <v>17493.3</v>
      </c>
      <c r="Q41" s="33">
        <v>-6318.3999999999915</v>
      </c>
      <c r="R41" s="34">
        <v>181984.3</v>
      </c>
      <c r="S41" s="27">
        <f t="shared" si="1"/>
        <v>1539922.1</v>
      </c>
    </row>
    <row r="42" spans="1:19" s="23" customFormat="1" x14ac:dyDescent="0.25">
      <c r="A42" s="24">
        <v>42614</v>
      </c>
      <c r="B42" s="31">
        <v>424362.8</v>
      </c>
      <c r="C42" s="31">
        <v>242880</v>
      </c>
      <c r="D42" s="34">
        <v>107043.7</v>
      </c>
      <c r="E42" s="34">
        <v>15867.100000000002</v>
      </c>
      <c r="F42" s="34">
        <v>18024.399999999998</v>
      </c>
      <c r="G42" s="34">
        <v>984.5</v>
      </c>
      <c r="H42" s="25">
        <v>3677.6000000000004</v>
      </c>
      <c r="I42" s="25">
        <v>9113.9</v>
      </c>
      <c r="J42" s="25">
        <v>118763.79999999999</v>
      </c>
      <c r="K42" s="31">
        <v>51358.6</v>
      </c>
      <c r="L42" s="25">
        <v>13416.9</v>
      </c>
      <c r="M42" s="25">
        <v>934</v>
      </c>
      <c r="N42" s="25">
        <v>139965.09999999998</v>
      </c>
      <c r="O42" s="27">
        <v>224794.99999999997</v>
      </c>
      <c r="P42" s="28">
        <v>21976.800000000003</v>
      </c>
      <c r="Q42" s="33">
        <v>-905.90000000000089</v>
      </c>
      <c r="R42" s="34">
        <v>187480</v>
      </c>
      <c r="S42" s="27">
        <f t="shared" si="1"/>
        <v>1579738.3</v>
      </c>
    </row>
    <row r="43" spans="1:19" s="23" customFormat="1" x14ac:dyDescent="0.25">
      <c r="A43" s="24">
        <v>42705</v>
      </c>
      <c r="B43" s="31">
        <v>473463.40000000014</v>
      </c>
      <c r="C43" s="31">
        <v>235254.40000000002</v>
      </c>
      <c r="D43" s="34">
        <v>93961.800000000017</v>
      </c>
      <c r="E43" s="34">
        <v>24043.8</v>
      </c>
      <c r="F43" s="34">
        <v>20378.800000000003</v>
      </c>
      <c r="G43" s="34">
        <v>985.80000000000007</v>
      </c>
      <c r="H43" s="25">
        <v>2909.7000000000003</v>
      </c>
      <c r="I43" s="25">
        <v>8653</v>
      </c>
      <c r="J43" s="25">
        <v>87064.099999999991</v>
      </c>
      <c r="K43" s="31">
        <v>58899.3</v>
      </c>
      <c r="L43" s="25">
        <v>16378.7</v>
      </c>
      <c r="M43" s="25">
        <v>973.70000000000016</v>
      </c>
      <c r="N43" s="25">
        <v>139935.4</v>
      </c>
      <c r="O43" s="27">
        <v>224498.3</v>
      </c>
      <c r="P43" s="28">
        <v>26055.199999999993</v>
      </c>
      <c r="Q43" s="33">
        <v>-829.10000000000616</v>
      </c>
      <c r="R43" s="34">
        <v>194069.49999999994</v>
      </c>
      <c r="S43" s="27">
        <f t="shared" si="1"/>
        <v>1606695.8</v>
      </c>
    </row>
    <row r="44" spans="1:19" s="23" customFormat="1" x14ac:dyDescent="0.25">
      <c r="A44" s="24">
        <v>42795</v>
      </c>
      <c r="B44" s="31">
        <v>516686.20000000007</v>
      </c>
      <c r="C44" s="31">
        <v>253722.5</v>
      </c>
      <c r="D44" s="34">
        <v>97050.9</v>
      </c>
      <c r="E44" s="34">
        <v>23270.600000000002</v>
      </c>
      <c r="F44" s="34">
        <v>19964.5</v>
      </c>
      <c r="G44" s="34">
        <v>824.19999999999993</v>
      </c>
      <c r="H44" s="25">
        <v>4699.3</v>
      </c>
      <c r="I44" s="25">
        <v>8556.9</v>
      </c>
      <c r="J44" s="25">
        <v>87865.1</v>
      </c>
      <c r="K44" s="31">
        <v>65740.799999999988</v>
      </c>
      <c r="L44" s="25">
        <v>13207.499999999998</v>
      </c>
      <c r="M44" s="25">
        <v>1005.3000000000001</v>
      </c>
      <c r="N44" s="25">
        <v>150057.70000000001</v>
      </c>
      <c r="O44" s="27">
        <v>229646.59999999998</v>
      </c>
      <c r="P44" s="28">
        <v>19404.099999999999</v>
      </c>
      <c r="Q44" s="33">
        <v>-652.9</v>
      </c>
      <c r="R44" s="34">
        <v>124308.99999999999</v>
      </c>
      <c r="S44" s="27">
        <f t="shared" si="1"/>
        <v>1615358.3000000003</v>
      </c>
    </row>
    <row r="45" spans="1:19" s="23" customFormat="1" x14ac:dyDescent="0.25">
      <c r="A45" s="24">
        <v>42887</v>
      </c>
      <c r="B45" s="31">
        <v>539270.40000000002</v>
      </c>
      <c r="C45" s="31">
        <v>255875.8</v>
      </c>
      <c r="D45" s="34">
        <v>103650.3</v>
      </c>
      <c r="E45" s="34">
        <v>103085.3</v>
      </c>
      <c r="F45" s="34">
        <v>23391</v>
      </c>
      <c r="G45" s="34">
        <v>744.2</v>
      </c>
      <c r="H45" s="25">
        <v>4639.5</v>
      </c>
      <c r="I45" s="25">
        <v>6586</v>
      </c>
      <c r="J45" s="25">
        <v>75531.600000000006</v>
      </c>
      <c r="K45" s="31">
        <v>55593.1</v>
      </c>
      <c r="L45" s="25">
        <v>13076.1</v>
      </c>
      <c r="M45" s="25">
        <v>992.7</v>
      </c>
      <c r="N45" s="25">
        <v>166549</v>
      </c>
      <c r="O45" s="27">
        <v>229730</v>
      </c>
      <c r="P45" s="28">
        <v>31643.4</v>
      </c>
      <c r="Q45" s="33">
        <v>5523.2999999999975</v>
      </c>
      <c r="R45" s="34">
        <v>137420.40000000002</v>
      </c>
      <c r="S45" s="27">
        <f t="shared" si="1"/>
        <v>1753302.1</v>
      </c>
    </row>
    <row r="46" spans="1:19" s="23" customFormat="1" x14ac:dyDescent="0.25">
      <c r="A46" s="24">
        <v>42979</v>
      </c>
      <c r="B46" s="31">
        <v>581848.60000000009</v>
      </c>
      <c r="C46" s="31">
        <v>264591.2</v>
      </c>
      <c r="D46" s="34">
        <v>101009.90000000001</v>
      </c>
      <c r="E46" s="34">
        <v>23710</v>
      </c>
      <c r="F46" s="34">
        <v>29580.2</v>
      </c>
      <c r="G46" s="34">
        <v>819.9</v>
      </c>
      <c r="H46" s="25">
        <v>3154.4</v>
      </c>
      <c r="I46" s="25">
        <v>8703.6</v>
      </c>
      <c r="J46" s="25">
        <v>123220.7</v>
      </c>
      <c r="K46" s="31">
        <v>49725.1</v>
      </c>
      <c r="L46" s="25">
        <v>13260.6</v>
      </c>
      <c r="M46" s="25">
        <v>1009.7</v>
      </c>
      <c r="N46" s="25">
        <v>184125.7</v>
      </c>
      <c r="O46" s="27">
        <v>230902.9</v>
      </c>
      <c r="P46" s="28">
        <v>44365</v>
      </c>
      <c r="Q46" s="33">
        <v>-1403.2999999999993</v>
      </c>
      <c r="R46" s="34">
        <v>147178.40000000002</v>
      </c>
      <c r="S46" s="27">
        <f t="shared" si="1"/>
        <v>1805802.6</v>
      </c>
    </row>
    <row r="47" spans="1:19" s="23" customFormat="1" x14ac:dyDescent="0.25">
      <c r="A47" s="24">
        <v>43070</v>
      </c>
      <c r="B47" s="31">
        <v>606474.10000000009</v>
      </c>
      <c r="C47" s="31">
        <v>283463</v>
      </c>
      <c r="D47" s="34">
        <v>119675</v>
      </c>
      <c r="E47" s="34">
        <v>31975.600000000002</v>
      </c>
      <c r="F47" s="34">
        <v>34803.1</v>
      </c>
      <c r="G47" s="34">
        <v>923.6</v>
      </c>
      <c r="H47" s="25">
        <v>4126.2</v>
      </c>
      <c r="I47" s="25">
        <v>8711.4</v>
      </c>
      <c r="J47" s="25">
        <v>160080.29999999999</v>
      </c>
      <c r="K47" s="31">
        <v>66829.5</v>
      </c>
      <c r="L47" s="25">
        <v>19650.5</v>
      </c>
      <c r="M47" s="25">
        <v>782.6</v>
      </c>
      <c r="N47" s="25">
        <v>156052.6</v>
      </c>
      <c r="O47" s="27">
        <v>230717.9</v>
      </c>
      <c r="P47" s="28">
        <v>47407.8</v>
      </c>
      <c r="Q47" s="33">
        <v>-712.40000000000043</v>
      </c>
      <c r="R47" s="34">
        <v>151517.5</v>
      </c>
      <c r="S47" s="27">
        <f t="shared" si="1"/>
        <v>1922478.3000000003</v>
      </c>
    </row>
    <row r="48" spans="1:19" s="23" customFormat="1" x14ac:dyDescent="0.25">
      <c r="A48" s="38">
        <v>43190</v>
      </c>
      <c r="B48" s="39">
        <v>628352.9</v>
      </c>
      <c r="C48" s="39">
        <v>299742.40000000002</v>
      </c>
      <c r="D48" s="40">
        <v>135071.70000000001</v>
      </c>
      <c r="E48" s="40">
        <v>40168.600000000006</v>
      </c>
      <c r="F48" s="40">
        <v>34318</v>
      </c>
      <c r="G48" s="40">
        <v>687.3</v>
      </c>
      <c r="H48" s="41">
        <v>2878.2</v>
      </c>
      <c r="I48" s="41">
        <v>8758.7999999999993</v>
      </c>
      <c r="J48" s="41">
        <v>182298.8</v>
      </c>
      <c r="K48" s="39">
        <v>66329.200000000012</v>
      </c>
      <c r="L48" s="41">
        <v>22087.8</v>
      </c>
      <c r="M48" s="41">
        <v>743.8</v>
      </c>
      <c r="N48" s="41">
        <v>158712.29999999999</v>
      </c>
      <c r="O48" s="42">
        <v>242144.9</v>
      </c>
      <c r="P48" s="43">
        <v>34920.199999999997</v>
      </c>
      <c r="Q48" s="44">
        <v>-635.00000000000034</v>
      </c>
      <c r="R48" s="40">
        <v>158037.69999999998</v>
      </c>
      <c r="S48" s="27">
        <f t="shared" si="1"/>
        <v>2014617.6000000001</v>
      </c>
    </row>
    <row r="49" spans="1:19" s="23" customFormat="1" x14ac:dyDescent="0.25">
      <c r="A49" s="57">
        <v>43281</v>
      </c>
      <c r="B49" s="39">
        <v>658927.20000000007</v>
      </c>
      <c r="C49" s="39">
        <v>314557.7</v>
      </c>
      <c r="D49" s="40">
        <v>125554.8</v>
      </c>
      <c r="E49" s="40">
        <v>25170.600000000002</v>
      </c>
      <c r="F49" s="40">
        <v>39256.699999999997</v>
      </c>
      <c r="G49" s="40">
        <v>558.4</v>
      </c>
      <c r="H49" s="41">
        <v>3577.9</v>
      </c>
      <c r="I49" s="41">
        <v>8806</v>
      </c>
      <c r="J49" s="41">
        <v>286106</v>
      </c>
      <c r="K49" s="39">
        <v>57002.500000000007</v>
      </c>
      <c r="L49" s="41">
        <v>18952.900000000001</v>
      </c>
      <c r="M49" s="41">
        <v>1095.5</v>
      </c>
      <c r="N49" s="41">
        <v>198291.5</v>
      </c>
      <c r="O49" s="42">
        <v>243166</v>
      </c>
      <c r="P49" s="43">
        <v>46697.1</v>
      </c>
      <c r="Q49" s="44">
        <v>-1260.4000000000005</v>
      </c>
      <c r="R49" s="40">
        <v>143599.6</v>
      </c>
      <c r="S49" s="27">
        <f t="shared" si="1"/>
        <v>2170060</v>
      </c>
    </row>
    <row r="50" spans="1:19" s="23" customFormat="1" x14ac:dyDescent="0.25">
      <c r="A50" s="57">
        <v>43344</v>
      </c>
      <c r="B50" s="39">
        <v>696640.4</v>
      </c>
      <c r="C50" s="39">
        <v>344819.5</v>
      </c>
      <c r="D50" s="40">
        <v>135918.9</v>
      </c>
      <c r="E50" s="40">
        <v>25494</v>
      </c>
      <c r="F50" s="40">
        <v>37564.9</v>
      </c>
      <c r="G50" s="40">
        <v>758.3</v>
      </c>
      <c r="H50" s="41">
        <v>3837.5</v>
      </c>
      <c r="I50" s="41">
        <v>5368.6</v>
      </c>
      <c r="J50" s="41">
        <v>282564.09999999998</v>
      </c>
      <c r="K50" s="39">
        <v>58434</v>
      </c>
      <c r="L50" s="41">
        <v>21296.1</v>
      </c>
      <c r="M50" s="41">
        <v>8534.5</v>
      </c>
      <c r="N50" s="41">
        <v>176524.4</v>
      </c>
      <c r="O50" s="42">
        <v>243012.2</v>
      </c>
      <c r="P50" s="43">
        <v>66650.5</v>
      </c>
      <c r="Q50" s="44">
        <v>-996.30000000000018</v>
      </c>
      <c r="R50" s="40">
        <v>157429.70000000001</v>
      </c>
      <c r="S50" s="27">
        <f t="shared" si="1"/>
        <v>2263851.3000000007</v>
      </c>
    </row>
    <row r="51" spans="1:19" s="23" customFormat="1" x14ac:dyDescent="0.25">
      <c r="A51" s="57">
        <v>43465</v>
      </c>
      <c r="B51" s="39">
        <v>768239.6</v>
      </c>
      <c r="C51" s="39">
        <v>346751.4</v>
      </c>
      <c r="D51" s="40">
        <v>141412.09999999998</v>
      </c>
      <c r="E51" s="40">
        <v>36886.5</v>
      </c>
      <c r="F51" s="40">
        <v>35997.4</v>
      </c>
      <c r="G51" s="40">
        <v>1023.4</v>
      </c>
      <c r="H51" s="41">
        <v>3637.7999999999993</v>
      </c>
      <c r="I51" s="41">
        <v>4437.6000000000004</v>
      </c>
      <c r="J51" s="41">
        <v>249568.7</v>
      </c>
      <c r="K51" s="39">
        <v>72439.7</v>
      </c>
      <c r="L51" s="41">
        <v>20202.199999999997</v>
      </c>
      <c r="M51" s="41">
        <v>960.2</v>
      </c>
      <c r="N51" s="41">
        <v>182222.7</v>
      </c>
      <c r="O51" s="42">
        <v>244861.3</v>
      </c>
      <c r="P51" s="43">
        <v>72531.399999999994</v>
      </c>
      <c r="Q51" s="44">
        <v>-1427.4999999999998</v>
      </c>
      <c r="R51" s="40">
        <v>130520.1</v>
      </c>
      <c r="S51" s="27">
        <f t="shared" ref="S51" si="2">SUM(B51:R51)</f>
        <v>2310264.5999999996</v>
      </c>
    </row>
    <row r="52" spans="1:19" s="23" customFormat="1" x14ac:dyDescent="0.25">
      <c r="A52" s="57">
        <v>43555</v>
      </c>
      <c r="B52" s="39">
        <f>830900.1+18699.4</f>
        <v>849599.5</v>
      </c>
      <c r="C52" s="39">
        <v>360524.2</v>
      </c>
      <c r="D52" s="40">
        <f>121032.6+26391</f>
        <v>147423.6</v>
      </c>
      <c r="E52" s="40">
        <f>42170+58.4</f>
        <v>42228.4</v>
      </c>
      <c r="F52" s="40">
        <v>41693.4</v>
      </c>
      <c r="G52" s="40">
        <v>773.2</v>
      </c>
      <c r="H52" s="41">
        <v>5116.8</v>
      </c>
      <c r="I52" s="41">
        <v>4523.8</v>
      </c>
      <c r="J52" s="41">
        <v>287105</v>
      </c>
      <c r="K52" s="39">
        <f>35733.8+11845.2+39025.9</f>
        <v>86604.9</v>
      </c>
      <c r="L52" s="41">
        <v>22691.9</v>
      </c>
      <c r="M52" s="41">
        <f>21.5+786.3</f>
        <v>807.8</v>
      </c>
      <c r="N52" s="41">
        <v>196903.4</v>
      </c>
      <c r="O52" s="42">
        <v>269775.5</v>
      </c>
      <c r="P52" s="43">
        <v>48614</v>
      </c>
      <c r="Q52" s="44">
        <v>3258.5</v>
      </c>
      <c r="R52" s="40">
        <f>71880.5+89003.8+3129.1-18699.4-11845.2</f>
        <v>133468.79999999999</v>
      </c>
      <c r="S52" s="27">
        <f t="shared" ref="S52" si="3">SUM(B52:R52)</f>
        <v>2501112.6999999993</v>
      </c>
    </row>
    <row r="53" spans="1:19" s="23" customFormat="1" x14ac:dyDescent="0.25">
      <c r="A53" s="57">
        <v>43617</v>
      </c>
      <c r="B53" s="39">
        <f>883112+35432.4</f>
        <v>918544.4</v>
      </c>
      <c r="C53" s="39">
        <v>384199</v>
      </c>
      <c r="D53" s="40">
        <f>21144.9+119745.4</f>
        <v>140890.29999999999</v>
      </c>
      <c r="E53" s="40">
        <f>33415.3+58.4</f>
        <v>33473.700000000004</v>
      </c>
      <c r="F53" s="40">
        <v>45316</v>
      </c>
      <c r="G53" s="40">
        <v>784.9</v>
      </c>
      <c r="H53" s="41">
        <v>5296.3</v>
      </c>
      <c r="I53" s="41">
        <v>4605</v>
      </c>
      <c r="J53" s="41">
        <v>334675.3</v>
      </c>
      <c r="K53" s="39">
        <f>29603.4+9328.2+40739.2</f>
        <v>79670.8</v>
      </c>
      <c r="L53" s="41">
        <v>23651.200000000001</v>
      </c>
      <c r="M53" s="41">
        <v>807.1</v>
      </c>
      <c r="N53" s="41">
        <v>199660</v>
      </c>
      <c r="O53" s="42">
        <v>279968.5</v>
      </c>
      <c r="P53" s="43">
        <v>64021.4</v>
      </c>
      <c r="Q53" s="44">
        <f>165.2+2000.8-381.5-2003.6-31.4-3.5</f>
        <v>-253.99999999999991</v>
      </c>
      <c r="R53" s="40">
        <f>86888.9+93900.6+1980.8-9328.2-35432.4</f>
        <v>138009.69999999998</v>
      </c>
      <c r="S53" s="27">
        <f t="shared" ref="S53" si="4">SUM(B53:R53)</f>
        <v>2653319.6</v>
      </c>
    </row>
    <row r="54" spans="1:19" s="23" customFormat="1" x14ac:dyDescent="0.25">
      <c r="A54" s="57">
        <v>43738</v>
      </c>
      <c r="B54" s="31">
        <f>940224.1+11001.8</f>
        <v>951225.9</v>
      </c>
      <c r="C54" s="31">
        <v>377943.99999999994</v>
      </c>
      <c r="D54" s="34">
        <f>20172.8+125072</f>
        <v>145244.79999999999</v>
      </c>
      <c r="E54" s="34">
        <f>33907.9+58.4</f>
        <v>33966.300000000003</v>
      </c>
      <c r="F54" s="34">
        <v>37680.5</v>
      </c>
      <c r="G54" s="34">
        <v>1051.9999999999998</v>
      </c>
      <c r="H54" s="25">
        <v>4654.6000000000004</v>
      </c>
      <c r="I54" s="25">
        <v>4591.7</v>
      </c>
      <c r="J54" s="25">
        <v>393162.60000000003</v>
      </c>
      <c r="K54" s="31">
        <f>19187.6+11457.2+41442</f>
        <v>72086.8</v>
      </c>
      <c r="L54" s="25">
        <v>20434.300000000003</v>
      </c>
      <c r="M54" s="25">
        <v>843.9</v>
      </c>
      <c r="N54" s="25">
        <v>223096</v>
      </c>
      <c r="O54" s="27">
        <v>282742.8</v>
      </c>
      <c r="P54" s="28">
        <v>96432.3</v>
      </c>
      <c r="Q54" s="33">
        <f>4759.4+0+24.3-6253.7-31.4-0.1</f>
        <v>-1501.5</v>
      </c>
      <c r="R54" s="34">
        <f>67293.7+94223.8+2985.9-11457.2-11001.8</f>
        <v>142044.4</v>
      </c>
      <c r="S54" s="27">
        <f t="shared" ref="S54" si="5">SUM(B54:R54)</f>
        <v>2785701.4</v>
      </c>
    </row>
    <row r="55" spans="1:19" s="23" customFormat="1" x14ac:dyDescent="0.25">
      <c r="A55" s="57">
        <v>43800</v>
      </c>
      <c r="B55" s="31">
        <v>889356.69999999984</v>
      </c>
      <c r="C55" s="31">
        <v>497195.6</v>
      </c>
      <c r="D55" s="34">
        <v>147319.79999999999</v>
      </c>
      <c r="E55" s="34">
        <f>42949.2+58.4</f>
        <v>43007.6</v>
      </c>
      <c r="F55" s="34">
        <v>52965.500000000007</v>
      </c>
      <c r="G55" s="34">
        <v>1109.6999999999998</v>
      </c>
      <c r="H55" s="25">
        <v>5917.9</v>
      </c>
      <c r="I55" s="25">
        <v>4674.6000000000004</v>
      </c>
      <c r="J55" s="25">
        <v>427469.4</v>
      </c>
      <c r="K55" s="31">
        <v>82888.800000000003</v>
      </c>
      <c r="L55" s="25">
        <v>32600.300000000003</v>
      </c>
      <c r="M55" s="25">
        <v>927.60000000000014</v>
      </c>
      <c r="N55" s="25">
        <v>216615.89999999997</v>
      </c>
      <c r="O55" s="27">
        <v>291528.80000000005</v>
      </c>
      <c r="P55" s="28">
        <v>120578.99999999999</v>
      </c>
      <c r="Q55" s="33">
        <f>79.8+10119.5-13.2-15220.2-31.4-0</f>
        <v>-5065.5000000000018</v>
      </c>
      <c r="R55" s="34">
        <f>72539.8+74054.3+1953-16514.7-8349.2</f>
        <v>123683.2</v>
      </c>
      <c r="S55" s="27">
        <f t="shared" ref="S55" si="6">SUM(B55:R55)</f>
        <v>2932774.8999999994</v>
      </c>
    </row>
    <row r="56" spans="1:19" s="23" customFormat="1" x14ac:dyDescent="0.25">
      <c r="A56" s="57">
        <v>43921</v>
      </c>
      <c r="B56" s="31">
        <f>880232.3+14473</f>
        <v>894705.3</v>
      </c>
      <c r="C56" s="31">
        <v>515934.60000000003</v>
      </c>
      <c r="D56" s="34">
        <f>133805+17170.8</f>
        <v>150975.79999999999</v>
      </c>
      <c r="E56" s="34">
        <f>38896.5+58.4</f>
        <v>38954.9</v>
      </c>
      <c r="F56" s="34">
        <v>55232.2</v>
      </c>
      <c r="G56" s="34">
        <v>1138.8000000000002</v>
      </c>
      <c r="H56" s="25">
        <v>2980</v>
      </c>
      <c r="I56" s="25">
        <v>2724.3</v>
      </c>
      <c r="J56" s="25">
        <v>420015.1</v>
      </c>
      <c r="K56" s="31">
        <f>65237.4+14956.4+16693.7</f>
        <v>96887.5</v>
      </c>
      <c r="L56" s="25">
        <v>31920.1</v>
      </c>
      <c r="M56" s="25">
        <v>2013.3</v>
      </c>
      <c r="N56" s="25">
        <v>261170.6</v>
      </c>
      <c r="O56" s="27">
        <v>355771</v>
      </c>
      <c r="P56" s="28">
        <v>61517.7</v>
      </c>
      <c r="Q56" s="33">
        <f>6028.1+27313.9+0+12.7-25011.2-31.4-0</f>
        <v>8312.0999999999967</v>
      </c>
      <c r="R56" s="34">
        <f>81934.8+76845+2468.1-14956.4-14473</f>
        <v>131818.5</v>
      </c>
      <c r="S56" s="27">
        <f t="shared" ref="S56" si="7">SUM(B56:R56)</f>
        <v>3032071.8000000003</v>
      </c>
    </row>
    <row r="57" spans="1:19" s="23" customFormat="1" x14ac:dyDescent="0.25">
      <c r="A57" s="57">
        <v>44012</v>
      </c>
      <c r="B57" s="31">
        <f>977338.4+22228</f>
        <v>999566.4</v>
      </c>
      <c r="C57" s="31">
        <v>544257.6</v>
      </c>
      <c r="D57" s="34">
        <f>140066.8+18516.8</f>
        <v>158583.59999999998</v>
      </c>
      <c r="E57" s="34">
        <f>38666.5+58.4</f>
        <v>38724.9</v>
      </c>
      <c r="F57" s="34">
        <v>48625.599999999999</v>
      </c>
      <c r="G57" s="34">
        <v>965.4</v>
      </c>
      <c r="H57" s="25">
        <v>12187.100000000002</v>
      </c>
      <c r="I57" s="25">
        <v>2374.9</v>
      </c>
      <c r="J57" s="25">
        <v>411333</v>
      </c>
      <c r="K57" s="31">
        <f>39095.6+11963.7+12321.6</f>
        <v>63380.9</v>
      </c>
      <c r="L57" s="25">
        <v>28888.899999999998</v>
      </c>
      <c r="M57" s="25">
        <v>1210.8999999999999</v>
      </c>
      <c r="N57" s="25">
        <v>277077.40000000002</v>
      </c>
      <c r="O57" s="27">
        <v>358684.4</v>
      </c>
      <c r="P57" s="28">
        <v>90832.3</v>
      </c>
      <c r="Q57" s="33">
        <f>11.8+2922.5+563.6-2529.2-31.4-15.9</f>
        <v>921.40000000000032</v>
      </c>
      <c r="R57" s="34">
        <f>79835.9+79765.3+2201.1-11963.7-22228</f>
        <v>127610.6</v>
      </c>
      <c r="S57" s="27">
        <f t="shared" ref="S57" si="8">SUM(B57:R57)</f>
        <v>3165225.2999999993</v>
      </c>
    </row>
    <row r="58" spans="1:19" s="23" customFormat="1" x14ac:dyDescent="0.25">
      <c r="A58" s="57">
        <v>44104</v>
      </c>
      <c r="B58" s="31">
        <f>1087600.6+17969.8</f>
        <v>1105570.4000000001</v>
      </c>
      <c r="C58" s="31">
        <f>574223.4+118.2+2167+21378.5+5392.5</f>
        <v>603279.6</v>
      </c>
      <c r="D58" s="34">
        <f>155734.1+13918+39.8+1487.6+1283.3</f>
        <v>172462.8</v>
      </c>
      <c r="E58" s="34">
        <f>34287.7+58.4</f>
        <v>34346.1</v>
      </c>
      <c r="F58" s="34">
        <v>38828.9</v>
      </c>
      <c r="G58" s="34">
        <v>845.40000000000009</v>
      </c>
      <c r="H58" s="25">
        <v>3097.2999999999997</v>
      </c>
      <c r="I58" s="25">
        <v>3666.3</v>
      </c>
      <c r="J58" s="25">
        <v>360531.8</v>
      </c>
      <c r="K58" s="31">
        <f>40194.7+13712.3+18796.8+66</f>
        <v>72769.8</v>
      </c>
      <c r="L58" s="25">
        <v>16865.2</v>
      </c>
      <c r="M58" s="25">
        <f>8692.2+17902.1</f>
        <v>26594.3</v>
      </c>
      <c r="N58" s="25">
        <f>289503.6+550+195.5</f>
        <v>290249.09999999998</v>
      </c>
      <c r="O58" s="27">
        <v>373196.39999999997</v>
      </c>
      <c r="P58" s="28">
        <v>132637.1</v>
      </c>
      <c r="Q58" s="33">
        <f>45.3+2.1+884.1-43.7-31.4-0</f>
        <v>856.4</v>
      </c>
      <c r="R58" s="34">
        <f>85068.9+84622.2+2137.4-13712.3-17969.8</f>
        <v>140146.4</v>
      </c>
      <c r="S58" s="27">
        <f t="shared" ref="S58:S75" si="9">SUM(B58:R58)</f>
        <v>3375943.3</v>
      </c>
    </row>
    <row r="59" spans="1:19" s="23" customFormat="1" ht="15" customHeight="1" x14ac:dyDescent="0.25">
      <c r="A59" s="57">
        <v>44196</v>
      </c>
      <c r="B59" s="31">
        <f>1127406.1+14327.1</f>
        <v>1141733.2000000002</v>
      </c>
      <c r="C59" s="31">
        <f>612431.2+3166.9+2942.3+21501.2+5260.4</f>
        <v>645302</v>
      </c>
      <c r="D59" s="34">
        <f>158492+13303+71.2+7277+232.4</f>
        <v>179375.6</v>
      </c>
      <c r="E59" s="34">
        <f>87099.3+58.4</f>
        <v>87157.7</v>
      </c>
      <c r="F59" s="34">
        <v>44679.6</v>
      </c>
      <c r="G59" s="34">
        <v>899.49999999999989</v>
      </c>
      <c r="H59" s="25">
        <v>3485.6</v>
      </c>
      <c r="I59" s="25">
        <f>0+3667.1</f>
        <v>3667.1</v>
      </c>
      <c r="J59" s="25">
        <v>296859.40000000008</v>
      </c>
      <c r="K59" s="31">
        <f>53343.2+20079.5+26571.3+66</f>
        <v>100060</v>
      </c>
      <c r="L59" s="25">
        <v>22821.599999999999</v>
      </c>
      <c r="M59" s="25">
        <f>13386.5+0</f>
        <v>13386.5</v>
      </c>
      <c r="N59" s="25">
        <f>307050.9+560.2+76.7</f>
        <v>307687.80000000005</v>
      </c>
      <c r="O59" s="27">
        <v>375585</v>
      </c>
      <c r="P59" s="28">
        <v>158256</v>
      </c>
      <c r="Q59" s="33">
        <f>84.4+2023.3+600.1+0-2083.8-31.4-0</f>
        <v>592.59999999999957</v>
      </c>
      <c r="R59" s="34">
        <f>85368.1+75821.6+2271.8-20079.5-14327.1</f>
        <v>129054.9</v>
      </c>
      <c r="S59" s="27">
        <f t="shared" si="9"/>
        <v>3510604.1000000006</v>
      </c>
    </row>
    <row r="60" spans="1:19" s="23" customFormat="1" x14ac:dyDescent="0.25">
      <c r="A60" s="57">
        <v>44286</v>
      </c>
      <c r="B60" s="31">
        <v>1202220.3</v>
      </c>
      <c r="C60" s="31">
        <v>684475.5</v>
      </c>
      <c r="D60" s="34">
        <v>188208.9</v>
      </c>
      <c r="E60" s="34">
        <v>73049.2</v>
      </c>
      <c r="F60" s="34">
        <v>52828.2</v>
      </c>
      <c r="G60" s="34">
        <v>897.49999999999989</v>
      </c>
      <c r="H60" s="25">
        <v>3049.4</v>
      </c>
      <c r="I60" s="25">
        <v>3000.6</v>
      </c>
      <c r="J60" s="25">
        <v>286862.39999999997</v>
      </c>
      <c r="K60" s="31">
        <v>99177.1</v>
      </c>
      <c r="L60" s="25">
        <v>28206.799999999996</v>
      </c>
      <c r="M60" s="25">
        <v>22145.7</v>
      </c>
      <c r="N60" s="25">
        <v>318779.09999999998</v>
      </c>
      <c r="O60" s="27">
        <v>449838.1</v>
      </c>
      <c r="P60" s="28">
        <v>90021.900000000009</v>
      </c>
      <c r="Q60" s="33">
        <v>3572.9999999999977</v>
      </c>
      <c r="R60" s="34">
        <v>136536.69999999998</v>
      </c>
      <c r="S60" s="27">
        <f t="shared" si="9"/>
        <v>3642870.4000000004</v>
      </c>
    </row>
    <row r="61" spans="1:19" s="23" customFormat="1" x14ac:dyDescent="0.25">
      <c r="A61" s="57">
        <v>44377</v>
      </c>
      <c r="B61" s="31">
        <v>1286822.8</v>
      </c>
      <c r="C61" s="31">
        <v>721614.2</v>
      </c>
      <c r="D61" s="34">
        <v>189498.80000000002</v>
      </c>
      <c r="E61" s="34">
        <v>83296.299999999988</v>
      </c>
      <c r="F61" s="34">
        <v>68262</v>
      </c>
      <c r="G61" s="34">
        <v>928.99999999999989</v>
      </c>
      <c r="H61" s="25">
        <v>4514.8000000000011</v>
      </c>
      <c r="I61" s="25">
        <v>3152.2999999999997</v>
      </c>
      <c r="J61" s="25">
        <v>326958.8</v>
      </c>
      <c r="K61" s="31">
        <v>107062.6</v>
      </c>
      <c r="L61" s="25">
        <v>43190.3</v>
      </c>
      <c r="M61" s="25">
        <v>3815.2999999999997</v>
      </c>
      <c r="N61" s="25">
        <v>365639.5</v>
      </c>
      <c r="O61" s="27">
        <v>458055</v>
      </c>
      <c r="P61" s="28">
        <v>118526.59999999999</v>
      </c>
      <c r="Q61" s="33">
        <v>6332.5000000000018</v>
      </c>
      <c r="R61" s="34">
        <v>145309.60000000003</v>
      </c>
      <c r="S61" s="27">
        <f t="shared" si="9"/>
        <v>3932980.399999999</v>
      </c>
    </row>
    <row r="62" spans="1:19" s="23" customFormat="1" x14ac:dyDescent="0.25">
      <c r="A62" s="57">
        <v>44469</v>
      </c>
      <c r="B62" s="31">
        <v>1356468.8</v>
      </c>
      <c r="C62" s="31">
        <v>948933.69999999984</v>
      </c>
      <c r="D62" s="34">
        <v>199716.30000000002</v>
      </c>
      <c r="E62" s="34">
        <v>66753.799999999988</v>
      </c>
      <c r="F62" s="34">
        <v>82765.8</v>
      </c>
      <c r="G62" s="34">
        <v>967.6</v>
      </c>
      <c r="H62" s="25">
        <v>1248.5999999999999</v>
      </c>
      <c r="I62" s="25">
        <v>3180.4</v>
      </c>
      <c r="J62" s="25">
        <v>405892.60000000003</v>
      </c>
      <c r="K62" s="31">
        <v>101173.6</v>
      </c>
      <c r="L62" s="25">
        <v>44536.299999999996</v>
      </c>
      <c r="M62" s="25">
        <v>5183.2</v>
      </c>
      <c r="N62" s="25">
        <v>429239.7</v>
      </c>
      <c r="O62" s="27">
        <v>490103.5</v>
      </c>
      <c r="P62" s="28">
        <v>169591.2</v>
      </c>
      <c r="Q62" s="33">
        <v>1111.5</v>
      </c>
      <c r="R62" s="34">
        <v>175004.2</v>
      </c>
      <c r="S62" s="27">
        <f t="shared" si="9"/>
        <v>4481870.8</v>
      </c>
    </row>
    <row r="63" spans="1:19" s="23" customFormat="1" x14ac:dyDescent="0.25">
      <c r="A63" s="57">
        <v>44561</v>
      </c>
      <c r="B63" s="31">
        <v>1308690.2</v>
      </c>
      <c r="C63" s="31">
        <v>989411.8</v>
      </c>
      <c r="D63" s="34">
        <v>225857.4</v>
      </c>
      <c r="E63" s="34">
        <v>62768</v>
      </c>
      <c r="F63" s="34">
        <v>88575.900000000009</v>
      </c>
      <c r="G63" s="34">
        <v>1237.9999999999998</v>
      </c>
      <c r="H63" s="25">
        <v>2437.7999999999997</v>
      </c>
      <c r="I63" s="25">
        <v>3014.6</v>
      </c>
      <c r="J63" s="25">
        <v>512988.39999999997</v>
      </c>
      <c r="K63" s="31">
        <v>110830.1</v>
      </c>
      <c r="L63" s="25">
        <v>33877.5</v>
      </c>
      <c r="M63" s="25">
        <v>4750.2999999999993</v>
      </c>
      <c r="N63" s="25">
        <v>366326.19999999995</v>
      </c>
      <c r="O63" s="27">
        <v>488662.39999999997</v>
      </c>
      <c r="P63" s="28">
        <v>205676.69999999998</v>
      </c>
      <c r="Q63" s="33">
        <v>7861.1999999999916</v>
      </c>
      <c r="R63" s="34">
        <v>181337.30000000002</v>
      </c>
      <c r="S63" s="27">
        <f t="shared" si="9"/>
        <v>4594303.8</v>
      </c>
    </row>
    <row r="64" spans="1:19" s="23" customFormat="1" x14ac:dyDescent="0.25">
      <c r="A64" s="57">
        <v>44651</v>
      </c>
      <c r="B64" s="31">
        <v>1438299</v>
      </c>
      <c r="C64" s="31">
        <v>1033568.9999999999</v>
      </c>
      <c r="D64" s="34">
        <v>268880</v>
      </c>
      <c r="E64" s="34">
        <v>73916.800000000003</v>
      </c>
      <c r="F64" s="34">
        <v>73966.2</v>
      </c>
      <c r="G64" s="34">
        <v>1028.0999999999999</v>
      </c>
      <c r="H64" s="25">
        <v>1517.5</v>
      </c>
      <c r="I64" s="25">
        <v>3242.1</v>
      </c>
      <c r="J64" s="25">
        <v>459748.30000000005</v>
      </c>
      <c r="K64" s="31">
        <v>125751.29999999999</v>
      </c>
      <c r="L64" s="25">
        <v>58094.9</v>
      </c>
      <c r="M64" s="25">
        <v>1431.6</v>
      </c>
      <c r="N64" s="25">
        <v>342869.8</v>
      </c>
      <c r="O64" s="27">
        <v>604713.5</v>
      </c>
      <c r="P64" s="28">
        <v>109779.3</v>
      </c>
      <c r="Q64" s="33">
        <v>-1987.9999999999914</v>
      </c>
      <c r="R64" s="34">
        <v>218478.90000000002</v>
      </c>
      <c r="S64" s="27">
        <f t="shared" si="9"/>
        <v>4813298.3</v>
      </c>
    </row>
    <row r="65" spans="1:19" s="23" customFormat="1" x14ac:dyDescent="0.25">
      <c r="A65" s="57">
        <v>44722</v>
      </c>
      <c r="B65" s="31">
        <v>1647203</v>
      </c>
      <c r="C65" s="31">
        <v>1120414.8</v>
      </c>
      <c r="D65" s="34">
        <v>234016.59999999998</v>
      </c>
      <c r="E65" s="34">
        <v>47376.799999999996</v>
      </c>
      <c r="F65" s="34">
        <v>76096.000000000015</v>
      </c>
      <c r="G65" s="34">
        <v>877.2</v>
      </c>
      <c r="H65" s="25">
        <v>1202</v>
      </c>
      <c r="I65" s="25">
        <v>3739.3</v>
      </c>
      <c r="J65" s="25">
        <v>550425.79999999993</v>
      </c>
      <c r="K65" s="31">
        <v>122898.7</v>
      </c>
      <c r="L65" s="25">
        <v>50033.899999999994</v>
      </c>
      <c r="M65" s="25">
        <v>1154</v>
      </c>
      <c r="N65" s="25">
        <v>448858.10000000003</v>
      </c>
      <c r="O65" s="27">
        <v>621068.39999999991</v>
      </c>
      <c r="P65" s="28">
        <v>149595.20000000001</v>
      </c>
      <c r="Q65" s="33">
        <v>4301.6999999999944</v>
      </c>
      <c r="R65" s="34">
        <v>191348.5</v>
      </c>
      <c r="S65" s="27">
        <f t="shared" si="9"/>
        <v>5270610</v>
      </c>
    </row>
    <row r="66" spans="1:19" s="23" customFormat="1" x14ac:dyDescent="0.25">
      <c r="A66" s="57">
        <v>44814</v>
      </c>
      <c r="B66" s="31">
        <v>1896482.6</v>
      </c>
      <c r="C66" s="31">
        <v>1144966.8</v>
      </c>
      <c r="D66" s="34">
        <v>246467.69999999998</v>
      </c>
      <c r="E66" s="34">
        <v>52463.199999999997</v>
      </c>
      <c r="F66" s="34">
        <v>57406.5</v>
      </c>
      <c r="G66" s="34">
        <v>908.90000000000009</v>
      </c>
      <c r="H66" s="25">
        <v>2431.8999999999996</v>
      </c>
      <c r="I66" s="25">
        <v>33997.1</v>
      </c>
      <c r="J66" s="25">
        <v>599198.80000000005</v>
      </c>
      <c r="K66" s="31">
        <v>109734.3</v>
      </c>
      <c r="L66" s="25">
        <v>46883.899999999994</v>
      </c>
      <c r="M66" s="25">
        <v>2932.9</v>
      </c>
      <c r="N66" s="25">
        <v>584494.19999999995</v>
      </c>
      <c r="O66" s="27">
        <v>621256.80000000005</v>
      </c>
      <c r="P66" s="28">
        <v>189250.2</v>
      </c>
      <c r="Q66" s="33">
        <v>2474.6000000000349</v>
      </c>
      <c r="R66" s="34">
        <v>197039.39999999997</v>
      </c>
      <c r="S66" s="27">
        <f t="shared" si="9"/>
        <v>5788389.8000000007</v>
      </c>
    </row>
    <row r="67" spans="1:19" s="23" customFormat="1" x14ac:dyDescent="0.25">
      <c r="A67" s="57">
        <v>44908</v>
      </c>
      <c r="B67" s="31">
        <v>2025031.6</v>
      </c>
      <c r="C67" s="31">
        <v>1218764.4000000001</v>
      </c>
      <c r="D67" s="34">
        <v>258313.40000000002</v>
      </c>
      <c r="E67" s="34">
        <v>56856.2</v>
      </c>
      <c r="F67" s="34">
        <v>92199.7</v>
      </c>
      <c r="G67" s="34">
        <v>1176.7</v>
      </c>
      <c r="H67" s="25">
        <v>2548.8000000000006</v>
      </c>
      <c r="I67" s="25">
        <v>33519.9</v>
      </c>
      <c r="J67" s="25">
        <v>521529.70000000007</v>
      </c>
      <c r="K67" s="31">
        <v>183817.2</v>
      </c>
      <c r="L67" s="25">
        <v>51762.1</v>
      </c>
      <c r="M67" s="25">
        <v>1430.1</v>
      </c>
      <c r="N67" s="25">
        <v>497807.3</v>
      </c>
      <c r="O67" s="27">
        <v>675149.5</v>
      </c>
      <c r="P67" s="28">
        <v>222997.10000000003</v>
      </c>
      <c r="Q67" s="33">
        <v>9311.2000000000244</v>
      </c>
      <c r="R67" s="34">
        <v>184107.2</v>
      </c>
      <c r="S67" s="27">
        <f t="shared" si="9"/>
        <v>6036322.0999999996</v>
      </c>
    </row>
    <row r="68" spans="1:19" s="23" customFormat="1" x14ac:dyDescent="0.25">
      <c r="A68" s="57">
        <v>44988</v>
      </c>
      <c r="B68" s="31">
        <v>2024957.8999999994</v>
      </c>
      <c r="C68" s="31">
        <v>1267450.6999999995</v>
      </c>
      <c r="D68" s="34">
        <v>332833.59999999992</v>
      </c>
      <c r="E68" s="34">
        <v>75522.8</v>
      </c>
      <c r="F68" s="34">
        <v>73981.699999999983</v>
      </c>
      <c r="G68" s="34">
        <v>1083</v>
      </c>
      <c r="H68" s="25">
        <v>1229.2</v>
      </c>
      <c r="I68" s="25">
        <v>33649.300000000003</v>
      </c>
      <c r="J68" s="25">
        <v>437844</v>
      </c>
      <c r="K68" s="31">
        <v>214413.30000000002</v>
      </c>
      <c r="L68" s="25">
        <v>43641.900000000009</v>
      </c>
      <c r="M68" s="25">
        <v>695.6</v>
      </c>
      <c r="N68" s="25">
        <v>494952.9</v>
      </c>
      <c r="O68" s="27">
        <v>747377.49999999988</v>
      </c>
      <c r="P68" s="28">
        <v>143340.5</v>
      </c>
      <c r="Q68" s="33">
        <v>9863.3000000000302</v>
      </c>
      <c r="R68" s="34">
        <v>224336.89999999997</v>
      </c>
      <c r="S68" s="27">
        <f t="shared" si="9"/>
        <v>6127174.0999999996</v>
      </c>
    </row>
    <row r="69" spans="1:19" s="23" customFormat="1" x14ac:dyDescent="0.25">
      <c r="A69" s="57">
        <v>45083</v>
      </c>
      <c r="B69" s="31">
        <v>2119753.6999999997</v>
      </c>
      <c r="C69" s="31">
        <v>1304232.6000000003</v>
      </c>
      <c r="D69" s="34">
        <v>369019.9</v>
      </c>
      <c r="E69" s="34">
        <v>118305.5</v>
      </c>
      <c r="F69" s="34">
        <v>100698.2</v>
      </c>
      <c r="G69" s="34">
        <v>1304.4999999999998</v>
      </c>
      <c r="H69" s="25">
        <v>1680.6</v>
      </c>
      <c r="I69" s="25">
        <v>30808.399999999998</v>
      </c>
      <c r="J69" s="25">
        <v>451110.10000000003</v>
      </c>
      <c r="K69" s="31">
        <v>195489.19999999998</v>
      </c>
      <c r="L69" s="25">
        <v>69560.099999999991</v>
      </c>
      <c r="M69" s="25">
        <v>1663.1</v>
      </c>
      <c r="N69" s="25">
        <v>682090.8</v>
      </c>
      <c r="O69" s="27">
        <v>795864.6</v>
      </c>
      <c r="P69" s="28">
        <v>154558.29999999999</v>
      </c>
      <c r="Q69" s="33">
        <v>6464.8</v>
      </c>
      <c r="R69" s="34">
        <v>207221.3</v>
      </c>
      <c r="S69" s="27">
        <f t="shared" si="9"/>
        <v>6609825.6999999983</v>
      </c>
    </row>
    <row r="70" spans="1:19" s="23" customFormat="1" x14ac:dyDescent="0.25">
      <c r="A70" s="57">
        <v>45178</v>
      </c>
      <c r="B70" s="31">
        <v>2104036.7000000002</v>
      </c>
      <c r="C70" s="31">
        <v>1327567.5</v>
      </c>
      <c r="D70" s="34">
        <v>517005.89999999985</v>
      </c>
      <c r="E70" s="34">
        <v>58262.999999999993</v>
      </c>
      <c r="F70" s="34">
        <v>78740.3</v>
      </c>
      <c r="G70" s="34">
        <v>1517.6999999999998</v>
      </c>
      <c r="H70" s="25">
        <v>2128.1</v>
      </c>
      <c r="I70" s="25">
        <v>29372.3</v>
      </c>
      <c r="J70" s="25">
        <v>563314.20000000007</v>
      </c>
      <c r="K70" s="31">
        <v>156505.40000000002</v>
      </c>
      <c r="L70" s="25">
        <v>69427.399999999994</v>
      </c>
      <c r="M70" s="25">
        <v>1519.8</v>
      </c>
      <c r="N70" s="25">
        <v>710613.6</v>
      </c>
      <c r="O70" s="27">
        <v>804500.10000000009</v>
      </c>
      <c r="P70" s="28">
        <v>189831.5</v>
      </c>
      <c r="Q70" s="33">
        <v>-1689.0000000000175</v>
      </c>
      <c r="R70" s="34">
        <v>235674.09999999998</v>
      </c>
      <c r="S70" s="27">
        <f t="shared" si="9"/>
        <v>6848328.5999999996</v>
      </c>
    </row>
    <row r="71" spans="1:19" s="23" customFormat="1" x14ac:dyDescent="0.25">
      <c r="A71" s="57">
        <v>45273</v>
      </c>
      <c r="B71" s="31">
        <v>2146671.0999999996</v>
      </c>
      <c r="C71" s="31">
        <v>1542405.5</v>
      </c>
      <c r="D71" s="34">
        <v>525019.30000000005</v>
      </c>
      <c r="E71" s="34">
        <v>102246.90000000001</v>
      </c>
      <c r="F71" s="34">
        <v>70586.900000000009</v>
      </c>
      <c r="G71" s="34">
        <v>3020.2</v>
      </c>
      <c r="H71" s="25">
        <v>3236.9000000000005</v>
      </c>
      <c r="I71" s="25">
        <v>29096.499999999996</v>
      </c>
      <c r="J71" s="25">
        <v>567382.60000000009</v>
      </c>
      <c r="K71" s="31">
        <v>134007.29999999999</v>
      </c>
      <c r="L71" s="25">
        <v>85269</v>
      </c>
      <c r="M71" s="25">
        <v>3441.3</v>
      </c>
      <c r="N71" s="25">
        <v>787413.8</v>
      </c>
      <c r="O71" s="27">
        <v>821154.60000000009</v>
      </c>
      <c r="P71" s="28">
        <v>240235.3</v>
      </c>
      <c r="Q71" s="33">
        <v>699.5000000000407</v>
      </c>
      <c r="R71" s="34">
        <v>254779.50000000003</v>
      </c>
      <c r="S71" s="27">
        <f t="shared" si="9"/>
        <v>7316666.2000000002</v>
      </c>
    </row>
    <row r="72" spans="1:19" s="23" customFormat="1" x14ac:dyDescent="0.25">
      <c r="A72" s="57">
        <v>45382</v>
      </c>
      <c r="B72" s="31">
        <v>2053811.6000000006</v>
      </c>
      <c r="C72" s="31">
        <v>1597213.3</v>
      </c>
      <c r="D72" s="34">
        <v>540154.20000000007</v>
      </c>
      <c r="E72" s="34">
        <v>69555.200000000012</v>
      </c>
      <c r="F72" s="34">
        <v>76284.999999999985</v>
      </c>
      <c r="G72" s="34">
        <v>2304.7999999999997</v>
      </c>
      <c r="H72" s="25">
        <v>2066.7999999999997</v>
      </c>
      <c r="I72" s="25">
        <v>29378.000000000004</v>
      </c>
      <c r="J72" s="25">
        <v>566041.89999999991</v>
      </c>
      <c r="K72" s="31">
        <v>144039.70000000001</v>
      </c>
      <c r="L72" s="25">
        <v>106513.7</v>
      </c>
      <c r="M72" s="25">
        <v>4219.7000000000007</v>
      </c>
      <c r="N72" s="25">
        <v>1013729.2999999999</v>
      </c>
      <c r="O72" s="27">
        <v>913243.3</v>
      </c>
      <c r="P72" s="28">
        <v>123576.69999999998</v>
      </c>
      <c r="Q72" s="33">
        <v>10746.199999999983</v>
      </c>
      <c r="R72" s="34">
        <v>294571.09999999998</v>
      </c>
      <c r="S72" s="27">
        <f t="shared" si="9"/>
        <v>7547450.5000000009</v>
      </c>
    </row>
    <row r="73" spans="1:19" s="23" customFormat="1" x14ac:dyDescent="0.25">
      <c r="A73" s="57">
        <v>45473</v>
      </c>
      <c r="B73" s="31">
        <v>2252870.6999999993</v>
      </c>
      <c r="C73" s="31">
        <v>1546224.9000000004</v>
      </c>
      <c r="D73" s="34">
        <v>467701.6</v>
      </c>
      <c r="E73" s="34">
        <v>75483.600000000006</v>
      </c>
      <c r="F73" s="34">
        <v>83335.099999999991</v>
      </c>
      <c r="G73" s="34">
        <v>2347.6999999999998</v>
      </c>
      <c r="H73" s="25">
        <v>4145.0999999999995</v>
      </c>
      <c r="I73" s="25">
        <v>29140.3</v>
      </c>
      <c r="J73" s="25">
        <v>541659.10000000009</v>
      </c>
      <c r="K73" s="31">
        <v>128614.89999999998</v>
      </c>
      <c r="L73" s="25">
        <v>147512.60000000003</v>
      </c>
      <c r="M73" s="25">
        <v>10823.899999999998</v>
      </c>
      <c r="N73" s="25">
        <v>1178475.5999999999</v>
      </c>
      <c r="O73" s="27">
        <v>943495.39999999991</v>
      </c>
      <c r="P73" s="28">
        <v>162858.69999999998</v>
      </c>
      <c r="Q73" s="33">
        <v>-28090.799999999959</v>
      </c>
      <c r="R73" s="34">
        <v>401436.3</v>
      </c>
      <c r="S73" s="27">
        <f t="shared" si="9"/>
        <v>7948034.6999999983</v>
      </c>
    </row>
    <row r="74" spans="1:19" s="23" customFormat="1" x14ac:dyDescent="0.25">
      <c r="A74" s="57">
        <v>45538</v>
      </c>
      <c r="B74" s="31">
        <v>2391082.9000000004</v>
      </c>
      <c r="C74" s="31">
        <v>1659846.2000000002</v>
      </c>
      <c r="D74" s="34">
        <v>459203.40000000008</v>
      </c>
      <c r="E74" s="34">
        <v>86697.000000000015</v>
      </c>
      <c r="F74" s="34">
        <v>110970.2</v>
      </c>
      <c r="G74" s="34">
        <v>2186.5</v>
      </c>
      <c r="H74" s="25">
        <v>2559.1</v>
      </c>
      <c r="I74" s="25">
        <v>30578.400000000001</v>
      </c>
      <c r="J74" s="25">
        <v>436566.50000000006</v>
      </c>
      <c r="K74" s="31">
        <v>149486.20000000001</v>
      </c>
      <c r="L74" s="25">
        <v>149511.69999999998</v>
      </c>
      <c r="M74" s="25">
        <v>1909.0999999999997</v>
      </c>
      <c r="N74" s="25">
        <v>1225453.1000000001</v>
      </c>
      <c r="O74" s="27">
        <v>959219.19999999995</v>
      </c>
      <c r="P74" s="28">
        <v>210232.8</v>
      </c>
      <c r="Q74" s="33">
        <v>2246.0999999999972</v>
      </c>
      <c r="R74" s="34">
        <v>437973.5</v>
      </c>
      <c r="S74" s="27">
        <f t="shared" si="9"/>
        <v>8315721.9000000004</v>
      </c>
    </row>
    <row r="75" spans="1:19" s="23" customFormat="1" x14ac:dyDescent="0.25">
      <c r="A75" s="57">
        <v>45639</v>
      </c>
      <c r="B75" s="31">
        <v>2535599.0999999996</v>
      </c>
      <c r="C75" s="31">
        <v>1678765.6</v>
      </c>
      <c r="D75" s="34">
        <v>497742.39999999991</v>
      </c>
      <c r="E75" s="34">
        <v>103083.70000000001</v>
      </c>
      <c r="F75" s="34">
        <v>141254.20000000001</v>
      </c>
      <c r="G75" s="34">
        <v>5947.2000000000007</v>
      </c>
      <c r="H75" s="25">
        <v>2997.9999999999995</v>
      </c>
      <c r="I75" s="25">
        <v>31368.899999999998</v>
      </c>
      <c r="J75" s="25">
        <v>458538.69999999995</v>
      </c>
      <c r="K75" s="31">
        <v>161980.80000000002</v>
      </c>
      <c r="L75" s="25">
        <v>152977</v>
      </c>
      <c r="M75" s="25">
        <v>2244.7000000000003</v>
      </c>
      <c r="N75" s="25">
        <v>1334377.7000000002</v>
      </c>
      <c r="O75" s="27">
        <v>957299.8</v>
      </c>
      <c r="P75" s="28">
        <v>250039.69999999995</v>
      </c>
      <c r="Q75" s="33">
        <v>3787.3999999999883</v>
      </c>
      <c r="R75" s="34">
        <v>331966.2</v>
      </c>
      <c r="S75" s="27">
        <f t="shared" si="9"/>
        <v>8649971.1000000015</v>
      </c>
    </row>
    <row r="76" spans="1:19" s="23" customFormat="1" x14ac:dyDescent="0.25">
      <c r="A76" s="57">
        <v>45747</v>
      </c>
      <c r="B76" s="31">
        <v>2644653.4000000004</v>
      </c>
      <c r="C76" s="31">
        <v>1770070.2</v>
      </c>
      <c r="D76" s="34">
        <v>557151.19999999984</v>
      </c>
      <c r="E76" s="34">
        <v>93853.699999999983</v>
      </c>
      <c r="F76" s="34">
        <v>153768.9</v>
      </c>
      <c r="G76" s="34">
        <v>5976.0999999999995</v>
      </c>
      <c r="H76" s="25">
        <v>21358.399999999994</v>
      </c>
      <c r="I76" s="25">
        <v>32166.9</v>
      </c>
      <c r="J76" s="25">
        <v>464040</v>
      </c>
      <c r="K76" s="31">
        <v>170247.7</v>
      </c>
      <c r="L76" s="25">
        <v>153353.9</v>
      </c>
      <c r="M76" s="25">
        <v>1944.8000000000002</v>
      </c>
      <c r="N76" s="25">
        <v>1271289.8999999999</v>
      </c>
      <c r="O76" s="27">
        <v>1023381.7</v>
      </c>
      <c r="P76" s="28">
        <v>198575.9</v>
      </c>
      <c r="Q76" s="33">
        <v>8085.2000000000171</v>
      </c>
      <c r="R76" s="34">
        <v>387518.80000000005</v>
      </c>
      <c r="S76" s="27">
        <v>8957436.7000000011</v>
      </c>
    </row>
    <row r="77" spans="1:19" s="23" customFormat="1" x14ac:dyDescent="0.25">
      <c r="A77" s="57">
        <v>45838</v>
      </c>
      <c r="B77" s="31">
        <v>2770607.4000000004</v>
      </c>
      <c r="C77" s="31">
        <v>1754303.0999999996</v>
      </c>
      <c r="D77" s="34">
        <v>608003.69999999984</v>
      </c>
      <c r="E77" s="34">
        <v>74284.099999999991</v>
      </c>
      <c r="F77" s="34">
        <v>117338</v>
      </c>
      <c r="G77" s="34">
        <v>6119.5</v>
      </c>
      <c r="H77" s="25">
        <v>31076.2</v>
      </c>
      <c r="I77" s="25">
        <v>33010.1</v>
      </c>
      <c r="J77" s="25">
        <v>383041.3</v>
      </c>
      <c r="K77" s="31">
        <v>324569.10000000003</v>
      </c>
      <c r="L77" s="25">
        <v>183381.99999999997</v>
      </c>
      <c r="M77" s="25">
        <v>11347</v>
      </c>
      <c r="N77" s="25">
        <v>1303135.9000000001</v>
      </c>
      <c r="O77" s="27">
        <v>1056321.6000000001</v>
      </c>
      <c r="P77" s="28">
        <v>207292.89999999997</v>
      </c>
      <c r="Q77" s="33">
        <v>1180.2999999999943</v>
      </c>
      <c r="R77" s="34">
        <v>487625.00000000006</v>
      </c>
      <c r="S77" s="27">
        <v>9352637.2000000011</v>
      </c>
    </row>
    <row r="78" spans="1:19" s="23" customFormat="1" x14ac:dyDescent="0.25">
      <c r="A78" s="57">
        <v>45903</v>
      </c>
      <c r="B78" s="31">
        <v>2942901.5</v>
      </c>
      <c r="C78" s="31">
        <v>1815919</v>
      </c>
      <c r="D78" s="34">
        <v>607367</v>
      </c>
      <c r="E78" s="34">
        <v>89075.200000000012</v>
      </c>
      <c r="F78" s="34">
        <v>139634.79999999999</v>
      </c>
      <c r="G78" s="34">
        <v>9072.6999999999989</v>
      </c>
      <c r="H78" s="25">
        <v>24633.899999999994</v>
      </c>
      <c r="I78" s="25">
        <v>36766.663000000008</v>
      </c>
      <c r="J78" s="25">
        <v>413545.3</v>
      </c>
      <c r="K78" s="31">
        <v>485739.9</v>
      </c>
      <c r="L78" s="25">
        <v>189928.09999999998</v>
      </c>
      <c r="M78" s="25">
        <v>307080.09999999998</v>
      </c>
      <c r="N78" s="25">
        <v>1506734.3000000003</v>
      </c>
      <c r="O78" s="27">
        <v>1070931.8999999999</v>
      </c>
      <c r="P78" s="28">
        <v>267435.2</v>
      </c>
      <c r="Q78" s="33">
        <v>2051.8369999999995</v>
      </c>
      <c r="R78" s="34">
        <v>493790.10000000003</v>
      </c>
      <c r="S78" s="27">
        <v>10402607.499999998</v>
      </c>
    </row>
    <row r="79" spans="1:19" s="23" customFormat="1" x14ac:dyDescent="0.25">
      <c r="A79" s="57">
        <v>46004</v>
      </c>
      <c r="B79" s="31">
        <v>3184801.6000000006</v>
      </c>
      <c r="C79" s="31">
        <v>1847881.7999999996</v>
      </c>
      <c r="D79" s="34">
        <v>667252.19999999995</v>
      </c>
      <c r="E79" s="34">
        <v>102889.1</v>
      </c>
      <c r="F79" s="34">
        <v>169603.9</v>
      </c>
      <c r="G79" s="34">
        <v>13056.199999999999</v>
      </c>
      <c r="H79" s="25">
        <v>26094</v>
      </c>
      <c r="I79" s="25">
        <v>34675.800000000003</v>
      </c>
      <c r="J79" s="25">
        <v>377603.39999999997</v>
      </c>
      <c r="K79" s="31">
        <v>654353.4</v>
      </c>
      <c r="L79" s="25">
        <v>80249.7</v>
      </c>
      <c r="M79" s="25">
        <v>1441</v>
      </c>
      <c r="N79" s="25">
        <v>1768006.2</v>
      </c>
      <c r="O79" s="27">
        <v>1098402.1000000001</v>
      </c>
      <c r="P79" s="28">
        <v>322832.80000000005</v>
      </c>
      <c r="Q79" s="33">
        <v>6500.8000000000347</v>
      </c>
      <c r="R79" s="34">
        <v>516945.89999999997</v>
      </c>
      <c r="S79" s="27">
        <v>10872589.900000002</v>
      </c>
    </row>
    <row r="80" spans="1:19" s="49" customFormat="1" ht="18.75" x14ac:dyDescent="0.3">
      <c r="A80" s="45" t="s">
        <v>3</v>
      </c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7"/>
    </row>
    <row r="81" spans="15:19" s="23" customFormat="1" x14ac:dyDescent="0.25">
      <c r="O81" s="35"/>
      <c r="P81" s="35"/>
      <c r="Q81" s="36"/>
      <c r="R81" s="35"/>
      <c r="S81" s="35"/>
    </row>
  </sheetData>
  <mergeCells count="18"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27"/>
  <sheetViews>
    <sheetView workbookViewId="0">
      <pane xSplit="1" ySplit="7" topLeftCell="H14" activePane="bottomRight" state="frozen"/>
      <selection pane="topRight" activeCell="B1" sqref="B1"/>
      <selection pane="bottomLeft" activeCell="A8" sqref="A8"/>
      <selection pane="bottomRight" activeCell="B25" sqref="B25:S25"/>
    </sheetView>
  </sheetViews>
  <sheetFormatPr baseColWidth="10" defaultColWidth="11.5546875" defaultRowHeight="15.75" x14ac:dyDescent="0.25"/>
  <cols>
    <col min="1" max="1" width="30" style="10" customWidth="1"/>
    <col min="2" max="2" width="12.88671875" style="10" customWidth="1"/>
    <col min="3" max="3" width="14.77734375" style="10" customWidth="1"/>
    <col min="4" max="6" width="11.5546875" style="10"/>
    <col min="7" max="7" width="19.88671875" style="10" customWidth="1"/>
    <col min="8" max="8" width="16.21875" style="10" customWidth="1"/>
    <col min="9" max="9" width="14.5546875" style="10" customWidth="1"/>
    <col min="10" max="10" width="12.5546875" style="10" customWidth="1"/>
    <col min="11" max="11" width="15.21875" style="10" customWidth="1"/>
    <col min="12" max="12" width="11.5546875" style="10"/>
    <col min="13" max="13" width="15.6640625" style="10" customWidth="1"/>
    <col min="14" max="14" width="12.5546875" style="10" customWidth="1"/>
    <col min="15" max="15" width="13.88671875" style="10" customWidth="1"/>
    <col min="16" max="16" width="10.21875" style="10" customWidth="1"/>
    <col min="17" max="17" width="14.44140625" style="10" customWidth="1"/>
    <col min="18" max="18" width="11.5546875" style="10"/>
    <col min="19" max="19" width="13.77734375" style="10" customWidth="1"/>
    <col min="20" max="16384" width="11.5546875" style="10"/>
  </cols>
  <sheetData>
    <row r="1" spans="1:19" s="55" customFormat="1" ht="15" x14ac:dyDescent="0.25">
      <c r="A1" s="54" t="s">
        <v>17</v>
      </c>
    </row>
    <row r="2" spans="1:19" x14ac:dyDescent="0.25">
      <c r="A2" s="1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2"/>
      <c r="R2" s="9"/>
      <c r="S2" s="3"/>
    </row>
    <row r="3" spans="1:19" x14ac:dyDescent="0.25">
      <c r="A3" s="1"/>
      <c r="B3" s="4"/>
      <c r="C3" s="8"/>
      <c r="D3" s="8"/>
      <c r="E3" s="8"/>
      <c r="F3" s="8"/>
      <c r="G3" s="8"/>
      <c r="H3" s="8"/>
      <c r="I3" s="8"/>
      <c r="J3" s="8"/>
      <c r="K3" s="8"/>
      <c r="L3" s="5" t="s">
        <v>0</v>
      </c>
      <c r="M3" s="5"/>
      <c r="N3" s="8"/>
      <c r="O3" s="9"/>
      <c r="P3" s="6" t="s">
        <v>0</v>
      </c>
      <c r="Q3" s="2"/>
      <c r="R3" s="9"/>
      <c r="S3" s="7" t="s">
        <v>1</v>
      </c>
    </row>
    <row r="4" spans="1:19" s="37" customFormat="1" ht="18.75" x14ac:dyDescent="0.3">
      <c r="A4" s="70" t="s">
        <v>16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2"/>
    </row>
    <row r="5" spans="1:19" s="37" customFormat="1" ht="18.75" x14ac:dyDescent="0.3">
      <c r="A5" s="59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1"/>
    </row>
    <row r="6" spans="1:19" s="37" customFormat="1" ht="18.75" x14ac:dyDescent="0.3">
      <c r="A6" s="73" t="s">
        <v>49</v>
      </c>
      <c r="B6" s="68" t="s">
        <v>4</v>
      </c>
      <c r="C6" s="67" t="s">
        <v>5</v>
      </c>
      <c r="D6" s="67" t="s">
        <v>41</v>
      </c>
      <c r="E6" s="75" t="s">
        <v>47</v>
      </c>
      <c r="F6" s="75"/>
      <c r="G6" s="75"/>
      <c r="H6" s="67" t="s">
        <v>7</v>
      </c>
      <c r="I6" s="67" t="s">
        <v>8</v>
      </c>
      <c r="J6" s="67" t="s">
        <v>9</v>
      </c>
      <c r="K6" s="67" t="s">
        <v>10</v>
      </c>
      <c r="L6" s="67" t="s">
        <v>45</v>
      </c>
      <c r="M6" s="67" t="s">
        <v>11</v>
      </c>
      <c r="N6" s="67" t="s">
        <v>42</v>
      </c>
      <c r="O6" s="67" t="s">
        <v>43</v>
      </c>
      <c r="P6" s="68" t="s">
        <v>12</v>
      </c>
      <c r="Q6" s="69" t="s">
        <v>13</v>
      </c>
      <c r="R6" s="67" t="s">
        <v>14</v>
      </c>
      <c r="S6" s="68" t="s">
        <v>15</v>
      </c>
    </row>
    <row r="7" spans="1:19" s="37" customFormat="1" ht="90" customHeight="1" x14ac:dyDescent="0.3">
      <c r="A7" s="74"/>
      <c r="B7" s="68"/>
      <c r="C7" s="67"/>
      <c r="D7" s="67"/>
      <c r="E7" s="48" t="s">
        <v>4</v>
      </c>
      <c r="F7" s="48" t="s">
        <v>5</v>
      </c>
      <c r="G7" s="48" t="s">
        <v>48</v>
      </c>
      <c r="H7" s="67"/>
      <c r="I7" s="67"/>
      <c r="J7" s="67"/>
      <c r="K7" s="67"/>
      <c r="L7" s="67"/>
      <c r="M7" s="67"/>
      <c r="N7" s="67"/>
      <c r="O7" s="67"/>
      <c r="P7" s="68"/>
      <c r="Q7" s="69"/>
      <c r="R7" s="67"/>
      <c r="S7" s="68"/>
    </row>
    <row r="8" spans="1:19" s="23" customFormat="1" x14ac:dyDescent="0.25">
      <c r="A8" s="62">
        <v>2008</v>
      </c>
      <c r="B8" s="25">
        <v>191381.50000000003</v>
      </c>
      <c r="C8" s="25">
        <v>99286.999999999985</v>
      </c>
      <c r="D8" s="25">
        <v>62928.999999999956</v>
      </c>
      <c r="E8" s="25"/>
      <c r="F8" s="25"/>
      <c r="G8" s="25"/>
      <c r="H8" s="25">
        <v>603.5</v>
      </c>
      <c r="I8" s="25">
        <v>550</v>
      </c>
      <c r="J8" s="26" t="s">
        <v>2</v>
      </c>
      <c r="K8" s="25">
        <v>14305</v>
      </c>
      <c r="L8" s="25">
        <v>5052.6000000000004</v>
      </c>
      <c r="M8" s="25">
        <v>24400</v>
      </c>
      <c r="N8" s="25">
        <v>30009.400000000009</v>
      </c>
      <c r="O8" s="27">
        <v>41916.799999999996</v>
      </c>
      <c r="P8" s="28">
        <v>18433.2</v>
      </c>
      <c r="Q8" s="29">
        <v>311.60000000000002</v>
      </c>
      <c r="R8" s="27">
        <v>72950</v>
      </c>
      <c r="S8" s="27">
        <f t="shared" ref="S8:S17" si="0">SUM(B8:R8)</f>
        <v>562129.59999999986</v>
      </c>
    </row>
    <row r="9" spans="1:19" s="23" customFormat="1" x14ac:dyDescent="0.25">
      <c r="A9" s="62">
        <v>2009</v>
      </c>
      <c r="B9" s="25">
        <v>226504.30000000002</v>
      </c>
      <c r="C9" s="25">
        <v>116535.90000000001</v>
      </c>
      <c r="D9" s="25">
        <v>81175.299999999988</v>
      </c>
      <c r="E9" s="25"/>
      <c r="F9" s="25"/>
      <c r="G9" s="25"/>
      <c r="H9" s="25">
        <v>1234.8999999999999</v>
      </c>
      <c r="I9" s="25">
        <v>400</v>
      </c>
      <c r="J9" s="26" t="s">
        <v>2</v>
      </c>
      <c r="K9" s="25">
        <v>23913.5</v>
      </c>
      <c r="L9" s="25">
        <v>8608.5999999999985</v>
      </c>
      <c r="M9" s="25">
        <v>33663.599999999999</v>
      </c>
      <c r="N9" s="25">
        <v>36237.599999999999</v>
      </c>
      <c r="O9" s="27">
        <v>69695</v>
      </c>
      <c r="P9" s="28">
        <v>21190.100000000002</v>
      </c>
      <c r="Q9" s="29">
        <v>1123.9000000000001</v>
      </c>
      <c r="R9" s="27">
        <v>69028</v>
      </c>
      <c r="S9" s="27">
        <f t="shared" si="0"/>
        <v>689310.7</v>
      </c>
    </row>
    <row r="10" spans="1:19" s="23" customFormat="1" x14ac:dyDescent="0.25">
      <c r="A10" s="62">
        <v>2010</v>
      </c>
      <c r="B10" s="25">
        <v>273222.09999999998</v>
      </c>
      <c r="C10" s="25">
        <v>140294.30000000002</v>
      </c>
      <c r="D10" s="25">
        <v>89591.3</v>
      </c>
      <c r="E10" s="25">
        <v>2849.9</v>
      </c>
      <c r="F10" s="25">
        <v>1812.4</v>
      </c>
      <c r="G10" s="25">
        <v>0</v>
      </c>
      <c r="H10" s="25">
        <v>1128.8</v>
      </c>
      <c r="I10" s="25">
        <v>530</v>
      </c>
      <c r="J10" s="26" t="s">
        <v>2</v>
      </c>
      <c r="K10" s="25">
        <v>30800.699999999997</v>
      </c>
      <c r="L10" s="25">
        <v>5456.4</v>
      </c>
      <c r="M10" s="25">
        <v>27042.2</v>
      </c>
      <c r="N10" s="25">
        <v>50485.599999999991</v>
      </c>
      <c r="O10" s="27">
        <v>97362.8</v>
      </c>
      <c r="P10" s="28">
        <v>22695.399999999998</v>
      </c>
      <c r="Q10" s="29">
        <v>-98.600000000000051</v>
      </c>
      <c r="R10" s="27">
        <v>97373.599999999991</v>
      </c>
      <c r="S10" s="27">
        <f>SUM(B10:R10)</f>
        <v>840546.9</v>
      </c>
    </row>
    <row r="11" spans="1:19" s="23" customFormat="1" x14ac:dyDescent="0.25">
      <c r="A11" s="62">
        <v>2011</v>
      </c>
      <c r="B11" s="30">
        <v>263857.99999999994</v>
      </c>
      <c r="C11" s="30">
        <v>173056.09999999998</v>
      </c>
      <c r="D11" s="30">
        <v>89107.6</v>
      </c>
      <c r="E11" s="30">
        <v>3654.7</v>
      </c>
      <c r="F11" s="30">
        <v>3786.4</v>
      </c>
      <c r="G11" s="30">
        <v>0</v>
      </c>
      <c r="H11" s="30">
        <v>570.1</v>
      </c>
      <c r="I11" s="30">
        <v>230</v>
      </c>
      <c r="J11" s="30">
        <v>23887.599999999999</v>
      </c>
      <c r="K11" s="30">
        <v>32739.100000000006</v>
      </c>
      <c r="L11" s="30">
        <v>6981.7999999999993</v>
      </c>
      <c r="M11" s="30">
        <v>38665.200000000004</v>
      </c>
      <c r="N11" s="30">
        <v>50033.100000000006</v>
      </c>
      <c r="O11" s="27">
        <v>117656.70000000001</v>
      </c>
      <c r="P11" s="28">
        <v>30401</v>
      </c>
      <c r="Q11" s="29">
        <v>563.60000000000093</v>
      </c>
      <c r="R11" s="27">
        <v>101557.2</v>
      </c>
      <c r="S11" s="27">
        <f t="shared" si="0"/>
        <v>936748.19999999984</v>
      </c>
    </row>
    <row r="12" spans="1:19" s="23" customFormat="1" x14ac:dyDescent="0.25">
      <c r="A12" s="62">
        <v>2012</v>
      </c>
      <c r="B12" s="30">
        <v>293628.7</v>
      </c>
      <c r="C12" s="30">
        <v>175495.9</v>
      </c>
      <c r="D12" s="30">
        <v>125922.79999999999</v>
      </c>
      <c r="E12" s="30">
        <v>7559.4</v>
      </c>
      <c r="F12" s="30">
        <v>17126.100000000002</v>
      </c>
      <c r="G12" s="30">
        <v>170.1</v>
      </c>
      <c r="H12" s="30">
        <v>1801.0000000000002</v>
      </c>
      <c r="I12" s="30">
        <v>430</v>
      </c>
      <c r="J12" s="26" t="s">
        <v>2</v>
      </c>
      <c r="K12" s="30">
        <v>33328.200000000004</v>
      </c>
      <c r="L12" s="30">
        <v>9660.5</v>
      </c>
      <c r="M12" s="30">
        <v>32270.799999999999</v>
      </c>
      <c r="N12" s="30">
        <v>62960.799999999996</v>
      </c>
      <c r="O12" s="27">
        <v>162470.70000000001</v>
      </c>
      <c r="P12" s="28">
        <v>20813.100000000002</v>
      </c>
      <c r="Q12" s="29">
        <v>4114.6000000000004</v>
      </c>
      <c r="R12" s="27">
        <v>96931.400000000009</v>
      </c>
      <c r="S12" s="27">
        <f t="shared" si="0"/>
        <v>1044684.1</v>
      </c>
    </row>
    <row r="13" spans="1:19" s="23" customFormat="1" x14ac:dyDescent="0.25">
      <c r="A13" s="62">
        <v>2013</v>
      </c>
      <c r="B13" s="25">
        <v>335552.69999999995</v>
      </c>
      <c r="C13" s="25">
        <v>211763.9</v>
      </c>
      <c r="D13" s="25">
        <v>134315.39999999997</v>
      </c>
      <c r="E13" s="25">
        <v>9698.1999999999989</v>
      </c>
      <c r="F13" s="25">
        <v>11803.2</v>
      </c>
      <c r="G13" s="25">
        <v>246.1</v>
      </c>
      <c r="H13" s="25">
        <v>1446.5</v>
      </c>
      <c r="I13" s="25">
        <v>430</v>
      </c>
      <c r="J13" s="26" t="s">
        <v>2</v>
      </c>
      <c r="K13" s="25">
        <v>50992.200000000004</v>
      </c>
      <c r="L13" s="25">
        <v>9056.5</v>
      </c>
      <c r="M13" s="25">
        <v>22059.600000000002</v>
      </c>
      <c r="N13" s="25">
        <v>89787.400000000009</v>
      </c>
      <c r="O13" s="27">
        <v>185759.6</v>
      </c>
      <c r="P13" s="28">
        <v>21766.899999999998</v>
      </c>
      <c r="Q13" s="29">
        <v>-198.70000000000019</v>
      </c>
      <c r="R13" s="27">
        <v>133537.29999999999</v>
      </c>
      <c r="S13" s="27">
        <f t="shared" si="0"/>
        <v>1218016.7999999998</v>
      </c>
    </row>
    <row r="14" spans="1:19" s="23" customFormat="1" x14ac:dyDescent="0.25">
      <c r="A14" s="62">
        <v>2014</v>
      </c>
      <c r="B14" s="31">
        <v>384656.60000000003</v>
      </c>
      <c r="C14" s="31">
        <v>227786.60000000003</v>
      </c>
      <c r="D14" s="31">
        <v>163209.70000000004</v>
      </c>
      <c r="E14" s="31">
        <v>15905.7</v>
      </c>
      <c r="F14" s="31">
        <v>12998.199999999999</v>
      </c>
      <c r="G14" s="31">
        <v>0</v>
      </c>
      <c r="H14" s="25">
        <v>1669.5</v>
      </c>
      <c r="I14" s="25">
        <v>230</v>
      </c>
      <c r="J14" s="25" t="s">
        <v>2</v>
      </c>
      <c r="K14" s="31">
        <v>48639.1</v>
      </c>
      <c r="L14" s="25">
        <v>9410.5</v>
      </c>
      <c r="M14" s="25">
        <v>17620.400000000001</v>
      </c>
      <c r="N14" s="25">
        <v>147751.79999999999</v>
      </c>
      <c r="O14" s="32">
        <v>205273.59999999995</v>
      </c>
      <c r="P14" s="28">
        <v>25746.6</v>
      </c>
      <c r="Q14" s="33">
        <v>-2380.1999999999975</v>
      </c>
      <c r="R14" s="32">
        <v>142120.29999999999</v>
      </c>
      <c r="S14" s="27">
        <f t="shared" si="0"/>
        <v>1400638.4000000001</v>
      </c>
    </row>
    <row r="15" spans="1:19" s="23" customFormat="1" x14ac:dyDescent="0.25">
      <c r="A15" s="62">
        <v>2015</v>
      </c>
      <c r="B15" s="31">
        <v>383820.99999999994</v>
      </c>
      <c r="C15" s="31">
        <v>244640.30000000008</v>
      </c>
      <c r="D15" s="34">
        <v>135171.70000000001</v>
      </c>
      <c r="E15" s="34">
        <v>22882.2</v>
      </c>
      <c r="F15" s="34">
        <v>27827.9</v>
      </c>
      <c r="G15" s="34">
        <v>1256.3</v>
      </c>
      <c r="H15" s="25">
        <v>5303.8</v>
      </c>
      <c r="I15" s="25">
        <v>8529.9000000000015</v>
      </c>
      <c r="J15" s="25">
        <v>19805</v>
      </c>
      <c r="K15" s="31">
        <v>54292.999999999993</v>
      </c>
      <c r="L15" s="25">
        <v>8972.2999999999993</v>
      </c>
      <c r="M15" s="25">
        <v>6801.5</v>
      </c>
      <c r="N15" s="25">
        <v>149973.5</v>
      </c>
      <c r="O15" s="32">
        <v>222014.39999999997</v>
      </c>
      <c r="P15" s="28">
        <v>15971.3</v>
      </c>
      <c r="Q15" s="33">
        <v>-5932.1999999999989</v>
      </c>
      <c r="R15" s="34">
        <v>154248.5</v>
      </c>
      <c r="S15" s="27">
        <f t="shared" si="0"/>
        <v>1455580.4000000001</v>
      </c>
    </row>
    <row r="16" spans="1:19" s="23" customFormat="1" x14ac:dyDescent="0.25">
      <c r="A16" s="62">
        <v>2016</v>
      </c>
      <c r="B16" s="31">
        <v>473463.40000000014</v>
      </c>
      <c r="C16" s="31">
        <v>235254.40000000002</v>
      </c>
      <c r="D16" s="34">
        <v>93961.800000000017</v>
      </c>
      <c r="E16" s="34">
        <v>24043.8</v>
      </c>
      <c r="F16" s="34">
        <v>20378.800000000003</v>
      </c>
      <c r="G16" s="34">
        <v>985.80000000000007</v>
      </c>
      <c r="H16" s="25">
        <v>2909.7000000000003</v>
      </c>
      <c r="I16" s="25">
        <v>8653</v>
      </c>
      <c r="J16" s="25">
        <v>87064.099999999991</v>
      </c>
      <c r="K16" s="31">
        <v>58899.3</v>
      </c>
      <c r="L16" s="25">
        <v>16378.7</v>
      </c>
      <c r="M16" s="25">
        <v>973.70000000000016</v>
      </c>
      <c r="N16" s="25">
        <v>139935.4</v>
      </c>
      <c r="O16" s="27">
        <v>224498.3</v>
      </c>
      <c r="P16" s="28">
        <v>26055.199999999993</v>
      </c>
      <c r="Q16" s="33">
        <v>-829.10000000000616</v>
      </c>
      <c r="R16" s="34">
        <v>194069.49999999994</v>
      </c>
      <c r="S16" s="27">
        <f t="shared" si="0"/>
        <v>1606695.8</v>
      </c>
    </row>
    <row r="17" spans="1:19" s="23" customFormat="1" x14ac:dyDescent="0.25">
      <c r="A17" s="62">
        <v>2017</v>
      </c>
      <c r="B17" s="31">
        <v>606474.10000000009</v>
      </c>
      <c r="C17" s="31">
        <v>283463</v>
      </c>
      <c r="D17" s="34">
        <v>119675</v>
      </c>
      <c r="E17" s="34">
        <v>31975.600000000002</v>
      </c>
      <c r="F17" s="34">
        <v>34803.1</v>
      </c>
      <c r="G17" s="34">
        <v>923.6</v>
      </c>
      <c r="H17" s="25">
        <v>4126.2</v>
      </c>
      <c r="I17" s="25">
        <v>8711.4</v>
      </c>
      <c r="J17" s="25">
        <v>160080.29999999999</v>
      </c>
      <c r="K17" s="31">
        <v>66829.5</v>
      </c>
      <c r="L17" s="25">
        <v>19650.5</v>
      </c>
      <c r="M17" s="25">
        <v>782.6</v>
      </c>
      <c r="N17" s="25">
        <v>156052.6</v>
      </c>
      <c r="O17" s="27">
        <v>230717.9</v>
      </c>
      <c r="P17" s="28">
        <v>47407.8</v>
      </c>
      <c r="Q17" s="33">
        <v>-712.40000000000043</v>
      </c>
      <c r="R17" s="34">
        <v>151517.5</v>
      </c>
      <c r="S17" s="27">
        <f t="shared" si="0"/>
        <v>1922478.3000000003</v>
      </c>
    </row>
    <row r="18" spans="1:19" s="23" customFormat="1" x14ac:dyDescent="0.25">
      <c r="A18" s="62">
        <v>2018</v>
      </c>
      <c r="B18" s="39">
        <v>768239.6</v>
      </c>
      <c r="C18" s="39">
        <v>346751.4</v>
      </c>
      <c r="D18" s="40">
        <v>141412.09999999998</v>
      </c>
      <c r="E18" s="40">
        <v>36886.5</v>
      </c>
      <c r="F18" s="40">
        <v>35997.4</v>
      </c>
      <c r="G18" s="40">
        <v>1023.4</v>
      </c>
      <c r="H18" s="41">
        <v>3637.7999999999993</v>
      </c>
      <c r="I18" s="41">
        <v>4437.6000000000004</v>
      </c>
      <c r="J18" s="41">
        <v>249568.7</v>
      </c>
      <c r="K18" s="39">
        <v>72439.7</v>
      </c>
      <c r="L18" s="41">
        <v>20202.199999999997</v>
      </c>
      <c r="M18" s="41">
        <v>960.2</v>
      </c>
      <c r="N18" s="41">
        <v>182222.7</v>
      </c>
      <c r="O18" s="42">
        <v>244861.3</v>
      </c>
      <c r="P18" s="43">
        <v>72531.399999999994</v>
      </c>
      <c r="Q18" s="44">
        <v>-1427.4999999999998</v>
      </c>
      <c r="R18" s="40">
        <v>130520.1</v>
      </c>
      <c r="S18" s="27">
        <f t="shared" ref="S18" si="1">SUM(B18:R18)</f>
        <v>2310264.5999999996</v>
      </c>
    </row>
    <row r="19" spans="1:19" s="23" customFormat="1" x14ac:dyDescent="0.25">
      <c r="A19" s="62">
        <v>2019</v>
      </c>
      <c r="B19" s="31">
        <v>889356.69999999984</v>
      </c>
      <c r="C19" s="31">
        <v>497195.6</v>
      </c>
      <c r="D19" s="34">
        <v>147319.79999999999</v>
      </c>
      <c r="E19" s="34">
        <f>42949.2+58.4</f>
        <v>43007.6</v>
      </c>
      <c r="F19" s="34">
        <v>52965.500000000007</v>
      </c>
      <c r="G19" s="34">
        <v>1109.6999999999998</v>
      </c>
      <c r="H19" s="25">
        <v>5917.9</v>
      </c>
      <c r="I19" s="25">
        <v>4674.6000000000004</v>
      </c>
      <c r="J19" s="25">
        <v>427469.4</v>
      </c>
      <c r="K19" s="31">
        <v>82888.800000000003</v>
      </c>
      <c r="L19" s="25">
        <v>32600.300000000003</v>
      </c>
      <c r="M19" s="25">
        <v>927.60000000000014</v>
      </c>
      <c r="N19" s="25">
        <v>216615.89999999997</v>
      </c>
      <c r="O19" s="27">
        <v>291528.80000000005</v>
      </c>
      <c r="P19" s="28">
        <v>120578.99999999999</v>
      </c>
      <c r="Q19" s="33">
        <f>79.8+10119.5-13.2-15220.2-31.4-0</f>
        <v>-5065.5000000000018</v>
      </c>
      <c r="R19" s="34">
        <f>72539.8+74054.3+1953-16514.7-8349.2</f>
        <v>123683.2</v>
      </c>
      <c r="S19" s="27">
        <f t="shared" ref="S19" si="2">SUM(B19:R19)</f>
        <v>2932774.8999999994</v>
      </c>
    </row>
    <row r="20" spans="1:19" s="23" customFormat="1" ht="15" customHeight="1" x14ac:dyDescent="0.25">
      <c r="A20" s="62">
        <v>2020</v>
      </c>
      <c r="B20" s="31">
        <f>1127406.1+14327.1</f>
        <v>1141733.2000000002</v>
      </c>
      <c r="C20" s="31">
        <f>612431.2+3166.9+2942.3+21501.2+5260.4</f>
        <v>645302</v>
      </c>
      <c r="D20" s="34">
        <f>158492+13303+71.2+7277+232.4</f>
        <v>179375.6</v>
      </c>
      <c r="E20" s="34">
        <f>87099.3+58.4</f>
        <v>87157.7</v>
      </c>
      <c r="F20" s="34">
        <v>44679.6</v>
      </c>
      <c r="G20" s="34">
        <v>899.49999999999989</v>
      </c>
      <c r="H20" s="25">
        <v>3485.6</v>
      </c>
      <c r="I20" s="25">
        <f>0+3667.1</f>
        <v>3667.1</v>
      </c>
      <c r="J20" s="25">
        <v>296859.40000000008</v>
      </c>
      <c r="K20" s="31">
        <f>53343.2+20079.5+26571.3+66</f>
        <v>100060</v>
      </c>
      <c r="L20" s="25">
        <v>22821.599999999999</v>
      </c>
      <c r="M20" s="25">
        <f>13386.5+0</f>
        <v>13386.5</v>
      </c>
      <c r="N20" s="25">
        <f>307050.9+560.2+76.7</f>
        <v>307687.80000000005</v>
      </c>
      <c r="O20" s="27">
        <v>375585</v>
      </c>
      <c r="P20" s="28">
        <v>158256</v>
      </c>
      <c r="Q20" s="33">
        <f>84.4+2023.3+600.1+0-2083.8-31.4-0</f>
        <v>592.59999999999957</v>
      </c>
      <c r="R20" s="34">
        <f>85368.1+75821.6+2271.8-20079.5-14327.1</f>
        <v>129054.9</v>
      </c>
      <c r="S20" s="27">
        <f t="shared" ref="S20" si="3">SUM(B20:R20)</f>
        <v>3510604.1000000006</v>
      </c>
    </row>
    <row r="21" spans="1:19" s="23" customFormat="1" x14ac:dyDescent="0.25">
      <c r="A21" s="62">
        <v>2021</v>
      </c>
      <c r="B21" s="31">
        <v>1308690.2</v>
      </c>
      <c r="C21" s="31">
        <v>989411.8</v>
      </c>
      <c r="D21" s="34">
        <v>225857.4</v>
      </c>
      <c r="E21" s="34">
        <v>62768</v>
      </c>
      <c r="F21" s="34">
        <v>88575.900000000009</v>
      </c>
      <c r="G21" s="34">
        <v>1237.9999999999998</v>
      </c>
      <c r="H21" s="25">
        <v>2437.7999999999997</v>
      </c>
      <c r="I21" s="25">
        <v>3014.6</v>
      </c>
      <c r="J21" s="25">
        <v>512988.39999999997</v>
      </c>
      <c r="K21" s="31">
        <v>110830.1</v>
      </c>
      <c r="L21" s="25">
        <v>33877.5</v>
      </c>
      <c r="M21" s="25">
        <v>4750.2999999999993</v>
      </c>
      <c r="N21" s="25">
        <v>366326.19999999995</v>
      </c>
      <c r="O21" s="27">
        <v>488662.39999999997</v>
      </c>
      <c r="P21" s="28">
        <v>205676.69999999998</v>
      </c>
      <c r="Q21" s="33">
        <v>7861.1999999999916</v>
      </c>
      <c r="R21" s="34">
        <v>181337.30000000002</v>
      </c>
      <c r="S21" s="27">
        <v>4594303.8</v>
      </c>
    </row>
    <row r="22" spans="1:19" s="23" customFormat="1" x14ac:dyDescent="0.25">
      <c r="A22" s="62">
        <v>2022</v>
      </c>
      <c r="B22" s="31">
        <v>2025031.6</v>
      </c>
      <c r="C22" s="31">
        <v>1218764.4000000001</v>
      </c>
      <c r="D22" s="34">
        <v>258313.40000000002</v>
      </c>
      <c r="E22" s="34">
        <v>56856.2</v>
      </c>
      <c r="F22" s="34">
        <v>92199.7</v>
      </c>
      <c r="G22" s="34">
        <v>1176.7</v>
      </c>
      <c r="H22" s="25">
        <v>2548.8000000000006</v>
      </c>
      <c r="I22" s="25">
        <v>33519.9</v>
      </c>
      <c r="J22" s="25">
        <v>521529.70000000007</v>
      </c>
      <c r="K22" s="31">
        <v>183817.2</v>
      </c>
      <c r="L22" s="25">
        <v>51762.1</v>
      </c>
      <c r="M22" s="25">
        <v>1430.1</v>
      </c>
      <c r="N22" s="25">
        <v>497807.3</v>
      </c>
      <c r="O22" s="27">
        <v>675149.5</v>
      </c>
      <c r="P22" s="28">
        <v>222997.10000000003</v>
      </c>
      <c r="Q22" s="33">
        <v>9311.2000000000244</v>
      </c>
      <c r="R22" s="34">
        <v>184107.2</v>
      </c>
      <c r="S22" s="27">
        <v>6036322.0999999996</v>
      </c>
    </row>
    <row r="23" spans="1:19" s="23" customFormat="1" x14ac:dyDescent="0.25">
      <c r="A23" s="62">
        <v>2023</v>
      </c>
      <c r="B23" s="31">
        <v>2146671.0999999996</v>
      </c>
      <c r="C23" s="31">
        <v>1542405.5</v>
      </c>
      <c r="D23" s="34">
        <v>525019.30000000005</v>
      </c>
      <c r="E23" s="34">
        <v>102246.90000000001</v>
      </c>
      <c r="F23" s="34">
        <v>70586.900000000009</v>
      </c>
      <c r="G23" s="34">
        <v>3020.2</v>
      </c>
      <c r="H23" s="25">
        <v>3236.9000000000005</v>
      </c>
      <c r="I23" s="25">
        <v>29096.499999999996</v>
      </c>
      <c r="J23" s="25">
        <v>567382.60000000009</v>
      </c>
      <c r="K23" s="31">
        <v>134007.29999999999</v>
      </c>
      <c r="L23" s="25">
        <v>85269</v>
      </c>
      <c r="M23" s="25">
        <v>3441.3</v>
      </c>
      <c r="N23" s="25">
        <v>787413.8</v>
      </c>
      <c r="O23" s="27">
        <v>821154.60000000009</v>
      </c>
      <c r="P23" s="28">
        <v>240235.3</v>
      </c>
      <c r="Q23" s="33">
        <v>699.5000000000407</v>
      </c>
      <c r="R23" s="34">
        <v>254779.50000000003</v>
      </c>
      <c r="S23" s="27">
        <v>7316666.2000000002</v>
      </c>
    </row>
    <row r="24" spans="1:19" s="23" customFormat="1" x14ac:dyDescent="0.25">
      <c r="A24" s="62">
        <v>2024</v>
      </c>
      <c r="B24" s="31">
        <v>2535599.0999999996</v>
      </c>
      <c r="C24" s="31">
        <v>1678765.6</v>
      </c>
      <c r="D24" s="34">
        <v>497742.39999999991</v>
      </c>
      <c r="E24" s="34">
        <v>103083.70000000001</v>
      </c>
      <c r="F24" s="34">
        <v>141254.20000000001</v>
      </c>
      <c r="G24" s="34">
        <v>5947.2000000000007</v>
      </c>
      <c r="H24" s="25">
        <v>2997.9999999999995</v>
      </c>
      <c r="I24" s="25">
        <v>31368.899999999998</v>
      </c>
      <c r="J24" s="25">
        <v>458538.69999999995</v>
      </c>
      <c r="K24" s="31">
        <v>161980.80000000002</v>
      </c>
      <c r="L24" s="25">
        <v>152977</v>
      </c>
      <c r="M24" s="25">
        <v>2244.7000000000003</v>
      </c>
      <c r="N24" s="25">
        <v>1334377.7000000002</v>
      </c>
      <c r="O24" s="27">
        <v>957299.8</v>
      </c>
      <c r="P24" s="28">
        <v>250039.69999999995</v>
      </c>
      <c r="Q24" s="33">
        <v>3787.3999999999883</v>
      </c>
      <c r="R24" s="34">
        <v>331966.2</v>
      </c>
      <c r="S24" s="27">
        <v>8649971.1000000015</v>
      </c>
    </row>
    <row r="25" spans="1:19" s="23" customFormat="1" x14ac:dyDescent="0.25">
      <c r="A25" s="62">
        <v>2025</v>
      </c>
      <c r="B25" s="31">
        <v>3184801.6000000006</v>
      </c>
      <c r="C25" s="31">
        <v>1847881.7999999996</v>
      </c>
      <c r="D25" s="34">
        <v>667252.19999999995</v>
      </c>
      <c r="E25" s="34">
        <v>102889.1</v>
      </c>
      <c r="F25" s="34">
        <v>169603.9</v>
      </c>
      <c r="G25" s="34">
        <v>13056.199999999999</v>
      </c>
      <c r="H25" s="25">
        <v>26094</v>
      </c>
      <c r="I25" s="25">
        <v>34675.800000000003</v>
      </c>
      <c r="J25" s="25">
        <v>377603.39999999997</v>
      </c>
      <c r="K25" s="31">
        <v>654353.4</v>
      </c>
      <c r="L25" s="25">
        <v>80249.7</v>
      </c>
      <c r="M25" s="25">
        <v>1441</v>
      </c>
      <c r="N25" s="25">
        <v>1768006.2</v>
      </c>
      <c r="O25" s="27">
        <v>1098402.1000000001</v>
      </c>
      <c r="P25" s="28">
        <v>322832.80000000005</v>
      </c>
      <c r="Q25" s="33">
        <v>6500.8000000000347</v>
      </c>
      <c r="R25" s="34">
        <v>516945.89999999997</v>
      </c>
      <c r="S25" s="27">
        <v>10872589.900000002</v>
      </c>
    </row>
    <row r="26" spans="1:19" s="49" customFormat="1" ht="18.75" x14ac:dyDescent="0.3">
      <c r="A26" s="45" t="s">
        <v>3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7"/>
    </row>
    <row r="27" spans="1:19" s="23" customFormat="1" x14ac:dyDescent="0.25">
      <c r="O27" s="35"/>
      <c r="P27" s="35"/>
      <c r="Q27" s="36"/>
      <c r="R27" s="35"/>
      <c r="S27" s="35"/>
    </row>
  </sheetData>
  <mergeCells count="18">
    <mergeCell ref="A4:S4"/>
    <mergeCell ref="A6:A7"/>
    <mergeCell ref="B6:B7"/>
    <mergeCell ref="C6:C7"/>
    <mergeCell ref="D6:D7"/>
    <mergeCell ref="E6:G6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Yvette NDACAYISABA</cp:lastModifiedBy>
  <cp:lastPrinted>2010-03-04T18:44:39Z</cp:lastPrinted>
  <dcterms:created xsi:type="dcterms:W3CDTF">2000-09-13T05:55:37Z</dcterms:created>
  <dcterms:modified xsi:type="dcterms:W3CDTF">2026-04-03T09:32:00Z</dcterms:modified>
</cp:coreProperties>
</file>