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21" i="3" l="1"/>
  <c r="M220" i="3" l="1"/>
  <c r="M218" i="3" l="1"/>
  <c r="M76" i="4" l="1"/>
  <c r="M75" i="4"/>
  <c r="M211" i="3"/>
  <c r="M212" i="3"/>
  <c r="M213" i="3"/>
  <c r="M214" i="3"/>
  <c r="M215" i="3"/>
  <c r="M216" i="3"/>
  <c r="M217" i="3"/>
  <c r="M74" i="4" l="1"/>
  <c r="M56" i="4" l="1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208" i="3"/>
  <c r="M209" i="3"/>
  <c r="M210" i="3"/>
  <c r="K207" i="3" l="1"/>
  <c r="M207" i="3" s="1"/>
  <c r="K206" i="3"/>
  <c r="M206" i="3" s="1"/>
  <c r="K205" i="3"/>
  <c r="M205" i="3" s="1"/>
  <c r="K204" i="3"/>
  <c r="M204" i="3" s="1"/>
  <c r="K203" i="3"/>
  <c r="M203" i="3" s="1"/>
  <c r="K202" i="3"/>
  <c r="M202" i="3" s="1"/>
  <c r="K201" i="3"/>
  <c r="M201" i="3" s="1"/>
  <c r="K200" i="3"/>
  <c r="M200" i="3" s="1"/>
  <c r="K199" i="3"/>
  <c r="M199" i="3" s="1"/>
  <c r="K196" i="3" l="1"/>
  <c r="K197" i="3"/>
  <c r="K198" i="3"/>
  <c r="L22" i="5" l="1"/>
  <c r="J22" i="5"/>
  <c r="K70" i="4"/>
  <c r="M198" i="3"/>
  <c r="F197" i="3"/>
  <c r="M197" i="3" s="1"/>
  <c r="F196" i="3"/>
  <c r="M196" i="3" l="1"/>
  <c r="M195" i="3" l="1"/>
  <c r="M194" i="3"/>
  <c r="M193" i="3"/>
  <c r="M192" i="3"/>
  <c r="M191" i="3"/>
  <c r="M190" i="3"/>
  <c r="M189" i="3"/>
  <c r="M188" i="3"/>
  <c r="M187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K19" i="5" l="1"/>
  <c r="J19" i="5"/>
  <c r="F19" i="5"/>
  <c r="C19" i="5"/>
  <c r="L58" i="4"/>
  <c r="K58" i="4"/>
  <c r="F58" i="4"/>
  <c r="C58" i="4"/>
  <c r="L162" i="3"/>
  <c r="K162" i="3"/>
  <c r="F162" i="3"/>
  <c r="C162" i="3"/>
  <c r="L161" i="3"/>
  <c r="K161" i="3"/>
  <c r="F161" i="3"/>
  <c r="C161" i="3"/>
  <c r="L160" i="3"/>
  <c r="K160" i="3"/>
  <c r="F160" i="3"/>
  <c r="C160" i="3"/>
  <c r="M160" i="3" l="1"/>
  <c r="L19" i="5"/>
  <c r="M162" i="3"/>
  <c r="M161" i="3"/>
  <c r="L57" i="4" l="1"/>
  <c r="K57" i="4"/>
  <c r="F57" i="4"/>
  <c r="C57" i="4"/>
  <c r="L159" i="3"/>
  <c r="K159" i="3"/>
  <c r="F159" i="3"/>
  <c r="C159" i="3"/>
  <c r="M159" i="3" l="1"/>
  <c r="L158" i="3"/>
  <c r="K158" i="3"/>
  <c r="F158" i="3"/>
  <c r="C158" i="3"/>
  <c r="M158" i="3" s="1"/>
  <c r="L157" i="3"/>
  <c r="K157" i="3"/>
  <c r="F157" i="3"/>
  <c r="C157" i="3"/>
  <c r="M157" i="3" l="1"/>
  <c r="L56" i="4"/>
  <c r="K56" i="4"/>
  <c r="F56" i="4"/>
  <c r="C56" i="4"/>
  <c r="L156" i="3"/>
  <c r="K156" i="3"/>
  <c r="F156" i="3"/>
  <c r="C156" i="3"/>
  <c r="M156" i="3" l="1"/>
  <c r="L155" i="3"/>
  <c r="K155" i="3"/>
  <c r="F155" i="3"/>
  <c r="C155" i="3"/>
  <c r="M155" i="3" l="1"/>
  <c r="L154" i="3"/>
  <c r="K154" i="3"/>
  <c r="F154" i="3"/>
  <c r="C154" i="3"/>
  <c r="M154" i="3" l="1"/>
  <c r="L55" i="4"/>
  <c r="K55" i="4"/>
  <c r="F55" i="4"/>
  <c r="C55" i="4"/>
  <c r="M55" i="4" l="1"/>
  <c r="L153" i="3"/>
  <c r="K153" i="3"/>
  <c r="F153" i="3"/>
  <c r="C153" i="3"/>
  <c r="M153" i="3" l="1"/>
  <c r="L152" i="3"/>
  <c r="K152" i="3"/>
  <c r="F152" i="3"/>
  <c r="C152" i="3"/>
  <c r="M152" i="3" s="1"/>
  <c r="L151" i="3" l="1"/>
  <c r="K151" i="3"/>
  <c r="F151" i="3"/>
  <c r="C151" i="3"/>
  <c r="M151" i="3" l="1"/>
  <c r="K18" i="5"/>
  <c r="J18" i="5"/>
  <c r="F18" i="5"/>
  <c r="C18" i="5"/>
  <c r="L54" i="4"/>
  <c r="K54" i="4"/>
  <c r="F54" i="4"/>
  <c r="C54" i="4"/>
  <c r="L150" i="3"/>
  <c r="K150" i="3"/>
  <c r="F150" i="3"/>
  <c r="C150" i="3"/>
  <c r="M150" i="3" l="1"/>
  <c r="L18" i="5"/>
  <c r="M54" i="4"/>
  <c r="L149" i="3"/>
  <c r="K149" i="3"/>
  <c r="F149" i="3"/>
  <c r="C149" i="3"/>
  <c r="M149" i="3" l="1"/>
  <c r="L148" i="3"/>
  <c r="K148" i="3"/>
  <c r="F148" i="3"/>
  <c r="C148" i="3"/>
  <c r="M148" i="3" l="1"/>
  <c r="L53" i="4"/>
  <c r="K53" i="4"/>
  <c r="F53" i="4"/>
  <c r="C53" i="4"/>
  <c r="M53" i="4" s="1"/>
  <c r="L147" i="3"/>
  <c r="K147" i="3"/>
  <c r="F147" i="3"/>
  <c r="C147" i="3"/>
  <c r="M147" i="3" l="1"/>
  <c r="L146" i="3"/>
  <c r="K146" i="3"/>
  <c r="F146" i="3"/>
  <c r="C146" i="3"/>
  <c r="M146" i="3" l="1"/>
  <c r="L145" i="3"/>
  <c r="K145" i="3"/>
  <c r="F145" i="3"/>
  <c r="C145" i="3"/>
  <c r="M145" i="3" s="1"/>
  <c r="L52" i="4" l="1"/>
  <c r="K52" i="4"/>
  <c r="F52" i="4"/>
  <c r="C52" i="4"/>
  <c r="L144" i="3"/>
  <c r="K144" i="3"/>
  <c r="F144" i="3"/>
  <c r="C144" i="3"/>
  <c r="M144" i="3" s="1"/>
  <c r="L143" i="3"/>
  <c r="K143" i="3"/>
  <c r="F143" i="3"/>
  <c r="C143" i="3"/>
  <c r="M143" i="3" s="1"/>
  <c r="M52" i="4" l="1"/>
  <c r="L142" i="3"/>
  <c r="K142" i="3"/>
  <c r="F142" i="3"/>
  <c r="D142" i="3"/>
  <c r="C142" i="3"/>
  <c r="M142" i="3" l="1"/>
  <c r="L17" i="5"/>
  <c r="M51" i="4"/>
  <c r="M50" i="4"/>
  <c r="M49" i="4"/>
  <c r="M48" i="4"/>
  <c r="E47" i="4"/>
  <c r="M47" i="4" s="1"/>
  <c r="M141" i="3"/>
  <c r="M140" i="3"/>
  <c r="M139" i="3"/>
  <c r="M138" i="3"/>
  <c r="M137" i="3"/>
  <c r="M136" i="3"/>
  <c r="M135" i="3"/>
  <c r="M134" i="3"/>
  <c r="M133" i="3"/>
  <c r="M132" i="3"/>
  <c r="M131" i="3"/>
  <c r="M130" i="3"/>
  <c r="E129" i="3"/>
  <c r="M129" i="3" s="1"/>
  <c r="E128" i="3"/>
  <c r="M128" i="3" s="1"/>
  <c r="E127" i="3"/>
  <c r="M127" i="3" s="1"/>
  <c r="L16" i="5" l="1"/>
  <c r="L15" i="5"/>
  <c r="L14" i="5"/>
  <c r="L13" i="5"/>
  <c r="L12" i="5"/>
  <c r="L11" i="5"/>
  <c r="L10" i="5"/>
  <c r="L9" i="5"/>
  <c r="L8" i="5"/>
  <c r="L7" i="5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I7" i="4"/>
  <c r="M7" i="4" s="1"/>
  <c r="M8" i="3"/>
  <c r="M11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7" i="3"/>
  <c r="I17" i="3" l="1"/>
  <c r="M17" i="3" s="1"/>
  <c r="I10" i="3"/>
  <c r="M10" i="3" s="1"/>
  <c r="I9" i="3"/>
  <c r="M9" i="3" s="1"/>
</calcChain>
</file>

<file path=xl/sharedStrings.xml><?xml version="1.0" encoding="utf-8"?>
<sst xmlns="http://schemas.openxmlformats.org/spreadsheetml/2006/main" count="664" uniqueCount="108">
  <si>
    <t>Réserves</t>
  </si>
  <si>
    <t>-</t>
  </si>
  <si>
    <t>(1): Y compris les données de la CAMOFI à partir de décembre 1996.</t>
  </si>
  <si>
    <t>Source : Compilé sur base des données des établissements financiers</t>
  </si>
  <si>
    <t>Autres créances sur le secteur bancaire</t>
  </si>
  <si>
    <t>Créances sur les autres  établissements financiers</t>
  </si>
  <si>
    <t xml:space="preserve">Autres actifs  </t>
  </si>
  <si>
    <t xml:space="preserve">TOTAL ACTIF   </t>
  </si>
  <si>
    <t>Créances sur l'administration centrale</t>
  </si>
  <si>
    <t>Créances sur les administrations locales</t>
  </si>
  <si>
    <t>Créances  sur les agences gouvernementales</t>
  </si>
  <si>
    <t xml:space="preserve">      Créances sur les sociétés à participation publique</t>
  </si>
  <si>
    <t>Créances sur le secteur privé</t>
  </si>
  <si>
    <t xml:space="preserve">                                 SITUATION AGREGEE DES ETABLISSEMENTS FINANCIERS (en millions de BIF)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</si>
  <si>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</si>
  <si>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</si>
  <si>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</si>
  <si>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</si>
  <si>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</si>
  <si>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</si>
  <si>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</si>
  <si>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</si>
  <si>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</si>
  <si>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</si>
  <si>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</si>
  <si>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</si>
  <si>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</si>
  <si>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des situations consolidées des Etablissements Financiers</t>
  </si>
  <si>
    <t>Actif situation cons des E.F données mensuelles</t>
  </si>
  <si>
    <t>Actif situation cons des E.F données trimestrielles</t>
  </si>
  <si>
    <t>Actif situation cons des E.F données annuelles</t>
  </si>
  <si>
    <t>Retour à la Table de Matière</t>
  </si>
  <si>
    <t>Actif situation cons des E.F.xls</t>
  </si>
  <si>
    <t>Période                  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</si>
  <si>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</si>
  <si>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</si>
  <si>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</si>
  <si>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</si>
  <si>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</si>
  <si>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Financiers renseigne sur la situation active consolidée des établissements financiers à savoir BNDE et FPHU</t>
  </si>
  <si>
    <t xml:space="preserve">                         II.7.1</t>
  </si>
  <si>
    <t>Avoirs extérieurs</t>
  </si>
  <si>
    <t xml:space="preserve">                         II.7.2</t>
  </si>
  <si>
    <t>Créances sur les non résidents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</si>
  <si>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</si>
  <si>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</si>
  <si>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</si>
  <si>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</si>
  <si>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</si>
  <si>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</si>
  <si>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</si>
  <si>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</si>
  <si>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</si>
  <si>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</si>
  <si>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</si>
  <si>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</si>
  <si>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</si>
  <si>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</si>
  <si>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</si>
  <si>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</si>
  <si>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</si>
  <si>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</si>
  <si>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</si>
  <si>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</si>
  <si>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</si>
  <si>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</si>
  <si>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</si>
  <si>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</si>
  <si>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</si>
  <si>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</si>
  <si>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</si>
  <si>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</si>
  <si>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</si>
  <si>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</si>
  <si>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</si>
  <si>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</si>
  <si>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</si>
  <si>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</si>
  <si>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</si>
  <si>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</si>
  <si>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</si>
  <si>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</si>
  <si>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</si>
  <si>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</si>
  <si>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</si>
  <si>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</si>
  <si>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</si>
  <si>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</si>
  <si>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</si>
  <si>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</si>
  <si>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</si>
  <si>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</si>
  <si>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</si>
  <si>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</si>
  <si>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</si>
  <si>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</si>
  <si>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</si>
  <si>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</si>
  <si>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</si>
  <si>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</si>
  <si>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</si>
  <si>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</si>
  <si>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</si>
  <si>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</si>
  <si>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</si>
  <si>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</si>
  <si>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Q1-2026</t>
  </si>
  <si>
    <t>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</si>
</sst>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C]mmmm\-yy;@"/>
    <numFmt numFmtId="172" formatCode="[$-409]dd\-mmm\-yy;@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58">
    <xf numFmtId="168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11">
      <protection hidden="1"/>
    </xf>
    <xf numFmtId="0" fontId="22" fillId="7" borderId="11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18" fillId="8" borderId="12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3">
      <alignment vertical="center"/>
    </xf>
    <xf numFmtId="0" fontId="30" fillId="8" borderId="14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2"/>
    <xf numFmtId="0" fontId="28" fillId="11" borderId="5">
      <alignment horizontal="left" vertical="center"/>
    </xf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5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6" fontId="16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7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7" fontId="24" fillId="0" borderId="0">
      <protection locked="0"/>
    </xf>
    <xf numFmtId="38" fontId="39" fillId="11" borderId="0" applyNumberFormat="0" applyBorder="0" applyAlignment="0" applyProtection="0"/>
    <xf numFmtId="0" fontId="40" fillId="0" borderId="16" applyNumberFormat="0" applyAlignment="0" applyProtection="0">
      <alignment horizontal="left" vertical="center"/>
    </xf>
    <xf numFmtId="0" fontId="40" fillId="0" borderId="9">
      <alignment horizontal="left" vertical="center"/>
    </xf>
    <xf numFmtId="188" fontId="41" fillId="0" borderId="0">
      <protection locked="0"/>
    </xf>
    <xf numFmtId="188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0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11">
      <alignment horizontal="left"/>
      <protection locked="0"/>
    </xf>
    <xf numFmtId="1" fontId="34" fillId="0" borderId="0" applyNumberFormat="0" applyAlignment="0">
      <alignment horizontal="center"/>
    </xf>
    <xf numFmtId="175" fontId="48" fillId="0" borderId="0" applyNumberFormat="0">
      <alignment horizontal="centerContinuous"/>
    </xf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89" fontId="38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24" fillId="0" borderId="0">
      <protection locked="0"/>
    </xf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92" fontId="24" fillId="0" borderId="0">
      <protection locked="0"/>
    </xf>
    <xf numFmtId="193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69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176" fontId="16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176" fontId="16" fillId="0" borderId="0"/>
    <xf numFmtId="0" fontId="18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176" fontId="16" fillId="0" borderId="0"/>
    <xf numFmtId="0" fontId="16" fillId="0" borderId="0"/>
    <xf numFmtId="176" fontId="16" fillId="0" borderId="0"/>
    <xf numFmtId="0" fontId="52" fillId="0" borderId="0"/>
    <xf numFmtId="176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6" fontId="16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6" fillId="0" borderId="0"/>
    <xf numFmtId="0" fontId="18" fillId="0" borderId="0"/>
    <xf numFmtId="0" fontId="52" fillId="0" borderId="0"/>
    <xf numFmtId="176" fontId="16" fillId="0" borderId="0"/>
    <xf numFmtId="0" fontId="18" fillId="0" borderId="0"/>
    <xf numFmtId="0" fontId="5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6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68" fontId="16" fillId="0" borderId="0"/>
    <xf numFmtId="0" fontId="18" fillId="0" borderId="0"/>
    <xf numFmtId="0" fontId="18" fillId="0" borderId="0"/>
    <xf numFmtId="0" fontId="16" fillId="0" borderId="0"/>
    <xf numFmtId="194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176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8" fontId="16" fillId="0" borderId="0"/>
    <xf numFmtId="169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6" fillId="0" borderId="0"/>
    <xf numFmtId="169" fontId="16" fillId="0" borderId="0"/>
    <xf numFmtId="0" fontId="18" fillId="0" borderId="0"/>
    <xf numFmtId="169" fontId="16" fillId="0" borderId="0"/>
    <xf numFmtId="169" fontId="16" fillId="0" borderId="0"/>
    <xf numFmtId="169" fontId="16" fillId="0" borderId="0"/>
    <xf numFmtId="169" fontId="16" fillId="0" borderId="0"/>
  </cellStyleXfs>
  <cellXfs count="80">
    <xf numFmtId="168" fontId="0" fillId="0" borderId="0" xfId="0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/>
    <xf numFmtId="168" fontId="3" fillId="0" borderId="3" xfId="0" applyNumberFormat="1" applyFont="1" applyBorder="1" applyAlignment="1" applyProtection="1">
      <alignment horizontal="right"/>
    </xf>
    <xf numFmtId="168" fontId="3" fillId="0" borderId="3" xfId="0" applyNumberFormat="1" applyFont="1" applyBorder="1" applyAlignment="1" applyProtection="1">
      <alignment horizontal="center"/>
    </xf>
    <xf numFmtId="168" fontId="3" fillId="0" borderId="2" xfId="0" applyNumberFormat="1" applyFont="1" applyBorder="1" applyAlignment="1" applyProtection="1">
      <alignment horizontal="fill"/>
    </xf>
    <xf numFmtId="168" fontId="3" fillId="0" borderId="0" xfId="0" applyNumberFormat="1" applyFont="1" applyBorder="1" applyAlignment="1" applyProtection="1">
      <alignment horizontal="right"/>
    </xf>
    <xf numFmtId="168" fontId="3" fillId="0" borderId="0" xfId="0" applyNumberFormat="1" applyFont="1" applyBorder="1" applyAlignment="1" applyProtection="1">
      <alignment horizontal="center"/>
    </xf>
    <xf numFmtId="170" fontId="3" fillId="0" borderId="4" xfId="0" applyNumberFormat="1" applyFont="1" applyBorder="1" applyAlignment="1" applyProtection="1">
      <alignment horizontal="center"/>
    </xf>
    <xf numFmtId="168" fontId="6" fillId="0" borderId="5" xfId="0" applyFont="1" applyBorder="1" applyAlignment="1">
      <alignment horizontal="center"/>
    </xf>
    <xf numFmtId="171" fontId="6" fillId="0" borderId="5" xfId="0" applyNumberFormat="1" applyFont="1" applyFill="1" applyBorder="1" applyAlignment="1" applyProtection="1">
      <alignment horizontal="left"/>
    </xf>
    <xf numFmtId="168" fontId="6" fillId="0" borderId="5" xfId="0" applyFont="1" applyBorder="1" applyAlignment="1">
      <alignment horizontal="right"/>
    </xf>
    <xf numFmtId="170" fontId="6" fillId="0" borderId="5" xfId="0" applyNumberFormat="1" applyFont="1" applyBorder="1" applyAlignment="1" applyProtection="1">
      <alignment horizontal="right"/>
    </xf>
    <xf numFmtId="170" fontId="6" fillId="0" borderId="5" xfId="0" applyNumberFormat="1" applyFont="1" applyBorder="1" applyAlignment="1">
      <alignment horizontal="right"/>
    </xf>
    <xf numFmtId="168" fontId="6" fillId="0" borderId="5" xfId="0" applyNumberFormat="1" applyFont="1" applyBorder="1" applyAlignment="1" applyProtection="1">
      <alignment horizontal="left"/>
    </xf>
    <xf numFmtId="168" fontId="7" fillId="0" borderId="0" xfId="0" applyFont="1"/>
    <xf numFmtId="168" fontId="8" fillId="0" borderId="0" xfId="0" applyFont="1"/>
    <xf numFmtId="168" fontId="9" fillId="0" borderId="0" xfId="0" applyFont="1"/>
    <xf numFmtId="168" fontId="10" fillId="2" borderId="6" xfId="0" applyFont="1" applyFill="1" applyBorder="1"/>
    <xf numFmtId="0" fontId="12" fillId="3" borderId="0" xfId="1" applyFont="1" applyFill="1" applyAlignment="1" applyProtection="1"/>
    <xf numFmtId="168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2" fontId="7" fillId="0" borderId="0" xfId="0" applyNumberFormat="1" applyFont="1" applyAlignment="1">
      <alignment horizontal="left"/>
    </xf>
    <xf numFmtId="0" fontId="11" fillId="0" borderId="0" xfId="1" applyAlignment="1" applyProtection="1"/>
    <xf numFmtId="169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2" fillId="0" borderId="0" xfId="0" applyNumberFormat="1" applyFont="1" applyBorder="1" applyAlignment="1" applyProtection="1">
      <alignment horizontal="centerContinuous"/>
    </xf>
    <xf numFmtId="168" fontId="6" fillId="0" borderId="0" xfId="0" applyFont="1"/>
    <xf numFmtId="168" fontId="6" fillId="0" borderId="3" xfId="0" applyNumberFormat="1" applyFont="1" applyBorder="1" applyAlignment="1" applyProtection="1">
      <alignment horizontal="right"/>
    </xf>
    <xf numFmtId="168" fontId="6" fillId="0" borderId="3" xfId="0" applyNumberFormat="1" applyFont="1" applyBorder="1" applyAlignment="1" applyProtection="1">
      <alignment horizontal="center"/>
    </xf>
    <xf numFmtId="168" fontId="6" fillId="0" borderId="2" xfId="0" applyNumberFormat="1" applyFont="1" applyBorder="1" applyAlignment="1" applyProtection="1">
      <alignment horizontal="fill"/>
    </xf>
    <xf numFmtId="168" fontId="6" fillId="0" borderId="0" xfId="0" applyNumberFormat="1" applyFont="1" applyBorder="1" applyAlignment="1" applyProtection="1">
      <alignment horizontal="right"/>
    </xf>
    <xf numFmtId="168" fontId="6" fillId="0" borderId="0" xfId="0" applyNumberFormat="1" applyFont="1" applyBorder="1" applyAlignment="1" applyProtection="1">
      <alignment horizontal="center"/>
    </xf>
    <xf numFmtId="168" fontId="6" fillId="0" borderId="2" xfId="0" applyFont="1" applyBorder="1"/>
    <xf numFmtId="168" fontId="6" fillId="0" borderId="0" xfId="0" applyFont="1" applyBorder="1" applyAlignment="1">
      <alignment horizontal="right"/>
    </xf>
    <xf numFmtId="168" fontId="6" fillId="0" borderId="0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6" fillId="0" borderId="0" xfId="0" applyFont="1" applyAlignment="1">
      <alignment horizontal="right"/>
    </xf>
    <xf numFmtId="168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8" fontId="11" fillId="0" borderId="1" xfId="1" applyNumberFormat="1" applyBorder="1" applyAlignment="1" applyProtection="1">
      <alignment horizontal="fill"/>
    </xf>
    <xf numFmtId="168" fontId="11" fillId="0" borderId="0" xfId="1" applyNumberFormat="1" applyAlignment="1" applyProtection="1"/>
    <xf numFmtId="168" fontId="5" fillId="0" borderId="0" xfId="0" applyNumberFormat="1" applyFont="1" applyBorder="1" applyAlignment="1" applyProtection="1">
      <alignment horizontal="center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1" fontId="6" fillId="4" borderId="5" xfId="0" quotePrefix="1" applyNumberFormat="1" applyFont="1" applyFill="1" applyBorder="1" applyAlignment="1" applyProtection="1">
      <alignment horizontal="left" vertical="top"/>
    </xf>
    <xf numFmtId="168" fontId="3" fillId="0" borderId="0" xfId="0" applyFont="1"/>
    <xf numFmtId="168" fontId="4" fillId="0" borderId="0" xfId="0" applyFont="1"/>
    <xf numFmtId="170" fontId="6" fillId="0" borderId="0" xfId="0" applyNumberFormat="1" applyFont="1" applyBorder="1" applyAlignment="1" applyProtection="1">
      <alignment horizontal="center"/>
    </xf>
    <xf numFmtId="168" fontId="6" fillId="0" borderId="0" xfId="0" applyFont="1" applyBorder="1"/>
    <xf numFmtId="168" fontId="3" fillId="0" borderId="0" xfId="0" applyFont="1" applyBorder="1"/>
    <xf numFmtId="168" fontId="4" fillId="5" borderId="7" xfId="0" applyFont="1" applyFill="1" applyBorder="1" applyAlignment="1">
      <alignment horizontal="center" vertical="center"/>
    </xf>
    <xf numFmtId="169" fontId="4" fillId="5" borderId="5" xfId="0" applyNumberFormat="1" applyFont="1" applyFill="1" applyBorder="1" applyAlignment="1" applyProtection="1">
      <alignment horizontal="right"/>
    </xf>
    <xf numFmtId="169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NumberFormat="1" applyFont="1" applyFill="1" applyBorder="1" applyAlignment="1" applyProtection="1">
      <alignment horizontal="center" wrapText="1"/>
    </xf>
    <xf numFmtId="168" fontId="4" fillId="5" borderId="5" xfId="0" applyFont="1" applyFill="1" applyBorder="1" applyAlignment="1">
      <alignment horizontal="center"/>
    </xf>
    <xf numFmtId="170" fontId="4" fillId="5" borderId="5" xfId="0" applyNumberFormat="1" applyFont="1" applyFill="1" applyBorder="1" applyAlignment="1">
      <alignment horizontal="center" wrapText="1"/>
    </xf>
    <xf numFmtId="1" fontId="6" fillId="4" borderId="5" xfId="0" quotePrefix="1" applyNumberFormat="1" applyFont="1" applyFill="1" applyBorder="1" applyAlignment="1" applyProtection="1">
      <alignment horizontal="left" vertical="top"/>
    </xf>
    <xf numFmtId="168" fontId="5" fillId="0" borderId="5" xfId="0" applyFont="1" applyBorder="1" applyAlignment="1">
      <alignment horizontal="center"/>
    </xf>
    <xf numFmtId="168" fontId="5" fillId="0" borderId="5" xfId="0" applyNumberFormat="1" applyFont="1" applyBorder="1" applyAlignment="1" applyProtection="1">
      <alignment horizontal="center"/>
    </xf>
    <xf numFmtId="168" fontId="14" fillId="0" borderId="0" xfId="0" applyFont="1" applyAlignment="1">
      <alignment horizontal="justify" vertical="center"/>
    </xf>
    <xf numFmtId="168" fontId="13" fillId="0" borderId="0" xfId="0" applyFont="1" applyBorder="1" applyAlignment="1">
      <alignment horizontal="center" wrapText="1"/>
    </xf>
    <xf numFmtId="168" fontId="4" fillId="0" borderId="0" xfId="0" applyNumberFormat="1" applyFont="1" applyBorder="1" applyAlignment="1" applyProtection="1">
      <alignment horizontal="center"/>
    </xf>
    <xf numFmtId="168" fontId="6" fillId="0" borderId="0" xfId="0" applyNumberFormat="1" applyFont="1" applyBorder="1" applyAlignment="1" applyProtection="1">
      <alignment horizontal="fill"/>
    </xf>
    <xf numFmtId="168" fontId="4" fillId="5" borderId="5" xfId="0" applyFont="1" applyFill="1" applyBorder="1" applyAlignment="1">
      <alignment horizontal="center" vertical="center"/>
    </xf>
    <xf numFmtId="168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7" fontId="7" fillId="3" borderId="0" xfId="0" applyNumberFormat="1" applyFont="1" applyFill="1" applyAlignment="1">
      <alignment horizontal="right"/>
    </xf>
    <xf numFmtId="171" fontId="6" fillId="0" borderId="5" xfId="0" quotePrefix="1" applyNumberFormat="1" applyFont="1" applyFill="1" applyBorder="1" applyAlignment="1">
      <alignment horizontal="left"/>
    </xf>
    <xf numFmtId="168" fontId="4" fillId="0" borderId="2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8" fontId="5" fillId="0" borderId="8" xfId="0" applyNumberFormat="1" applyFont="1" applyBorder="1" applyAlignment="1" applyProtection="1">
      <alignment horizontal="left"/>
    </xf>
    <xf numFmtId="168" fontId="5" fillId="0" borderId="9" xfId="0" applyNumberFormat="1" applyFont="1" applyBorder="1" applyAlignment="1" applyProtection="1">
      <alignment horizontal="left"/>
    </xf>
    <xf numFmtId="168" fontId="5" fillId="0" borderId="10" xfId="0" applyNumberFormat="1" applyFont="1" applyBorder="1" applyAlignment="1" applyProtection="1">
      <alignment horizontal="left"/>
    </xf>
    <xf numFmtId="168" fontId="6" fillId="0" borderId="8" xfId="0" applyNumberFormat="1" applyFont="1" applyBorder="1" applyAlignment="1" applyProtection="1">
      <alignment horizontal="left"/>
    </xf>
    <xf numFmtId="168" fontId="6" fillId="0" borderId="9" xfId="0" applyNumberFormat="1" applyFont="1" applyBorder="1" applyAlignment="1" applyProtection="1">
      <alignment horizontal="left"/>
    </xf>
    <xf numFmtId="168" fontId="6" fillId="0" borderId="10" xfId="0" applyNumberFormat="1" applyFont="1" applyBorder="1" applyAlignment="1" applyProtection="1">
      <alignment horizontal="left"/>
    </xf>
  </cellXfs>
  <cellStyles count="4358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topLeftCell="D1" workbookViewId="0">
      <selection activeCell="F14" sqref="F14"/>
    </sheetView>
  </sheetViews>
  <sheetFormatPr baseColWidth="10" defaultColWidth="8.88671875" defaultRowHeight="15.75"/>
  <cols>
    <col min="1" max="1" width="4.21875" style="17" customWidth="1"/>
    <col min="2" max="2" width="68.6640625" style="17" bestFit="1" customWidth="1"/>
    <col min="3" max="3" width="39.77734375" style="17" customWidth="1"/>
    <col min="4" max="4" width="17.109375" style="17" bestFit="1" customWidth="1"/>
    <col min="5" max="5" width="24.6640625" style="17" customWidth="1"/>
    <col min="6" max="256" width="8.88671875" style="17"/>
    <col min="257" max="257" width="4.21875" style="17" customWidth="1"/>
    <col min="258" max="258" width="68.6640625" style="17" bestFit="1" customWidth="1"/>
    <col min="259" max="259" width="39.88671875" style="17" bestFit="1" customWidth="1"/>
    <col min="260" max="260" width="17.109375" style="17" bestFit="1" customWidth="1"/>
    <col min="261" max="261" width="15.88671875" style="17" customWidth="1"/>
    <col min="262" max="512" width="8.88671875" style="17"/>
    <col min="513" max="513" width="4.21875" style="17" customWidth="1"/>
    <col min="514" max="514" width="68.6640625" style="17" bestFit="1" customWidth="1"/>
    <col min="515" max="515" width="39.88671875" style="17" bestFit="1" customWidth="1"/>
    <col min="516" max="516" width="17.109375" style="17" bestFit="1" customWidth="1"/>
    <col min="517" max="517" width="15.88671875" style="17" customWidth="1"/>
    <col min="518" max="768" width="8.88671875" style="17"/>
    <col min="769" max="769" width="4.21875" style="17" customWidth="1"/>
    <col min="770" max="770" width="68.6640625" style="17" bestFit="1" customWidth="1"/>
    <col min="771" max="771" width="39.88671875" style="17" bestFit="1" customWidth="1"/>
    <col min="772" max="772" width="17.109375" style="17" bestFit="1" customWidth="1"/>
    <col min="773" max="773" width="15.88671875" style="17" customWidth="1"/>
    <col min="774" max="1024" width="8.88671875" style="17"/>
    <col min="1025" max="1025" width="4.21875" style="17" customWidth="1"/>
    <col min="1026" max="1026" width="68.6640625" style="17" bestFit="1" customWidth="1"/>
    <col min="1027" max="1027" width="39.88671875" style="17" bestFit="1" customWidth="1"/>
    <col min="1028" max="1028" width="17.109375" style="17" bestFit="1" customWidth="1"/>
    <col min="1029" max="1029" width="15.88671875" style="17" customWidth="1"/>
    <col min="1030" max="1280" width="8.88671875" style="17"/>
    <col min="1281" max="1281" width="4.21875" style="17" customWidth="1"/>
    <col min="1282" max="1282" width="68.6640625" style="17" bestFit="1" customWidth="1"/>
    <col min="1283" max="1283" width="39.88671875" style="17" bestFit="1" customWidth="1"/>
    <col min="1284" max="1284" width="17.109375" style="17" bestFit="1" customWidth="1"/>
    <col min="1285" max="1285" width="15.88671875" style="17" customWidth="1"/>
    <col min="1286" max="1536" width="8.88671875" style="17"/>
    <col min="1537" max="1537" width="4.21875" style="17" customWidth="1"/>
    <col min="1538" max="1538" width="68.6640625" style="17" bestFit="1" customWidth="1"/>
    <col min="1539" max="1539" width="39.88671875" style="17" bestFit="1" customWidth="1"/>
    <col min="1540" max="1540" width="17.109375" style="17" bestFit="1" customWidth="1"/>
    <col min="1541" max="1541" width="15.88671875" style="17" customWidth="1"/>
    <col min="1542" max="1792" width="8.88671875" style="17"/>
    <col min="1793" max="1793" width="4.21875" style="17" customWidth="1"/>
    <col min="1794" max="1794" width="68.6640625" style="17" bestFit="1" customWidth="1"/>
    <col min="1795" max="1795" width="39.88671875" style="17" bestFit="1" customWidth="1"/>
    <col min="1796" max="1796" width="17.109375" style="17" bestFit="1" customWidth="1"/>
    <col min="1797" max="1797" width="15.88671875" style="17" customWidth="1"/>
    <col min="1798" max="2048" width="8.88671875" style="17"/>
    <col min="2049" max="2049" width="4.21875" style="17" customWidth="1"/>
    <col min="2050" max="2050" width="68.6640625" style="17" bestFit="1" customWidth="1"/>
    <col min="2051" max="2051" width="39.88671875" style="17" bestFit="1" customWidth="1"/>
    <col min="2052" max="2052" width="17.109375" style="17" bestFit="1" customWidth="1"/>
    <col min="2053" max="2053" width="15.88671875" style="17" customWidth="1"/>
    <col min="2054" max="2304" width="8.88671875" style="17"/>
    <col min="2305" max="2305" width="4.21875" style="17" customWidth="1"/>
    <col min="2306" max="2306" width="68.6640625" style="17" bestFit="1" customWidth="1"/>
    <col min="2307" max="2307" width="39.88671875" style="17" bestFit="1" customWidth="1"/>
    <col min="2308" max="2308" width="17.109375" style="17" bestFit="1" customWidth="1"/>
    <col min="2309" max="2309" width="15.88671875" style="17" customWidth="1"/>
    <col min="2310" max="2560" width="8.88671875" style="17"/>
    <col min="2561" max="2561" width="4.21875" style="17" customWidth="1"/>
    <col min="2562" max="2562" width="68.6640625" style="17" bestFit="1" customWidth="1"/>
    <col min="2563" max="2563" width="39.88671875" style="17" bestFit="1" customWidth="1"/>
    <col min="2564" max="2564" width="17.109375" style="17" bestFit="1" customWidth="1"/>
    <col min="2565" max="2565" width="15.88671875" style="17" customWidth="1"/>
    <col min="2566" max="2816" width="8.88671875" style="17"/>
    <col min="2817" max="2817" width="4.21875" style="17" customWidth="1"/>
    <col min="2818" max="2818" width="68.6640625" style="17" bestFit="1" customWidth="1"/>
    <col min="2819" max="2819" width="39.88671875" style="17" bestFit="1" customWidth="1"/>
    <col min="2820" max="2820" width="17.109375" style="17" bestFit="1" customWidth="1"/>
    <col min="2821" max="2821" width="15.88671875" style="17" customWidth="1"/>
    <col min="2822" max="3072" width="8.88671875" style="17"/>
    <col min="3073" max="3073" width="4.21875" style="17" customWidth="1"/>
    <col min="3074" max="3074" width="68.6640625" style="17" bestFit="1" customWidth="1"/>
    <col min="3075" max="3075" width="39.88671875" style="17" bestFit="1" customWidth="1"/>
    <col min="3076" max="3076" width="17.109375" style="17" bestFit="1" customWidth="1"/>
    <col min="3077" max="3077" width="15.88671875" style="17" customWidth="1"/>
    <col min="3078" max="3328" width="8.88671875" style="17"/>
    <col min="3329" max="3329" width="4.21875" style="17" customWidth="1"/>
    <col min="3330" max="3330" width="68.6640625" style="17" bestFit="1" customWidth="1"/>
    <col min="3331" max="3331" width="39.88671875" style="17" bestFit="1" customWidth="1"/>
    <col min="3332" max="3332" width="17.109375" style="17" bestFit="1" customWidth="1"/>
    <col min="3333" max="3333" width="15.88671875" style="17" customWidth="1"/>
    <col min="3334" max="3584" width="8.88671875" style="17"/>
    <col min="3585" max="3585" width="4.21875" style="17" customWidth="1"/>
    <col min="3586" max="3586" width="68.6640625" style="17" bestFit="1" customWidth="1"/>
    <col min="3587" max="3587" width="39.88671875" style="17" bestFit="1" customWidth="1"/>
    <col min="3588" max="3588" width="17.109375" style="17" bestFit="1" customWidth="1"/>
    <col min="3589" max="3589" width="15.88671875" style="17" customWidth="1"/>
    <col min="3590" max="3840" width="8.88671875" style="17"/>
    <col min="3841" max="3841" width="4.21875" style="17" customWidth="1"/>
    <col min="3842" max="3842" width="68.6640625" style="17" bestFit="1" customWidth="1"/>
    <col min="3843" max="3843" width="39.88671875" style="17" bestFit="1" customWidth="1"/>
    <col min="3844" max="3844" width="17.109375" style="17" bestFit="1" customWidth="1"/>
    <col min="3845" max="3845" width="15.88671875" style="17" customWidth="1"/>
    <col min="3846" max="4096" width="8.88671875" style="17"/>
    <col min="4097" max="4097" width="4.21875" style="17" customWidth="1"/>
    <col min="4098" max="4098" width="68.6640625" style="17" bestFit="1" customWidth="1"/>
    <col min="4099" max="4099" width="39.88671875" style="17" bestFit="1" customWidth="1"/>
    <col min="4100" max="4100" width="17.109375" style="17" bestFit="1" customWidth="1"/>
    <col min="4101" max="4101" width="15.88671875" style="17" customWidth="1"/>
    <col min="4102" max="4352" width="8.88671875" style="17"/>
    <col min="4353" max="4353" width="4.21875" style="17" customWidth="1"/>
    <col min="4354" max="4354" width="68.6640625" style="17" bestFit="1" customWidth="1"/>
    <col min="4355" max="4355" width="39.88671875" style="17" bestFit="1" customWidth="1"/>
    <col min="4356" max="4356" width="17.109375" style="17" bestFit="1" customWidth="1"/>
    <col min="4357" max="4357" width="15.88671875" style="17" customWidth="1"/>
    <col min="4358" max="4608" width="8.88671875" style="17"/>
    <col min="4609" max="4609" width="4.21875" style="17" customWidth="1"/>
    <col min="4610" max="4610" width="68.6640625" style="17" bestFit="1" customWidth="1"/>
    <col min="4611" max="4611" width="39.88671875" style="17" bestFit="1" customWidth="1"/>
    <col min="4612" max="4612" width="17.109375" style="17" bestFit="1" customWidth="1"/>
    <col min="4613" max="4613" width="15.88671875" style="17" customWidth="1"/>
    <col min="4614" max="4864" width="8.88671875" style="17"/>
    <col min="4865" max="4865" width="4.21875" style="17" customWidth="1"/>
    <col min="4866" max="4866" width="68.6640625" style="17" bestFit="1" customWidth="1"/>
    <col min="4867" max="4867" width="39.88671875" style="17" bestFit="1" customWidth="1"/>
    <col min="4868" max="4868" width="17.109375" style="17" bestFit="1" customWidth="1"/>
    <col min="4869" max="4869" width="15.88671875" style="17" customWidth="1"/>
    <col min="4870" max="5120" width="8.88671875" style="17"/>
    <col min="5121" max="5121" width="4.21875" style="17" customWidth="1"/>
    <col min="5122" max="5122" width="68.6640625" style="17" bestFit="1" customWidth="1"/>
    <col min="5123" max="5123" width="39.88671875" style="17" bestFit="1" customWidth="1"/>
    <col min="5124" max="5124" width="17.109375" style="17" bestFit="1" customWidth="1"/>
    <col min="5125" max="5125" width="15.88671875" style="17" customWidth="1"/>
    <col min="5126" max="5376" width="8.88671875" style="17"/>
    <col min="5377" max="5377" width="4.21875" style="17" customWidth="1"/>
    <col min="5378" max="5378" width="68.6640625" style="17" bestFit="1" customWidth="1"/>
    <col min="5379" max="5379" width="39.88671875" style="17" bestFit="1" customWidth="1"/>
    <col min="5380" max="5380" width="17.109375" style="17" bestFit="1" customWidth="1"/>
    <col min="5381" max="5381" width="15.88671875" style="17" customWidth="1"/>
    <col min="5382" max="5632" width="8.88671875" style="17"/>
    <col min="5633" max="5633" width="4.21875" style="17" customWidth="1"/>
    <col min="5634" max="5634" width="68.6640625" style="17" bestFit="1" customWidth="1"/>
    <col min="5635" max="5635" width="39.88671875" style="17" bestFit="1" customWidth="1"/>
    <col min="5636" max="5636" width="17.109375" style="17" bestFit="1" customWidth="1"/>
    <col min="5637" max="5637" width="15.88671875" style="17" customWidth="1"/>
    <col min="5638" max="5888" width="8.88671875" style="17"/>
    <col min="5889" max="5889" width="4.21875" style="17" customWidth="1"/>
    <col min="5890" max="5890" width="68.6640625" style="17" bestFit="1" customWidth="1"/>
    <col min="5891" max="5891" width="39.88671875" style="17" bestFit="1" customWidth="1"/>
    <col min="5892" max="5892" width="17.109375" style="17" bestFit="1" customWidth="1"/>
    <col min="5893" max="5893" width="15.88671875" style="17" customWidth="1"/>
    <col min="5894" max="6144" width="8.88671875" style="17"/>
    <col min="6145" max="6145" width="4.21875" style="17" customWidth="1"/>
    <col min="6146" max="6146" width="68.6640625" style="17" bestFit="1" customWidth="1"/>
    <col min="6147" max="6147" width="39.88671875" style="17" bestFit="1" customWidth="1"/>
    <col min="6148" max="6148" width="17.109375" style="17" bestFit="1" customWidth="1"/>
    <col min="6149" max="6149" width="15.88671875" style="17" customWidth="1"/>
    <col min="6150" max="6400" width="8.88671875" style="17"/>
    <col min="6401" max="6401" width="4.21875" style="17" customWidth="1"/>
    <col min="6402" max="6402" width="68.6640625" style="17" bestFit="1" customWidth="1"/>
    <col min="6403" max="6403" width="39.88671875" style="17" bestFit="1" customWidth="1"/>
    <col min="6404" max="6404" width="17.109375" style="17" bestFit="1" customWidth="1"/>
    <col min="6405" max="6405" width="15.88671875" style="17" customWidth="1"/>
    <col min="6406" max="6656" width="8.88671875" style="17"/>
    <col min="6657" max="6657" width="4.21875" style="17" customWidth="1"/>
    <col min="6658" max="6658" width="68.6640625" style="17" bestFit="1" customWidth="1"/>
    <col min="6659" max="6659" width="39.88671875" style="17" bestFit="1" customWidth="1"/>
    <col min="6660" max="6660" width="17.109375" style="17" bestFit="1" customWidth="1"/>
    <col min="6661" max="6661" width="15.88671875" style="17" customWidth="1"/>
    <col min="6662" max="6912" width="8.88671875" style="17"/>
    <col min="6913" max="6913" width="4.21875" style="17" customWidth="1"/>
    <col min="6914" max="6914" width="68.6640625" style="17" bestFit="1" customWidth="1"/>
    <col min="6915" max="6915" width="39.88671875" style="17" bestFit="1" customWidth="1"/>
    <col min="6916" max="6916" width="17.109375" style="17" bestFit="1" customWidth="1"/>
    <col min="6917" max="6917" width="15.88671875" style="17" customWidth="1"/>
    <col min="6918" max="7168" width="8.88671875" style="17"/>
    <col min="7169" max="7169" width="4.21875" style="17" customWidth="1"/>
    <col min="7170" max="7170" width="68.6640625" style="17" bestFit="1" customWidth="1"/>
    <col min="7171" max="7171" width="39.88671875" style="17" bestFit="1" customWidth="1"/>
    <col min="7172" max="7172" width="17.109375" style="17" bestFit="1" customWidth="1"/>
    <col min="7173" max="7173" width="15.88671875" style="17" customWidth="1"/>
    <col min="7174" max="7424" width="8.88671875" style="17"/>
    <col min="7425" max="7425" width="4.21875" style="17" customWidth="1"/>
    <col min="7426" max="7426" width="68.6640625" style="17" bestFit="1" customWidth="1"/>
    <col min="7427" max="7427" width="39.88671875" style="17" bestFit="1" customWidth="1"/>
    <col min="7428" max="7428" width="17.109375" style="17" bestFit="1" customWidth="1"/>
    <col min="7429" max="7429" width="15.88671875" style="17" customWidth="1"/>
    <col min="7430" max="7680" width="8.88671875" style="17"/>
    <col min="7681" max="7681" width="4.21875" style="17" customWidth="1"/>
    <col min="7682" max="7682" width="68.6640625" style="17" bestFit="1" customWidth="1"/>
    <col min="7683" max="7683" width="39.88671875" style="17" bestFit="1" customWidth="1"/>
    <col min="7684" max="7684" width="17.109375" style="17" bestFit="1" customWidth="1"/>
    <col min="7685" max="7685" width="15.88671875" style="17" customWidth="1"/>
    <col min="7686" max="7936" width="8.88671875" style="17"/>
    <col min="7937" max="7937" width="4.21875" style="17" customWidth="1"/>
    <col min="7938" max="7938" width="68.6640625" style="17" bestFit="1" customWidth="1"/>
    <col min="7939" max="7939" width="39.88671875" style="17" bestFit="1" customWidth="1"/>
    <col min="7940" max="7940" width="17.109375" style="17" bestFit="1" customWidth="1"/>
    <col min="7941" max="7941" width="15.88671875" style="17" customWidth="1"/>
    <col min="7942" max="8192" width="8.88671875" style="17"/>
    <col min="8193" max="8193" width="4.21875" style="17" customWidth="1"/>
    <col min="8194" max="8194" width="68.6640625" style="17" bestFit="1" customWidth="1"/>
    <col min="8195" max="8195" width="39.88671875" style="17" bestFit="1" customWidth="1"/>
    <col min="8196" max="8196" width="17.109375" style="17" bestFit="1" customWidth="1"/>
    <col min="8197" max="8197" width="15.88671875" style="17" customWidth="1"/>
    <col min="8198" max="8448" width="8.88671875" style="17"/>
    <col min="8449" max="8449" width="4.21875" style="17" customWidth="1"/>
    <col min="8450" max="8450" width="68.6640625" style="17" bestFit="1" customWidth="1"/>
    <col min="8451" max="8451" width="39.88671875" style="17" bestFit="1" customWidth="1"/>
    <col min="8452" max="8452" width="17.109375" style="17" bestFit="1" customWidth="1"/>
    <col min="8453" max="8453" width="15.88671875" style="17" customWidth="1"/>
    <col min="8454" max="8704" width="8.88671875" style="17"/>
    <col min="8705" max="8705" width="4.21875" style="17" customWidth="1"/>
    <col min="8706" max="8706" width="68.6640625" style="17" bestFit="1" customWidth="1"/>
    <col min="8707" max="8707" width="39.88671875" style="17" bestFit="1" customWidth="1"/>
    <col min="8708" max="8708" width="17.109375" style="17" bestFit="1" customWidth="1"/>
    <col min="8709" max="8709" width="15.88671875" style="17" customWidth="1"/>
    <col min="8710" max="8960" width="8.88671875" style="17"/>
    <col min="8961" max="8961" width="4.21875" style="17" customWidth="1"/>
    <col min="8962" max="8962" width="68.6640625" style="17" bestFit="1" customWidth="1"/>
    <col min="8963" max="8963" width="39.88671875" style="17" bestFit="1" customWidth="1"/>
    <col min="8964" max="8964" width="17.109375" style="17" bestFit="1" customWidth="1"/>
    <col min="8965" max="8965" width="15.88671875" style="17" customWidth="1"/>
    <col min="8966" max="9216" width="8.88671875" style="17"/>
    <col min="9217" max="9217" width="4.21875" style="17" customWidth="1"/>
    <col min="9218" max="9218" width="68.6640625" style="17" bestFit="1" customWidth="1"/>
    <col min="9219" max="9219" width="39.88671875" style="17" bestFit="1" customWidth="1"/>
    <col min="9220" max="9220" width="17.109375" style="17" bestFit="1" customWidth="1"/>
    <col min="9221" max="9221" width="15.88671875" style="17" customWidth="1"/>
    <col min="9222" max="9472" width="8.88671875" style="17"/>
    <col min="9473" max="9473" width="4.21875" style="17" customWidth="1"/>
    <col min="9474" max="9474" width="68.6640625" style="17" bestFit="1" customWidth="1"/>
    <col min="9475" max="9475" width="39.88671875" style="17" bestFit="1" customWidth="1"/>
    <col min="9476" max="9476" width="17.109375" style="17" bestFit="1" customWidth="1"/>
    <col min="9477" max="9477" width="15.88671875" style="17" customWidth="1"/>
    <col min="9478" max="9728" width="8.88671875" style="17"/>
    <col min="9729" max="9729" width="4.21875" style="17" customWidth="1"/>
    <col min="9730" max="9730" width="68.6640625" style="17" bestFit="1" customWidth="1"/>
    <col min="9731" max="9731" width="39.88671875" style="17" bestFit="1" customWidth="1"/>
    <col min="9732" max="9732" width="17.109375" style="17" bestFit="1" customWidth="1"/>
    <col min="9733" max="9733" width="15.88671875" style="17" customWidth="1"/>
    <col min="9734" max="9984" width="8.88671875" style="17"/>
    <col min="9985" max="9985" width="4.21875" style="17" customWidth="1"/>
    <col min="9986" max="9986" width="68.6640625" style="17" bestFit="1" customWidth="1"/>
    <col min="9987" max="9987" width="39.88671875" style="17" bestFit="1" customWidth="1"/>
    <col min="9988" max="9988" width="17.109375" style="17" bestFit="1" customWidth="1"/>
    <col min="9989" max="9989" width="15.88671875" style="17" customWidth="1"/>
    <col min="9990" max="10240" width="8.88671875" style="17"/>
    <col min="10241" max="10241" width="4.21875" style="17" customWidth="1"/>
    <col min="10242" max="10242" width="68.6640625" style="17" bestFit="1" customWidth="1"/>
    <col min="10243" max="10243" width="39.88671875" style="17" bestFit="1" customWidth="1"/>
    <col min="10244" max="10244" width="17.109375" style="17" bestFit="1" customWidth="1"/>
    <col min="10245" max="10245" width="15.88671875" style="17" customWidth="1"/>
    <col min="10246" max="10496" width="8.88671875" style="17"/>
    <col min="10497" max="10497" width="4.21875" style="17" customWidth="1"/>
    <col min="10498" max="10498" width="68.6640625" style="17" bestFit="1" customWidth="1"/>
    <col min="10499" max="10499" width="39.88671875" style="17" bestFit="1" customWidth="1"/>
    <col min="10500" max="10500" width="17.109375" style="17" bestFit="1" customWidth="1"/>
    <col min="10501" max="10501" width="15.88671875" style="17" customWidth="1"/>
    <col min="10502" max="10752" width="8.88671875" style="17"/>
    <col min="10753" max="10753" width="4.21875" style="17" customWidth="1"/>
    <col min="10754" max="10754" width="68.6640625" style="17" bestFit="1" customWidth="1"/>
    <col min="10755" max="10755" width="39.88671875" style="17" bestFit="1" customWidth="1"/>
    <col min="10756" max="10756" width="17.109375" style="17" bestFit="1" customWidth="1"/>
    <col min="10757" max="10757" width="15.88671875" style="17" customWidth="1"/>
    <col min="10758" max="11008" width="8.88671875" style="17"/>
    <col min="11009" max="11009" width="4.21875" style="17" customWidth="1"/>
    <col min="11010" max="11010" width="68.6640625" style="17" bestFit="1" customWidth="1"/>
    <col min="11011" max="11011" width="39.88671875" style="17" bestFit="1" customWidth="1"/>
    <col min="11012" max="11012" width="17.109375" style="17" bestFit="1" customWidth="1"/>
    <col min="11013" max="11013" width="15.88671875" style="17" customWidth="1"/>
    <col min="11014" max="11264" width="8.88671875" style="17"/>
    <col min="11265" max="11265" width="4.21875" style="17" customWidth="1"/>
    <col min="11266" max="11266" width="68.6640625" style="17" bestFit="1" customWidth="1"/>
    <col min="11267" max="11267" width="39.88671875" style="17" bestFit="1" customWidth="1"/>
    <col min="11268" max="11268" width="17.109375" style="17" bestFit="1" customWidth="1"/>
    <col min="11269" max="11269" width="15.88671875" style="17" customWidth="1"/>
    <col min="11270" max="11520" width="8.88671875" style="17"/>
    <col min="11521" max="11521" width="4.21875" style="17" customWidth="1"/>
    <col min="11522" max="11522" width="68.6640625" style="17" bestFit="1" customWidth="1"/>
    <col min="11523" max="11523" width="39.88671875" style="17" bestFit="1" customWidth="1"/>
    <col min="11524" max="11524" width="17.109375" style="17" bestFit="1" customWidth="1"/>
    <col min="11525" max="11525" width="15.88671875" style="17" customWidth="1"/>
    <col min="11526" max="11776" width="8.88671875" style="17"/>
    <col min="11777" max="11777" width="4.21875" style="17" customWidth="1"/>
    <col min="11778" max="11778" width="68.6640625" style="17" bestFit="1" customWidth="1"/>
    <col min="11779" max="11779" width="39.88671875" style="17" bestFit="1" customWidth="1"/>
    <col min="11780" max="11780" width="17.109375" style="17" bestFit="1" customWidth="1"/>
    <col min="11781" max="11781" width="15.88671875" style="17" customWidth="1"/>
    <col min="11782" max="12032" width="8.88671875" style="17"/>
    <col min="12033" max="12033" width="4.21875" style="17" customWidth="1"/>
    <col min="12034" max="12034" width="68.6640625" style="17" bestFit="1" customWidth="1"/>
    <col min="12035" max="12035" width="39.88671875" style="17" bestFit="1" customWidth="1"/>
    <col min="12036" max="12036" width="17.109375" style="17" bestFit="1" customWidth="1"/>
    <col min="12037" max="12037" width="15.88671875" style="17" customWidth="1"/>
    <col min="12038" max="12288" width="8.88671875" style="17"/>
    <col min="12289" max="12289" width="4.21875" style="17" customWidth="1"/>
    <col min="12290" max="12290" width="68.6640625" style="17" bestFit="1" customWidth="1"/>
    <col min="12291" max="12291" width="39.88671875" style="17" bestFit="1" customWidth="1"/>
    <col min="12292" max="12292" width="17.109375" style="17" bestFit="1" customWidth="1"/>
    <col min="12293" max="12293" width="15.88671875" style="17" customWidth="1"/>
    <col min="12294" max="12544" width="8.88671875" style="17"/>
    <col min="12545" max="12545" width="4.21875" style="17" customWidth="1"/>
    <col min="12546" max="12546" width="68.6640625" style="17" bestFit="1" customWidth="1"/>
    <col min="12547" max="12547" width="39.88671875" style="17" bestFit="1" customWidth="1"/>
    <col min="12548" max="12548" width="17.109375" style="17" bestFit="1" customWidth="1"/>
    <col min="12549" max="12549" width="15.88671875" style="17" customWidth="1"/>
    <col min="12550" max="12800" width="8.88671875" style="17"/>
    <col min="12801" max="12801" width="4.21875" style="17" customWidth="1"/>
    <col min="12802" max="12802" width="68.6640625" style="17" bestFit="1" customWidth="1"/>
    <col min="12803" max="12803" width="39.88671875" style="17" bestFit="1" customWidth="1"/>
    <col min="12804" max="12804" width="17.109375" style="17" bestFit="1" customWidth="1"/>
    <col min="12805" max="12805" width="15.88671875" style="17" customWidth="1"/>
    <col min="12806" max="13056" width="8.88671875" style="17"/>
    <col min="13057" max="13057" width="4.21875" style="17" customWidth="1"/>
    <col min="13058" max="13058" width="68.6640625" style="17" bestFit="1" customWidth="1"/>
    <col min="13059" max="13059" width="39.88671875" style="17" bestFit="1" customWidth="1"/>
    <col min="13060" max="13060" width="17.109375" style="17" bestFit="1" customWidth="1"/>
    <col min="13061" max="13061" width="15.88671875" style="17" customWidth="1"/>
    <col min="13062" max="13312" width="8.88671875" style="17"/>
    <col min="13313" max="13313" width="4.21875" style="17" customWidth="1"/>
    <col min="13314" max="13314" width="68.6640625" style="17" bestFit="1" customWidth="1"/>
    <col min="13315" max="13315" width="39.88671875" style="17" bestFit="1" customWidth="1"/>
    <col min="13316" max="13316" width="17.109375" style="17" bestFit="1" customWidth="1"/>
    <col min="13317" max="13317" width="15.88671875" style="17" customWidth="1"/>
    <col min="13318" max="13568" width="8.88671875" style="17"/>
    <col min="13569" max="13569" width="4.21875" style="17" customWidth="1"/>
    <col min="13570" max="13570" width="68.6640625" style="17" bestFit="1" customWidth="1"/>
    <col min="13571" max="13571" width="39.88671875" style="17" bestFit="1" customWidth="1"/>
    <col min="13572" max="13572" width="17.109375" style="17" bestFit="1" customWidth="1"/>
    <col min="13573" max="13573" width="15.88671875" style="17" customWidth="1"/>
    <col min="13574" max="13824" width="8.88671875" style="17"/>
    <col min="13825" max="13825" width="4.21875" style="17" customWidth="1"/>
    <col min="13826" max="13826" width="68.6640625" style="17" bestFit="1" customWidth="1"/>
    <col min="13827" max="13827" width="39.88671875" style="17" bestFit="1" customWidth="1"/>
    <col min="13828" max="13828" width="17.109375" style="17" bestFit="1" customWidth="1"/>
    <col min="13829" max="13829" width="15.88671875" style="17" customWidth="1"/>
    <col min="13830" max="14080" width="8.88671875" style="17"/>
    <col min="14081" max="14081" width="4.21875" style="17" customWidth="1"/>
    <col min="14082" max="14082" width="68.6640625" style="17" bestFit="1" customWidth="1"/>
    <col min="14083" max="14083" width="39.88671875" style="17" bestFit="1" customWidth="1"/>
    <col min="14084" max="14084" width="17.109375" style="17" bestFit="1" customWidth="1"/>
    <col min="14085" max="14085" width="15.88671875" style="17" customWidth="1"/>
    <col min="14086" max="14336" width="8.88671875" style="17"/>
    <col min="14337" max="14337" width="4.21875" style="17" customWidth="1"/>
    <col min="14338" max="14338" width="68.6640625" style="17" bestFit="1" customWidth="1"/>
    <col min="14339" max="14339" width="39.88671875" style="17" bestFit="1" customWidth="1"/>
    <col min="14340" max="14340" width="17.109375" style="17" bestFit="1" customWidth="1"/>
    <col min="14341" max="14341" width="15.88671875" style="17" customWidth="1"/>
    <col min="14342" max="14592" width="8.88671875" style="17"/>
    <col min="14593" max="14593" width="4.21875" style="17" customWidth="1"/>
    <col min="14594" max="14594" width="68.6640625" style="17" bestFit="1" customWidth="1"/>
    <col min="14595" max="14595" width="39.88671875" style="17" bestFit="1" customWidth="1"/>
    <col min="14596" max="14596" width="17.109375" style="17" bestFit="1" customWidth="1"/>
    <col min="14597" max="14597" width="15.88671875" style="17" customWidth="1"/>
    <col min="14598" max="14848" width="8.88671875" style="17"/>
    <col min="14849" max="14849" width="4.21875" style="17" customWidth="1"/>
    <col min="14850" max="14850" width="68.6640625" style="17" bestFit="1" customWidth="1"/>
    <col min="14851" max="14851" width="39.88671875" style="17" bestFit="1" customWidth="1"/>
    <col min="14852" max="14852" width="17.109375" style="17" bestFit="1" customWidth="1"/>
    <col min="14853" max="14853" width="15.88671875" style="17" customWidth="1"/>
    <col min="14854" max="15104" width="8.88671875" style="17"/>
    <col min="15105" max="15105" width="4.21875" style="17" customWidth="1"/>
    <col min="15106" max="15106" width="68.6640625" style="17" bestFit="1" customWidth="1"/>
    <col min="15107" max="15107" width="39.88671875" style="17" bestFit="1" customWidth="1"/>
    <col min="15108" max="15108" width="17.109375" style="17" bestFit="1" customWidth="1"/>
    <col min="15109" max="15109" width="15.88671875" style="17" customWidth="1"/>
    <col min="15110" max="15360" width="8.88671875" style="17"/>
    <col min="15361" max="15361" width="4.21875" style="17" customWidth="1"/>
    <col min="15362" max="15362" width="68.6640625" style="17" bestFit="1" customWidth="1"/>
    <col min="15363" max="15363" width="39.88671875" style="17" bestFit="1" customWidth="1"/>
    <col min="15364" max="15364" width="17.109375" style="17" bestFit="1" customWidth="1"/>
    <col min="15365" max="15365" width="15.88671875" style="17" customWidth="1"/>
    <col min="15366" max="15616" width="8.88671875" style="17"/>
    <col min="15617" max="15617" width="4.21875" style="17" customWidth="1"/>
    <col min="15618" max="15618" width="68.6640625" style="17" bestFit="1" customWidth="1"/>
    <col min="15619" max="15619" width="39.88671875" style="17" bestFit="1" customWidth="1"/>
    <col min="15620" max="15620" width="17.109375" style="17" bestFit="1" customWidth="1"/>
    <col min="15621" max="15621" width="15.88671875" style="17" customWidth="1"/>
    <col min="15622" max="15872" width="8.88671875" style="17"/>
    <col min="15873" max="15873" width="4.21875" style="17" customWidth="1"/>
    <col min="15874" max="15874" width="68.6640625" style="17" bestFit="1" customWidth="1"/>
    <col min="15875" max="15875" width="39.88671875" style="17" bestFit="1" customWidth="1"/>
    <col min="15876" max="15876" width="17.109375" style="17" bestFit="1" customWidth="1"/>
    <col min="15877" max="15877" width="15.88671875" style="17" customWidth="1"/>
    <col min="15878" max="16128" width="8.88671875" style="17"/>
    <col min="16129" max="16129" width="4.21875" style="17" customWidth="1"/>
    <col min="16130" max="16130" width="68.6640625" style="17" bestFit="1" customWidth="1"/>
    <col min="16131" max="16131" width="39.88671875" style="17" bestFit="1" customWidth="1"/>
    <col min="16132" max="16132" width="17.109375" style="17" bestFit="1" customWidth="1"/>
    <col min="16133" max="16133" width="15.88671875" style="17" customWidth="1"/>
    <col min="16134" max="16384" width="8.88671875" style="17"/>
  </cols>
  <sheetData>
    <row r="2" spans="2:5">
      <c r="B2" s="63" t="s">
        <v>35</v>
      </c>
    </row>
    <row r="3" spans="2:5">
      <c r="B3" s="63" t="s">
        <v>36</v>
      </c>
      <c r="C3"/>
    </row>
    <row r="4" spans="2:5">
      <c r="B4" s="63" t="s">
        <v>37</v>
      </c>
    </row>
    <row r="5" spans="2:5">
      <c r="B5" s="63" t="s">
        <v>38</v>
      </c>
    </row>
    <row r="6" spans="2:5">
      <c r="B6" s="63"/>
    </row>
    <row r="7" spans="2:5" ht="18.75">
      <c r="B7" s="18" t="s">
        <v>14</v>
      </c>
    </row>
    <row r="8" spans="2:5" ht="18.75">
      <c r="B8" s="19" t="s">
        <v>27</v>
      </c>
    </row>
    <row r="10" spans="2:5">
      <c r="B10" s="17" t="s">
        <v>15</v>
      </c>
    </row>
    <row r="11" spans="2:5" ht="16.5" thickBot="1">
      <c r="B11" s="20" t="s">
        <v>16</v>
      </c>
      <c r="C11" s="20" t="s">
        <v>17</v>
      </c>
      <c r="D11" s="20" t="s">
        <v>18</v>
      </c>
      <c r="E11" s="20" t="s">
        <v>34</v>
      </c>
    </row>
    <row r="12" spans="2:5">
      <c r="B12" s="21" t="s">
        <v>19</v>
      </c>
      <c r="C12" s="22" t="s">
        <v>28</v>
      </c>
      <c r="D12" s="22" t="s">
        <v>19</v>
      </c>
      <c r="E12" s="70">
        <v>46082</v>
      </c>
    </row>
    <row r="13" spans="2:5">
      <c r="B13" s="21" t="s">
        <v>20</v>
      </c>
      <c r="C13" s="22" t="s">
        <v>29</v>
      </c>
      <c r="D13" s="22" t="s">
        <v>20</v>
      </c>
      <c r="E13" s="24" t="s">
        <v>106</v>
      </c>
    </row>
    <row r="14" spans="2:5">
      <c r="B14" s="21" t="s">
        <v>21</v>
      </c>
      <c r="C14" s="22" t="s">
        <v>30</v>
      </c>
      <c r="D14" s="22" t="s">
        <v>21</v>
      </c>
      <c r="E14" s="23" t="s">
        <v>102</v>
      </c>
    </row>
    <row r="16" spans="2:5">
      <c r="B16" s="17" t="s">
        <v>22</v>
      </c>
      <c r="C16" s="25"/>
    </row>
    <row r="17" spans="2:3">
      <c r="B17" s="17" t="s">
        <v>23</v>
      </c>
      <c r="C17" s="25"/>
    </row>
    <row r="19" spans="2:3">
      <c r="B19" s="17" t="s">
        <v>24</v>
      </c>
      <c r="C19" s="17" t="s">
        <v>32</v>
      </c>
    </row>
    <row r="20" spans="2:3">
      <c r="B20" s="17" t="s">
        <v>25</v>
      </c>
      <c r="C20" s="26" t="s">
        <v>26</v>
      </c>
    </row>
    <row r="23" spans="2:3" ht="31.5">
      <c r="B23" s="64" t="s">
        <v>39</v>
      </c>
    </row>
    <row r="24" spans="2:3">
      <c r="B24" s="61" t="s">
        <v>41</v>
      </c>
      <c r="C24" s="27"/>
    </row>
    <row r="25" spans="2:3">
      <c r="B25" s="61" t="s">
        <v>0</v>
      </c>
      <c r="C25" s="27"/>
    </row>
    <row r="26" spans="2:3">
      <c r="B26" s="61" t="s">
        <v>4</v>
      </c>
      <c r="C26" s="28"/>
    </row>
    <row r="27" spans="2:3">
      <c r="B27" s="62" t="s">
        <v>5</v>
      </c>
      <c r="C27" s="4"/>
    </row>
    <row r="28" spans="2:3">
      <c r="B28" s="62" t="s">
        <v>8</v>
      </c>
      <c r="C28" s="27"/>
    </row>
    <row r="29" spans="2:3">
      <c r="B29" s="62" t="s">
        <v>9</v>
      </c>
      <c r="C29" s="1"/>
    </row>
    <row r="30" spans="2:3">
      <c r="B30" s="62" t="s">
        <v>10</v>
      </c>
      <c r="C30" s="1"/>
    </row>
    <row r="31" spans="2:3">
      <c r="B31" s="62" t="s">
        <v>11</v>
      </c>
      <c r="C31" s="3"/>
    </row>
    <row r="32" spans="2:3">
      <c r="B32" s="62" t="s">
        <v>12</v>
      </c>
      <c r="C32" s="1"/>
    </row>
    <row r="33" spans="2:3">
      <c r="B33" s="61" t="s">
        <v>6</v>
      </c>
      <c r="C33" s="29"/>
    </row>
    <row r="34" spans="2:3">
      <c r="B34" s="61" t="s">
        <v>7</v>
      </c>
      <c r="C34" s="29"/>
    </row>
    <row r="35" spans="2:3">
      <c r="B35" s="2"/>
      <c r="C35" s="29"/>
    </row>
    <row r="36" spans="2:3">
      <c r="B36" s="2"/>
      <c r="C36" s="28"/>
    </row>
    <row r="37" spans="2:3">
      <c r="B37" s="1"/>
      <c r="C37" s="1"/>
    </row>
    <row r="38" spans="2:3">
      <c r="B38" s="1"/>
      <c r="C38" s="1"/>
    </row>
    <row r="39" spans="2:3">
      <c r="B39" s="1"/>
      <c r="C39" s="29"/>
    </row>
    <row r="40" spans="2:3">
      <c r="B40" s="1"/>
      <c r="C40" s="1"/>
    </row>
    <row r="41" spans="2:3">
      <c r="B41" s="1"/>
      <c r="C41" s="29"/>
    </row>
    <row r="42" spans="2:3">
      <c r="B42" s="1"/>
      <c r="C42" s="2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28"/>
  <sheetViews>
    <sheetView workbookViewId="0">
      <pane xSplit="1" ySplit="6" topLeftCell="M216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1.5546875" defaultRowHeight="15.75"/>
  <cols>
    <col min="1" max="1" width="30.88671875" style="30" customWidth="1"/>
    <col min="2" max="2" width="23.109375" style="30" customWidth="1"/>
    <col min="3" max="3" width="12.21875" style="30" customWidth="1"/>
    <col min="4" max="4" width="15.44140625" style="30" customWidth="1"/>
    <col min="5" max="5" width="19.109375" style="30" customWidth="1"/>
    <col min="6" max="6" width="15" style="30" customWidth="1"/>
    <col min="7" max="7" width="13.88671875" style="30" customWidth="1"/>
    <col min="8" max="8" width="18.33203125" style="30" customWidth="1"/>
    <col min="9" max="9" width="17.88671875" style="30" customWidth="1"/>
    <col min="10" max="10" width="25.5546875" style="30" customWidth="1"/>
    <col min="11" max="11" width="22.6640625" style="30" bestFit="1" customWidth="1"/>
    <col min="12" max="12" width="15.5546875" style="30" bestFit="1" customWidth="1"/>
    <col min="13" max="13" width="16.44140625" style="30" customWidth="1"/>
    <col min="14" max="16384" width="11.5546875" style="30"/>
  </cols>
  <sheetData>
    <row r="1" spans="1:14">
      <c r="A1" s="44" t="s">
        <v>31</v>
      </c>
      <c r="B1" s="44"/>
      <c r="C1" s="31"/>
      <c r="D1" s="31"/>
      <c r="E1" s="32"/>
      <c r="F1" s="31"/>
      <c r="G1" s="32"/>
      <c r="H1" s="32"/>
      <c r="I1" s="32"/>
      <c r="J1" s="32"/>
      <c r="K1" s="32"/>
      <c r="L1" s="32"/>
      <c r="M1" s="45" t="s">
        <v>40</v>
      </c>
    </row>
    <row r="2" spans="1:14">
      <c r="A2" s="33"/>
      <c r="B2" s="66"/>
      <c r="C2" s="34"/>
      <c r="D2" s="34"/>
      <c r="E2" s="35"/>
      <c r="F2" s="34"/>
      <c r="G2" s="35"/>
      <c r="H2" s="35"/>
      <c r="I2" s="35"/>
      <c r="J2" s="35"/>
      <c r="K2" s="35"/>
      <c r="L2" s="35"/>
      <c r="M2" s="51"/>
      <c r="N2" s="52"/>
    </row>
    <row r="3" spans="1:14">
      <c r="A3" s="36"/>
      <c r="B3" s="52"/>
      <c r="C3" s="37"/>
      <c r="D3" s="37"/>
      <c r="E3" s="38"/>
      <c r="F3" s="37"/>
      <c r="G3" s="38"/>
      <c r="H3" s="38"/>
      <c r="I3" s="38"/>
      <c r="J3" s="38"/>
      <c r="K3" s="38"/>
      <c r="L3" s="39"/>
      <c r="M3" s="45"/>
      <c r="N3" s="52"/>
    </row>
    <row r="4" spans="1:14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53"/>
    </row>
    <row r="5" spans="1:14" s="49" customFormat="1" ht="18.75">
      <c r="A5" s="46"/>
      <c r="B5" s="65"/>
      <c r="C5" s="47"/>
      <c r="D5" s="47"/>
      <c r="E5" s="47"/>
      <c r="F5" s="47"/>
      <c r="G5" s="47"/>
      <c r="H5" s="68"/>
      <c r="I5" s="47"/>
      <c r="J5" s="47"/>
      <c r="K5" s="47"/>
      <c r="L5" s="47"/>
      <c r="M5" s="47"/>
      <c r="N5" s="53"/>
    </row>
    <row r="6" spans="1:14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4">
      <c r="A7" s="12">
        <v>39448</v>
      </c>
      <c r="B7" s="14"/>
      <c r="C7" s="14">
        <v>960.2</v>
      </c>
      <c r="D7" s="14">
        <v>704</v>
      </c>
      <c r="E7" s="14">
        <v>11</v>
      </c>
      <c r="F7" s="14">
        <v>30.5</v>
      </c>
      <c r="G7" s="14">
        <v>0.8</v>
      </c>
      <c r="H7" s="14"/>
      <c r="I7" s="14">
        <v>320.8</v>
      </c>
      <c r="J7" s="14">
        <v>785.7</v>
      </c>
      <c r="K7" s="14">
        <v>25571.599999999999</v>
      </c>
      <c r="L7" s="15">
        <v>4859.4000000000005</v>
      </c>
      <c r="M7" s="14">
        <f t="shared" ref="M7:M38" si="0">SUM(B7:L7)</f>
        <v>33244</v>
      </c>
    </row>
    <row r="8" spans="1:14">
      <c r="A8" s="12">
        <v>39479</v>
      </c>
      <c r="B8" s="14"/>
      <c r="C8" s="14">
        <v>2081.8999999999996</v>
      </c>
      <c r="D8" s="14">
        <v>904</v>
      </c>
      <c r="E8" s="14">
        <v>11</v>
      </c>
      <c r="F8" s="14">
        <v>537.29999999999995</v>
      </c>
      <c r="G8" s="14" t="s">
        <v>1</v>
      </c>
      <c r="H8" s="14"/>
      <c r="I8" s="14">
        <v>140.9</v>
      </c>
      <c r="J8" s="14">
        <v>717.8</v>
      </c>
      <c r="K8" s="14">
        <v>24918.5</v>
      </c>
      <c r="L8" s="15">
        <v>5203.1000000000004</v>
      </c>
      <c r="M8" s="14">
        <f t="shared" si="0"/>
        <v>34514.5</v>
      </c>
    </row>
    <row r="9" spans="1:14">
      <c r="A9" s="12">
        <v>39508</v>
      </c>
      <c r="B9" s="14"/>
      <c r="C9" s="14">
        <v>1172.9000000000001</v>
      </c>
      <c r="D9" s="14">
        <v>554</v>
      </c>
      <c r="E9" s="14">
        <v>11</v>
      </c>
      <c r="F9" s="14">
        <v>508.90000000000003</v>
      </c>
      <c r="G9" s="14" t="s">
        <v>1</v>
      </c>
      <c r="H9" s="14"/>
      <c r="I9" s="14">
        <f>132.9</f>
        <v>132.9</v>
      </c>
      <c r="J9" s="14">
        <v>501</v>
      </c>
      <c r="K9" s="14">
        <v>26193</v>
      </c>
      <c r="L9" s="15">
        <v>4572.8</v>
      </c>
      <c r="M9" s="14">
        <f t="shared" si="0"/>
        <v>33646.5</v>
      </c>
    </row>
    <row r="10" spans="1:14">
      <c r="A10" s="12">
        <v>39539</v>
      </c>
      <c r="B10" s="14"/>
      <c r="C10" s="14">
        <v>1517.5</v>
      </c>
      <c r="D10" s="14">
        <v>554</v>
      </c>
      <c r="E10" s="14">
        <v>11</v>
      </c>
      <c r="F10" s="14">
        <v>532.1</v>
      </c>
      <c r="G10" s="14" t="s">
        <v>1</v>
      </c>
      <c r="H10" s="14"/>
      <c r="I10" s="14">
        <f>21.3</f>
        <v>21.3</v>
      </c>
      <c r="J10" s="14">
        <v>677.6</v>
      </c>
      <c r="K10" s="14">
        <v>26194.2</v>
      </c>
      <c r="L10" s="15">
        <v>4412.4000000000005</v>
      </c>
      <c r="M10" s="14">
        <f t="shared" si="0"/>
        <v>33920.1</v>
      </c>
    </row>
    <row r="11" spans="1:14">
      <c r="A11" s="12">
        <v>39569</v>
      </c>
      <c r="B11" s="14"/>
      <c r="C11" s="14">
        <v>1548.2</v>
      </c>
      <c r="D11" s="14">
        <v>703.9</v>
      </c>
      <c r="E11" s="14">
        <v>11</v>
      </c>
      <c r="F11" s="14">
        <v>529</v>
      </c>
      <c r="G11" s="14" t="s">
        <v>1</v>
      </c>
      <c r="H11" s="14"/>
      <c r="I11" s="14">
        <v>19</v>
      </c>
      <c r="J11" s="14">
        <v>641.1</v>
      </c>
      <c r="K11" s="14">
        <v>26231.1</v>
      </c>
      <c r="L11" s="15">
        <v>4425.1000000000004</v>
      </c>
      <c r="M11" s="14">
        <f t="shared" si="0"/>
        <v>34108.400000000001</v>
      </c>
    </row>
    <row r="12" spans="1:14">
      <c r="A12" s="12">
        <v>39600</v>
      </c>
      <c r="B12" s="14"/>
      <c r="C12" s="14">
        <v>1706.2</v>
      </c>
      <c r="D12" s="14">
        <v>700</v>
      </c>
      <c r="E12" s="14">
        <v>11</v>
      </c>
      <c r="F12" s="14">
        <v>529</v>
      </c>
      <c r="G12" s="14" t="s">
        <v>1</v>
      </c>
      <c r="H12" s="14"/>
      <c r="I12" s="14">
        <v>20.399999999999999</v>
      </c>
      <c r="J12" s="14">
        <v>591.6</v>
      </c>
      <c r="K12" s="14">
        <v>26739.8</v>
      </c>
      <c r="L12" s="15">
        <v>5003.8</v>
      </c>
      <c r="M12" s="14">
        <f t="shared" si="0"/>
        <v>35301.800000000003</v>
      </c>
    </row>
    <row r="13" spans="1:14">
      <c r="A13" s="12">
        <v>39630</v>
      </c>
      <c r="B13" s="14"/>
      <c r="C13" s="14">
        <v>1306.9000000000001</v>
      </c>
      <c r="D13" s="14">
        <v>1294</v>
      </c>
      <c r="E13" s="14">
        <v>11</v>
      </c>
      <c r="F13" s="14">
        <v>856</v>
      </c>
      <c r="G13" s="14" t="s">
        <v>1</v>
      </c>
      <c r="H13" s="14"/>
      <c r="I13" s="14">
        <v>17</v>
      </c>
      <c r="J13" s="14">
        <v>531.1</v>
      </c>
      <c r="K13" s="14">
        <v>26812.799999999999</v>
      </c>
      <c r="L13" s="15">
        <v>5107.6000000000004</v>
      </c>
      <c r="M13" s="14">
        <f t="shared" si="0"/>
        <v>35936.400000000001</v>
      </c>
    </row>
    <row r="14" spans="1:14">
      <c r="A14" s="12">
        <v>39661</v>
      </c>
      <c r="B14" s="14"/>
      <c r="C14" s="14">
        <v>1735.1</v>
      </c>
      <c r="D14" s="14">
        <v>650</v>
      </c>
      <c r="E14" s="14">
        <v>11</v>
      </c>
      <c r="F14" s="14">
        <v>856</v>
      </c>
      <c r="G14" s="14" t="s">
        <v>1</v>
      </c>
      <c r="H14" s="14"/>
      <c r="I14" s="14">
        <v>17</v>
      </c>
      <c r="J14" s="14">
        <v>577.6</v>
      </c>
      <c r="K14" s="14">
        <v>27387.7</v>
      </c>
      <c r="L14" s="15">
        <v>5271.7</v>
      </c>
      <c r="M14" s="14">
        <f t="shared" si="0"/>
        <v>36506.1</v>
      </c>
    </row>
    <row r="15" spans="1:14">
      <c r="A15" s="12">
        <v>39692</v>
      </c>
      <c r="B15" s="14"/>
      <c r="C15" s="14">
        <v>1549</v>
      </c>
      <c r="D15" s="14">
        <v>500</v>
      </c>
      <c r="E15" s="14">
        <v>11</v>
      </c>
      <c r="F15" s="14">
        <v>849.59999999999991</v>
      </c>
      <c r="G15" s="14" t="s">
        <v>1</v>
      </c>
      <c r="H15" s="14"/>
      <c r="I15" s="14">
        <v>658.1</v>
      </c>
      <c r="J15" s="14">
        <v>573.40000000000009</v>
      </c>
      <c r="K15" s="14">
        <v>27800.400000000001</v>
      </c>
      <c r="L15" s="15">
        <v>4831.7</v>
      </c>
      <c r="M15" s="14">
        <f t="shared" si="0"/>
        <v>36773.199999999997</v>
      </c>
    </row>
    <row r="16" spans="1:14">
      <c r="A16" s="12">
        <v>39722</v>
      </c>
      <c r="B16" s="14"/>
      <c r="C16" s="14">
        <v>1196.4000000000001</v>
      </c>
      <c r="D16" s="14">
        <v>1300</v>
      </c>
      <c r="E16" s="14">
        <v>11</v>
      </c>
      <c r="F16" s="14">
        <v>846.9</v>
      </c>
      <c r="G16" s="14" t="s">
        <v>1</v>
      </c>
      <c r="H16" s="14"/>
      <c r="I16" s="14">
        <v>636.9</v>
      </c>
      <c r="J16" s="14">
        <v>350.9</v>
      </c>
      <c r="K16" s="14">
        <v>27905.5</v>
      </c>
      <c r="L16" s="15">
        <v>4621.2</v>
      </c>
      <c r="M16" s="14">
        <f t="shared" si="0"/>
        <v>36868.799999999996</v>
      </c>
    </row>
    <row r="17" spans="1:13">
      <c r="A17" s="12">
        <v>39753</v>
      </c>
      <c r="B17" s="14"/>
      <c r="C17" s="14">
        <v>865.1</v>
      </c>
      <c r="D17" s="14">
        <v>300</v>
      </c>
      <c r="E17" s="14">
        <v>11</v>
      </c>
      <c r="F17" s="14">
        <v>840.5</v>
      </c>
      <c r="G17" s="14" t="s">
        <v>1</v>
      </c>
      <c r="H17" s="14"/>
      <c r="I17" s="14">
        <f>624.4</f>
        <v>624.4</v>
      </c>
      <c r="J17" s="14">
        <v>509</v>
      </c>
      <c r="K17" s="14">
        <v>28823.899999999998</v>
      </c>
      <c r="L17" s="15">
        <v>4611.7999999999993</v>
      </c>
      <c r="M17" s="14">
        <f t="shared" si="0"/>
        <v>36585.699999999997</v>
      </c>
    </row>
    <row r="18" spans="1:13">
      <c r="A18" s="12">
        <v>39783</v>
      </c>
      <c r="B18" s="14"/>
      <c r="C18" s="14">
        <v>1410.6999999999998</v>
      </c>
      <c r="D18" s="14">
        <v>450</v>
      </c>
      <c r="E18" s="14">
        <v>11</v>
      </c>
      <c r="F18" s="14">
        <v>833.8</v>
      </c>
      <c r="G18" s="14" t="s">
        <v>1</v>
      </c>
      <c r="H18" s="14"/>
      <c r="I18" s="14">
        <v>615.9</v>
      </c>
      <c r="J18" s="14">
        <v>342.7</v>
      </c>
      <c r="K18" s="14">
        <v>29148.799999999999</v>
      </c>
      <c r="L18" s="15">
        <v>4364.6000000000004</v>
      </c>
      <c r="M18" s="14">
        <f t="shared" si="0"/>
        <v>37177.5</v>
      </c>
    </row>
    <row r="19" spans="1:13">
      <c r="A19" s="12">
        <v>39814</v>
      </c>
      <c r="B19" s="14"/>
      <c r="C19" s="14">
        <v>1302.4000000000001</v>
      </c>
      <c r="D19" s="14">
        <v>150</v>
      </c>
      <c r="E19" s="14">
        <v>11</v>
      </c>
      <c r="F19" s="14">
        <v>844.8</v>
      </c>
      <c r="G19" s="14" t="s">
        <v>1</v>
      </c>
      <c r="H19" s="14"/>
      <c r="I19" s="14">
        <v>26.4</v>
      </c>
      <c r="J19" s="14">
        <v>254.5</v>
      </c>
      <c r="K19" s="14">
        <v>30164.299999999996</v>
      </c>
      <c r="L19" s="15">
        <v>4587.5</v>
      </c>
      <c r="M19" s="14">
        <f t="shared" si="0"/>
        <v>37340.899999999994</v>
      </c>
    </row>
    <row r="20" spans="1:13">
      <c r="A20" s="12">
        <v>39845</v>
      </c>
      <c r="B20" s="14"/>
      <c r="C20" s="14">
        <v>824.40000000000009</v>
      </c>
      <c r="D20" s="14">
        <v>300</v>
      </c>
      <c r="E20" s="14">
        <v>11</v>
      </c>
      <c r="F20" s="14">
        <v>836.09999999999991</v>
      </c>
      <c r="G20" s="14" t="s">
        <v>1</v>
      </c>
      <c r="H20" s="14"/>
      <c r="I20" s="14">
        <v>3.5</v>
      </c>
      <c r="J20" s="14">
        <v>244.6</v>
      </c>
      <c r="K20" s="14">
        <v>30614.2</v>
      </c>
      <c r="L20" s="15">
        <v>5031.1000000000004</v>
      </c>
      <c r="M20" s="14">
        <f t="shared" si="0"/>
        <v>37864.9</v>
      </c>
    </row>
    <row r="21" spans="1:13">
      <c r="A21" s="12">
        <v>39873</v>
      </c>
      <c r="B21" s="14"/>
      <c r="C21" s="14">
        <v>643.79999999999995</v>
      </c>
      <c r="D21" s="14">
        <v>650</v>
      </c>
      <c r="E21" s="14">
        <v>11</v>
      </c>
      <c r="F21" s="14">
        <v>833.8</v>
      </c>
      <c r="G21" s="14" t="s">
        <v>1</v>
      </c>
      <c r="H21" s="14"/>
      <c r="I21" s="14">
        <v>47.5</v>
      </c>
      <c r="J21" s="14">
        <v>278.39999999999998</v>
      </c>
      <c r="K21" s="14">
        <v>30999.3</v>
      </c>
      <c r="L21" s="15">
        <v>4588.2</v>
      </c>
      <c r="M21" s="14">
        <f t="shared" si="0"/>
        <v>38052</v>
      </c>
    </row>
    <row r="22" spans="1:13">
      <c r="A22" s="12">
        <v>39904</v>
      </c>
      <c r="B22" s="14"/>
      <c r="C22" s="14">
        <v>500.40000000000003</v>
      </c>
      <c r="D22" s="14">
        <v>650</v>
      </c>
      <c r="E22" s="14">
        <v>11</v>
      </c>
      <c r="F22" s="14">
        <v>833.8</v>
      </c>
      <c r="G22" s="14" t="s">
        <v>1</v>
      </c>
      <c r="H22" s="14"/>
      <c r="I22" s="14">
        <v>18.399999999999999</v>
      </c>
      <c r="J22" s="14">
        <v>388.9</v>
      </c>
      <c r="K22" s="14">
        <v>31375.8</v>
      </c>
      <c r="L22" s="15">
        <v>4497.3</v>
      </c>
      <c r="M22" s="14">
        <f t="shared" si="0"/>
        <v>38275.600000000006</v>
      </c>
    </row>
    <row r="23" spans="1:13">
      <c r="A23" s="12">
        <v>39934</v>
      </c>
      <c r="B23" s="14"/>
      <c r="C23" s="14">
        <v>617.20000000000005</v>
      </c>
      <c r="D23" s="14">
        <v>700</v>
      </c>
      <c r="E23" s="14">
        <v>11</v>
      </c>
      <c r="F23" s="14">
        <v>833.8</v>
      </c>
      <c r="G23" s="14" t="s">
        <v>1</v>
      </c>
      <c r="H23" s="14"/>
      <c r="I23" s="14">
        <v>124.3</v>
      </c>
      <c r="J23" s="14">
        <v>227.8</v>
      </c>
      <c r="K23" s="14">
        <v>31707</v>
      </c>
      <c r="L23" s="15">
        <v>4791.7</v>
      </c>
      <c r="M23" s="14">
        <f t="shared" si="0"/>
        <v>39012.799999999996</v>
      </c>
    </row>
    <row r="24" spans="1:13">
      <c r="A24" s="12">
        <v>39965</v>
      </c>
      <c r="B24" s="14"/>
      <c r="C24" s="14">
        <v>840.3</v>
      </c>
      <c r="D24" s="14">
        <v>850</v>
      </c>
      <c r="E24" s="14">
        <v>11</v>
      </c>
      <c r="F24" s="14">
        <v>833.8</v>
      </c>
      <c r="G24" s="14" t="s">
        <v>1</v>
      </c>
      <c r="H24" s="14"/>
      <c r="I24" s="14">
        <v>122</v>
      </c>
      <c r="J24" s="14">
        <v>776.4</v>
      </c>
      <c r="K24" s="14">
        <v>31950.800000000003</v>
      </c>
      <c r="L24" s="15">
        <v>4782</v>
      </c>
      <c r="M24" s="14">
        <f t="shared" si="0"/>
        <v>40166.300000000003</v>
      </c>
    </row>
    <row r="25" spans="1:13">
      <c r="A25" s="12">
        <v>39995</v>
      </c>
      <c r="B25" s="14"/>
      <c r="C25" s="14">
        <v>381</v>
      </c>
      <c r="D25" s="14">
        <v>858.3</v>
      </c>
      <c r="E25" s="14">
        <v>11</v>
      </c>
      <c r="F25" s="14">
        <v>833.8</v>
      </c>
      <c r="G25" s="14" t="s">
        <v>1</v>
      </c>
      <c r="H25" s="14"/>
      <c r="I25" s="14">
        <v>694.8</v>
      </c>
      <c r="J25" s="14">
        <v>1162.8</v>
      </c>
      <c r="K25" s="14">
        <v>31967.5</v>
      </c>
      <c r="L25" s="15">
        <v>4421.5</v>
      </c>
      <c r="M25" s="14">
        <f t="shared" si="0"/>
        <v>40330.699999999997</v>
      </c>
    </row>
    <row r="26" spans="1:13">
      <c r="A26" s="12">
        <v>40026</v>
      </c>
      <c r="B26" s="14"/>
      <c r="C26" s="14">
        <v>525</v>
      </c>
      <c r="D26" s="14">
        <v>700</v>
      </c>
      <c r="E26" s="14">
        <v>11</v>
      </c>
      <c r="F26" s="14">
        <v>909.4</v>
      </c>
      <c r="G26" s="14" t="s">
        <v>1</v>
      </c>
      <c r="H26" s="14"/>
      <c r="I26" s="14">
        <v>741.3</v>
      </c>
      <c r="J26" s="14">
        <v>651.29999999999995</v>
      </c>
      <c r="K26" s="14">
        <v>31775.7</v>
      </c>
      <c r="L26" s="15">
        <v>6069.3</v>
      </c>
      <c r="M26" s="14">
        <f t="shared" si="0"/>
        <v>41383</v>
      </c>
    </row>
    <row r="27" spans="1:13">
      <c r="A27" s="12">
        <v>40057</v>
      </c>
      <c r="B27" s="14"/>
      <c r="C27" s="14">
        <v>1210.5999999999999</v>
      </c>
      <c r="D27" s="14">
        <v>450</v>
      </c>
      <c r="E27" s="14">
        <v>11</v>
      </c>
      <c r="F27" s="14">
        <v>907.59999999999991</v>
      </c>
      <c r="G27" s="14" t="s">
        <v>1</v>
      </c>
      <c r="H27" s="14"/>
      <c r="I27" s="14">
        <v>725.9</v>
      </c>
      <c r="J27" s="14">
        <v>789</v>
      </c>
      <c r="K27" s="14">
        <v>32253.100000000002</v>
      </c>
      <c r="L27" s="15">
        <v>6104.5</v>
      </c>
      <c r="M27" s="14">
        <f t="shared" si="0"/>
        <v>42451.700000000004</v>
      </c>
    </row>
    <row r="28" spans="1:13">
      <c r="A28" s="12">
        <v>40087</v>
      </c>
      <c r="B28" s="14"/>
      <c r="C28" s="14">
        <v>1242.5</v>
      </c>
      <c r="D28" s="14">
        <v>750</v>
      </c>
      <c r="E28" s="14">
        <v>11</v>
      </c>
      <c r="F28" s="14">
        <v>905.8</v>
      </c>
      <c r="G28" s="14" t="s">
        <v>1</v>
      </c>
      <c r="H28" s="14"/>
      <c r="I28" s="14">
        <v>714.4</v>
      </c>
      <c r="J28" s="14">
        <v>726.5</v>
      </c>
      <c r="K28" s="14">
        <v>33896.9</v>
      </c>
      <c r="L28" s="15">
        <v>4896.3999999999996</v>
      </c>
      <c r="M28" s="14">
        <f t="shared" si="0"/>
        <v>43143.500000000007</v>
      </c>
    </row>
    <row r="29" spans="1:13">
      <c r="A29" s="12">
        <v>40118</v>
      </c>
      <c r="B29" s="14"/>
      <c r="C29" s="14">
        <v>1298.3</v>
      </c>
      <c r="D29" s="14">
        <v>750</v>
      </c>
      <c r="E29" s="14">
        <v>11</v>
      </c>
      <c r="F29" s="14">
        <v>904.9</v>
      </c>
      <c r="G29" s="14" t="s">
        <v>1</v>
      </c>
      <c r="H29" s="14"/>
      <c r="I29" s="14">
        <v>712.2</v>
      </c>
      <c r="J29" s="14">
        <v>790.3</v>
      </c>
      <c r="K29" s="14">
        <v>33603.9</v>
      </c>
      <c r="L29" s="15">
        <v>5241.1000000000004</v>
      </c>
      <c r="M29" s="14">
        <f t="shared" si="0"/>
        <v>43311.700000000004</v>
      </c>
    </row>
    <row r="30" spans="1:13">
      <c r="A30" s="12">
        <v>40148</v>
      </c>
      <c r="B30" s="14"/>
      <c r="C30" s="14">
        <v>1720.2</v>
      </c>
      <c r="D30" s="14">
        <v>750</v>
      </c>
      <c r="E30" s="14">
        <v>11</v>
      </c>
      <c r="F30" s="14">
        <v>902</v>
      </c>
      <c r="G30" s="14" t="s">
        <v>1</v>
      </c>
      <c r="H30" s="14"/>
      <c r="I30" s="14">
        <v>657</v>
      </c>
      <c r="J30" s="14">
        <v>763.49999999999989</v>
      </c>
      <c r="K30" s="14">
        <v>33755.4</v>
      </c>
      <c r="L30" s="15">
        <v>4972.1000000000004</v>
      </c>
      <c r="M30" s="14">
        <f t="shared" si="0"/>
        <v>43531.199999999997</v>
      </c>
    </row>
    <row r="31" spans="1:13">
      <c r="A31" s="12">
        <v>40179</v>
      </c>
      <c r="B31" s="14"/>
      <c r="C31" s="14">
        <v>1987.1</v>
      </c>
      <c r="D31" s="14">
        <v>600</v>
      </c>
      <c r="E31" s="14">
        <v>11</v>
      </c>
      <c r="F31" s="14">
        <v>900.19999999999993</v>
      </c>
      <c r="G31" s="14" t="s">
        <v>1</v>
      </c>
      <c r="H31" s="14"/>
      <c r="I31" s="14">
        <v>653.1</v>
      </c>
      <c r="J31" s="14">
        <v>1253</v>
      </c>
      <c r="K31" s="14">
        <v>33661.799999999996</v>
      </c>
      <c r="L31" s="15">
        <v>5450</v>
      </c>
      <c r="M31" s="14">
        <f t="shared" si="0"/>
        <v>44516.2</v>
      </c>
    </row>
    <row r="32" spans="1:13">
      <c r="A32" s="12">
        <v>40210</v>
      </c>
      <c r="B32" s="14"/>
      <c r="C32" s="14">
        <v>2968.7</v>
      </c>
      <c r="D32" s="14">
        <v>600</v>
      </c>
      <c r="E32" s="14">
        <v>11</v>
      </c>
      <c r="F32" s="14">
        <v>898.3</v>
      </c>
      <c r="G32" s="14" t="s">
        <v>1</v>
      </c>
      <c r="H32" s="14"/>
      <c r="I32" s="14">
        <v>638.5</v>
      </c>
      <c r="J32" s="14">
        <v>650.9</v>
      </c>
      <c r="K32" s="14">
        <v>34335.199999999997</v>
      </c>
      <c r="L32" s="15">
        <v>4825.6000000000004</v>
      </c>
      <c r="M32" s="14">
        <f t="shared" si="0"/>
        <v>44928.2</v>
      </c>
    </row>
    <row r="33" spans="1:13">
      <c r="A33" s="12">
        <v>40238</v>
      </c>
      <c r="B33" s="14"/>
      <c r="C33" s="14">
        <v>2237.1</v>
      </c>
      <c r="D33" s="14">
        <v>1100</v>
      </c>
      <c r="E33" s="14">
        <v>11</v>
      </c>
      <c r="F33" s="14">
        <v>896.3</v>
      </c>
      <c r="G33" s="14" t="s">
        <v>1</v>
      </c>
      <c r="H33" s="14"/>
      <c r="I33" s="14">
        <v>621.20000000000005</v>
      </c>
      <c r="J33" s="14">
        <v>641.29999999999995</v>
      </c>
      <c r="K33" s="14">
        <v>34937.1</v>
      </c>
      <c r="L33" s="15">
        <v>4329.5</v>
      </c>
      <c r="M33" s="14">
        <f t="shared" si="0"/>
        <v>44773.5</v>
      </c>
    </row>
    <row r="34" spans="1:13">
      <c r="A34" s="12">
        <v>40269</v>
      </c>
      <c r="B34" s="14"/>
      <c r="C34" s="14">
        <v>1686.4</v>
      </c>
      <c r="D34" s="14">
        <v>1450</v>
      </c>
      <c r="E34" s="14">
        <v>11</v>
      </c>
      <c r="F34" s="14">
        <v>893.3</v>
      </c>
      <c r="G34" s="14" t="s">
        <v>1</v>
      </c>
      <c r="H34" s="14"/>
      <c r="I34" s="14">
        <v>606.79999999999995</v>
      </c>
      <c r="J34" s="14">
        <v>714.9</v>
      </c>
      <c r="K34" s="14">
        <v>35106.800000000003</v>
      </c>
      <c r="L34" s="15">
        <v>4077.8999999999996</v>
      </c>
      <c r="M34" s="14">
        <f t="shared" si="0"/>
        <v>44547.100000000006</v>
      </c>
    </row>
    <row r="35" spans="1:13">
      <c r="A35" s="12">
        <v>40299</v>
      </c>
      <c r="B35" s="14"/>
      <c r="C35" s="14">
        <v>1580.1</v>
      </c>
      <c r="D35" s="14">
        <v>1450</v>
      </c>
      <c r="E35" s="14">
        <v>11</v>
      </c>
      <c r="F35" s="14">
        <v>893.3</v>
      </c>
      <c r="G35" s="14" t="s">
        <v>1</v>
      </c>
      <c r="H35" s="14"/>
      <c r="I35" s="14">
        <v>586.79999999999995</v>
      </c>
      <c r="J35" s="14">
        <v>713.8</v>
      </c>
      <c r="K35" s="14">
        <v>35237.9</v>
      </c>
      <c r="L35" s="15">
        <v>4457.7</v>
      </c>
      <c r="M35" s="14">
        <f t="shared" si="0"/>
        <v>44930.6</v>
      </c>
    </row>
    <row r="36" spans="1:13">
      <c r="A36" s="12">
        <v>40330</v>
      </c>
      <c r="B36" s="14"/>
      <c r="C36" s="14">
        <v>1681.9</v>
      </c>
      <c r="D36" s="14">
        <v>950</v>
      </c>
      <c r="E36" s="14">
        <v>11</v>
      </c>
      <c r="F36" s="14">
        <v>891.3</v>
      </c>
      <c r="G36" s="14" t="s">
        <v>1</v>
      </c>
      <c r="H36" s="14"/>
      <c r="I36" s="14">
        <v>579.79999999999995</v>
      </c>
      <c r="J36" s="14">
        <v>709.3</v>
      </c>
      <c r="K36" s="14">
        <v>37365</v>
      </c>
      <c r="L36" s="15">
        <v>4260.2</v>
      </c>
      <c r="M36" s="14">
        <f t="shared" si="0"/>
        <v>46448.5</v>
      </c>
    </row>
    <row r="37" spans="1:13">
      <c r="A37" s="12">
        <v>40360</v>
      </c>
      <c r="B37" s="14"/>
      <c r="C37" s="14">
        <v>1624.1</v>
      </c>
      <c r="D37" s="14">
        <v>1350</v>
      </c>
      <c r="E37" s="14">
        <v>11</v>
      </c>
      <c r="F37" s="14">
        <v>887.3</v>
      </c>
      <c r="G37" s="14" t="s">
        <v>1</v>
      </c>
      <c r="H37" s="14"/>
      <c r="I37" s="14">
        <v>230.2</v>
      </c>
      <c r="J37" s="14">
        <v>709.3</v>
      </c>
      <c r="K37" s="14">
        <v>39857.500000000007</v>
      </c>
      <c r="L37" s="15">
        <v>4501.3999999999996</v>
      </c>
      <c r="M37" s="14">
        <f t="shared" si="0"/>
        <v>49170.80000000001</v>
      </c>
    </row>
    <row r="38" spans="1:13">
      <c r="A38" s="12">
        <v>40391</v>
      </c>
      <c r="B38" s="14"/>
      <c r="C38" s="14">
        <v>1614.5</v>
      </c>
      <c r="D38" s="14">
        <v>850</v>
      </c>
      <c r="E38" s="14">
        <v>11</v>
      </c>
      <c r="F38" s="14">
        <v>885.19999999999993</v>
      </c>
      <c r="G38" s="14" t="s">
        <v>1</v>
      </c>
      <c r="H38" s="14"/>
      <c r="I38" s="14">
        <v>595.79999999999995</v>
      </c>
      <c r="J38" s="14">
        <v>735.1</v>
      </c>
      <c r="K38" s="14">
        <v>41449.199999999997</v>
      </c>
      <c r="L38" s="15">
        <v>4919.8999999999996</v>
      </c>
      <c r="M38" s="14">
        <f t="shared" si="0"/>
        <v>51060.7</v>
      </c>
    </row>
    <row r="39" spans="1:13">
      <c r="A39" s="12">
        <v>40422</v>
      </c>
      <c r="B39" s="14"/>
      <c r="C39" s="14">
        <v>2817</v>
      </c>
      <c r="D39" s="14">
        <v>450</v>
      </c>
      <c r="E39" s="14">
        <v>11</v>
      </c>
      <c r="F39" s="14">
        <v>885.19999999999993</v>
      </c>
      <c r="G39" s="14" t="s">
        <v>1</v>
      </c>
      <c r="H39" s="14"/>
      <c r="I39" s="14">
        <v>593.20000000000005</v>
      </c>
      <c r="J39" s="14">
        <v>734.3</v>
      </c>
      <c r="K39" s="14">
        <v>43690.1</v>
      </c>
      <c r="L39" s="15">
        <v>4830.7</v>
      </c>
      <c r="M39" s="14">
        <f t="shared" ref="M39:M70" si="1">SUM(B39:L39)</f>
        <v>54011.499999999993</v>
      </c>
    </row>
    <row r="40" spans="1:13">
      <c r="A40" s="12">
        <v>40452</v>
      </c>
      <c r="B40" s="14"/>
      <c r="C40" s="14">
        <v>4063.5</v>
      </c>
      <c r="D40" s="14">
        <v>450</v>
      </c>
      <c r="E40" s="14">
        <v>11</v>
      </c>
      <c r="F40" s="14">
        <v>883.09999999999991</v>
      </c>
      <c r="G40" s="14" t="s">
        <v>1</v>
      </c>
      <c r="H40" s="14"/>
      <c r="I40" s="14">
        <v>209.6</v>
      </c>
      <c r="J40" s="14">
        <v>733.69999999999993</v>
      </c>
      <c r="K40" s="14">
        <v>45546.799999999996</v>
      </c>
      <c r="L40" s="15">
        <v>5365.6</v>
      </c>
      <c r="M40" s="14">
        <f t="shared" si="1"/>
        <v>57263.299999999996</v>
      </c>
    </row>
    <row r="41" spans="1:13">
      <c r="A41" s="12">
        <v>40483</v>
      </c>
      <c r="B41" s="14"/>
      <c r="C41" s="14">
        <v>5027</v>
      </c>
      <c r="D41" s="14">
        <v>450</v>
      </c>
      <c r="E41" s="14">
        <v>11</v>
      </c>
      <c r="F41" s="14">
        <v>881</v>
      </c>
      <c r="G41" s="14" t="s">
        <v>1</v>
      </c>
      <c r="H41" s="14"/>
      <c r="I41" s="14">
        <v>552.9</v>
      </c>
      <c r="J41" s="14">
        <v>732.8</v>
      </c>
      <c r="K41" s="14">
        <v>45535.9</v>
      </c>
      <c r="L41" s="15">
        <v>4992.8999999999996</v>
      </c>
      <c r="M41" s="14">
        <f t="shared" si="1"/>
        <v>58183.5</v>
      </c>
    </row>
    <row r="42" spans="1:13">
      <c r="A42" s="12">
        <v>40513</v>
      </c>
      <c r="B42" s="14"/>
      <c r="C42" s="14">
        <v>2353.3000000000002</v>
      </c>
      <c r="D42" s="14">
        <v>450</v>
      </c>
      <c r="E42" s="14">
        <v>11</v>
      </c>
      <c r="F42" s="14">
        <v>876.6</v>
      </c>
      <c r="G42" s="14" t="s">
        <v>1</v>
      </c>
      <c r="H42" s="14"/>
      <c r="I42" s="14">
        <v>142.9</v>
      </c>
      <c r="J42" s="14">
        <v>920.59999999999991</v>
      </c>
      <c r="K42" s="14">
        <v>46586.3</v>
      </c>
      <c r="L42" s="15">
        <v>4986.5</v>
      </c>
      <c r="M42" s="14">
        <f t="shared" si="1"/>
        <v>56327.200000000004</v>
      </c>
    </row>
    <row r="43" spans="1:13">
      <c r="A43" s="12">
        <v>40544</v>
      </c>
      <c r="B43" s="14"/>
      <c r="C43" s="14">
        <v>2432.5</v>
      </c>
      <c r="D43" s="14" t="s">
        <v>1</v>
      </c>
      <c r="E43" s="14">
        <v>11</v>
      </c>
      <c r="F43" s="14">
        <v>876.59999999999991</v>
      </c>
      <c r="G43" s="14" t="s">
        <v>1</v>
      </c>
      <c r="H43" s="14"/>
      <c r="I43" s="14">
        <v>522</v>
      </c>
      <c r="J43" s="14">
        <v>877.69999999999993</v>
      </c>
      <c r="K43" s="14">
        <v>47092.5</v>
      </c>
      <c r="L43" s="15">
        <v>4627.2</v>
      </c>
      <c r="M43" s="14">
        <f t="shared" si="1"/>
        <v>56439.5</v>
      </c>
    </row>
    <row r="44" spans="1:13">
      <c r="A44" s="12">
        <v>40575</v>
      </c>
      <c r="B44" s="14"/>
      <c r="C44" s="14">
        <v>2226.8999999999996</v>
      </c>
      <c r="D44" s="14" t="s">
        <v>1</v>
      </c>
      <c r="E44" s="14">
        <v>11</v>
      </c>
      <c r="F44" s="14">
        <v>833.8</v>
      </c>
      <c r="G44" s="14" t="s">
        <v>1</v>
      </c>
      <c r="H44" s="14"/>
      <c r="I44" s="14">
        <v>134.6</v>
      </c>
      <c r="J44" s="14">
        <v>835.4</v>
      </c>
      <c r="K44" s="14">
        <v>48523.8</v>
      </c>
      <c r="L44" s="15">
        <v>4868.8</v>
      </c>
      <c r="M44" s="14">
        <f t="shared" si="1"/>
        <v>57434.3</v>
      </c>
    </row>
    <row r="45" spans="1:13">
      <c r="A45" s="12">
        <v>40603</v>
      </c>
      <c r="B45" s="14"/>
      <c r="C45" s="14">
        <v>1604.5</v>
      </c>
      <c r="D45" s="14" t="s">
        <v>1</v>
      </c>
      <c r="E45" s="14">
        <v>11</v>
      </c>
      <c r="F45" s="14">
        <v>833.80000000000007</v>
      </c>
      <c r="G45" s="14" t="s">
        <v>1</v>
      </c>
      <c r="H45" s="14"/>
      <c r="I45" s="14">
        <v>523.1</v>
      </c>
      <c r="J45" s="14">
        <v>616.49999999999989</v>
      </c>
      <c r="K45" s="14">
        <v>49347.199999999997</v>
      </c>
      <c r="L45" s="15">
        <v>5406.2</v>
      </c>
      <c r="M45" s="14">
        <f t="shared" si="1"/>
        <v>58342.299999999996</v>
      </c>
    </row>
    <row r="46" spans="1:13">
      <c r="A46" s="12">
        <v>40634</v>
      </c>
      <c r="B46" s="14"/>
      <c r="C46" s="14">
        <v>823.7</v>
      </c>
      <c r="D46" s="14">
        <v>400</v>
      </c>
      <c r="E46" s="14">
        <v>11</v>
      </c>
      <c r="F46" s="14">
        <v>833.8</v>
      </c>
      <c r="G46" s="14" t="s">
        <v>1</v>
      </c>
      <c r="H46" s="14"/>
      <c r="I46" s="14">
        <v>522.5</v>
      </c>
      <c r="J46" s="14">
        <v>616.19999999999993</v>
      </c>
      <c r="K46" s="14">
        <v>49852.2</v>
      </c>
      <c r="L46" s="15">
        <v>5321.7</v>
      </c>
      <c r="M46" s="14">
        <f t="shared" si="1"/>
        <v>58381.099999999991</v>
      </c>
    </row>
    <row r="47" spans="1:13">
      <c r="A47" s="12">
        <v>40664</v>
      </c>
      <c r="B47" s="14"/>
      <c r="C47" s="14">
        <v>1938.2000000000003</v>
      </c>
      <c r="D47" s="14" t="s">
        <v>1</v>
      </c>
      <c r="E47" s="14">
        <v>11</v>
      </c>
      <c r="F47" s="14">
        <v>833.80000000000007</v>
      </c>
      <c r="G47" s="14" t="s">
        <v>1</v>
      </c>
      <c r="H47" s="14"/>
      <c r="I47" s="14">
        <v>487.6</v>
      </c>
      <c r="J47" s="14">
        <v>615.99999999999989</v>
      </c>
      <c r="K47" s="14">
        <v>51357.900000000009</v>
      </c>
      <c r="L47" s="15">
        <v>4793.1000000000004</v>
      </c>
      <c r="M47" s="14">
        <f t="shared" si="1"/>
        <v>60037.600000000006</v>
      </c>
    </row>
    <row r="48" spans="1:13">
      <c r="A48" s="12">
        <v>40695</v>
      </c>
      <c r="B48" s="14"/>
      <c r="C48" s="14">
        <v>1708.6999999999998</v>
      </c>
      <c r="D48" s="14">
        <v>300</v>
      </c>
      <c r="E48" s="14">
        <v>11</v>
      </c>
      <c r="F48" s="14">
        <v>862.69999999999982</v>
      </c>
      <c r="G48" s="14" t="s">
        <v>1</v>
      </c>
      <c r="H48" s="14"/>
      <c r="I48" s="14">
        <v>465.5</v>
      </c>
      <c r="J48" s="14">
        <v>614.59999999999991</v>
      </c>
      <c r="K48" s="14">
        <v>52919.6</v>
      </c>
      <c r="L48" s="15">
        <v>4347.2000000000007</v>
      </c>
      <c r="M48" s="14">
        <f t="shared" si="1"/>
        <v>61229.3</v>
      </c>
    </row>
    <row r="49" spans="1:13">
      <c r="A49" s="12">
        <v>40725</v>
      </c>
      <c r="B49" s="14"/>
      <c r="C49" s="14">
        <v>815</v>
      </c>
      <c r="D49" s="14" t="s">
        <v>1</v>
      </c>
      <c r="E49" s="14">
        <v>11</v>
      </c>
      <c r="F49" s="14">
        <v>862.69999999999993</v>
      </c>
      <c r="G49" s="14" t="s">
        <v>1</v>
      </c>
      <c r="H49" s="14"/>
      <c r="I49" s="14">
        <v>448.9</v>
      </c>
      <c r="J49" s="14">
        <v>1015.4999999999999</v>
      </c>
      <c r="K49" s="14">
        <v>53523.5</v>
      </c>
      <c r="L49" s="15">
        <v>4971.1000000000004</v>
      </c>
      <c r="M49" s="14">
        <f t="shared" si="1"/>
        <v>61647.7</v>
      </c>
    </row>
    <row r="50" spans="1:13">
      <c r="A50" s="12">
        <v>40756</v>
      </c>
      <c r="B50" s="14"/>
      <c r="C50" s="14">
        <v>1096.5</v>
      </c>
      <c r="D50" s="14" t="s">
        <v>1</v>
      </c>
      <c r="E50" s="14">
        <v>11</v>
      </c>
      <c r="F50" s="14">
        <v>862.69999999999982</v>
      </c>
      <c r="G50" s="14" t="s">
        <v>1</v>
      </c>
      <c r="H50" s="14"/>
      <c r="I50" s="14">
        <v>432</v>
      </c>
      <c r="J50" s="14">
        <v>1006.0999999999999</v>
      </c>
      <c r="K50" s="14">
        <v>53636.9</v>
      </c>
      <c r="L50" s="15">
        <v>5780.5000000000009</v>
      </c>
      <c r="M50" s="14">
        <f t="shared" si="1"/>
        <v>62825.700000000004</v>
      </c>
    </row>
    <row r="51" spans="1:13">
      <c r="A51" s="12">
        <v>40787</v>
      </c>
      <c r="B51" s="14"/>
      <c r="C51" s="14">
        <v>1327.7999999999997</v>
      </c>
      <c r="D51" s="14">
        <v>150</v>
      </c>
      <c r="E51" s="14">
        <v>11</v>
      </c>
      <c r="F51" s="14">
        <v>857.8</v>
      </c>
      <c r="G51" s="14" t="s">
        <v>1</v>
      </c>
      <c r="H51" s="14"/>
      <c r="I51" s="14">
        <v>420.2</v>
      </c>
      <c r="J51" s="14">
        <v>996.59999999999991</v>
      </c>
      <c r="K51" s="14">
        <v>54875.100000000006</v>
      </c>
      <c r="L51" s="15">
        <v>4451.7000000000007</v>
      </c>
      <c r="M51" s="14">
        <f t="shared" si="1"/>
        <v>63090.200000000012</v>
      </c>
    </row>
    <row r="52" spans="1:13">
      <c r="A52" s="12">
        <v>40817</v>
      </c>
      <c r="B52" s="14"/>
      <c r="C52" s="14">
        <v>1349</v>
      </c>
      <c r="D52" s="14" t="s">
        <v>1</v>
      </c>
      <c r="E52" s="14">
        <v>11</v>
      </c>
      <c r="F52" s="14">
        <v>857.8</v>
      </c>
      <c r="G52" s="14" t="s">
        <v>1</v>
      </c>
      <c r="H52" s="14"/>
      <c r="I52" s="14">
        <v>611</v>
      </c>
      <c r="J52" s="14">
        <v>986.99999999999989</v>
      </c>
      <c r="K52" s="14">
        <v>55623.4</v>
      </c>
      <c r="L52" s="15">
        <v>4969.3</v>
      </c>
      <c r="M52" s="14">
        <f t="shared" si="1"/>
        <v>64408.500000000007</v>
      </c>
    </row>
    <row r="53" spans="1:13">
      <c r="A53" s="12">
        <v>40848</v>
      </c>
      <c r="B53" s="14"/>
      <c r="C53" s="14">
        <v>908</v>
      </c>
      <c r="D53" s="14" t="s">
        <v>1</v>
      </c>
      <c r="E53" s="14">
        <v>11</v>
      </c>
      <c r="F53" s="14">
        <v>852.69999999999982</v>
      </c>
      <c r="G53" s="14" t="s">
        <v>1</v>
      </c>
      <c r="H53" s="14"/>
      <c r="I53" s="14">
        <v>289</v>
      </c>
      <c r="J53" s="14">
        <v>977.4</v>
      </c>
      <c r="K53" s="14">
        <v>56018.599999999991</v>
      </c>
      <c r="L53" s="15">
        <v>5437.4</v>
      </c>
      <c r="M53" s="14">
        <f t="shared" si="1"/>
        <v>64494.099999999991</v>
      </c>
    </row>
    <row r="54" spans="1:13">
      <c r="A54" s="12">
        <v>40878</v>
      </c>
      <c r="B54" s="14"/>
      <c r="C54" s="14">
        <v>1069.2</v>
      </c>
      <c r="D54" s="14" t="s">
        <v>1</v>
      </c>
      <c r="E54" s="14">
        <v>11</v>
      </c>
      <c r="F54" s="14">
        <v>850.2</v>
      </c>
      <c r="G54" s="14" t="s">
        <v>1</v>
      </c>
      <c r="H54" s="14"/>
      <c r="I54" s="14">
        <v>261.8</v>
      </c>
      <c r="J54" s="14">
        <v>967.59999999999991</v>
      </c>
      <c r="K54" s="14">
        <v>56451.100000000006</v>
      </c>
      <c r="L54" s="15">
        <v>5218.8</v>
      </c>
      <c r="M54" s="14">
        <f t="shared" si="1"/>
        <v>64829.700000000012</v>
      </c>
    </row>
    <row r="55" spans="1:13">
      <c r="A55" s="12">
        <v>40909</v>
      </c>
      <c r="B55" s="14"/>
      <c r="C55" s="14">
        <v>1305.5</v>
      </c>
      <c r="D55" s="14" t="s">
        <v>1</v>
      </c>
      <c r="E55" s="14">
        <v>11</v>
      </c>
      <c r="F55" s="14">
        <v>847.5</v>
      </c>
      <c r="G55" s="14" t="s">
        <v>1</v>
      </c>
      <c r="H55" s="14"/>
      <c r="I55" s="14">
        <v>261.8</v>
      </c>
      <c r="J55" s="14">
        <v>954.8</v>
      </c>
      <c r="K55" s="14">
        <v>56246.700000000004</v>
      </c>
      <c r="L55" s="15">
        <v>5560.5</v>
      </c>
      <c r="M55" s="14">
        <f t="shared" si="1"/>
        <v>65187.8</v>
      </c>
    </row>
    <row r="56" spans="1:13">
      <c r="A56" s="12">
        <v>40940</v>
      </c>
      <c r="B56" s="14"/>
      <c r="C56" s="14">
        <v>2364.8999999999996</v>
      </c>
      <c r="D56" s="14" t="s">
        <v>1</v>
      </c>
      <c r="E56" s="14">
        <v>11</v>
      </c>
      <c r="F56" s="14">
        <v>847.49999999999989</v>
      </c>
      <c r="G56" s="14" t="s">
        <v>1</v>
      </c>
      <c r="H56" s="14"/>
      <c r="I56" s="14">
        <v>185.9</v>
      </c>
      <c r="J56" s="14">
        <v>944.89999999999986</v>
      </c>
      <c r="K56" s="14">
        <v>55638.200000000004</v>
      </c>
      <c r="L56" s="15">
        <v>5514.5999999999995</v>
      </c>
      <c r="M56" s="14">
        <f t="shared" si="1"/>
        <v>65507</v>
      </c>
    </row>
    <row r="57" spans="1:13">
      <c r="A57" s="12">
        <v>40969</v>
      </c>
      <c r="B57" s="14"/>
      <c r="C57" s="14">
        <v>1348.7</v>
      </c>
      <c r="D57" s="14" t="s">
        <v>1</v>
      </c>
      <c r="E57" s="14">
        <v>11</v>
      </c>
      <c r="F57" s="14">
        <v>844.89999999999986</v>
      </c>
      <c r="G57" s="14" t="s">
        <v>1</v>
      </c>
      <c r="H57" s="14"/>
      <c r="I57" s="14">
        <v>617.20000000000005</v>
      </c>
      <c r="J57" s="14">
        <v>946.8</v>
      </c>
      <c r="K57" s="14">
        <v>55968.2</v>
      </c>
      <c r="L57" s="15">
        <v>6412.8000000000011</v>
      </c>
      <c r="M57" s="14">
        <f t="shared" si="1"/>
        <v>66149.599999999991</v>
      </c>
    </row>
    <row r="58" spans="1:13">
      <c r="A58" s="12">
        <v>41000</v>
      </c>
      <c r="B58" s="14"/>
      <c r="C58" s="14">
        <v>2294.3999999999996</v>
      </c>
      <c r="D58" s="14">
        <v>300</v>
      </c>
      <c r="E58" s="14">
        <v>11</v>
      </c>
      <c r="F58" s="14">
        <v>842.2</v>
      </c>
      <c r="G58" s="14" t="s">
        <v>1</v>
      </c>
      <c r="H58" s="14"/>
      <c r="I58" s="14">
        <v>670.7</v>
      </c>
      <c r="J58" s="14">
        <v>924.59999999999991</v>
      </c>
      <c r="K58" s="14">
        <v>55764.799999999996</v>
      </c>
      <c r="L58" s="15">
        <v>5901</v>
      </c>
      <c r="M58" s="14">
        <f t="shared" si="1"/>
        <v>66708.7</v>
      </c>
    </row>
    <row r="59" spans="1:13">
      <c r="A59" s="12">
        <v>41030</v>
      </c>
      <c r="B59" s="14"/>
      <c r="C59" s="14">
        <v>1582.8000000000002</v>
      </c>
      <c r="D59" s="14">
        <v>1000</v>
      </c>
      <c r="E59" s="14">
        <v>11</v>
      </c>
      <c r="F59" s="14">
        <v>842.19999999999993</v>
      </c>
      <c r="G59" s="14" t="s">
        <v>1</v>
      </c>
      <c r="H59" s="14"/>
      <c r="I59" s="14">
        <v>856.1</v>
      </c>
      <c r="J59" s="14">
        <v>925.8</v>
      </c>
      <c r="K59" s="14">
        <v>56145.099999999991</v>
      </c>
      <c r="L59" s="15">
        <v>6513.6</v>
      </c>
      <c r="M59" s="14">
        <f t="shared" si="1"/>
        <v>67876.599999999991</v>
      </c>
    </row>
    <row r="60" spans="1:13">
      <c r="A60" s="12">
        <v>41061</v>
      </c>
      <c r="B60" s="14"/>
      <c r="C60" s="14">
        <v>1892</v>
      </c>
      <c r="D60" s="14">
        <v>500</v>
      </c>
      <c r="E60" s="14">
        <v>11</v>
      </c>
      <c r="F60" s="14">
        <v>836.6</v>
      </c>
      <c r="G60" s="14" t="s">
        <v>1</v>
      </c>
      <c r="H60" s="14"/>
      <c r="I60" s="14">
        <v>882.9</v>
      </c>
      <c r="J60" s="14">
        <v>915.39999999999986</v>
      </c>
      <c r="K60" s="14">
        <v>57089.3</v>
      </c>
      <c r="L60" s="15">
        <v>6110.6</v>
      </c>
      <c r="M60" s="14">
        <f t="shared" si="1"/>
        <v>68237.8</v>
      </c>
    </row>
    <row r="61" spans="1:13">
      <c r="A61" s="12">
        <v>41091</v>
      </c>
      <c r="B61" s="14"/>
      <c r="C61" s="14">
        <v>2190.5</v>
      </c>
      <c r="D61" s="14">
        <v>500</v>
      </c>
      <c r="E61" s="14">
        <v>11</v>
      </c>
      <c r="F61" s="14">
        <v>836.59999999999991</v>
      </c>
      <c r="G61" s="14"/>
      <c r="H61" s="14"/>
      <c r="I61" s="14">
        <v>934.5</v>
      </c>
      <c r="J61" s="14">
        <v>904.49999999999989</v>
      </c>
      <c r="K61" s="14">
        <v>58394.500000000007</v>
      </c>
      <c r="L61" s="15">
        <v>5400.8</v>
      </c>
      <c r="M61" s="14">
        <f t="shared" si="1"/>
        <v>69172.400000000009</v>
      </c>
    </row>
    <row r="62" spans="1:13">
      <c r="A62" s="12">
        <v>41122</v>
      </c>
      <c r="B62" s="14"/>
      <c r="C62" s="14">
        <v>760.59999999999991</v>
      </c>
      <c r="D62" s="14">
        <v>500</v>
      </c>
      <c r="E62" s="14">
        <v>11</v>
      </c>
      <c r="F62" s="14">
        <v>836.60000000000014</v>
      </c>
      <c r="G62" s="14" t="s">
        <v>1</v>
      </c>
      <c r="H62" s="14"/>
      <c r="I62" s="14">
        <v>317.3</v>
      </c>
      <c r="J62" s="14">
        <v>893.59999999999991</v>
      </c>
      <c r="K62" s="14">
        <v>60316.100000000006</v>
      </c>
      <c r="L62" s="15">
        <v>5879</v>
      </c>
      <c r="M62" s="14">
        <f t="shared" si="1"/>
        <v>69514.200000000012</v>
      </c>
    </row>
    <row r="63" spans="1:13">
      <c r="A63" s="12">
        <v>41153</v>
      </c>
      <c r="B63" s="14"/>
      <c r="C63" s="14">
        <v>661.8</v>
      </c>
      <c r="D63" s="14">
        <v>500</v>
      </c>
      <c r="E63" s="14">
        <v>11</v>
      </c>
      <c r="F63" s="14">
        <v>836.6</v>
      </c>
      <c r="G63" s="14" t="s">
        <v>1</v>
      </c>
      <c r="H63" s="14"/>
      <c r="I63" s="14">
        <v>779.4</v>
      </c>
      <c r="J63" s="14">
        <v>882.89999999999986</v>
      </c>
      <c r="K63" s="14">
        <v>60186.3</v>
      </c>
      <c r="L63" s="15">
        <v>6362.3</v>
      </c>
      <c r="M63" s="14">
        <f t="shared" si="1"/>
        <v>70220.3</v>
      </c>
    </row>
    <row r="64" spans="1:13">
      <c r="A64" s="12">
        <v>41183</v>
      </c>
      <c r="B64" s="14"/>
      <c r="C64" s="14">
        <v>2440.3000000000002</v>
      </c>
      <c r="D64" s="14">
        <v>500</v>
      </c>
      <c r="E64" s="14">
        <v>11</v>
      </c>
      <c r="F64" s="14">
        <v>836.59999999999991</v>
      </c>
      <c r="G64" s="14" t="s">
        <v>1</v>
      </c>
      <c r="H64" s="14"/>
      <c r="I64" s="14">
        <v>933.3</v>
      </c>
      <c r="J64" s="14">
        <v>871.59999999999991</v>
      </c>
      <c r="K64" s="14">
        <v>59575.4</v>
      </c>
      <c r="L64" s="15">
        <v>6155</v>
      </c>
      <c r="M64" s="14">
        <f t="shared" si="1"/>
        <v>71323.199999999997</v>
      </c>
    </row>
    <row r="65" spans="1:13">
      <c r="A65" s="12">
        <v>41214</v>
      </c>
      <c r="B65" s="14"/>
      <c r="C65" s="14">
        <v>3429.6</v>
      </c>
      <c r="D65" s="14">
        <v>200</v>
      </c>
      <c r="E65" s="14">
        <v>11</v>
      </c>
      <c r="F65" s="14">
        <v>836.6</v>
      </c>
      <c r="G65" s="14" t="s">
        <v>1</v>
      </c>
      <c r="H65" s="14"/>
      <c r="I65" s="14">
        <v>374.6</v>
      </c>
      <c r="J65" s="14">
        <v>860.59999999999991</v>
      </c>
      <c r="K65" s="14">
        <v>60284.600000000006</v>
      </c>
      <c r="L65" s="15">
        <v>6308.7</v>
      </c>
      <c r="M65" s="14">
        <f t="shared" si="1"/>
        <v>72305.7</v>
      </c>
    </row>
    <row r="66" spans="1:13">
      <c r="A66" s="12">
        <v>41244</v>
      </c>
      <c r="B66" s="14"/>
      <c r="C66" s="14">
        <v>3984.8</v>
      </c>
      <c r="D66" s="14">
        <v>1200</v>
      </c>
      <c r="E66" s="14">
        <v>11</v>
      </c>
      <c r="F66" s="14">
        <v>836.59999999999991</v>
      </c>
      <c r="G66" s="14" t="s">
        <v>1</v>
      </c>
      <c r="H66" s="14"/>
      <c r="I66" s="14">
        <v>693.3</v>
      </c>
      <c r="J66" s="14">
        <v>839.19999999999982</v>
      </c>
      <c r="K66" s="14">
        <v>59250.000000000007</v>
      </c>
      <c r="L66" s="15">
        <v>5417.5</v>
      </c>
      <c r="M66" s="14">
        <f t="shared" si="1"/>
        <v>72232.400000000009</v>
      </c>
    </row>
    <row r="67" spans="1:13">
      <c r="A67" s="12">
        <v>41275</v>
      </c>
      <c r="B67" s="14"/>
      <c r="C67" s="14">
        <v>3676.1000000000004</v>
      </c>
      <c r="D67" s="14">
        <v>1200</v>
      </c>
      <c r="E67" s="14">
        <v>11</v>
      </c>
      <c r="F67" s="14">
        <v>329.79999999999995</v>
      </c>
      <c r="G67" s="14" t="s">
        <v>1</v>
      </c>
      <c r="H67" s="14"/>
      <c r="I67" s="14">
        <v>690</v>
      </c>
      <c r="J67" s="14">
        <v>827.69999999999993</v>
      </c>
      <c r="K67" s="14">
        <v>59740</v>
      </c>
      <c r="L67" s="15">
        <v>5320.7</v>
      </c>
      <c r="M67" s="14">
        <f t="shared" si="1"/>
        <v>71795.3</v>
      </c>
    </row>
    <row r="68" spans="1:13">
      <c r="A68" s="12">
        <v>41306</v>
      </c>
      <c r="B68" s="14"/>
      <c r="C68" s="14">
        <v>2966.1000000000004</v>
      </c>
      <c r="D68" s="14">
        <v>1200</v>
      </c>
      <c r="E68" s="14">
        <v>11</v>
      </c>
      <c r="F68" s="14">
        <v>329.80000000000007</v>
      </c>
      <c r="G68" s="14" t="s">
        <v>1</v>
      </c>
      <c r="H68" s="14"/>
      <c r="I68" s="14">
        <v>696.1</v>
      </c>
      <c r="J68" s="14">
        <v>816.5</v>
      </c>
      <c r="K68" s="14">
        <v>59923.900000000009</v>
      </c>
      <c r="L68" s="15">
        <v>5930.7000000000007</v>
      </c>
      <c r="M68" s="14">
        <f t="shared" si="1"/>
        <v>71874.100000000006</v>
      </c>
    </row>
    <row r="69" spans="1:13">
      <c r="A69" s="12">
        <v>41334</v>
      </c>
      <c r="B69" s="14"/>
      <c r="C69" s="14">
        <v>2437.2999999999997</v>
      </c>
      <c r="D69" s="14">
        <v>1200</v>
      </c>
      <c r="E69" s="14">
        <v>11</v>
      </c>
      <c r="F69" s="14">
        <v>329.79999999999995</v>
      </c>
      <c r="G69" s="14" t="s">
        <v>1</v>
      </c>
      <c r="H69" s="14"/>
      <c r="I69" s="14">
        <v>659.3</v>
      </c>
      <c r="J69" s="14">
        <v>804.49999999999989</v>
      </c>
      <c r="K69" s="14">
        <v>61556.200000000012</v>
      </c>
      <c r="L69" s="15">
        <v>5974.5</v>
      </c>
      <c r="M69" s="14">
        <f t="shared" si="1"/>
        <v>72972.600000000006</v>
      </c>
    </row>
    <row r="70" spans="1:13">
      <c r="A70" s="12">
        <v>41365</v>
      </c>
      <c r="B70" s="14"/>
      <c r="C70" s="14">
        <v>2552.3000000000002</v>
      </c>
      <c r="D70" s="14">
        <v>200</v>
      </c>
      <c r="E70" s="14">
        <v>11</v>
      </c>
      <c r="F70" s="14">
        <v>329.80000000000007</v>
      </c>
      <c r="G70" s="14" t="s">
        <v>1</v>
      </c>
      <c r="H70" s="14"/>
      <c r="I70" s="14">
        <v>889.6</v>
      </c>
      <c r="J70" s="14">
        <v>792.99999999999989</v>
      </c>
      <c r="K70" s="14">
        <v>62499.7</v>
      </c>
      <c r="L70" s="15">
        <v>6220.6</v>
      </c>
      <c r="M70" s="14">
        <f t="shared" si="1"/>
        <v>73496</v>
      </c>
    </row>
    <row r="71" spans="1:13">
      <c r="A71" s="12">
        <v>41395</v>
      </c>
      <c r="B71" s="14"/>
      <c r="C71" s="14">
        <v>2603.7000000000003</v>
      </c>
      <c r="D71" s="14">
        <v>200</v>
      </c>
      <c r="E71" s="14">
        <v>11</v>
      </c>
      <c r="F71" s="14">
        <v>329.79999999999995</v>
      </c>
      <c r="G71" s="14" t="s">
        <v>1</v>
      </c>
      <c r="H71" s="14"/>
      <c r="I71" s="14">
        <v>866.2</v>
      </c>
      <c r="J71" s="14">
        <v>780.99999999999989</v>
      </c>
      <c r="K71" s="14">
        <v>63391.9</v>
      </c>
      <c r="L71" s="15">
        <v>6340</v>
      </c>
      <c r="M71" s="14">
        <f t="shared" ref="M71:M102" si="2">SUM(B71:L71)</f>
        <v>74523.600000000006</v>
      </c>
    </row>
    <row r="72" spans="1:13">
      <c r="A72" s="12">
        <v>41426</v>
      </c>
      <c r="B72" s="14"/>
      <c r="C72" s="14">
        <v>3149.5</v>
      </c>
      <c r="D72" s="14">
        <v>200</v>
      </c>
      <c r="E72" s="14">
        <v>11</v>
      </c>
      <c r="F72" s="14">
        <v>2.7999999999999545</v>
      </c>
      <c r="G72" s="14" t="s">
        <v>1</v>
      </c>
      <c r="H72" s="14"/>
      <c r="I72" s="14">
        <v>1041.2</v>
      </c>
      <c r="J72" s="14">
        <v>769.29999999999984</v>
      </c>
      <c r="K72" s="14">
        <v>63817.599999999999</v>
      </c>
      <c r="L72" s="15">
        <v>6176</v>
      </c>
      <c r="M72" s="14">
        <f t="shared" si="2"/>
        <v>75167.399999999994</v>
      </c>
    </row>
    <row r="73" spans="1:13">
      <c r="A73" s="12">
        <v>41456</v>
      </c>
      <c r="B73" s="14"/>
      <c r="C73" s="14">
        <v>2638.5000000000005</v>
      </c>
      <c r="D73" s="14">
        <v>200</v>
      </c>
      <c r="E73" s="14">
        <v>11</v>
      </c>
      <c r="F73" s="14">
        <v>2.7999999999999545</v>
      </c>
      <c r="G73" s="14" t="s">
        <v>1</v>
      </c>
      <c r="H73" s="14"/>
      <c r="I73" s="14">
        <v>803.3</v>
      </c>
      <c r="J73" s="14">
        <v>606.09999999999991</v>
      </c>
      <c r="K73" s="14">
        <v>66088.400000000009</v>
      </c>
      <c r="L73" s="15">
        <v>6685.5999999999995</v>
      </c>
      <c r="M73" s="14">
        <f t="shared" si="2"/>
        <v>77035.700000000012</v>
      </c>
    </row>
    <row r="74" spans="1:13">
      <c r="A74" s="12">
        <v>41487</v>
      </c>
      <c r="B74" s="14"/>
      <c r="C74" s="14">
        <v>1476.8</v>
      </c>
      <c r="D74" s="14">
        <v>200</v>
      </c>
      <c r="E74" s="14">
        <v>11</v>
      </c>
      <c r="F74" s="14">
        <v>2.7999999999999545</v>
      </c>
      <c r="G74" s="14" t="s">
        <v>1</v>
      </c>
      <c r="H74" s="14"/>
      <c r="I74" s="14">
        <v>829.2</v>
      </c>
      <c r="J74" s="14">
        <v>605.4</v>
      </c>
      <c r="K74" s="14">
        <v>67490.700000000012</v>
      </c>
      <c r="L74" s="15">
        <v>7354.7</v>
      </c>
      <c r="M74" s="14">
        <f t="shared" si="2"/>
        <v>77970.600000000006</v>
      </c>
    </row>
    <row r="75" spans="1:13">
      <c r="A75" s="12">
        <v>41518</v>
      </c>
      <c r="B75" s="14"/>
      <c r="C75" s="14">
        <v>1005.3</v>
      </c>
      <c r="D75" s="14">
        <v>200</v>
      </c>
      <c r="E75" s="14">
        <v>11</v>
      </c>
      <c r="F75" s="14">
        <v>0</v>
      </c>
      <c r="G75" s="14" t="s">
        <v>1</v>
      </c>
      <c r="H75" s="14"/>
      <c r="I75" s="14">
        <v>550.70000000000005</v>
      </c>
      <c r="J75" s="14">
        <v>605.4</v>
      </c>
      <c r="K75" s="14">
        <v>69742.100000000006</v>
      </c>
      <c r="L75" s="15">
        <v>6601.1</v>
      </c>
      <c r="M75" s="14">
        <f t="shared" si="2"/>
        <v>78715.600000000006</v>
      </c>
    </row>
    <row r="76" spans="1:13">
      <c r="A76" s="12">
        <v>41548</v>
      </c>
      <c r="B76" s="14"/>
      <c r="C76" s="14">
        <v>1679.1999999999998</v>
      </c>
      <c r="D76" s="14">
        <v>200</v>
      </c>
      <c r="E76" s="14">
        <v>11</v>
      </c>
      <c r="F76" s="14">
        <v>0</v>
      </c>
      <c r="G76" s="14" t="s">
        <v>1</v>
      </c>
      <c r="H76" s="14"/>
      <c r="I76" s="14">
        <v>698.4</v>
      </c>
      <c r="J76" s="14">
        <v>604.99999999999989</v>
      </c>
      <c r="K76" s="14">
        <v>71180.100000000006</v>
      </c>
      <c r="L76" s="15">
        <v>7066.9</v>
      </c>
      <c r="M76" s="14">
        <f t="shared" si="2"/>
        <v>81440.600000000006</v>
      </c>
    </row>
    <row r="77" spans="1:13">
      <c r="A77" s="12">
        <v>41579</v>
      </c>
      <c r="B77" s="14"/>
      <c r="C77" s="14">
        <v>1006.3</v>
      </c>
      <c r="D77" s="14">
        <v>200</v>
      </c>
      <c r="E77" s="14">
        <v>11</v>
      </c>
      <c r="F77" s="14">
        <v>0</v>
      </c>
      <c r="G77" s="14" t="s">
        <v>1</v>
      </c>
      <c r="H77" s="14"/>
      <c r="I77" s="14">
        <v>372.6</v>
      </c>
      <c r="J77" s="14">
        <v>604.99999999999989</v>
      </c>
      <c r="K77" s="14">
        <v>72581.100000000006</v>
      </c>
      <c r="L77" s="15">
        <v>7601.2999999999993</v>
      </c>
      <c r="M77" s="14">
        <f t="shared" si="2"/>
        <v>82377.3</v>
      </c>
    </row>
    <row r="78" spans="1:13">
      <c r="A78" s="12">
        <v>41609</v>
      </c>
      <c r="B78" s="14"/>
      <c r="C78" s="14">
        <v>1535.5</v>
      </c>
      <c r="D78" s="14">
        <v>200</v>
      </c>
      <c r="E78" s="14">
        <v>11</v>
      </c>
      <c r="F78" s="14">
        <v>0</v>
      </c>
      <c r="G78" s="14" t="s">
        <v>1</v>
      </c>
      <c r="H78" s="14"/>
      <c r="I78" s="14">
        <v>609.79999999999995</v>
      </c>
      <c r="J78" s="14">
        <v>604.59999999999991</v>
      </c>
      <c r="K78" s="14">
        <v>73439.199999999997</v>
      </c>
      <c r="L78" s="15">
        <v>6708.5</v>
      </c>
      <c r="M78" s="14">
        <f t="shared" si="2"/>
        <v>83108.599999999991</v>
      </c>
    </row>
    <row r="79" spans="1:13">
      <c r="A79" s="12">
        <v>41640</v>
      </c>
      <c r="B79" s="14" t="s">
        <v>1</v>
      </c>
      <c r="C79" s="14">
        <v>970.8</v>
      </c>
      <c r="D79" s="14">
        <v>200</v>
      </c>
      <c r="E79" s="14">
        <v>11</v>
      </c>
      <c r="F79" s="14">
        <v>0</v>
      </c>
      <c r="G79" s="14" t="s">
        <v>1</v>
      </c>
      <c r="H79" s="14"/>
      <c r="I79" s="14">
        <v>433.2</v>
      </c>
      <c r="J79" s="13">
        <v>604.19999999999993</v>
      </c>
      <c r="K79" s="13">
        <v>74690.200000000012</v>
      </c>
      <c r="L79" s="15">
        <v>6804.6</v>
      </c>
      <c r="M79" s="14">
        <f t="shared" si="2"/>
        <v>83714.000000000015</v>
      </c>
    </row>
    <row r="80" spans="1:13">
      <c r="A80" s="12">
        <v>41671</v>
      </c>
      <c r="B80" s="14" t="s">
        <v>1</v>
      </c>
      <c r="C80" s="14">
        <v>1189.1999999999998</v>
      </c>
      <c r="D80" s="14">
        <v>200</v>
      </c>
      <c r="E80" s="14">
        <v>11</v>
      </c>
      <c r="F80" s="14">
        <v>0</v>
      </c>
      <c r="G80" s="14" t="s">
        <v>1</v>
      </c>
      <c r="H80" s="14"/>
      <c r="I80" s="14">
        <v>65.900000000000006</v>
      </c>
      <c r="J80" s="13">
        <v>603.79999999999995</v>
      </c>
      <c r="K80" s="13">
        <v>76361.8</v>
      </c>
      <c r="L80" s="15">
        <v>7146.8</v>
      </c>
      <c r="M80" s="14">
        <f t="shared" si="2"/>
        <v>85578.5</v>
      </c>
    </row>
    <row r="81" spans="1:13">
      <c r="A81" s="12">
        <v>41699</v>
      </c>
      <c r="B81" s="14" t="s">
        <v>1</v>
      </c>
      <c r="C81" s="14">
        <v>1175.9000000000001</v>
      </c>
      <c r="D81" s="14">
        <v>200</v>
      </c>
      <c r="E81" s="14">
        <v>11</v>
      </c>
      <c r="F81" s="14">
        <v>0</v>
      </c>
      <c r="G81" s="14" t="s">
        <v>1</v>
      </c>
      <c r="H81" s="14"/>
      <c r="I81" s="14">
        <v>461.5</v>
      </c>
      <c r="J81" s="13">
        <v>602.99999999999989</v>
      </c>
      <c r="K81" s="13">
        <v>75716.200000000012</v>
      </c>
      <c r="L81" s="15">
        <v>7587.5</v>
      </c>
      <c r="M81" s="14">
        <f t="shared" si="2"/>
        <v>85755.1</v>
      </c>
    </row>
    <row r="82" spans="1:13">
      <c r="A82" s="12">
        <v>41730</v>
      </c>
      <c r="B82" s="14" t="s">
        <v>1</v>
      </c>
      <c r="C82" s="14">
        <v>2070</v>
      </c>
      <c r="D82" s="14">
        <v>200</v>
      </c>
      <c r="E82" s="14">
        <v>311</v>
      </c>
      <c r="F82" s="14">
        <v>0</v>
      </c>
      <c r="G82" s="14" t="s">
        <v>1</v>
      </c>
      <c r="H82" s="14"/>
      <c r="I82" s="14">
        <v>382.1</v>
      </c>
      <c r="J82" s="13">
        <v>602.99999999999989</v>
      </c>
      <c r="K82" s="13">
        <v>76553.2</v>
      </c>
      <c r="L82" s="15">
        <v>7581.9000000000005</v>
      </c>
      <c r="M82" s="14">
        <f t="shared" si="2"/>
        <v>87701.2</v>
      </c>
    </row>
    <row r="83" spans="1:13">
      <c r="A83" s="12">
        <v>41760</v>
      </c>
      <c r="B83" s="14" t="s">
        <v>1</v>
      </c>
      <c r="C83" s="14">
        <v>1580.9</v>
      </c>
      <c r="D83" s="14">
        <v>250</v>
      </c>
      <c r="E83" s="14">
        <v>11</v>
      </c>
      <c r="F83" s="14">
        <v>0</v>
      </c>
      <c r="G83" s="14" t="s">
        <v>1</v>
      </c>
      <c r="H83" s="14"/>
      <c r="I83" s="14">
        <v>55.4</v>
      </c>
      <c r="J83" s="13">
        <v>602.19999999999993</v>
      </c>
      <c r="K83" s="13">
        <v>78787.899999999994</v>
      </c>
      <c r="L83" s="15">
        <v>7542.2000000000007</v>
      </c>
      <c r="M83" s="14">
        <f t="shared" si="2"/>
        <v>88829.599999999991</v>
      </c>
    </row>
    <row r="84" spans="1:13">
      <c r="A84" s="12">
        <v>41791</v>
      </c>
      <c r="B84" s="14" t="s">
        <v>1</v>
      </c>
      <c r="C84" s="14">
        <v>1781.1</v>
      </c>
      <c r="D84" s="14">
        <v>250</v>
      </c>
      <c r="E84" s="14">
        <v>11</v>
      </c>
      <c r="F84" s="14">
        <v>73.199999999999989</v>
      </c>
      <c r="G84" s="14" t="s">
        <v>1</v>
      </c>
      <c r="H84" s="14"/>
      <c r="I84" s="14">
        <v>444.8</v>
      </c>
      <c r="J84" s="13">
        <v>601.79999999999995</v>
      </c>
      <c r="K84" s="13">
        <v>79629.900000000009</v>
      </c>
      <c r="L84" s="15">
        <v>8264.6000000000022</v>
      </c>
      <c r="M84" s="14">
        <f t="shared" si="2"/>
        <v>91056.400000000009</v>
      </c>
    </row>
    <row r="85" spans="1:13">
      <c r="A85" s="12">
        <v>41821</v>
      </c>
      <c r="B85" s="14" t="s">
        <v>1</v>
      </c>
      <c r="C85" s="14">
        <v>2029.1</v>
      </c>
      <c r="D85" s="14">
        <v>50</v>
      </c>
      <c r="E85" s="14">
        <v>11</v>
      </c>
      <c r="F85" s="14">
        <v>0</v>
      </c>
      <c r="G85" s="14" t="s">
        <v>1</v>
      </c>
      <c r="H85" s="14"/>
      <c r="I85" s="14">
        <v>341</v>
      </c>
      <c r="J85" s="13">
        <v>601.79999999999995</v>
      </c>
      <c r="K85" s="13">
        <v>81857.3</v>
      </c>
      <c r="L85" s="15">
        <v>7603.8</v>
      </c>
      <c r="M85" s="14">
        <f t="shared" si="2"/>
        <v>92494</v>
      </c>
    </row>
    <row r="86" spans="1:13">
      <c r="A86" s="12">
        <v>41852</v>
      </c>
      <c r="B86" s="14">
        <v>67.2</v>
      </c>
      <c r="C86" s="14">
        <v>1947.1</v>
      </c>
      <c r="D86" s="14">
        <v>50</v>
      </c>
      <c r="E86" s="14">
        <v>11</v>
      </c>
      <c r="F86" s="14">
        <v>0</v>
      </c>
      <c r="G86" s="14" t="s">
        <v>1</v>
      </c>
      <c r="H86" s="14"/>
      <c r="I86" s="14">
        <v>384.4</v>
      </c>
      <c r="J86" s="13">
        <v>601.4</v>
      </c>
      <c r="K86" s="13">
        <v>83304.700000000012</v>
      </c>
      <c r="L86" s="15">
        <v>7674</v>
      </c>
      <c r="M86" s="14">
        <f t="shared" si="2"/>
        <v>94039.800000000017</v>
      </c>
    </row>
    <row r="87" spans="1:13">
      <c r="A87" s="12">
        <v>41883</v>
      </c>
      <c r="B87" s="14">
        <v>67.2</v>
      </c>
      <c r="C87" s="14">
        <v>2418</v>
      </c>
      <c r="D87" s="14" t="s">
        <v>1</v>
      </c>
      <c r="E87" s="14">
        <v>11</v>
      </c>
      <c r="F87" s="14">
        <v>0</v>
      </c>
      <c r="G87" s="14" t="s">
        <v>1</v>
      </c>
      <c r="H87" s="14"/>
      <c r="I87" s="14">
        <v>401.1</v>
      </c>
      <c r="J87" s="13">
        <v>600.9</v>
      </c>
      <c r="K87" s="13">
        <v>84091.8</v>
      </c>
      <c r="L87" s="15">
        <v>8356.5</v>
      </c>
      <c r="M87" s="14">
        <f t="shared" si="2"/>
        <v>95946.5</v>
      </c>
    </row>
    <row r="88" spans="1:13">
      <c r="A88" s="12">
        <v>41913</v>
      </c>
      <c r="B88" s="14">
        <v>67.2</v>
      </c>
      <c r="C88" s="14">
        <v>2656.5</v>
      </c>
      <c r="D88" s="14" t="s">
        <v>1</v>
      </c>
      <c r="E88" s="14">
        <v>512.4</v>
      </c>
      <c r="F88" s="14">
        <v>0</v>
      </c>
      <c r="G88" s="14" t="s">
        <v>1</v>
      </c>
      <c r="H88" s="14"/>
      <c r="I88" s="14">
        <v>383.1</v>
      </c>
      <c r="J88" s="13">
        <v>597.69999999999993</v>
      </c>
      <c r="K88" s="13">
        <v>85658.4</v>
      </c>
      <c r="L88" s="15">
        <v>7792.2</v>
      </c>
      <c r="M88" s="14">
        <f t="shared" si="2"/>
        <v>97667.499999999985</v>
      </c>
    </row>
    <row r="89" spans="1:13">
      <c r="A89" s="12">
        <v>41944</v>
      </c>
      <c r="B89" s="14">
        <v>67.2</v>
      </c>
      <c r="C89" s="14">
        <v>2498.6999999999998</v>
      </c>
      <c r="D89" s="14">
        <v>500</v>
      </c>
      <c r="E89" s="14">
        <v>511</v>
      </c>
      <c r="F89" s="14">
        <v>0</v>
      </c>
      <c r="G89" s="14" t="s">
        <v>1</v>
      </c>
      <c r="H89" s="14"/>
      <c r="I89" s="14" t="s">
        <v>1</v>
      </c>
      <c r="J89" s="13">
        <v>597.69999999999993</v>
      </c>
      <c r="K89" s="13">
        <v>86819.9</v>
      </c>
      <c r="L89" s="15">
        <v>9008.9</v>
      </c>
      <c r="M89" s="14">
        <f t="shared" si="2"/>
        <v>100003.4</v>
      </c>
    </row>
    <row r="90" spans="1:13">
      <c r="A90" s="12">
        <v>41974</v>
      </c>
      <c r="B90" s="14">
        <v>67.2</v>
      </c>
      <c r="C90" s="14">
        <v>2724.3</v>
      </c>
      <c r="D90" s="14">
        <v>1500</v>
      </c>
      <c r="E90" s="14">
        <v>511</v>
      </c>
      <c r="F90" s="14">
        <v>0</v>
      </c>
      <c r="G90" s="14" t="s">
        <v>1</v>
      </c>
      <c r="H90" s="14"/>
      <c r="I90" s="14" t="s">
        <v>1</v>
      </c>
      <c r="J90" s="13">
        <v>597.69999999999993</v>
      </c>
      <c r="K90" s="13">
        <v>87468.6</v>
      </c>
      <c r="L90" s="15">
        <v>9064.2000000000007</v>
      </c>
      <c r="M90" s="14">
        <f t="shared" si="2"/>
        <v>101933</v>
      </c>
    </row>
    <row r="91" spans="1:13">
      <c r="A91" s="12">
        <v>42005</v>
      </c>
      <c r="B91" s="14">
        <v>67.2</v>
      </c>
      <c r="C91" s="14">
        <v>1351.1999999999998</v>
      </c>
      <c r="D91" s="14">
        <v>1903.9</v>
      </c>
      <c r="E91" s="14">
        <v>511</v>
      </c>
      <c r="F91" s="14">
        <v>0</v>
      </c>
      <c r="G91" s="14" t="s">
        <v>1</v>
      </c>
      <c r="H91" s="14"/>
      <c r="I91" s="14" t="s">
        <v>1</v>
      </c>
      <c r="J91" s="13">
        <v>597.69999999999993</v>
      </c>
      <c r="K91" s="13">
        <v>88722.099999999991</v>
      </c>
      <c r="L91" s="15">
        <v>9347.9000000000015</v>
      </c>
      <c r="M91" s="14">
        <f t="shared" si="2"/>
        <v>102501</v>
      </c>
    </row>
    <row r="92" spans="1:13">
      <c r="A92" s="12">
        <v>42036</v>
      </c>
      <c r="B92" s="14">
        <v>67.2</v>
      </c>
      <c r="C92" s="14">
        <v>2396.9</v>
      </c>
      <c r="D92" s="14">
        <v>1403.9</v>
      </c>
      <c r="E92" s="14">
        <v>511</v>
      </c>
      <c r="F92" s="14">
        <v>0</v>
      </c>
      <c r="G92" s="14" t="s">
        <v>1</v>
      </c>
      <c r="H92" s="14"/>
      <c r="I92" s="14" t="s">
        <v>1</v>
      </c>
      <c r="J92" s="13">
        <v>597.69999999999993</v>
      </c>
      <c r="K92" s="13">
        <v>87626.1</v>
      </c>
      <c r="L92" s="15">
        <v>9506.7000000000007</v>
      </c>
      <c r="M92" s="14">
        <f t="shared" si="2"/>
        <v>102109.5</v>
      </c>
    </row>
    <row r="93" spans="1:13">
      <c r="A93" s="12">
        <v>42064</v>
      </c>
      <c r="B93" s="14">
        <v>67.2</v>
      </c>
      <c r="C93" s="14">
        <v>1745.7</v>
      </c>
      <c r="D93" s="14">
        <v>2265.8000000000002</v>
      </c>
      <c r="E93" s="14">
        <v>511</v>
      </c>
      <c r="F93" s="14">
        <v>0</v>
      </c>
      <c r="G93" s="14" t="s">
        <v>1</v>
      </c>
      <c r="H93" s="14"/>
      <c r="I93" s="14" t="s">
        <v>1</v>
      </c>
      <c r="J93" s="13">
        <v>597.69999999999993</v>
      </c>
      <c r="K93" s="13">
        <v>87282.8</v>
      </c>
      <c r="L93" s="15">
        <v>10418.700000000001</v>
      </c>
      <c r="M93" s="14">
        <f t="shared" si="2"/>
        <v>102888.9</v>
      </c>
    </row>
    <row r="94" spans="1:13">
      <c r="A94" s="12">
        <v>42095</v>
      </c>
      <c r="B94" s="14">
        <v>67.2</v>
      </c>
      <c r="C94" s="14">
        <v>2744</v>
      </c>
      <c r="D94" s="14">
        <v>3715.8</v>
      </c>
      <c r="E94" s="14">
        <v>11</v>
      </c>
      <c r="F94" s="14">
        <v>0</v>
      </c>
      <c r="G94" s="14" t="s">
        <v>1</v>
      </c>
      <c r="H94" s="14"/>
      <c r="I94" s="14" t="s">
        <v>1</v>
      </c>
      <c r="J94" s="13">
        <v>597.69999999999993</v>
      </c>
      <c r="K94" s="13">
        <v>88061.7</v>
      </c>
      <c r="L94" s="15">
        <v>10481.299999999999</v>
      </c>
      <c r="M94" s="14">
        <f t="shared" si="2"/>
        <v>105678.7</v>
      </c>
    </row>
    <row r="95" spans="1:13">
      <c r="A95" s="12">
        <v>42125</v>
      </c>
      <c r="B95" s="14">
        <v>67.2</v>
      </c>
      <c r="C95" s="14">
        <v>4321.6000000000004</v>
      </c>
      <c r="D95" s="14">
        <v>3715.8</v>
      </c>
      <c r="E95" s="14">
        <v>11</v>
      </c>
      <c r="F95" s="14">
        <v>0</v>
      </c>
      <c r="G95" s="14" t="s">
        <v>1</v>
      </c>
      <c r="H95" s="14"/>
      <c r="I95" s="14" t="s">
        <v>1</v>
      </c>
      <c r="J95" s="13">
        <v>597.69999999999993</v>
      </c>
      <c r="K95" s="13">
        <v>86891.700000000012</v>
      </c>
      <c r="L95" s="15">
        <v>10916.1</v>
      </c>
      <c r="M95" s="14">
        <f t="shared" si="2"/>
        <v>106521.10000000002</v>
      </c>
    </row>
    <row r="96" spans="1:13">
      <c r="A96" s="12">
        <v>42156</v>
      </c>
      <c r="B96" s="14">
        <v>67.2</v>
      </c>
      <c r="C96" s="14">
        <v>3429.1000000000004</v>
      </c>
      <c r="D96" s="14">
        <v>5715.8</v>
      </c>
      <c r="E96" s="14">
        <v>11</v>
      </c>
      <c r="F96" s="14">
        <v>0</v>
      </c>
      <c r="G96" s="14" t="s">
        <v>1</v>
      </c>
      <c r="H96" s="14"/>
      <c r="I96" s="14" t="s">
        <v>1</v>
      </c>
      <c r="J96" s="13">
        <v>597.69999999999993</v>
      </c>
      <c r="K96" s="13">
        <v>86842</v>
      </c>
      <c r="L96" s="15">
        <v>10593.5</v>
      </c>
      <c r="M96" s="14">
        <f t="shared" si="2"/>
        <v>107256.3</v>
      </c>
    </row>
    <row r="97" spans="1:13">
      <c r="A97" s="12">
        <v>42186</v>
      </c>
      <c r="B97" s="14">
        <v>67.2</v>
      </c>
      <c r="C97" s="14">
        <v>3685.1</v>
      </c>
      <c r="D97" s="14">
        <v>7215.8</v>
      </c>
      <c r="E97" s="14">
        <v>11</v>
      </c>
      <c r="F97" s="14">
        <v>0</v>
      </c>
      <c r="G97" s="14" t="s">
        <v>1</v>
      </c>
      <c r="H97" s="14"/>
      <c r="I97" s="14" t="s">
        <v>1</v>
      </c>
      <c r="J97" s="13">
        <v>597.69999999999993</v>
      </c>
      <c r="K97" s="13">
        <v>86222.7</v>
      </c>
      <c r="L97" s="15">
        <v>11069.8</v>
      </c>
      <c r="M97" s="14">
        <f t="shared" si="2"/>
        <v>108869.3</v>
      </c>
    </row>
    <row r="98" spans="1:13">
      <c r="A98" s="12">
        <v>42217</v>
      </c>
      <c r="B98" s="14">
        <v>67.2</v>
      </c>
      <c r="C98" s="14">
        <v>6119.6</v>
      </c>
      <c r="D98" s="14">
        <v>7215.8</v>
      </c>
      <c r="E98" s="14">
        <v>11</v>
      </c>
      <c r="F98" s="14">
        <v>0</v>
      </c>
      <c r="G98" s="14" t="s">
        <v>1</v>
      </c>
      <c r="H98" s="14"/>
      <c r="I98" s="14" t="s">
        <v>1</v>
      </c>
      <c r="J98" s="13">
        <v>597.69999999999993</v>
      </c>
      <c r="K98" s="13">
        <v>86475.7</v>
      </c>
      <c r="L98" s="15">
        <v>11082.099999999999</v>
      </c>
      <c r="M98" s="14">
        <f t="shared" si="2"/>
        <v>111569.1</v>
      </c>
    </row>
    <row r="99" spans="1:13">
      <c r="A99" s="12">
        <v>42248</v>
      </c>
      <c r="B99" s="14">
        <v>67.2</v>
      </c>
      <c r="C99" s="14">
        <v>4414.1000000000004</v>
      </c>
      <c r="D99" s="14">
        <v>9215.7999999999993</v>
      </c>
      <c r="E99" s="14">
        <v>11</v>
      </c>
      <c r="F99" s="14">
        <v>0</v>
      </c>
      <c r="G99" s="14" t="s">
        <v>1</v>
      </c>
      <c r="H99" s="14"/>
      <c r="I99" s="14" t="s">
        <v>1</v>
      </c>
      <c r="J99" s="13">
        <v>597.69999999999993</v>
      </c>
      <c r="K99" s="13">
        <v>87471.799999999988</v>
      </c>
      <c r="L99" s="15">
        <v>10771.5</v>
      </c>
      <c r="M99" s="14">
        <f t="shared" si="2"/>
        <v>112549.09999999999</v>
      </c>
    </row>
    <row r="100" spans="1:13">
      <c r="A100" s="12">
        <v>42278</v>
      </c>
      <c r="B100" s="14">
        <v>67.2</v>
      </c>
      <c r="C100" s="14">
        <v>4440.1000000000004</v>
      </c>
      <c r="D100" s="14">
        <v>9215.7999999999993</v>
      </c>
      <c r="E100" s="14">
        <v>11</v>
      </c>
      <c r="F100" s="14">
        <v>0</v>
      </c>
      <c r="G100" s="14" t="s">
        <v>1</v>
      </c>
      <c r="H100" s="14"/>
      <c r="I100" s="14" t="s">
        <v>1</v>
      </c>
      <c r="J100" s="13">
        <v>597.69999999999993</v>
      </c>
      <c r="K100" s="13">
        <v>88217.600000000006</v>
      </c>
      <c r="L100" s="15">
        <v>10941.9</v>
      </c>
      <c r="M100" s="14">
        <f t="shared" si="2"/>
        <v>113491.3</v>
      </c>
    </row>
    <row r="101" spans="1:13">
      <c r="A101" s="12">
        <v>42309</v>
      </c>
      <c r="B101" s="14" t="s">
        <v>1</v>
      </c>
      <c r="C101" s="14">
        <v>6180.9</v>
      </c>
      <c r="D101" s="14">
        <v>9497.1</v>
      </c>
      <c r="E101" s="14">
        <v>11</v>
      </c>
      <c r="F101" s="14">
        <v>16.2</v>
      </c>
      <c r="G101" s="14" t="s">
        <v>1</v>
      </c>
      <c r="H101" s="14"/>
      <c r="I101" s="14" t="s">
        <v>1</v>
      </c>
      <c r="J101" s="13">
        <v>668.49999999999989</v>
      </c>
      <c r="K101" s="13">
        <v>86271.200000000012</v>
      </c>
      <c r="L101" s="15">
        <v>14687.5</v>
      </c>
      <c r="M101" s="14">
        <f t="shared" si="2"/>
        <v>117332.40000000001</v>
      </c>
    </row>
    <row r="102" spans="1:13">
      <c r="A102" s="12">
        <v>42339</v>
      </c>
      <c r="B102" s="14" t="s">
        <v>1</v>
      </c>
      <c r="C102" s="14">
        <v>8555</v>
      </c>
      <c r="D102" s="14">
        <v>9496.7000000000007</v>
      </c>
      <c r="E102" s="14">
        <v>11</v>
      </c>
      <c r="F102" s="14">
        <v>23.2</v>
      </c>
      <c r="G102" s="14" t="s">
        <v>1</v>
      </c>
      <c r="H102" s="14"/>
      <c r="I102" s="14" t="s">
        <v>1</v>
      </c>
      <c r="J102" s="13">
        <v>529</v>
      </c>
      <c r="K102" s="13">
        <v>86640.700000000012</v>
      </c>
      <c r="L102" s="15">
        <v>14206.4</v>
      </c>
      <c r="M102" s="14">
        <f t="shared" si="2"/>
        <v>119462</v>
      </c>
    </row>
    <row r="103" spans="1:13">
      <c r="A103" s="12">
        <v>42370</v>
      </c>
      <c r="B103" s="14"/>
      <c r="C103" s="14">
        <v>6419.8</v>
      </c>
      <c r="D103" s="14">
        <v>9543.1</v>
      </c>
      <c r="E103" s="14">
        <v>11</v>
      </c>
      <c r="F103" s="14">
        <v>59.9</v>
      </c>
      <c r="G103" s="14" t="s">
        <v>1</v>
      </c>
      <c r="H103" s="14"/>
      <c r="I103" s="14" t="s">
        <v>1</v>
      </c>
      <c r="J103" s="13">
        <v>529</v>
      </c>
      <c r="K103" s="13">
        <v>86875.5</v>
      </c>
      <c r="L103" s="15">
        <v>16647.199999999997</v>
      </c>
      <c r="M103" s="14">
        <f t="shared" ref="M103:M134" si="3">SUM(B103:L103)</f>
        <v>120085.5</v>
      </c>
    </row>
    <row r="104" spans="1:13">
      <c r="A104" s="12">
        <v>42401</v>
      </c>
      <c r="B104" s="14"/>
      <c r="C104" s="14">
        <v>7764.2000000000007</v>
      </c>
      <c r="D104" s="14">
        <v>9580.2000000000007</v>
      </c>
      <c r="E104" s="14">
        <v>11</v>
      </c>
      <c r="F104" s="14">
        <v>24.4</v>
      </c>
      <c r="G104" s="14" t="s">
        <v>1</v>
      </c>
      <c r="H104" s="14"/>
      <c r="I104" s="14" t="s">
        <v>1</v>
      </c>
      <c r="J104" s="13">
        <v>529</v>
      </c>
      <c r="K104" s="13">
        <v>88010.900000000009</v>
      </c>
      <c r="L104" s="15">
        <v>17623.300000000003</v>
      </c>
      <c r="M104" s="14">
        <f t="shared" si="3"/>
        <v>123543.00000000001</v>
      </c>
    </row>
    <row r="105" spans="1:13">
      <c r="A105" s="12">
        <v>42430</v>
      </c>
      <c r="B105" s="14"/>
      <c r="C105" s="14">
        <v>9209.5</v>
      </c>
      <c r="D105" s="14">
        <v>9626.5</v>
      </c>
      <c r="E105" s="14">
        <v>11</v>
      </c>
      <c r="F105" s="14">
        <v>24.4</v>
      </c>
      <c r="G105" s="14" t="s">
        <v>1</v>
      </c>
      <c r="H105" s="14"/>
      <c r="I105" s="14" t="s">
        <v>1</v>
      </c>
      <c r="J105" s="13">
        <v>528.20000000000005</v>
      </c>
      <c r="K105" s="13">
        <v>90185.5</v>
      </c>
      <c r="L105" s="15">
        <v>17286</v>
      </c>
      <c r="M105" s="14">
        <f t="shared" si="3"/>
        <v>126871.1</v>
      </c>
    </row>
    <row r="106" spans="1:13">
      <c r="A106" s="12">
        <v>42461</v>
      </c>
      <c r="B106" s="14"/>
      <c r="C106" s="14">
        <v>6756.3</v>
      </c>
      <c r="D106" s="14">
        <v>9667.2000000000007</v>
      </c>
      <c r="E106" s="14">
        <v>11</v>
      </c>
      <c r="F106" s="14">
        <v>24.4</v>
      </c>
      <c r="G106" s="14" t="s">
        <v>1</v>
      </c>
      <c r="H106" s="14"/>
      <c r="I106" s="14" t="s">
        <v>1</v>
      </c>
      <c r="J106" s="13">
        <v>528.20000000000005</v>
      </c>
      <c r="K106" s="13">
        <v>92994.4</v>
      </c>
      <c r="L106" s="15">
        <v>17590.5</v>
      </c>
      <c r="M106" s="14">
        <f t="shared" si="3"/>
        <v>127572</v>
      </c>
    </row>
    <row r="107" spans="1:13">
      <c r="A107" s="12">
        <v>42491</v>
      </c>
      <c r="B107" s="14"/>
      <c r="C107" s="14">
        <v>5647.6</v>
      </c>
      <c r="D107" s="14">
        <v>9710</v>
      </c>
      <c r="E107" s="14">
        <v>11</v>
      </c>
      <c r="F107" s="14">
        <v>24.5</v>
      </c>
      <c r="G107" s="14" t="s">
        <v>1</v>
      </c>
      <c r="H107" s="14"/>
      <c r="I107" s="14" t="s">
        <v>1</v>
      </c>
      <c r="J107" s="13">
        <v>507.1</v>
      </c>
      <c r="K107" s="13">
        <v>95232.5</v>
      </c>
      <c r="L107" s="15">
        <v>17153.399999999998</v>
      </c>
      <c r="M107" s="14">
        <f t="shared" si="3"/>
        <v>128286.09999999999</v>
      </c>
    </row>
    <row r="108" spans="1:13">
      <c r="A108" s="12">
        <v>42522</v>
      </c>
      <c r="B108" s="14"/>
      <c r="C108" s="14">
        <v>4975.3</v>
      </c>
      <c r="D108" s="14">
        <v>8060.6</v>
      </c>
      <c r="E108" s="14">
        <v>311</v>
      </c>
      <c r="F108" s="14">
        <v>33.299999999999997</v>
      </c>
      <c r="G108" s="14"/>
      <c r="H108" s="14"/>
      <c r="I108" s="14" t="s">
        <v>1</v>
      </c>
      <c r="J108" s="13">
        <v>507.1</v>
      </c>
      <c r="K108" s="13">
        <v>96470.1</v>
      </c>
      <c r="L108" s="15">
        <v>17272.400000000001</v>
      </c>
      <c r="M108" s="14">
        <f t="shared" si="3"/>
        <v>127629.80000000002</v>
      </c>
    </row>
    <row r="109" spans="1:13">
      <c r="A109" s="12">
        <v>42552</v>
      </c>
      <c r="B109" s="14"/>
      <c r="C109" s="14">
        <v>5089.7</v>
      </c>
      <c r="D109" s="14">
        <v>9618.2999999999993</v>
      </c>
      <c r="E109" s="14">
        <v>315.3</v>
      </c>
      <c r="F109" s="14">
        <v>33.299999999999997</v>
      </c>
      <c r="G109" s="14"/>
      <c r="H109" s="14"/>
      <c r="I109" s="14" t="s">
        <v>1</v>
      </c>
      <c r="J109" s="13">
        <v>507.1</v>
      </c>
      <c r="K109" s="13">
        <v>97434.2</v>
      </c>
      <c r="L109" s="15">
        <v>17481.699999999997</v>
      </c>
      <c r="M109" s="14">
        <f t="shared" si="3"/>
        <v>130479.59999999999</v>
      </c>
    </row>
    <row r="110" spans="1:13">
      <c r="A110" s="12">
        <v>42583</v>
      </c>
      <c r="B110" s="14"/>
      <c r="C110" s="14">
        <v>6895.5</v>
      </c>
      <c r="D110" s="14">
        <v>9068.7999999999993</v>
      </c>
      <c r="E110" s="14">
        <v>317.10000000000002</v>
      </c>
      <c r="F110" s="14">
        <v>33.299999999999997</v>
      </c>
      <c r="G110" s="14"/>
      <c r="H110" s="14"/>
      <c r="I110" s="14" t="s">
        <v>1</v>
      </c>
      <c r="J110" s="13">
        <v>507.1</v>
      </c>
      <c r="K110" s="13">
        <v>97450.7</v>
      </c>
      <c r="L110" s="15">
        <v>18564.7</v>
      </c>
      <c r="M110" s="14">
        <f t="shared" si="3"/>
        <v>132837.20000000001</v>
      </c>
    </row>
    <row r="111" spans="1:13">
      <c r="A111" s="12">
        <v>42614</v>
      </c>
      <c r="B111" s="14"/>
      <c r="C111" s="14">
        <v>8292.6999999999989</v>
      </c>
      <c r="D111" s="14">
        <v>8078.5000000000009</v>
      </c>
      <c r="E111" s="14">
        <v>312.7</v>
      </c>
      <c r="F111" s="14">
        <v>42.2</v>
      </c>
      <c r="G111" s="14"/>
      <c r="H111" s="14"/>
      <c r="I111" s="14" t="s">
        <v>1</v>
      </c>
      <c r="J111" s="13">
        <v>507.1</v>
      </c>
      <c r="K111" s="13">
        <v>98409.9</v>
      </c>
      <c r="L111" s="15">
        <v>18620.599999999999</v>
      </c>
      <c r="M111" s="14">
        <f t="shared" si="3"/>
        <v>134263.69999999998</v>
      </c>
    </row>
    <row r="112" spans="1:13">
      <c r="A112" s="12">
        <v>42644</v>
      </c>
      <c r="B112" s="14"/>
      <c r="C112" s="14">
        <v>6964.3</v>
      </c>
      <c r="D112" s="14">
        <v>8032.8</v>
      </c>
      <c r="E112" s="14">
        <v>314.5</v>
      </c>
      <c r="F112" s="14">
        <v>42.2</v>
      </c>
      <c r="G112" s="14"/>
      <c r="H112" s="14"/>
      <c r="I112" s="14" t="s">
        <v>1</v>
      </c>
      <c r="J112" s="13">
        <v>507.1</v>
      </c>
      <c r="K112" s="13">
        <v>100933</v>
      </c>
      <c r="L112" s="15">
        <v>19054</v>
      </c>
      <c r="M112" s="14">
        <f t="shared" si="3"/>
        <v>135847.9</v>
      </c>
    </row>
    <row r="113" spans="1:13">
      <c r="A113" s="12">
        <v>42675</v>
      </c>
      <c r="B113" s="14"/>
      <c r="C113" s="14">
        <v>5627.0999999999995</v>
      </c>
      <c r="D113" s="14">
        <v>8750</v>
      </c>
      <c r="E113" s="14">
        <v>316.3</v>
      </c>
      <c r="F113" s="14">
        <v>42.2</v>
      </c>
      <c r="G113" s="14"/>
      <c r="H113" s="14"/>
      <c r="I113" s="14" t="s">
        <v>1</v>
      </c>
      <c r="J113" s="13">
        <v>507.1</v>
      </c>
      <c r="K113" s="13">
        <v>102240.59999999999</v>
      </c>
      <c r="L113" s="15">
        <v>19770.900000000001</v>
      </c>
      <c r="M113" s="14">
        <f t="shared" si="3"/>
        <v>137254.19999999998</v>
      </c>
    </row>
    <row r="114" spans="1:13">
      <c r="A114" s="12">
        <v>42705</v>
      </c>
      <c r="B114" s="14"/>
      <c r="C114" s="14">
        <v>7159.2</v>
      </c>
      <c r="D114" s="14">
        <v>8792.4</v>
      </c>
      <c r="E114" s="14">
        <v>312.8</v>
      </c>
      <c r="F114" s="14">
        <v>51.1</v>
      </c>
      <c r="G114" s="14"/>
      <c r="H114" s="14"/>
      <c r="I114" s="14" t="s">
        <v>1</v>
      </c>
      <c r="J114" s="13">
        <v>507.1</v>
      </c>
      <c r="K114" s="13">
        <v>102322.1</v>
      </c>
      <c r="L114" s="15">
        <v>19061.099999999999</v>
      </c>
      <c r="M114" s="14">
        <f t="shared" si="3"/>
        <v>138205.80000000002</v>
      </c>
    </row>
    <row r="115" spans="1:13">
      <c r="A115" s="48">
        <v>42766</v>
      </c>
      <c r="B115" s="14"/>
      <c r="C115" s="14">
        <v>5636.5</v>
      </c>
      <c r="D115" s="14">
        <v>8834.0999999999985</v>
      </c>
      <c r="E115" s="14">
        <v>314.5</v>
      </c>
      <c r="F115" s="14">
        <v>51.1</v>
      </c>
      <c r="G115" s="14"/>
      <c r="H115" s="14"/>
      <c r="I115" s="14" t="s">
        <v>1</v>
      </c>
      <c r="J115" s="13">
        <v>507.1</v>
      </c>
      <c r="K115" s="13">
        <v>102883.09999999999</v>
      </c>
      <c r="L115" s="15">
        <v>20375</v>
      </c>
      <c r="M115" s="14">
        <f t="shared" si="3"/>
        <v>138601.4</v>
      </c>
    </row>
    <row r="116" spans="1:13">
      <c r="A116" s="48">
        <v>42794</v>
      </c>
      <c r="B116" s="14"/>
      <c r="C116" s="14">
        <v>5915</v>
      </c>
      <c r="D116" s="14">
        <v>8882.7999999999993</v>
      </c>
      <c r="E116" s="14">
        <v>316.10000000000002</v>
      </c>
      <c r="F116" s="14">
        <v>51.1</v>
      </c>
      <c r="G116" s="14"/>
      <c r="H116" s="14"/>
      <c r="I116" s="14" t="s">
        <v>1</v>
      </c>
      <c r="J116" s="13">
        <v>447.7</v>
      </c>
      <c r="K116" s="13">
        <v>100818</v>
      </c>
      <c r="L116" s="15">
        <v>20167.2</v>
      </c>
      <c r="M116" s="14">
        <f t="shared" si="3"/>
        <v>136597.9</v>
      </c>
    </row>
    <row r="117" spans="1:13">
      <c r="A117" s="48">
        <v>42825</v>
      </c>
      <c r="B117" s="14"/>
      <c r="C117" s="14">
        <v>6991.1</v>
      </c>
      <c r="D117" s="14">
        <v>8936.6</v>
      </c>
      <c r="E117" s="14">
        <v>312.8</v>
      </c>
      <c r="F117" s="14">
        <v>2.2000000000000002</v>
      </c>
      <c r="G117" s="14"/>
      <c r="H117" s="14"/>
      <c r="I117" s="14" t="s">
        <v>1</v>
      </c>
      <c r="J117" s="13">
        <v>447.7</v>
      </c>
      <c r="K117" s="13">
        <v>100995.79999999999</v>
      </c>
      <c r="L117" s="15">
        <v>20915.400000000001</v>
      </c>
      <c r="M117" s="14">
        <f t="shared" si="3"/>
        <v>138601.59999999998</v>
      </c>
    </row>
    <row r="118" spans="1:13">
      <c r="A118" s="48">
        <v>42855</v>
      </c>
      <c r="B118" s="14"/>
      <c r="C118" s="14">
        <v>6655.9</v>
      </c>
      <c r="D118" s="14">
        <v>8984.2999999999993</v>
      </c>
      <c r="E118" s="14">
        <v>314.5</v>
      </c>
      <c r="F118" s="14">
        <v>2.2000000000000002</v>
      </c>
      <c r="G118" s="14"/>
      <c r="H118" s="14"/>
      <c r="I118" s="14" t="s">
        <v>1</v>
      </c>
      <c r="J118" s="13" t="s">
        <v>1</v>
      </c>
      <c r="K118" s="13">
        <v>103058.7</v>
      </c>
      <c r="L118" s="15">
        <v>20763.599999999999</v>
      </c>
      <c r="M118" s="14">
        <f t="shared" si="3"/>
        <v>139779.19999999998</v>
      </c>
    </row>
    <row r="119" spans="1:13">
      <c r="A119" s="48">
        <v>42886</v>
      </c>
      <c r="B119" s="14"/>
      <c r="C119" s="14">
        <v>8794.2999999999993</v>
      </c>
      <c r="D119" s="14">
        <v>8989.1</v>
      </c>
      <c r="E119" s="14">
        <v>316.2</v>
      </c>
      <c r="F119" s="14">
        <v>2.2000000000000002</v>
      </c>
      <c r="G119" s="14"/>
      <c r="H119" s="14"/>
      <c r="I119" s="14" t="s">
        <v>1</v>
      </c>
      <c r="J119" s="13" t="s">
        <v>1</v>
      </c>
      <c r="K119" s="13">
        <v>104816.59999999999</v>
      </c>
      <c r="L119" s="15">
        <v>20089.900000000001</v>
      </c>
      <c r="M119" s="14">
        <f t="shared" si="3"/>
        <v>143008.29999999999</v>
      </c>
    </row>
    <row r="120" spans="1:13">
      <c r="A120" s="48">
        <v>42916</v>
      </c>
      <c r="B120" s="14"/>
      <c r="C120" s="14">
        <v>8205.1</v>
      </c>
      <c r="D120" s="14">
        <v>9027.4</v>
      </c>
      <c r="E120" s="14">
        <v>1014.2</v>
      </c>
      <c r="F120" s="14">
        <v>14.4</v>
      </c>
      <c r="G120" s="14"/>
      <c r="H120" s="14"/>
      <c r="I120" s="14" t="s">
        <v>1</v>
      </c>
      <c r="J120" s="13" t="s">
        <v>1</v>
      </c>
      <c r="K120" s="13">
        <v>105879.4</v>
      </c>
      <c r="L120" s="15">
        <v>20318.400000000001</v>
      </c>
      <c r="M120" s="14">
        <f t="shared" si="3"/>
        <v>144458.9</v>
      </c>
    </row>
    <row r="121" spans="1:13">
      <c r="A121" s="48">
        <v>42947</v>
      </c>
      <c r="B121" s="14"/>
      <c r="C121" s="14">
        <v>9413.4000000000015</v>
      </c>
      <c r="D121" s="14">
        <v>9080.2999999999993</v>
      </c>
      <c r="E121" s="14">
        <v>1017.4</v>
      </c>
      <c r="F121" s="14">
        <v>14.4</v>
      </c>
      <c r="G121" s="14"/>
      <c r="H121" s="14"/>
      <c r="I121" s="14" t="s">
        <v>1</v>
      </c>
      <c r="J121" s="13" t="s">
        <v>1</v>
      </c>
      <c r="K121" s="13">
        <v>106187.59999999999</v>
      </c>
      <c r="L121" s="15">
        <v>20466.400000000001</v>
      </c>
      <c r="M121" s="14">
        <f t="shared" si="3"/>
        <v>146179.5</v>
      </c>
    </row>
    <row r="122" spans="1:13">
      <c r="A122" s="48">
        <v>42978</v>
      </c>
      <c r="B122" s="14"/>
      <c r="C122" s="14">
        <v>7399</v>
      </c>
      <c r="D122" s="14">
        <v>9126.7000000000007</v>
      </c>
      <c r="E122" s="14">
        <v>1020.5</v>
      </c>
      <c r="F122" s="14">
        <v>14.4</v>
      </c>
      <c r="G122" s="14"/>
      <c r="H122" s="14"/>
      <c r="I122" s="14" t="s">
        <v>1</v>
      </c>
      <c r="J122" s="13" t="s">
        <v>1</v>
      </c>
      <c r="K122" s="13">
        <v>108208.6</v>
      </c>
      <c r="L122" s="15">
        <v>21122.1</v>
      </c>
      <c r="M122" s="14">
        <f t="shared" si="3"/>
        <v>146891.30000000002</v>
      </c>
    </row>
    <row r="123" spans="1:13">
      <c r="A123" s="48">
        <v>43008</v>
      </c>
      <c r="B123" s="14"/>
      <c r="C123" s="14">
        <v>6640.2000000000007</v>
      </c>
      <c r="D123" s="14">
        <v>9143.7999999999993</v>
      </c>
      <c r="E123" s="14">
        <v>1013.8</v>
      </c>
      <c r="F123" s="14">
        <v>26.7</v>
      </c>
      <c r="G123" s="14"/>
      <c r="H123" s="14"/>
      <c r="I123" s="14" t="s">
        <v>1</v>
      </c>
      <c r="J123" s="13">
        <v>1006.9</v>
      </c>
      <c r="K123" s="13">
        <v>108527.6</v>
      </c>
      <c r="L123" s="15">
        <v>21300.800000000003</v>
      </c>
      <c r="M123" s="14">
        <f t="shared" si="3"/>
        <v>147659.79999999999</v>
      </c>
    </row>
    <row r="124" spans="1:13">
      <c r="A124" s="48">
        <v>43039</v>
      </c>
      <c r="B124" s="14"/>
      <c r="C124" s="14">
        <v>7045.5</v>
      </c>
      <c r="D124" s="14">
        <v>9192.9</v>
      </c>
      <c r="E124" s="14">
        <v>1016.9</v>
      </c>
      <c r="F124" s="14">
        <v>26.7</v>
      </c>
      <c r="G124" s="14"/>
      <c r="H124" s="14"/>
      <c r="I124" s="14" t="s">
        <v>1</v>
      </c>
      <c r="J124" s="13">
        <v>1013.9</v>
      </c>
      <c r="K124" s="13">
        <v>109499.2</v>
      </c>
      <c r="L124" s="15">
        <v>21679.4</v>
      </c>
      <c r="M124" s="14">
        <f t="shared" si="3"/>
        <v>149474.5</v>
      </c>
    </row>
    <row r="125" spans="1:13">
      <c r="A125" s="48">
        <v>43069</v>
      </c>
      <c r="B125" s="14"/>
      <c r="C125" s="14">
        <v>8217.2000000000007</v>
      </c>
      <c r="D125" s="14">
        <v>9220</v>
      </c>
      <c r="E125" s="14">
        <v>1019.7</v>
      </c>
      <c r="F125" s="14">
        <v>26.6</v>
      </c>
      <c r="G125" s="14"/>
      <c r="H125" s="14"/>
      <c r="I125" s="14" t="s">
        <v>1</v>
      </c>
      <c r="J125" s="13">
        <v>1020.8</v>
      </c>
      <c r="K125" s="13">
        <v>108940.70000000001</v>
      </c>
      <c r="L125" s="15">
        <v>21935.599999999999</v>
      </c>
      <c r="M125" s="14">
        <f t="shared" si="3"/>
        <v>150380.6</v>
      </c>
    </row>
    <row r="126" spans="1:13">
      <c r="A126" s="48">
        <v>43100</v>
      </c>
      <c r="B126" s="14"/>
      <c r="C126" s="14">
        <v>8196.2000000000007</v>
      </c>
      <c r="D126" s="14">
        <v>10280</v>
      </c>
      <c r="E126" s="14">
        <v>1014.1</v>
      </c>
      <c r="F126" s="14">
        <v>38.9</v>
      </c>
      <c r="G126" s="14"/>
      <c r="H126" s="14"/>
      <c r="I126" s="14" t="s">
        <v>1</v>
      </c>
      <c r="J126" s="13" t="s">
        <v>1</v>
      </c>
      <c r="K126" s="13">
        <v>110545.9</v>
      </c>
      <c r="L126" s="15">
        <v>21126.799999999999</v>
      </c>
      <c r="M126" s="14">
        <f t="shared" si="3"/>
        <v>151201.9</v>
      </c>
    </row>
    <row r="127" spans="1:13">
      <c r="A127" s="48">
        <v>43131</v>
      </c>
      <c r="B127" s="14"/>
      <c r="C127" s="14">
        <v>6983.4</v>
      </c>
      <c r="D127" s="14">
        <v>10333</v>
      </c>
      <c r="E127" s="14">
        <f>11+1006.3</f>
        <v>1017.3</v>
      </c>
      <c r="F127" s="14">
        <v>38.799999999999997</v>
      </c>
      <c r="G127" s="14"/>
      <c r="H127" s="14"/>
      <c r="I127" s="14" t="s">
        <v>1</v>
      </c>
      <c r="J127" s="13" t="s">
        <v>1</v>
      </c>
      <c r="K127" s="13">
        <v>111819.8</v>
      </c>
      <c r="L127" s="15">
        <v>22449.7</v>
      </c>
      <c r="M127" s="14">
        <f t="shared" si="3"/>
        <v>152642</v>
      </c>
    </row>
    <row r="128" spans="1:13">
      <c r="A128" s="48">
        <v>43159</v>
      </c>
      <c r="B128" s="14"/>
      <c r="C128" s="14">
        <v>10613.900000000001</v>
      </c>
      <c r="D128" s="14">
        <v>10376.200000000001</v>
      </c>
      <c r="E128" s="14">
        <f>11</f>
        <v>11</v>
      </c>
      <c r="F128" s="14">
        <v>38.9</v>
      </c>
      <c r="G128" s="14"/>
      <c r="H128" s="14"/>
      <c r="I128" s="14" t="s">
        <v>1</v>
      </c>
      <c r="J128" s="13" t="s">
        <v>1</v>
      </c>
      <c r="K128" s="13">
        <v>111418.8</v>
      </c>
      <c r="L128" s="15">
        <v>22699.399999999998</v>
      </c>
      <c r="M128" s="14">
        <f t="shared" si="3"/>
        <v>155158.20000000001</v>
      </c>
    </row>
    <row r="129" spans="1:13">
      <c r="A129" s="48">
        <v>43160</v>
      </c>
      <c r="B129" s="14"/>
      <c r="C129" s="14">
        <v>6444.2000000000007</v>
      </c>
      <c r="D129" s="14">
        <v>10158.200000000001</v>
      </c>
      <c r="E129" s="14">
        <f>11</f>
        <v>11</v>
      </c>
      <c r="F129" s="14">
        <v>3004.4</v>
      </c>
      <c r="G129" s="14"/>
      <c r="H129" s="14"/>
      <c r="I129" s="14" t="s">
        <v>1</v>
      </c>
      <c r="J129" s="13" t="s">
        <v>1</v>
      </c>
      <c r="K129" s="13">
        <v>113092.8</v>
      </c>
      <c r="L129" s="15">
        <v>22577.199999999997</v>
      </c>
      <c r="M129" s="14">
        <f t="shared" si="3"/>
        <v>155287.79999999999</v>
      </c>
    </row>
    <row r="130" spans="1:13">
      <c r="A130" s="48">
        <v>43220</v>
      </c>
      <c r="B130" s="14"/>
      <c r="C130" s="14">
        <v>6477.4</v>
      </c>
      <c r="D130" s="14">
        <v>10196</v>
      </c>
      <c r="E130" s="14">
        <v>11</v>
      </c>
      <c r="F130" s="14">
        <v>3004.4</v>
      </c>
      <c r="G130" s="14"/>
      <c r="H130" s="14"/>
      <c r="I130" s="14" t="s">
        <v>1</v>
      </c>
      <c r="J130" s="13" t="s">
        <v>1</v>
      </c>
      <c r="K130" s="13">
        <v>114085.90000000001</v>
      </c>
      <c r="L130" s="15">
        <v>22866.400000000001</v>
      </c>
      <c r="M130" s="14">
        <f t="shared" si="3"/>
        <v>156641.1</v>
      </c>
    </row>
    <row r="131" spans="1:13">
      <c r="A131" s="48">
        <v>43251</v>
      </c>
      <c r="B131" s="14"/>
      <c r="C131" s="14">
        <v>7158.2000000000007</v>
      </c>
      <c r="D131" s="14">
        <v>10220.799999999999</v>
      </c>
      <c r="E131" s="14">
        <v>11</v>
      </c>
      <c r="F131" s="14">
        <v>2504.4</v>
      </c>
      <c r="G131" s="14"/>
      <c r="H131" s="14"/>
      <c r="I131" s="14" t="s">
        <v>1</v>
      </c>
      <c r="J131" s="13" t="s">
        <v>1</v>
      </c>
      <c r="K131" s="13">
        <v>115681.60000000001</v>
      </c>
      <c r="L131" s="15">
        <v>23054.300000000003</v>
      </c>
      <c r="M131" s="14">
        <f t="shared" si="3"/>
        <v>158630.29999999999</v>
      </c>
    </row>
    <row r="132" spans="1:13">
      <c r="A132" s="48">
        <v>43281</v>
      </c>
      <c r="B132" s="14"/>
      <c r="C132" s="14">
        <v>7142.2</v>
      </c>
      <c r="D132" s="14">
        <v>10255.6</v>
      </c>
      <c r="E132" s="14">
        <v>11</v>
      </c>
      <c r="F132" s="14">
        <v>3516.2</v>
      </c>
      <c r="G132" s="14"/>
      <c r="H132" s="14"/>
      <c r="I132" s="14" t="s">
        <v>1</v>
      </c>
      <c r="J132" s="13" t="s">
        <v>1</v>
      </c>
      <c r="K132" s="13">
        <v>116258.50000000001</v>
      </c>
      <c r="L132" s="15">
        <v>23047.4</v>
      </c>
      <c r="M132" s="14">
        <f t="shared" si="3"/>
        <v>160230.9</v>
      </c>
    </row>
    <row r="133" spans="1:13">
      <c r="A133" s="48">
        <v>43282</v>
      </c>
      <c r="B133" s="14"/>
      <c r="C133" s="14">
        <v>5395.2</v>
      </c>
      <c r="D133" s="14">
        <v>10298</v>
      </c>
      <c r="E133" s="14">
        <v>11</v>
      </c>
      <c r="F133" s="14">
        <v>5516.2</v>
      </c>
      <c r="G133" s="14"/>
      <c r="H133" s="14"/>
      <c r="I133" s="14" t="s">
        <v>1</v>
      </c>
      <c r="J133" s="13" t="s">
        <v>1</v>
      </c>
      <c r="K133" s="13">
        <v>117886.5</v>
      </c>
      <c r="L133" s="15">
        <v>23846.7</v>
      </c>
      <c r="M133" s="14">
        <f t="shared" si="3"/>
        <v>162953.60000000001</v>
      </c>
    </row>
    <row r="134" spans="1:13">
      <c r="A134" s="48">
        <v>43314</v>
      </c>
      <c r="B134" s="14"/>
      <c r="C134" s="14">
        <v>7186.8</v>
      </c>
      <c r="D134" s="14">
        <v>8325.5</v>
      </c>
      <c r="E134" s="14">
        <v>11</v>
      </c>
      <c r="F134" s="14">
        <v>5016.2</v>
      </c>
      <c r="G134" s="14"/>
      <c r="H134" s="14"/>
      <c r="I134" s="14" t="s">
        <v>1</v>
      </c>
      <c r="J134" s="13" t="s">
        <v>1</v>
      </c>
      <c r="K134" s="13">
        <v>119228.09999999999</v>
      </c>
      <c r="L134" s="15">
        <v>23681.300000000003</v>
      </c>
      <c r="M134" s="14">
        <f t="shared" si="3"/>
        <v>163448.89999999997</v>
      </c>
    </row>
    <row r="135" spans="1:13">
      <c r="A135" s="48">
        <v>43373</v>
      </c>
      <c r="B135" s="14"/>
      <c r="C135" s="14">
        <v>7921.4</v>
      </c>
      <c r="D135" s="14">
        <v>6846.1</v>
      </c>
      <c r="E135" s="14">
        <v>11</v>
      </c>
      <c r="F135" s="14">
        <v>4532.3999999999996</v>
      </c>
      <c r="G135" s="14"/>
      <c r="H135" s="14"/>
      <c r="I135" s="14" t="s">
        <v>1</v>
      </c>
      <c r="J135" s="13" t="s">
        <v>1</v>
      </c>
      <c r="K135" s="13">
        <v>124702.39999999999</v>
      </c>
      <c r="L135" s="15">
        <v>23087</v>
      </c>
      <c r="M135" s="14">
        <f t="shared" ref="M135:M195" si="4">SUM(B135:L135)</f>
        <v>167100.29999999999</v>
      </c>
    </row>
    <row r="136" spans="1:13">
      <c r="A136" s="48">
        <v>43374</v>
      </c>
      <c r="B136" s="14"/>
      <c r="C136" s="14">
        <v>7838.5</v>
      </c>
      <c r="D136" s="14">
        <v>6381</v>
      </c>
      <c r="E136" s="14">
        <v>11</v>
      </c>
      <c r="F136" s="14">
        <v>4532.3999999999996</v>
      </c>
      <c r="G136" s="14"/>
      <c r="H136" s="14"/>
      <c r="I136" s="14" t="s">
        <v>1</v>
      </c>
      <c r="J136" s="13" t="s">
        <v>1</v>
      </c>
      <c r="K136" s="13">
        <v>126869.7</v>
      </c>
      <c r="L136" s="15">
        <v>23171.899999999998</v>
      </c>
      <c r="M136" s="14">
        <f t="shared" si="4"/>
        <v>168804.5</v>
      </c>
    </row>
    <row r="137" spans="1:13">
      <c r="A137" s="48">
        <v>43434</v>
      </c>
      <c r="B137" s="14"/>
      <c r="C137" s="14">
        <v>6379.7</v>
      </c>
      <c r="D137" s="14">
        <v>5912.6</v>
      </c>
      <c r="E137" s="14">
        <v>11</v>
      </c>
      <c r="F137" s="14">
        <v>5672.4</v>
      </c>
      <c r="G137" s="14"/>
      <c r="H137" s="14"/>
      <c r="I137" s="14" t="s">
        <v>1</v>
      </c>
      <c r="J137" s="13" t="s">
        <v>1</v>
      </c>
      <c r="K137" s="13">
        <v>129339.7</v>
      </c>
      <c r="L137" s="15">
        <v>23669.1</v>
      </c>
      <c r="M137" s="14">
        <f t="shared" si="4"/>
        <v>170984.5</v>
      </c>
    </row>
    <row r="138" spans="1:13">
      <c r="A138" s="48">
        <v>43435</v>
      </c>
      <c r="B138" s="14"/>
      <c r="C138" s="14">
        <v>7696.4</v>
      </c>
      <c r="D138" s="14">
        <v>4785.1000000000004</v>
      </c>
      <c r="E138" s="14">
        <v>11</v>
      </c>
      <c r="F138" s="14">
        <v>5432.4</v>
      </c>
      <c r="G138" s="14"/>
      <c r="H138" s="14"/>
      <c r="I138" s="14" t="s">
        <v>1</v>
      </c>
      <c r="J138" s="13" t="s">
        <v>1</v>
      </c>
      <c r="K138" s="13">
        <v>127946.79999999999</v>
      </c>
      <c r="L138" s="15">
        <v>21544.6</v>
      </c>
      <c r="M138" s="14">
        <f t="shared" si="4"/>
        <v>167416.29999999999</v>
      </c>
    </row>
    <row r="139" spans="1:13">
      <c r="A139" s="48">
        <v>43496</v>
      </c>
      <c r="B139" s="14" t="s">
        <v>1</v>
      </c>
      <c r="C139" s="14">
        <v>6549.5</v>
      </c>
      <c r="D139" s="14">
        <v>4777.8999999999996</v>
      </c>
      <c r="E139" s="14">
        <v>11</v>
      </c>
      <c r="F139" s="14">
        <v>5832.4</v>
      </c>
      <c r="G139" s="14"/>
      <c r="H139" s="14"/>
      <c r="I139" s="14" t="s">
        <v>1</v>
      </c>
      <c r="J139" s="13" t="s">
        <v>1</v>
      </c>
      <c r="K139" s="13">
        <v>131029.59999999999</v>
      </c>
      <c r="L139" s="15">
        <v>22495.200000000001</v>
      </c>
      <c r="M139" s="14">
        <f t="shared" si="4"/>
        <v>170695.6</v>
      </c>
    </row>
    <row r="140" spans="1:13">
      <c r="A140" s="48">
        <v>43524</v>
      </c>
      <c r="B140" s="14" t="s">
        <v>1</v>
      </c>
      <c r="C140" s="14">
        <v>5976.0999999999995</v>
      </c>
      <c r="D140" s="14">
        <v>4848.8999999999996</v>
      </c>
      <c r="E140" s="14">
        <v>11</v>
      </c>
      <c r="F140" s="14">
        <v>7682.4</v>
      </c>
      <c r="G140" s="14"/>
      <c r="H140" s="14"/>
      <c r="I140" s="14" t="s">
        <v>1</v>
      </c>
      <c r="J140" s="13" t="s">
        <v>1</v>
      </c>
      <c r="K140" s="13">
        <v>132630.20000000001</v>
      </c>
      <c r="L140" s="15">
        <v>22896.1</v>
      </c>
      <c r="M140" s="14">
        <f t="shared" si="4"/>
        <v>174044.7</v>
      </c>
    </row>
    <row r="141" spans="1:13">
      <c r="A141" s="48">
        <v>43555</v>
      </c>
      <c r="B141" s="14" t="s">
        <v>1</v>
      </c>
      <c r="C141" s="14">
        <v>7552.2</v>
      </c>
      <c r="D141" s="14">
        <v>4874.5</v>
      </c>
      <c r="E141" s="14">
        <v>11</v>
      </c>
      <c r="F141" s="14">
        <v>7477.1</v>
      </c>
      <c r="G141" s="14"/>
      <c r="H141" s="14"/>
      <c r="I141" s="14" t="s">
        <v>1</v>
      </c>
      <c r="J141" s="13" t="s">
        <v>1</v>
      </c>
      <c r="K141" s="13">
        <v>134656.50000000003</v>
      </c>
      <c r="L141" s="15">
        <v>22086</v>
      </c>
      <c r="M141" s="14">
        <f t="shared" si="4"/>
        <v>176657.30000000005</v>
      </c>
    </row>
    <row r="142" spans="1:13">
      <c r="A142" s="48">
        <v>43556</v>
      </c>
      <c r="B142" s="14" t="s">
        <v>1</v>
      </c>
      <c r="C142" s="14">
        <f>3170.3+2356.7</f>
        <v>5527</v>
      </c>
      <c r="D142" s="14">
        <f>4955.9</f>
        <v>4955.8999999999996</v>
      </c>
      <c r="E142" s="14">
        <v>11</v>
      </c>
      <c r="F142" s="14">
        <f>4087.1+3390</f>
        <v>7477.1</v>
      </c>
      <c r="G142" s="14"/>
      <c r="H142" s="14"/>
      <c r="I142" s="14" t="s">
        <v>1</v>
      </c>
      <c r="J142" s="13" t="s">
        <v>1</v>
      </c>
      <c r="K142" s="13">
        <f>101098.1+209.2+36019.5</f>
        <v>137326.79999999999</v>
      </c>
      <c r="L142" s="15">
        <f>6499.4+15596.1</f>
        <v>22095.5</v>
      </c>
      <c r="M142" s="14">
        <f t="shared" si="4"/>
        <v>177393.3</v>
      </c>
    </row>
    <row r="143" spans="1:13">
      <c r="A143" s="48">
        <v>43587</v>
      </c>
      <c r="B143" s="14" t="s">
        <v>1</v>
      </c>
      <c r="C143" s="14">
        <f>3088.5+2411.1</f>
        <v>5499.6</v>
      </c>
      <c r="D143" s="14">
        <v>4655</v>
      </c>
      <c r="E143" s="14">
        <v>11</v>
      </c>
      <c r="F143" s="14">
        <f>4087.1+2355.6</f>
        <v>6442.7</v>
      </c>
      <c r="G143" s="14"/>
      <c r="H143" s="14"/>
      <c r="I143" s="14" t="s">
        <v>1</v>
      </c>
      <c r="J143" s="13" t="s">
        <v>1</v>
      </c>
      <c r="K143" s="13">
        <f>103281.9+209.2+36618.9</f>
        <v>140110</v>
      </c>
      <c r="L143" s="15">
        <f>6333.5+15848.7</f>
        <v>22182.2</v>
      </c>
      <c r="M143" s="14">
        <f t="shared" si="4"/>
        <v>178900.5</v>
      </c>
    </row>
    <row r="144" spans="1:13">
      <c r="A144" s="48">
        <v>43619</v>
      </c>
      <c r="B144" s="14" t="s">
        <v>1</v>
      </c>
      <c r="C144" s="14">
        <f>5289.3+3838.7</f>
        <v>9128</v>
      </c>
      <c r="D144" s="14">
        <v>4687.8999999999996</v>
      </c>
      <c r="E144" s="14">
        <v>11</v>
      </c>
      <c r="F144" s="14">
        <f>4087.1+2371.2+16.9</f>
        <v>6475.1999999999989</v>
      </c>
      <c r="G144" s="14"/>
      <c r="H144" s="14"/>
      <c r="I144" s="14" t="s">
        <v>1</v>
      </c>
      <c r="J144" s="13" t="s">
        <v>1</v>
      </c>
      <c r="K144" s="13">
        <f>103842.3+209.2+37633.7</f>
        <v>141685.20000000001</v>
      </c>
      <c r="L144" s="15">
        <f>5430.7+15661.6</f>
        <v>21092.3</v>
      </c>
      <c r="M144" s="14">
        <f t="shared" si="4"/>
        <v>183079.6</v>
      </c>
    </row>
    <row r="145" spans="1:13">
      <c r="A145" s="48">
        <v>43677</v>
      </c>
      <c r="B145" s="14"/>
      <c r="C145" s="14">
        <f>5438+2942.8</f>
        <v>8380.7999999999993</v>
      </c>
      <c r="D145" s="14">
        <v>4708.7</v>
      </c>
      <c r="E145" s="14">
        <v>11</v>
      </c>
      <c r="F145" s="14">
        <f>4000+16.9+2387.4</f>
        <v>6404.3</v>
      </c>
      <c r="G145" s="14"/>
      <c r="H145" s="14"/>
      <c r="I145" s="14" t="s">
        <v>1</v>
      </c>
      <c r="J145" s="13" t="s">
        <v>1</v>
      </c>
      <c r="K145" s="13">
        <f>106956.1+209.2+36673.1</f>
        <v>143838.39999999999</v>
      </c>
      <c r="L145" s="15">
        <f>6118.2+16763.6</f>
        <v>22881.8</v>
      </c>
      <c r="M145" s="14">
        <f t="shared" si="4"/>
        <v>186224.99999999997</v>
      </c>
    </row>
    <row r="146" spans="1:13">
      <c r="A146" s="48">
        <v>43678</v>
      </c>
      <c r="B146" s="14" t="s">
        <v>1</v>
      </c>
      <c r="C146" s="14">
        <f>3991.9+5170.6</f>
        <v>9162.5</v>
      </c>
      <c r="D146" s="14">
        <v>4742.2</v>
      </c>
      <c r="E146" s="14">
        <v>11</v>
      </c>
      <c r="F146" s="14">
        <f>4108.8+16.9+3103.6</f>
        <v>7229.2999999999993</v>
      </c>
      <c r="G146" s="14"/>
      <c r="H146" s="14"/>
      <c r="I146" s="14" t="s">
        <v>1</v>
      </c>
      <c r="J146" s="13" t="s">
        <v>1</v>
      </c>
      <c r="K146" s="13">
        <f>107925.5+209.2+36448.9</f>
        <v>144583.6</v>
      </c>
      <c r="L146" s="15">
        <f>6159.6+17053.5</f>
        <v>23213.1</v>
      </c>
      <c r="M146" s="14">
        <f t="shared" si="4"/>
        <v>188941.7</v>
      </c>
    </row>
    <row r="147" spans="1:13">
      <c r="A147" s="48">
        <v>43738</v>
      </c>
      <c r="B147" s="14" t="s">
        <v>1</v>
      </c>
      <c r="C147" s="14">
        <f>3873+4180.2</f>
        <v>8053.2</v>
      </c>
      <c r="D147" s="14">
        <v>4774.7999999999993</v>
      </c>
      <c r="E147" s="14">
        <v>11</v>
      </c>
      <c r="F147" s="14">
        <f>4137.8+33.9+3619.2</f>
        <v>7790.9</v>
      </c>
      <c r="G147" s="14"/>
      <c r="H147" s="14"/>
      <c r="I147" s="14" t="s">
        <v>1</v>
      </c>
      <c r="J147" s="13" t="s">
        <v>1</v>
      </c>
      <c r="K147" s="13">
        <f>110127.3+209.2+36089.9</f>
        <v>146426.4</v>
      </c>
      <c r="L147" s="15">
        <f>6052.2+17038</f>
        <v>23090.2</v>
      </c>
      <c r="M147" s="14">
        <f t="shared" si="4"/>
        <v>190146.5</v>
      </c>
    </row>
    <row r="148" spans="1:13">
      <c r="A148" s="48">
        <v>43739</v>
      </c>
      <c r="B148" s="14" t="s">
        <v>1</v>
      </c>
      <c r="C148" s="14">
        <f>4619.9+6413.3</f>
        <v>11033.2</v>
      </c>
      <c r="D148" s="14">
        <v>4808.7000000000007</v>
      </c>
      <c r="E148" s="14">
        <v>11</v>
      </c>
      <c r="F148" s="14">
        <f>6171.8+33.9+3135.4</f>
        <v>9341.1</v>
      </c>
      <c r="G148" s="14"/>
      <c r="H148" s="14"/>
      <c r="I148" s="14" t="s">
        <v>1</v>
      </c>
      <c r="J148" s="13" t="s">
        <v>1</v>
      </c>
      <c r="K148" s="13">
        <f>110550.3+209.2+36140.9</f>
        <v>146900.4</v>
      </c>
      <c r="L148" s="15">
        <f>6164.9+17589.3</f>
        <v>23754.199999999997</v>
      </c>
      <c r="M148" s="14">
        <f t="shared" si="4"/>
        <v>195848.59999999998</v>
      </c>
    </row>
    <row r="149" spans="1:13">
      <c r="A149" s="48">
        <v>43799</v>
      </c>
      <c r="B149" s="14" t="s">
        <v>1</v>
      </c>
      <c r="C149" s="14">
        <f>2866.7+6430.5</f>
        <v>9297.2000000000007</v>
      </c>
      <c r="D149" s="14">
        <v>4841.6000000000004</v>
      </c>
      <c r="E149" s="14">
        <v>11</v>
      </c>
      <c r="F149" s="14">
        <f>8233.9+33.9+4158.8</f>
        <v>12426.599999999999</v>
      </c>
      <c r="G149" s="14"/>
      <c r="H149" s="14"/>
      <c r="I149" s="14" t="s">
        <v>1</v>
      </c>
      <c r="J149" s="13" t="s">
        <v>1</v>
      </c>
      <c r="K149" s="13">
        <f>110954.9+209.2+36795.6</f>
        <v>147959.69999999998</v>
      </c>
      <c r="L149" s="15">
        <f>6611.5+18325.8</f>
        <v>24937.3</v>
      </c>
      <c r="M149" s="14">
        <f t="shared" si="4"/>
        <v>199473.39999999997</v>
      </c>
    </row>
    <row r="150" spans="1:13">
      <c r="A150" s="48">
        <v>43800</v>
      </c>
      <c r="B150" s="14"/>
      <c r="C150" s="14">
        <f>5090.1+4883.7</f>
        <v>9973.7999999999993</v>
      </c>
      <c r="D150" s="14">
        <v>4902.2</v>
      </c>
      <c r="E150" s="14">
        <v>11</v>
      </c>
      <c r="F150" s="14">
        <f>50.8+11819.8+3685.5</f>
        <v>15556.099999999999</v>
      </c>
      <c r="G150" s="14"/>
      <c r="H150" s="14"/>
      <c r="I150" s="14" t="s">
        <v>1</v>
      </c>
      <c r="J150" s="13" t="s">
        <v>1</v>
      </c>
      <c r="K150" s="13">
        <f>110736.2+209.2+37577.5</f>
        <v>148522.9</v>
      </c>
      <c r="L150" s="15">
        <f>5906.9+17480</f>
        <v>23386.9</v>
      </c>
      <c r="M150" s="14">
        <f t="shared" si="4"/>
        <v>202352.9</v>
      </c>
    </row>
    <row r="151" spans="1:13">
      <c r="A151" s="48">
        <v>43861</v>
      </c>
      <c r="B151" s="14" t="s">
        <v>1</v>
      </c>
      <c r="C151" s="14">
        <f>5283.6+3441</f>
        <v>8724.6</v>
      </c>
      <c r="D151" s="14">
        <v>4939.2999999999993</v>
      </c>
      <c r="E151" s="14">
        <v>11</v>
      </c>
      <c r="F151" s="14">
        <f>50.8+12942.3+3212.3</f>
        <v>16205.399999999998</v>
      </c>
      <c r="G151" s="14"/>
      <c r="H151" s="14"/>
      <c r="I151" s="14" t="s">
        <v>1</v>
      </c>
      <c r="J151" s="13" t="s">
        <v>1</v>
      </c>
      <c r="K151" s="13">
        <f>111511+209.2+38150.3</f>
        <v>149870.5</v>
      </c>
      <c r="L151" s="15">
        <f>6237.5+18934.9</f>
        <v>25172.400000000001</v>
      </c>
      <c r="M151" s="14">
        <f t="shared" si="4"/>
        <v>204923.19999999998</v>
      </c>
    </row>
    <row r="152" spans="1:13">
      <c r="A152" s="48">
        <v>43862</v>
      </c>
      <c r="B152" s="14" t="s">
        <v>1</v>
      </c>
      <c r="C152" s="14">
        <f>5060+4298.9</f>
        <v>9358.9</v>
      </c>
      <c r="D152" s="14">
        <v>2910.3</v>
      </c>
      <c r="E152" s="14">
        <v>11</v>
      </c>
      <c r="F152" s="14">
        <f>84.3+15065.2+3047</f>
        <v>18196.5</v>
      </c>
      <c r="G152" s="14"/>
      <c r="H152" s="14"/>
      <c r="I152" s="14" t="s">
        <v>1</v>
      </c>
      <c r="J152" s="13" t="s">
        <v>1</v>
      </c>
      <c r="K152" s="13">
        <f>113717.4+209.2+38820.2</f>
        <v>152746.79999999999</v>
      </c>
      <c r="L152" s="15">
        <f>6439.3+18454.4</f>
        <v>24893.7</v>
      </c>
      <c r="M152" s="14">
        <f t="shared" si="4"/>
        <v>208117.2</v>
      </c>
    </row>
    <row r="153" spans="1:13">
      <c r="A153" s="48">
        <v>43921</v>
      </c>
      <c r="B153" s="14" t="s">
        <v>1</v>
      </c>
      <c r="C153" s="14">
        <f>4922.4+3985.9</f>
        <v>8908.2999999999993</v>
      </c>
      <c r="D153" s="14">
        <v>2697.5</v>
      </c>
      <c r="E153" s="14">
        <v>11</v>
      </c>
      <c r="F153" s="14">
        <f>0+14308.4+3073.8</f>
        <v>17382.2</v>
      </c>
      <c r="G153" s="14"/>
      <c r="H153" s="14"/>
      <c r="I153" s="14" t="s">
        <v>1</v>
      </c>
      <c r="J153" s="13" t="s">
        <v>1</v>
      </c>
      <c r="K153" s="13">
        <f>116111+209.2+39988.2</f>
        <v>156308.4</v>
      </c>
      <c r="L153" s="15">
        <f>6882+18870.2</f>
        <v>25752.2</v>
      </c>
      <c r="M153" s="14">
        <f t="shared" si="4"/>
        <v>211059.6</v>
      </c>
    </row>
    <row r="154" spans="1:13">
      <c r="A154" s="48">
        <v>43922</v>
      </c>
      <c r="B154" s="14" t="s">
        <v>1</v>
      </c>
      <c r="C154" s="14">
        <f>5110.3+2434.2</f>
        <v>7544.5</v>
      </c>
      <c r="D154" s="14">
        <v>2719.7</v>
      </c>
      <c r="E154" s="14">
        <v>11</v>
      </c>
      <c r="F154" s="14">
        <f>0+14440.3+3099.7</f>
        <v>17540</v>
      </c>
      <c r="G154" s="14"/>
      <c r="H154" s="14"/>
      <c r="I154" s="14" t="s">
        <v>1</v>
      </c>
      <c r="J154" s="13" t="s">
        <v>1</v>
      </c>
      <c r="K154" s="13">
        <f>120287.8+209.2+40606.4</f>
        <v>161103.4</v>
      </c>
      <c r="L154" s="15">
        <f>6240.2+18760.1</f>
        <v>25000.3</v>
      </c>
      <c r="M154" s="14">
        <f t="shared" si="4"/>
        <v>213918.9</v>
      </c>
    </row>
    <row r="155" spans="1:13">
      <c r="A155" s="48">
        <v>43982</v>
      </c>
      <c r="B155" s="14" t="s">
        <v>1</v>
      </c>
      <c r="C155" s="14">
        <f>5554.5+1208.5</f>
        <v>6763</v>
      </c>
      <c r="D155" s="14">
        <v>2742.8</v>
      </c>
      <c r="E155" s="14">
        <v>11</v>
      </c>
      <c r="F155" s="14">
        <f>3126.6+0+14576.6</f>
        <v>17703.2</v>
      </c>
      <c r="G155" s="14"/>
      <c r="H155" s="14"/>
      <c r="I155" s="14" t="s">
        <v>1</v>
      </c>
      <c r="J155" s="13" t="s">
        <v>1</v>
      </c>
      <c r="K155" s="13">
        <f>209.2+41157.6+122690.3</f>
        <v>164057.1</v>
      </c>
      <c r="L155" s="15">
        <f>5859.3+20428</f>
        <v>26287.3</v>
      </c>
      <c r="M155" s="14">
        <f t="shared" si="4"/>
        <v>217564.4</v>
      </c>
    </row>
    <row r="156" spans="1:13">
      <c r="A156" s="48">
        <v>44012</v>
      </c>
      <c r="B156" s="14" t="s">
        <v>1</v>
      </c>
      <c r="C156" s="14">
        <f>6380.8+3899.9</f>
        <v>10280.700000000001</v>
      </c>
      <c r="D156" s="14">
        <v>1752.9</v>
      </c>
      <c r="E156" s="14">
        <v>11</v>
      </c>
      <c r="F156" s="14">
        <f>3152.5+14708.5+21.1</f>
        <v>17882.099999999999</v>
      </c>
      <c r="G156" s="14"/>
      <c r="H156" s="14"/>
      <c r="I156" s="14" t="s">
        <v>1</v>
      </c>
      <c r="J156" s="13" t="s">
        <v>1</v>
      </c>
      <c r="K156" s="13">
        <f>209.2+41960.7+126938.8</f>
        <v>169108.7</v>
      </c>
      <c r="L156" s="15">
        <f>6238.4+20241.7</f>
        <v>26480.1</v>
      </c>
      <c r="M156" s="14">
        <f t="shared" si="4"/>
        <v>225515.50000000003</v>
      </c>
    </row>
    <row r="157" spans="1:13">
      <c r="A157" s="48">
        <v>44043</v>
      </c>
      <c r="B157" s="14" t="s">
        <v>1</v>
      </c>
      <c r="C157" s="14">
        <f>5073.4+4092.2</f>
        <v>9165.5999999999985</v>
      </c>
      <c r="D157" s="14">
        <v>1767.8</v>
      </c>
      <c r="E157" s="14">
        <v>11</v>
      </c>
      <c r="F157" s="14">
        <f>3179.4+14645.3+21.1</f>
        <v>17845.8</v>
      </c>
      <c r="G157" s="14"/>
      <c r="H157" s="14"/>
      <c r="I157" s="14" t="s">
        <v>1</v>
      </c>
      <c r="J157" s="13" t="s">
        <v>1</v>
      </c>
      <c r="K157" s="13">
        <f>209.2+43617.1+135398.7</f>
        <v>179225</v>
      </c>
      <c r="L157" s="15">
        <f>6236.3+21514.5</f>
        <v>27750.799999999999</v>
      </c>
      <c r="M157" s="14">
        <f t="shared" si="4"/>
        <v>235766</v>
      </c>
    </row>
    <row r="158" spans="1:13">
      <c r="A158" s="48">
        <v>44074</v>
      </c>
      <c r="B158" s="14" t="s">
        <v>1</v>
      </c>
      <c r="C158" s="14">
        <f>4559.6+2895.9</f>
        <v>7455.5</v>
      </c>
      <c r="D158" s="14">
        <v>11.4</v>
      </c>
      <c r="E158" s="14">
        <v>11</v>
      </c>
      <c r="F158" s="14">
        <f>3206.2+14781.6+21.1</f>
        <v>18008.899999999998</v>
      </c>
      <c r="G158" s="14"/>
      <c r="H158" s="14"/>
      <c r="I158" s="14" t="s">
        <v>1</v>
      </c>
      <c r="J158" s="13" t="s">
        <v>1</v>
      </c>
      <c r="K158" s="13">
        <f>209.2+44571.6+140270.4</f>
        <v>185051.19999999998</v>
      </c>
      <c r="L158" s="15">
        <f>6017.2+20684.5</f>
        <v>26701.7</v>
      </c>
      <c r="M158" s="14">
        <f t="shared" si="4"/>
        <v>237239.69999999998</v>
      </c>
    </row>
    <row r="159" spans="1:13">
      <c r="A159" s="48">
        <v>44104</v>
      </c>
      <c r="B159" s="14" t="s">
        <v>1</v>
      </c>
      <c r="C159" s="14">
        <f>3996.5+4410.7</f>
        <v>8407.2000000000007</v>
      </c>
      <c r="D159" s="14">
        <v>11.4</v>
      </c>
      <c r="E159" s="14">
        <v>11</v>
      </c>
      <c r="F159" s="14">
        <f>3232.2+14913.5+42.1</f>
        <v>18187.8</v>
      </c>
      <c r="G159" s="14"/>
      <c r="H159" s="14"/>
      <c r="I159" s="14" t="s">
        <v>1</v>
      </c>
      <c r="J159" s="13" t="s">
        <v>1</v>
      </c>
      <c r="K159" s="13">
        <f>209.2+45187.6+145072.1</f>
        <v>190468.9</v>
      </c>
      <c r="L159" s="15">
        <f>6134.5+21060.7</f>
        <v>27195.200000000001</v>
      </c>
      <c r="M159" s="14">
        <f t="shared" si="4"/>
        <v>244281.5</v>
      </c>
    </row>
    <row r="160" spans="1:13">
      <c r="A160" s="48">
        <v>44135</v>
      </c>
      <c r="B160" s="14" t="s">
        <v>1</v>
      </c>
      <c r="C160" s="14">
        <f>4323.9+2591.1</f>
        <v>6915</v>
      </c>
      <c r="D160" s="14">
        <v>11.4</v>
      </c>
      <c r="E160" s="14">
        <v>11</v>
      </c>
      <c r="F160" s="14">
        <f>3259+15049.8+42.1</f>
        <v>18350.899999999998</v>
      </c>
      <c r="G160" s="14"/>
      <c r="H160" s="14"/>
      <c r="I160" s="14" t="s">
        <v>1</v>
      </c>
      <c r="J160" s="13" t="s">
        <v>1</v>
      </c>
      <c r="K160" s="13">
        <f>209.2+45064.7+150128.2</f>
        <v>195402.1</v>
      </c>
      <c r="L160" s="15">
        <f>6099.3+21197.1</f>
        <v>27296.399999999998</v>
      </c>
      <c r="M160" s="14">
        <f t="shared" si="4"/>
        <v>247986.8</v>
      </c>
    </row>
    <row r="161" spans="1:13">
      <c r="A161" s="48">
        <v>44165</v>
      </c>
      <c r="B161" s="14" t="s">
        <v>1</v>
      </c>
      <c r="C161" s="14">
        <f>4730.2+3629.4</f>
        <v>8359.6</v>
      </c>
      <c r="D161" s="14">
        <v>9.4</v>
      </c>
      <c r="E161" s="14">
        <v>11</v>
      </c>
      <c r="F161" s="14">
        <f>3159.3+14726.2+42.1</f>
        <v>17927.599999999999</v>
      </c>
      <c r="G161" s="14"/>
      <c r="H161" s="14"/>
      <c r="I161" s="14" t="s">
        <v>1</v>
      </c>
      <c r="J161" s="13" t="s">
        <v>1</v>
      </c>
      <c r="K161" s="13">
        <f>209.2+45130.1+152438.3</f>
        <v>197777.59999999998</v>
      </c>
      <c r="L161" s="15">
        <f>6064.8+22218.5</f>
        <v>28283.3</v>
      </c>
      <c r="M161" s="14">
        <f t="shared" si="4"/>
        <v>252368.49999999997</v>
      </c>
    </row>
    <row r="162" spans="1:13">
      <c r="A162" s="48">
        <v>44196</v>
      </c>
      <c r="B162" s="14" t="s">
        <v>1</v>
      </c>
      <c r="C162" s="14">
        <f>6904.2+3152.6</f>
        <v>10056.799999999999</v>
      </c>
      <c r="D162" s="14">
        <v>0</v>
      </c>
      <c r="E162" s="14">
        <v>11</v>
      </c>
      <c r="F162" s="14">
        <f>3186.1+14432.8+63.2</f>
        <v>17682.099999999999</v>
      </c>
      <c r="G162" s="14"/>
      <c r="H162" s="14"/>
      <c r="I162" s="14" t="s">
        <v>1</v>
      </c>
      <c r="J162" s="13" t="s">
        <v>1</v>
      </c>
      <c r="K162" s="13">
        <f>209.2+45845.1+157950.6</f>
        <v>204004.9</v>
      </c>
      <c r="L162" s="15">
        <f>5698.6+23022.5</f>
        <v>28721.1</v>
      </c>
      <c r="M162" s="14">
        <f t="shared" si="4"/>
        <v>260475.9</v>
      </c>
    </row>
    <row r="163" spans="1:13">
      <c r="A163" s="48">
        <v>44227</v>
      </c>
      <c r="B163" s="14" t="s">
        <v>1</v>
      </c>
      <c r="C163" s="14">
        <v>9442.4</v>
      </c>
      <c r="D163" s="14">
        <v>10.4</v>
      </c>
      <c r="E163" s="14">
        <v>11</v>
      </c>
      <c r="F163" s="14">
        <v>17835.2</v>
      </c>
      <c r="G163" s="14"/>
      <c r="H163" s="14"/>
      <c r="I163" s="14" t="s">
        <v>1</v>
      </c>
      <c r="J163" s="13" t="s">
        <v>1</v>
      </c>
      <c r="K163" s="13">
        <v>208968</v>
      </c>
      <c r="L163" s="15">
        <v>29530</v>
      </c>
      <c r="M163" s="14">
        <f t="shared" si="4"/>
        <v>265797</v>
      </c>
    </row>
    <row r="164" spans="1:13">
      <c r="A164" s="48">
        <v>44255</v>
      </c>
      <c r="B164" s="14" t="s">
        <v>1</v>
      </c>
      <c r="C164" s="14">
        <v>9337</v>
      </c>
      <c r="D164" s="14">
        <v>10.4</v>
      </c>
      <c r="E164" s="14">
        <v>11</v>
      </c>
      <c r="F164" s="14">
        <v>16426.5</v>
      </c>
      <c r="G164" s="14"/>
      <c r="H164" s="14"/>
      <c r="I164" s="14" t="s">
        <v>1</v>
      </c>
      <c r="J164" s="13" t="s">
        <v>1</v>
      </c>
      <c r="K164" s="13">
        <v>213503.9</v>
      </c>
      <c r="L164" s="15">
        <v>30543</v>
      </c>
      <c r="M164" s="14">
        <f t="shared" si="4"/>
        <v>269831.8</v>
      </c>
    </row>
    <row r="165" spans="1:13">
      <c r="A165" s="48">
        <v>44286</v>
      </c>
      <c r="B165" s="14" t="s">
        <v>1</v>
      </c>
      <c r="C165" s="14">
        <v>8930</v>
      </c>
      <c r="D165" s="14">
        <v>10.4</v>
      </c>
      <c r="E165" s="14">
        <v>11</v>
      </c>
      <c r="F165" s="14">
        <v>16425.5</v>
      </c>
      <c r="G165" s="14"/>
      <c r="H165" s="14"/>
      <c r="I165" s="14" t="s">
        <v>1</v>
      </c>
      <c r="J165" s="13" t="s">
        <v>1</v>
      </c>
      <c r="K165" s="13">
        <v>218334.5</v>
      </c>
      <c r="L165" s="15">
        <v>32690.600000000002</v>
      </c>
      <c r="M165" s="14">
        <f t="shared" si="4"/>
        <v>276402</v>
      </c>
    </row>
    <row r="166" spans="1:13">
      <c r="A166" s="48">
        <v>44316</v>
      </c>
      <c r="B166" s="14" t="s">
        <v>1</v>
      </c>
      <c r="C166" s="14">
        <v>9191.7999999999993</v>
      </c>
      <c r="D166" s="14">
        <v>10.4</v>
      </c>
      <c r="E166" s="14">
        <v>11</v>
      </c>
      <c r="F166" s="14">
        <v>17015.600000000002</v>
      </c>
      <c r="G166" s="14"/>
      <c r="H166" s="14"/>
      <c r="I166" s="14" t="s">
        <v>1</v>
      </c>
      <c r="J166" s="13" t="s">
        <v>1</v>
      </c>
      <c r="K166" s="13">
        <v>222135.40000000002</v>
      </c>
      <c r="L166" s="15">
        <v>31736.6</v>
      </c>
      <c r="M166" s="14">
        <f t="shared" si="4"/>
        <v>280100.8</v>
      </c>
    </row>
    <row r="167" spans="1:13">
      <c r="A167" s="48">
        <v>44347</v>
      </c>
      <c r="B167" s="14" t="s">
        <v>1</v>
      </c>
      <c r="C167" s="14">
        <v>8775.9</v>
      </c>
      <c r="D167" s="14">
        <v>10.4</v>
      </c>
      <c r="E167" s="14">
        <v>11</v>
      </c>
      <c r="F167" s="14">
        <v>17174.7</v>
      </c>
      <c r="G167" s="14"/>
      <c r="H167" s="14"/>
      <c r="I167" s="14" t="s">
        <v>1</v>
      </c>
      <c r="J167" s="13" t="s">
        <v>1</v>
      </c>
      <c r="K167" s="13">
        <v>231824.09999999998</v>
      </c>
      <c r="L167" s="15">
        <v>31886.6</v>
      </c>
      <c r="M167" s="14">
        <f t="shared" si="4"/>
        <v>289682.69999999995</v>
      </c>
    </row>
    <row r="168" spans="1:13">
      <c r="A168" s="71" t="s">
        <v>45</v>
      </c>
      <c r="B168" s="14" t="s">
        <v>1</v>
      </c>
      <c r="C168" s="14">
        <v>14625</v>
      </c>
      <c r="D168" s="14">
        <v>10.4</v>
      </c>
      <c r="E168" s="14">
        <v>11</v>
      </c>
      <c r="F168" s="14">
        <v>17356.2</v>
      </c>
      <c r="G168" s="14"/>
      <c r="H168" s="14"/>
      <c r="I168" s="14" t="s">
        <v>1</v>
      </c>
      <c r="J168" s="13" t="s">
        <v>1</v>
      </c>
      <c r="K168" s="13">
        <v>243053.59999999998</v>
      </c>
      <c r="L168" s="15">
        <v>32183.899999999998</v>
      </c>
      <c r="M168" s="14">
        <f t="shared" si="4"/>
        <v>307240.09999999998</v>
      </c>
    </row>
    <row r="169" spans="1:13">
      <c r="A169" s="71" t="s">
        <v>46</v>
      </c>
      <c r="B169" s="14" t="s">
        <v>1</v>
      </c>
      <c r="C169" s="14">
        <v>8226.2999999999993</v>
      </c>
      <c r="D169" s="14">
        <v>10.4</v>
      </c>
      <c r="E169" s="14">
        <v>11</v>
      </c>
      <c r="F169" s="14">
        <v>17501.2</v>
      </c>
      <c r="G169" s="14"/>
      <c r="H169" s="14"/>
      <c r="I169" s="14" t="s">
        <v>1</v>
      </c>
      <c r="J169" s="13" t="s">
        <v>1</v>
      </c>
      <c r="K169" s="13">
        <v>250400.2</v>
      </c>
      <c r="L169" s="15">
        <v>34166.5</v>
      </c>
      <c r="M169" s="14">
        <f t="shared" si="4"/>
        <v>310315.60000000003</v>
      </c>
    </row>
    <row r="170" spans="1:13">
      <c r="A170" s="71" t="s">
        <v>47</v>
      </c>
      <c r="B170" s="14">
        <v>0</v>
      </c>
      <c r="C170" s="14">
        <v>14809.7</v>
      </c>
      <c r="D170" s="14">
        <v>10.5</v>
      </c>
      <c r="E170" s="14">
        <v>11</v>
      </c>
      <c r="F170" s="14">
        <v>17660</v>
      </c>
      <c r="G170" s="14"/>
      <c r="H170" s="14"/>
      <c r="I170" s="14" t="s">
        <v>1</v>
      </c>
      <c r="J170" s="13" t="s">
        <v>1</v>
      </c>
      <c r="K170" s="13">
        <v>263666.7</v>
      </c>
      <c r="L170" s="15">
        <v>43910.3</v>
      </c>
      <c r="M170" s="14">
        <f t="shared" si="4"/>
        <v>340068.2</v>
      </c>
    </row>
    <row r="171" spans="1:13">
      <c r="A171" s="71" t="s">
        <v>48</v>
      </c>
      <c r="B171" s="14">
        <v>0</v>
      </c>
      <c r="C171" s="14">
        <v>7178.1</v>
      </c>
      <c r="D171" s="14">
        <v>0</v>
      </c>
      <c r="E171" s="14">
        <v>11</v>
      </c>
      <c r="F171" s="14">
        <v>2696.8</v>
      </c>
      <c r="G171" s="14"/>
      <c r="H171" s="14"/>
      <c r="I171" s="14" t="s">
        <v>1</v>
      </c>
      <c r="J171" s="13" t="s">
        <v>1</v>
      </c>
      <c r="K171" s="13">
        <v>76382.899999999994</v>
      </c>
      <c r="L171" s="15">
        <v>6176.3000000000011</v>
      </c>
      <c r="M171" s="14">
        <f t="shared" si="4"/>
        <v>92445.099999999991</v>
      </c>
    </row>
    <row r="172" spans="1:13">
      <c r="A172" s="71" t="s">
        <v>49</v>
      </c>
      <c r="B172" s="14">
        <v>0</v>
      </c>
      <c r="C172" s="14">
        <v>7331</v>
      </c>
      <c r="D172" s="14">
        <v>0</v>
      </c>
      <c r="E172" s="14">
        <v>11</v>
      </c>
      <c r="F172" s="14">
        <v>2719.6</v>
      </c>
      <c r="G172" s="14"/>
      <c r="H172" s="14"/>
      <c r="I172" s="14" t="s">
        <v>1</v>
      </c>
      <c r="J172" s="13" t="s">
        <v>1</v>
      </c>
      <c r="K172" s="13">
        <v>76316.7</v>
      </c>
      <c r="L172" s="15">
        <v>6030.3</v>
      </c>
      <c r="M172" s="14">
        <f t="shared" si="4"/>
        <v>92408.6</v>
      </c>
    </row>
    <row r="173" spans="1:13">
      <c r="A173" s="71" t="s">
        <v>50</v>
      </c>
      <c r="B173" s="14">
        <v>0</v>
      </c>
      <c r="C173" s="14">
        <v>6679.1</v>
      </c>
      <c r="D173" s="14">
        <v>0</v>
      </c>
      <c r="E173" s="14">
        <v>11</v>
      </c>
      <c r="F173" s="14">
        <v>2616.3000000000002</v>
      </c>
      <c r="G173" s="14"/>
      <c r="H173" s="14"/>
      <c r="I173" s="14" t="s">
        <v>1</v>
      </c>
      <c r="J173" s="13" t="s">
        <v>1</v>
      </c>
      <c r="K173" s="13">
        <v>77721</v>
      </c>
      <c r="L173" s="15">
        <v>6360.9</v>
      </c>
      <c r="M173" s="14">
        <f t="shared" si="4"/>
        <v>93388.299999999988</v>
      </c>
    </row>
    <row r="174" spans="1:13">
      <c r="A174" s="71" t="s">
        <v>51</v>
      </c>
      <c r="B174" s="14">
        <v>0</v>
      </c>
      <c r="C174" s="14">
        <v>7954.5</v>
      </c>
      <c r="D174" s="14">
        <v>0</v>
      </c>
      <c r="E174" s="14">
        <v>11</v>
      </c>
      <c r="F174" s="14">
        <v>2639.1</v>
      </c>
      <c r="G174" s="14"/>
      <c r="H174" s="14"/>
      <c r="I174" s="14" t="s">
        <v>1</v>
      </c>
      <c r="J174" s="13" t="s">
        <v>1</v>
      </c>
      <c r="K174" s="13">
        <v>79854.2</v>
      </c>
      <c r="L174" s="15">
        <v>6113.7000000000007</v>
      </c>
      <c r="M174" s="14">
        <f t="shared" si="4"/>
        <v>96572.5</v>
      </c>
    </row>
    <row r="175" spans="1:13">
      <c r="A175" s="71" t="s">
        <v>52</v>
      </c>
      <c r="B175" s="14">
        <v>0</v>
      </c>
      <c r="C175" s="14">
        <v>7243.9000000000005</v>
      </c>
      <c r="D175" s="14">
        <v>0</v>
      </c>
      <c r="E175" s="14">
        <v>11</v>
      </c>
      <c r="F175" s="14">
        <v>2661.9</v>
      </c>
      <c r="G175" s="14"/>
      <c r="H175" s="14">
        <v>446.1</v>
      </c>
      <c r="I175" s="14" t="s">
        <v>1</v>
      </c>
      <c r="J175" s="13" t="s">
        <v>1</v>
      </c>
      <c r="K175" s="13">
        <v>82173</v>
      </c>
      <c r="L175" s="15">
        <v>6591.3</v>
      </c>
      <c r="M175" s="14">
        <f t="shared" si="4"/>
        <v>99127.2</v>
      </c>
    </row>
    <row r="176" spans="1:13">
      <c r="A176" s="71" t="s">
        <v>53</v>
      </c>
      <c r="B176" s="14">
        <v>0</v>
      </c>
      <c r="C176" s="14">
        <v>6371.3</v>
      </c>
      <c r="D176" s="14">
        <v>0</v>
      </c>
      <c r="E176" s="14">
        <v>11</v>
      </c>
      <c r="F176" s="14">
        <v>2572.1</v>
      </c>
      <c r="G176" s="14"/>
      <c r="H176" s="14">
        <v>77.8</v>
      </c>
      <c r="I176" s="14" t="s">
        <v>1</v>
      </c>
      <c r="J176" s="13" t="s">
        <v>1</v>
      </c>
      <c r="K176" s="13">
        <v>84453.8</v>
      </c>
      <c r="L176" s="15">
        <v>7435.8</v>
      </c>
      <c r="M176" s="14">
        <f t="shared" si="4"/>
        <v>100921.8</v>
      </c>
    </row>
    <row r="177" spans="1:13">
      <c r="A177" s="71" t="s">
        <v>54</v>
      </c>
      <c r="B177" s="14">
        <v>0</v>
      </c>
      <c r="C177" s="14">
        <v>6854.9999999999991</v>
      </c>
      <c r="D177" s="14">
        <v>0</v>
      </c>
      <c r="E177" s="14">
        <v>11</v>
      </c>
      <c r="F177" s="14">
        <v>2594.9</v>
      </c>
      <c r="G177" s="14"/>
      <c r="H177" s="14">
        <v>0</v>
      </c>
      <c r="I177" s="14" t="s">
        <v>1</v>
      </c>
      <c r="J177" s="13" t="s">
        <v>1</v>
      </c>
      <c r="K177" s="13">
        <v>85343.2</v>
      </c>
      <c r="L177" s="15">
        <v>7715.4</v>
      </c>
      <c r="M177" s="14">
        <f t="shared" si="4"/>
        <v>102519.49999999999</v>
      </c>
    </row>
    <row r="178" spans="1:13">
      <c r="A178" s="71" t="s">
        <v>55</v>
      </c>
      <c r="B178" s="14">
        <v>0</v>
      </c>
      <c r="C178" s="14">
        <v>6897.9</v>
      </c>
      <c r="D178" s="14">
        <v>0</v>
      </c>
      <c r="E178" s="14">
        <v>11</v>
      </c>
      <c r="F178" s="14">
        <v>2617</v>
      </c>
      <c r="G178" s="14"/>
      <c r="H178" s="14">
        <v>0</v>
      </c>
      <c r="I178" s="14" t="s">
        <v>1</v>
      </c>
      <c r="J178" s="13" t="s">
        <v>1</v>
      </c>
      <c r="K178" s="13">
        <v>87187.3</v>
      </c>
      <c r="L178" s="15">
        <v>7153</v>
      </c>
      <c r="M178" s="14">
        <f t="shared" si="4"/>
        <v>103866.2</v>
      </c>
    </row>
    <row r="179" spans="1:13">
      <c r="A179" s="71" t="s">
        <v>56</v>
      </c>
      <c r="B179" s="14">
        <v>0</v>
      </c>
      <c r="C179" s="14">
        <v>6806.5999999999995</v>
      </c>
      <c r="D179" s="14">
        <v>0</v>
      </c>
      <c r="E179" s="14">
        <v>11</v>
      </c>
      <c r="F179" s="14">
        <v>2639.8</v>
      </c>
      <c r="G179" s="14"/>
      <c r="H179" s="14">
        <v>0</v>
      </c>
      <c r="I179" s="14" t="s">
        <v>1</v>
      </c>
      <c r="J179" s="13" t="s">
        <v>1</v>
      </c>
      <c r="K179" s="13">
        <v>88114.4</v>
      </c>
      <c r="L179" s="15">
        <v>7652.9</v>
      </c>
      <c r="M179" s="14">
        <f t="shared" si="4"/>
        <v>105224.69999999998</v>
      </c>
    </row>
    <row r="180" spans="1:13">
      <c r="A180" s="71" t="s">
        <v>57</v>
      </c>
      <c r="B180" s="14">
        <v>0</v>
      </c>
      <c r="C180" s="14">
        <v>7556.4999999999991</v>
      </c>
      <c r="D180" s="14">
        <v>0</v>
      </c>
      <c r="E180" s="14">
        <v>11</v>
      </c>
      <c r="F180" s="14">
        <v>2629.6</v>
      </c>
      <c r="G180" s="14"/>
      <c r="H180" s="14">
        <v>0</v>
      </c>
      <c r="I180" s="14" t="s">
        <v>1</v>
      </c>
      <c r="J180" s="13" t="s">
        <v>1</v>
      </c>
      <c r="K180" s="13">
        <v>90818.200000000012</v>
      </c>
      <c r="L180" s="15">
        <v>7580.2000000000007</v>
      </c>
      <c r="M180" s="14">
        <f t="shared" si="4"/>
        <v>108595.50000000001</v>
      </c>
    </row>
    <row r="181" spans="1:13">
      <c r="A181" s="71" t="s">
        <v>58</v>
      </c>
      <c r="B181" s="14">
        <v>0</v>
      </c>
      <c r="C181" s="14">
        <v>7321.5</v>
      </c>
      <c r="D181" s="14">
        <v>0</v>
      </c>
      <c r="E181" s="14">
        <v>11</v>
      </c>
      <c r="F181" s="14">
        <v>2652</v>
      </c>
      <c r="G181" s="14"/>
      <c r="H181" s="14">
        <v>0</v>
      </c>
      <c r="I181" s="14" t="s">
        <v>1</v>
      </c>
      <c r="J181" s="13" t="s">
        <v>1</v>
      </c>
      <c r="K181" s="13">
        <v>90167.4</v>
      </c>
      <c r="L181" s="15">
        <v>7646.7</v>
      </c>
      <c r="M181" s="14">
        <f t="shared" si="4"/>
        <v>107798.59999999999</v>
      </c>
    </row>
    <row r="182" spans="1:13">
      <c r="A182" s="71" t="s">
        <v>59</v>
      </c>
      <c r="B182" s="14">
        <v>0</v>
      </c>
      <c r="C182" s="14">
        <v>6965.5</v>
      </c>
      <c r="D182" s="14">
        <v>0</v>
      </c>
      <c r="E182" s="14">
        <v>11</v>
      </c>
      <c r="F182" s="14">
        <v>2674.8</v>
      </c>
      <c r="G182" s="14"/>
      <c r="H182" s="14">
        <v>0</v>
      </c>
      <c r="I182" s="14" t="s">
        <v>1</v>
      </c>
      <c r="J182" s="13" t="s">
        <v>1</v>
      </c>
      <c r="K182" s="13">
        <v>92559.1</v>
      </c>
      <c r="L182" s="15">
        <v>7442.5</v>
      </c>
      <c r="M182" s="14">
        <f t="shared" si="4"/>
        <v>109652.90000000001</v>
      </c>
    </row>
    <row r="183" spans="1:13">
      <c r="A183" s="71" t="s">
        <v>60</v>
      </c>
      <c r="B183" s="14">
        <v>0</v>
      </c>
      <c r="C183" s="14">
        <v>23121.800000000003</v>
      </c>
      <c r="D183" s="14">
        <v>0</v>
      </c>
      <c r="E183" s="14">
        <v>11</v>
      </c>
      <c r="F183" s="14">
        <v>2696.8</v>
      </c>
      <c r="G183" s="14"/>
      <c r="H183" s="14">
        <v>0</v>
      </c>
      <c r="I183" s="14" t="s">
        <v>1</v>
      </c>
      <c r="J183" s="13" t="s">
        <v>1</v>
      </c>
      <c r="K183" s="13">
        <v>95059.9</v>
      </c>
      <c r="L183" s="15">
        <v>7726.6999999999989</v>
      </c>
      <c r="M183" s="14">
        <f t="shared" si="4"/>
        <v>128616.2</v>
      </c>
    </row>
    <row r="184" spans="1:13">
      <c r="A184" s="71" t="s">
        <v>61</v>
      </c>
      <c r="B184" s="14">
        <v>0</v>
      </c>
      <c r="C184" s="14">
        <v>19225.300000000003</v>
      </c>
      <c r="D184" s="14">
        <v>0</v>
      </c>
      <c r="E184" s="14">
        <v>11</v>
      </c>
      <c r="F184" s="14">
        <v>2719.6</v>
      </c>
      <c r="G184" s="14"/>
      <c r="H184" s="14">
        <v>0</v>
      </c>
      <c r="I184" s="14">
        <v>0</v>
      </c>
      <c r="J184" s="13">
        <v>0</v>
      </c>
      <c r="K184" s="13">
        <v>98791.500000000015</v>
      </c>
      <c r="L184" s="15">
        <v>9189.2000000000007</v>
      </c>
      <c r="M184" s="14">
        <f t="shared" si="4"/>
        <v>129936.60000000002</v>
      </c>
    </row>
    <row r="185" spans="1:13">
      <c r="A185" s="71" t="s">
        <v>62</v>
      </c>
      <c r="B185" s="14">
        <v>0</v>
      </c>
      <c r="C185" s="14">
        <v>13671.5</v>
      </c>
      <c r="D185" s="14">
        <v>0</v>
      </c>
      <c r="E185" s="14">
        <v>11</v>
      </c>
      <c r="F185" s="14">
        <v>2616.3000000000002</v>
      </c>
      <c r="G185" s="14"/>
      <c r="H185" s="14">
        <v>0</v>
      </c>
      <c r="I185" s="14">
        <v>0</v>
      </c>
      <c r="J185" s="13">
        <v>0</v>
      </c>
      <c r="K185" s="13">
        <v>107454.2</v>
      </c>
      <c r="L185" s="15">
        <v>8347.7000000000007</v>
      </c>
      <c r="M185" s="14">
        <f t="shared" si="4"/>
        <v>132100.70000000001</v>
      </c>
    </row>
    <row r="186" spans="1:13">
      <c r="A186" s="71" t="s">
        <v>63</v>
      </c>
      <c r="B186" s="14">
        <v>0</v>
      </c>
      <c r="C186" s="14">
        <v>16494.400000000001</v>
      </c>
      <c r="D186" s="14">
        <v>0</v>
      </c>
      <c r="E186" s="14">
        <v>11</v>
      </c>
      <c r="F186" s="14">
        <v>2639.1</v>
      </c>
      <c r="G186" s="14"/>
      <c r="H186" s="14">
        <v>0</v>
      </c>
      <c r="I186" s="14">
        <v>0</v>
      </c>
      <c r="J186" s="13">
        <v>0</v>
      </c>
      <c r="K186" s="13">
        <v>109685.5</v>
      </c>
      <c r="L186" s="15">
        <v>16895.2</v>
      </c>
      <c r="M186" s="14">
        <f t="shared" si="4"/>
        <v>145725.20000000001</v>
      </c>
    </row>
    <row r="187" spans="1:13">
      <c r="A187" s="71" t="s">
        <v>64</v>
      </c>
      <c r="B187" s="14">
        <v>0</v>
      </c>
      <c r="C187" s="14">
        <v>17372.099999999999</v>
      </c>
      <c r="D187" s="14">
        <v>0</v>
      </c>
      <c r="E187" s="14">
        <v>11</v>
      </c>
      <c r="F187" s="14">
        <v>3873.1000000000004</v>
      </c>
      <c r="G187" s="14"/>
      <c r="H187" s="14">
        <v>0</v>
      </c>
      <c r="I187" s="14">
        <v>0</v>
      </c>
      <c r="J187" s="13">
        <v>0</v>
      </c>
      <c r="K187" s="13">
        <v>109772.8</v>
      </c>
      <c r="L187" s="15">
        <v>17864</v>
      </c>
      <c r="M187" s="14">
        <f t="shared" si="4"/>
        <v>148893</v>
      </c>
    </row>
    <row r="188" spans="1:13">
      <c r="A188" s="71" t="s">
        <v>65</v>
      </c>
      <c r="B188" s="14">
        <v>0</v>
      </c>
      <c r="C188" s="14">
        <v>16828</v>
      </c>
      <c r="D188" s="14">
        <v>0</v>
      </c>
      <c r="E188" s="14">
        <v>11</v>
      </c>
      <c r="F188" s="14">
        <v>3753.6</v>
      </c>
      <c r="G188" s="14"/>
      <c r="H188" s="14">
        <v>0</v>
      </c>
      <c r="I188" s="14">
        <v>0</v>
      </c>
      <c r="J188" s="13">
        <v>0</v>
      </c>
      <c r="K188" s="13">
        <v>112409.9</v>
      </c>
      <c r="L188" s="15">
        <v>18435.5</v>
      </c>
      <c r="M188" s="14">
        <f t="shared" si="4"/>
        <v>151438</v>
      </c>
    </row>
    <row r="189" spans="1:13">
      <c r="A189" s="71" t="s">
        <v>66</v>
      </c>
      <c r="B189" s="14">
        <v>0</v>
      </c>
      <c r="C189" s="14">
        <v>16198</v>
      </c>
      <c r="D189" s="14">
        <v>0</v>
      </c>
      <c r="E189" s="14">
        <v>11</v>
      </c>
      <c r="F189" s="14">
        <v>3746.4</v>
      </c>
      <c r="G189" s="14"/>
      <c r="H189" s="14">
        <v>0</v>
      </c>
      <c r="I189" s="14">
        <v>0</v>
      </c>
      <c r="J189" s="13">
        <v>0</v>
      </c>
      <c r="K189" s="13">
        <v>121701.4</v>
      </c>
      <c r="L189" s="15">
        <v>18082.900000000001</v>
      </c>
      <c r="M189" s="14">
        <f t="shared" si="4"/>
        <v>159739.69999999998</v>
      </c>
    </row>
    <row r="190" spans="1:13">
      <c r="A190" s="71" t="s">
        <v>67</v>
      </c>
      <c r="B190" s="14">
        <v>0</v>
      </c>
      <c r="C190" s="14">
        <v>15034</v>
      </c>
      <c r="D190" s="14">
        <v>0</v>
      </c>
      <c r="E190" s="14">
        <v>11</v>
      </c>
      <c r="F190" s="14">
        <v>3705.7</v>
      </c>
      <c r="G190" s="14"/>
      <c r="H190" s="14">
        <v>0</v>
      </c>
      <c r="I190" s="14">
        <v>0</v>
      </c>
      <c r="J190" s="13">
        <v>0</v>
      </c>
      <c r="K190" s="13">
        <v>124403.1</v>
      </c>
      <c r="L190" s="15">
        <v>18456.099999999999</v>
      </c>
      <c r="M190" s="14">
        <f t="shared" si="4"/>
        <v>161609.90000000002</v>
      </c>
    </row>
    <row r="191" spans="1:13">
      <c r="A191" s="71" t="s">
        <v>68</v>
      </c>
      <c r="B191" s="14">
        <v>0</v>
      </c>
      <c r="C191" s="14">
        <v>15409</v>
      </c>
      <c r="D191" s="14">
        <v>0</v>
      </c>
      <c r="E191" s="14">
        <v>11</v>
      </c>
      <c r="F191" s="14">
        <v>3698</v>
      </c>
      <c r="G191" s="14"/>
      <c r="H191" s="14">
        <v>0</v>
      </c>
      <c r="I191" s="14">
        <v>0</v>
      </c>
      <c r="J191" s="13">
        <v>0</v>
      </c>
      <c r="K191" s="13">
        <v>124405.8</v>
      </c>
      <c r="L191" s="15">
        <v>19900.5</v>
      </c>
      <c r="M191" s="14">
        <f t="shared" si="4"/>
        <v>163424.29999999999</v>
      </c>
    </row>
    <row r="192" spans="1:13">
      <c r="A192" s="71" t="s">
        <v>69</v>
      </c>
      <c r="B192" s="14">
        <v>0</v>
      </c>
      <c r="C192" s="14">
        <v>13676.900000000001</v>
      </c>
      <c r="D192" s="14">
        <v>0</v>
      </c>
      <c r="E192" s="14">
        <v>11</v>
      </c>
      <c r="F192" s="14">
        <v>3689.2999999999997</v>
      </c>
      <c r="G192" s="14"/>
      <c r="H192" s="14">
        <v>0</v>
      </c>
      <c r="I192" s="14">
        <v>0</v>
      </c>
      <c r="J192" s="13">
        <v>0</v>
      </c>
      <c r="K192" s="13">
        <v>126376.6</v>
      </c>
      <c r="L192" s="15">
        <v>19651.099999999999</v>
      </c>
      <c r="M192" s="14">
        <f t="shared" si="4"/>
        <v>163404.90000000002</v>
      </c>
    </row>
    <row r="193" spans="1:13">
      <c r="A193" s="71" t="s">
        <v>70</v>
      </c>
      <c r="B193" s="14">
        <v>0</v>
      </c>
      <c r="C193" s="14">
        <v>19710.3</v>
      </c>
      <c r="D193" s="14">
        <v>0</v>
      </c>
      <c r="E193" s="14">
        <v>11</v>
      </c>
      <c r="F193" s="14">
        <v>3681.1</v>
      </c>
      <c r="G193" s="14"/>
      <c r="H193" s="14">
        <v>0</v>
      </c>
      <c r="I193" s="14">
        <v>0</v>
      </c>
      <c r="J193" s="13">
        <v>0</v>
      </c>
      <c r="K193" s="13">
        <v>128241.7</v>
      </c>
      <c r="L193" s="15">
        <v>21309.3</v>
      </c>
      <c r="M193" s="14">
        <f t="shared" si="4"/>
        <v>172953.4</v>
      </c>
    </row>
    <row r="194" spans="1:13">
      <c r="A194" s="71" t="s">
        <v>71</v>
      </c>
      <c r="B194" s="14">
        <v>0</v>
      </c>
      <c r="C194" s="14">
        <v>18547.3</v>
      </c>
      <c r="D194" s="14">
        <v>0</v>
      </c>
      <c r="E194" s="14">
        <v>11</v>
      </c>
      <c r="F194" s="14">
        <v>2674.8</v>
      </c>
      <c r="G194" s="14"/>
      <c r="H194" s="14">
        <v>0</v>
      </c>
      <c r="I194" s="14">
        <v>0</v>
      </c>
      <c r="J194" s="13">
        <v>0</v>
      </c>
      <c r="K194" s="13">
        <v>130945</v>
      </c>
      <c r="L194" s="15">
        <v>21214.9</v>
      </c>
      <c r="M194" s="14">
        <f t="shared" si="4"/>
        <v>173393</v>
      </c>
    </row>
    <row r="195" spans="1:13">
      <c r="A195" s="71" t="s">
        <v>72</v>
      </c>
      <c r="B195" s="14">
        <v>0</v>
      </c>
      <c r="C195" s="14">
        <v>26503.3</v>
      </c>
      <c r="D195" s="14">
        <v>0</v>
      </c>
      <c r="E195" s="14">
        <v>11</v>
      </c>
      <c r="F195" s="14">
        <v>2696.8</v>
      </c>
      <c r="G195" s="14"/>
      <c r="H195" s="14">
        <v>0</v>
      </c>
      <c r="I195" s="14">
        <v>0</v>
      </c>
      <c r="J195" s="13">
        <v>0</v>
      </c>
      <c r="K195" s="13">
        <v>133426.20000000001</v>
      </c>
      <c r="L195" s="15">
        <v>20583.199999999997</v>
      </c>
      <c r="M195" s="14">
        <f t="shared" si="4"/>
        <v>183220.5</v>
      </c>
    </row>
    <row r="196" spans="1:13">
      <c r="A196" s="71" t="s">
        <v>73</v>
      </c>
      <c r="B196" s="14">
        <v>0</v>
      </c>
      <c r="C196" s="14">
        <v>33412.699999999997</v>
      </c>
      <c r="D196" s="14">
        <v>0</v>
      </c>
      <c r="E196" s="14">
        <v>11</v>
      </c>
      <c r="F196" s="14">
        <f>2719.6+0</f>
        <v>2719.6</v>
      </c>
      <c r="G196" s="14"/>
      <c r="H196" s="14">
        <v>0</v>
      </c>
      <c r="I196" s="14">
        <v>0</v>
      </c>
      <c r="J196" s="13">
        <v>0</v>
      </c>
      <c r="K196" s="13">
        <f>133701.9+297.5</f>
        <v>133999.4</v>
      </c>
      <c r="L196" s="15">
        <v>21149.9</v>
      </c>
      <c r="M196" s="14">
        <f t="shared" ref="M196:M198" si="5">SUM(B196:L196)</f>
        <v>191292.59999999998</v>
      </c>
    </row>
    <row r="197" spans="1:13">
      <c r="A197" s="71" t="s">
        <v>74</v>
      </c>
      <c r="B197" s="14">
        <v>0</v>
      </c>
      <c r="C197" s="14">
        <v>35211.399999999994</v>
      </c>
      <c r="D197" s="14">
        <v>0</v>
      </c>
      <c r="E197" s="14">
        <v>11</v>
      </c>
      <c r="F197" s="14">
        <f>2616.3+0</f>
        <v>2616.3000000000002</v>
      </c>
      <c r="G197" s="14"/>
      <c r="H197" s="14">
        <v>0</v>
      </c>
      <c r="I197" s="14">
        <v>0</v>
      </c>
      <c r="J197" s="13">
        <v>0</v>
      </c>
      <c r="K197" s="13">
        <f>134426.2+297.5</f>
        <v>134723.70000000001</v>
      </c>
      <c r="L197" s="15">
        <v>23720.9</v>
      </c>
      <c r="M197" s="14">
        <f t="shared" si="5"/>
        <v>196283.30000000002</v>
      </c>
    </row>
    <row r="198" spans="1:13">
      <c r="A198" s="71" t="s">
        <v>75</v>
      </c>
      <c r="B198" s="14">
        <v>0</v>
      </c>
      <c r="C198" s="14">
        <v>28194.400000000001</v>
      </c>
      <c r="D198" s="14">
        <v>0</v>
      </c>
      <c r="E198" s="14">
        <v>11</v>
      </c>
      <c r="F198" s="14">
        <v>2639.1</v>
      </c>
      <c r="G198" s="14"/>
      <c r="H198" s="14">
        <v>0</v>
      </c>
      <c r="I198" s="14">
        <v>0</v>
      </c>
      <c r="J198" s="13">
        <v>0</v>
      </c>
      <c r="K198" s="13">
        <f>136110.6+297.5</f>
        <v>136408.1</v>
      </c>
      <c r="L198" s="15">
        <v>21726.1</v>
      </c>
      <c r="M198" s="14">
        <f t="shared" si="5"/>
        <v>188978.7</v>
      </c>
    </row>
    <row r="199" spans="1:13">
      <c r="A199" s="71" t="s">
        <v>76</v>
      </c>
      <c r="B199" s="14">
        <v>0</v>
      </c>
      <c r="C199" s="14">
        <v>27114.7</v>
      </c>
      <c r="D199" s="14">
        <v>0</v>
      </c>
      <c r="E199" s="14">
        <v>11</v>
      </c>
      <c r="F199" s="14">
        <v>2661.9</v>
      </c>
      <c r="G199" s="14"/>
      <c r="H199" s="14">
        <v>0</v>
      </c>
      <c r="I199" s="14">
        <v>0</v>
      </c>
      <c r="J199" s="13">
        <v>0</v>
      </c>
      <c r="K199" s="13">
        <f>137266.9+297.5</f>
        <v>137564.4</v>
      </c>
      <c r="L199" s="15">
        <v>30468.400000000001</v>
      </c>
      <c r="M199" s="14">
        <f t="shared" ref="M199:M200" si="6">SUM(B199:L199)</f>
        <v>197820.4</v>
      </c>
    </row>
    <row r="200" spans="1:13">
      <c r="A200" s="71" t="s">
        <v>77</v>
      </c>
      <c r="B200" s="14">
        <v>0</v>
      </c>
      <c r="C200" s="14">
        <v>33284.400000000001</v>
      </c>
      <c r="D200" s="14">
        <v>0</v>
      </c>
      <c r="E200" s="14">
        <v>11</v>
      </c>
      <c r="F200" s="14">
        <v>1568.3</v>
      </c>
      <c r="G200" s="14"/>
      <c r="H200" s="14">
        <v>0</v>
      </c>
      <c r="I200" s="14">
        <v>0</v>
      </c>
      <c r="J200" s="13">
        <v>0</v>
      </c>
      <c r="K200" s="13">
        <f>138632.8+297.5</f>
        <v>138930.29999999999</v>
      </c>
      <c r="L200" s="15">
        <v>31274.2</v>
      </c>
      <c r="M200" s="14">
        <f t="shared" si="6"/>
        <v>205068.2</v>
      </c>
    </row>
    <row r="201" spans="1:13">
      <c r="A201" s="71" t="s">
        <v>78</v>
      </c>
      <c r="B201" s="14">
        <v>0</v>
      </c>
      <c r="C201" s="14">
        <v>34724.1</v>
      </c>
      <c r="D201" s="14">
        <v>0</v>
      </c>
      <c r="E201" s="14">
        <v>11</v>
      </c>
      <c r="F201" s="14">
        <v>1581.8</v>
      </c>
      <c r="G201" s="14"/>
      <c r="H201" s="14">
        <v>0</v>
      </c>
      <c r="I201" s="14">
        <v>0</v>
      </c>
      <c r="J201" s="13">
        <v>0</v>
      </c>
      <c r="K201" s="13">
        <f>140409.5+297.5</f>
        <v>140707</v>
      </c>
      <c r="L201" s="15">
        <v>23688.2</v>
      </c>
      <c r="M201" s="14">
        <f t="shared" ref="M201:M203" si="7">SUM(B201:L201)</f>
        <v>200712.1</v>
      </c>
    </row>
    <row r="202" spans="1:13">
      <c r="A202" s="71" t="s">
        <v>79</v>
      </c>
      <c r="B202" s="14">
        <v>0</v>
      </c>
      <c r="C202" s="14">
        <v>35380.9</v>
      </c>
      <c r="D202" s="14">
        <v>0</v>
      </c>
      <c r="E202" s="14">
        <v>11</v>
      </c>
      <c r="F202" s="14">
        <v>1562.1</v>
      </c>
      <c r="G202" s="14"/>
      <c r="H202" s="14">
        <v>0</v>
      </c>
      <c r="I202" s="14">
        <v>0</v>
      </c>
      <c r="J202" s="13">
        <v>0</v>
      </c>
      <c r="K202" s="13">
        <f>142065.4+297.5</f>
        <v>142362.9</v>
      </c>
      <c r="L202" s="15">
        <v>22537.599999999999</v>
      </c>
      <c r="M202" s="14">
        <f t="shared" si="7"/>
        <v>201854.5</v>
      </c>
    </row>
    <row r="203" spans="1:13">
      <c r="A203" s="71" t="s">
        <v>80</v>
      </c>
      <c r="B203" s="14">
        <v>0</v>
      </c>
      <c r="C203" s="14">
        <v>33876.1</v>
      </c>
      <c r="D203" s="14">
        <v>0</v>
      </c>
      <c r="E203" s="14">
        <v>11</v>
      </c>
      <c r="F203" s="14">
        <v>2579.5</v>
      </c>
      <c r="G203" s="14"/>
      <c r="H203" s="14">
        <v>0</v>
      </c>
      <c r="I203" s="14">
        <v>0</v>
      </c>
      <c r="J203" s="13">
        <v>0</v>
      </c>
      <c r="K203" s="13">
        <f>144397.1+297.5</f>
        <v>144694.6</v>
      </c>
      <c r="L203" s="15">
        <v>22656.9</v>
      </c>
      <c r="M203" s="14">
        <f t="shared" si="7"/>
        <v>203818.1</v>
      </c>
    </row>
    <row r="204" spans="1:13">
      <c r="A204" s="71" t="s">
        <v>81</v>
      </c>
      <c r="B204" s="14">
        <v>0</v>
      </c>
      <c r="C204" s="14">
        <v>33464.800000000003</v>
      </c>
      <c r="D204" s="14">
        <v>0</v>
      </c>
      <c r="E204" s="14">
        <v>11</v>
      </c>
      <c r="F204" s="14">
        <v>2596.6</v>
      </c>
      <c r="G204" s="14"/>
      <c r="H204" s="14">
        <v>0</v>
      </c>
      <c r="I204" s="14">
        <v>0</v>
      </c>
      <c r="J204" s="13">
        <v>0</v>
      </c>
      <c r="K204" s="13">
        <f>297.5+145513.5</f>
        <v>145811</v>
      </c>
      <c r="L204" s="15">
        <v>22592.699999999997</v>
      </c>
      <c r="M204" s="14">
        <f t="shared" ref="M204" si="8">SUM(B204:L204)</f>
        <v>204476.09999999998</v>
      </c>
    </row>
    <row r="205" spans="1:13">
      <c r="A205" s="71" t="s">
        <v>82</v>
      </c>
      <c r="B205" s="14">
        <v>0</v>
      </c>
      <c r="C205" s="14">
        <v>33338.300000000003</v>
      </c>
      <c r="D205" s="14">
        <v>0</v>
      </c>
      <c r="E205" s="14">
        <v>11</v>
      </c>
      <c r="F205" s="14">
        <v>2614.1999999999998</v>
      </c>
      <c r="G205" s="14"/>
      <c r="H205" s="14">
        <v>0</v>
      </c>
      <c r="I205" s="14">
        <v>0</v>
      </c>
      <c r="J205" s="13">
        <v>0</v>
      </c>
      <c r="K205" s="13">
        <f>297.5+150255.4</f>
        <v>150552.9</v>
      </c>
      <c r="L205" s="15">
        <v>24005.7</v>
      </c>
      <c r="M205" s="14">
        <f t="shared" ref="M205:M218" si="9">SUM(B205:L205)</f>
        <v>210522.1</v>
      </c>
    </row>
    <row r="206" spans="1:13">
      <c r="A206" s="71" t="s">
        <v>83</v>
      </c>
      <c r="B206" s="14">
        <v>0</v>
      </c>
      <c r="C206" s="14">
        <v>25704.199999999997</v>
      </c>
      <c r="D206" s="14">
        <v>0</v>
      </c>
      <c r="E206" s="14">
        <v>11</v>
      </c>
      <c r="F206" s="14">
        <v>2631.9</v>
      </c>
      <c r="G206" s="14"/>
      <c r="H206" s="14">
        <v>0</v>
      </c>
      <c r="I206" s="14">
        <v>0</v>
      </c>
      <c r="J206" s="13">
        <v>0</v>
      </c>
      <c r="K206" s="13">
        <f>297.5+152523</f>
        <v>152820.5</v>
      </c>
      <c r="L206" s="15">
        <v>30750.800000000003</v>
      </c>
      <c r="M206" s="14">
        <f t="shared" si="9"/>
        <v>211918.40000000002</v>
      </c>
    </row>
    <row r="207" spans="1:13">
      <c r="A207" s="71" t="s">
        <v>84</v>
      </c>
      <c r="B207" s="14">
        <v>0</v>
      </c>
      <c r="C207" s="14">
        <v>21508.400000000001</v>
      </c>
      <c r="D207" s="14">
        <v>0</v>
      </c>
      <c r="E207" s="14">
        <v>11</v>
      </c>
      <c r="F207" s="14">
        <v>2649</v>
      </c>
      <c r="G207" s="14"/>
      <c r="H207" s="14">
        <v>0</v>
      </c>
      <c r="I207" s="14">
        <v>0</v>
      </c>
      <c r="J207" s="13">
        <v>0</v>
      </c>
      <c r="K207" s="13">
        <f>297.5+158857.8</f>
        <v>159155.29999999999</v>
      </c>
      <c r="L207" s="15">
        <v>29419.9</v>
      </c>
      <c r="M207" s="14">
        <f t="shared" si="9"/>
        <v>212743.59999999998</v>
      </c>
    </row>
    <row r="208" spans="1:13">
      <c r="A208" s="71" t="s">
        <v>85</v>
      </c>
      <c r="B208" s="14">
        <v>0</v>
      </c>
      <c r="C208" s="14">
        <v>18701.699999999997</v>
      </c>
      <c r="D208" s="14">
        <v>0</v>
      </c>
      <c r="E208" s="14">
        <v>11</v>
      </c>
      <c r="F208" s="14">
        <v>2666.7</v>
      </c>
      <c r="G208" s="14"/>
      <c r="H208" s="14">
        <v>0</v>
      </c>
      <c r="I208" s="14">
        <v>0</v>
      </c>
      <c r="J208" s="13">
        <v>0</v>
      </c>
      <c r="K208" s="13">
        <v>161294.1</v>
      </c>
      <c r="L208" s="15">
        <v>30886.400000000001</v>
      </c>
      <c r="M208" s="14">
        <f t="shared" si="9"/>
        <v>213559.9</v>
      </c>
    </row>
    <row r="209" spans="1:13">
      <c r="A209" s="71" t="s">
        <v>86</v>
      </c>
      <c r="B209" s="14">
        <v>0</v>
      </c>
      <c r="C209" s="14">
        <v>13993.1</v>
      </c>
      <c r="D209" s="14">
        <v>0</v>
      </c>
      <c r="E209" s="14">
        <v>11</v>
      </c>
      <c r="F209" s="14">
        <v>2683.8</v>
      </c>
      <c r="G209" s="14"/>
      <c r="H209" s="14">
        <v>0</v>
      </c>
      <c r="I209" s="14">
        <v>0</v>
      </c>
      <c r="J209" s="13">
        <v>0</v>
      </c>
      <c r="K209" s="13">
        <v>163246</v>
      </c>
      <c r="L209" s="15">
        <v>35268.400000000001</v>
      </c>
      <c r="M209" s="14">
        <f t="shared" si="9"/>
        <v>215202.3</v>
      </c>
    </row>
    <row r="210" spans="1:13">
      <c r="A210" s="71" t="s">
        <v>87</v>
      </c>
      <c r="B210" s="14">
        <v>0</v>
      </c>
      <c r="C210" s="14">
        <v>16577.2</v>
      </c>
      <c r="D210" s="14">
        <v>0</v>
      </c>
      <c r="E210" s="14">
        <v>11</v>
      </c>
      <c r="F210" s="14">
        <v>2682.6</v>
      </c>
      <c r="G210" s="14"/>
      <c r="H210" s="14">
        <v>0</v>
      </c>
      <c r="I210" s="14">
        <v>0</v>
      </c>
      <c r="J210" s="13">
        <v>0</v>
      </c>
      <c r="K210" s="13">
        <v>161273.60000000001</v>
      </c>
      <c r="L210" s="15">
        <v>35722.100000000006</v>
      </c>
      <c r="M210" s="14">
        <f t="shared" si="9"/>
        <v>216266.5</v>
      </c>
    </row>
    <row r="211" spans="1:13">
      <c r="A211" s="71" t="s">
        <v>88</v>
      </c>
      <c r="B211" s="14">
        <v>0</v>
      </c>
      <c r="C211" s="14">
        <v>25908.7</v>
      </c>
      <c r="D211" s="14">
        <v>0</v>
      </c>
      <c r="E211" s="14">
        <v>11</v>
      </c>
      <c r="F211" s="14">
        <v>2719.1</v>
      </c>
      <c r="G211" s="14"/>
      <c r="H211" s="14">
        <v>0</v>
      </c>
      <c r="I211" s="14">
        <v>0</v>
      </c>
      <c r="J211" s="13">
        <v>0</v>
      </c>
      <c r="K211" s="13">
        <v>162557.29999999999</v>
      </c>
      <c r="L211" s="15">
        <v>31029.599999999999</v>
      </c>
      <c r="M211" s="14">
        <f t="shared" si="9"/>
        <v>222225.69999999998</v>
      </c>
    </row>
    <row r="212" spans="1:13">
      <c r="A212" s="71" t="s">
        <v>89</v>
      </c>
      <c r="B212" s="14">
        <v>0</v>
      </c>
      <c r="C212" s="14">
        <v>19493.400000000001</v>
      </c>
      <c r="D212" s="14">
        <v>0</v>
      </c>
      <c r="E212" s="14">
        <v>11</v>
      </c>
      <c r="F212" s="14">
        <v>2735.1</v>
      </c>
      <c r="G212" s="14"/>
      <c r="H212" s="14">
        <v>0</v>
      </c>
      <c r="I212" s="14">
        <v>0</v>
      </c>
      <c r="J212" s="13">
        <v>0</v>
      </c>
      <c r="K212" s="13">
        <v>166258.6</v>
      </c>
      <c r="L212" s="15">
        <v>37656.300000000003</v>
      </c>
      <c r="M212" s="14">
        <f t="shared" si="9"/>
        <v>226154.40000000002</v>
      </c>
    </row>
    <row r="213" spans="1:13">
      <c r="A213" s="71" t="s">
        <v>90</v>
      </c>
      <c r="B213" s="14">
        <v>0</v>
      </c>
      <c r="C213" s="14">
        <v>28786.400000000001</v>
      </c>
      <c r="D213" s="14">
        <v>0</v>
      </c>
      <c r="E213" s="14">
        <v>11</v>
      </c>
      <c r="F213" s="14">
        <v>2752.8</v>
      </c>
      <c r="G213" s="14"/>
      <c r="H213" s="14">
        <v>0</v>
      </c>
      <c r="I213" s="14">
        <v>0</v>
      </c>
      <c r="J213" s="13">
        <v>0</v>
      </c>
      <c r="K213" s="13">
        <v>167749.9</v>
      </c>
      <c r="L213" s="15">
        <v>27005.200000000001</v>
      </c>
      <c r="M213" s="14">
        <f t="shared" si="9"/>
        <v>226305.30000000002</v>
      </c>
    </row>
    <row r="214" spans="1:13">
      <c r="A214" s="71" t="s">
        <v>91</v>
      </c>
      <c r="B214" s="14">
        <v>0</v>
      </c>
      <c r="C214" s="14">
        <v>31664.3</v>
      </c>
      <c r="D214" s="14">
        <v>0</v>
      </c>
      <c r="E214" s="14">
        <v>11</v>
      </c>
      <c r="F214" s="14">
        <v>2611.6</v>
      </c>
      <c r="G214" s="14"/>
      <c r="H214" s="14">
        <v>0</v>
      </c>
      <c r="I214" s="14">
        <v>0</v>
      </c>
      <c r="J214" s="13">
        <v>0</v>
      </c>
      <c r="K214" s="13">
        <v>170254.2</v>
      </c>
      <c r="L214" s="15">
        <v>26979</v>
      </c>
      <c r="M214" s="14">
        <f t="shared" si="9"/>
        <v>231520.1</v>
      </c>
    </row>
    <row r="215" spans="1:13">
      <c r="A215" s="71" t="s">
        <v>92</v>
      </c>
      <c r="B215" s="14">
        <v>0</v>
      </c>
      <c r="C215" s="14">
        <v>41776.400000000001</v>
      </c>
      <c r="D215" s="14">
        <v>0</v>
      </c>
      <c r="E215" s="14">
        <v>11</v>
      </c>
      <c r="F215" s="14">
        <v>2579.1</v>
      </c>
      <c r="G215" s="14"/>
      <c r="H215" s="14">
        <v>0</v>
      </c>
      <c r="I215" s="14">
        <v>0</v>
      </c>
      <c r="J215" s="13">
        <v>0</v>
      </c>
      <c r="K215" s="13">
        <v>171404.2</v>
      </c>
      <c r="L215" s="15">
        <v>27122.3</v>
      </c>
      <c r="M215" s="14">
        <f t="shared" si="9"/>
        <v>242893</v>
      </c>
    </row>
    <row r="216" spans="1:13">
      <c r="A216" s="71" t="s">
        <v>93</v>
      </c>
      <c r="B216" s="14">
        <v>0</v>
      </c>
      <c r="C216" s="14">
        <v>34398.6</v>
      </c>
      <c r="D216" s="14">
        <v>0</v>
      </c>
      <c r="E216" s="14">
        <v>11</v>
      </c>
      <c r="F216" s="14">
        <v>2596.1999999999998</v>
      </c>
      <c r="G216" s="14"/>
      <c r="H216" s="14">
        <v>0</v>
      </c>
      <c r="I216" s="14">
        <v>0</v>
      </c>
      <c r="J216" s="13">
        <v>0</v>
      </c>
      <c r="K216" s="13">
        <v>172175.39999999997</v>
      </c>
      <c r="L216" s="15">
        <v>25211.899999999998</v>
      </c>
      <c r="M216" s="14">
        <f t="shared" si="9"/>
        <v>234393.09999999995</v>
      </c>
    </row>
    <row r="217" spans="1:13">
      <c r="A217" s="71" t="s">
        <v>94</v>
      </c>
      <c r="B217" s="14">
        <v>0</v>
      </c>
      <c r="C217" s="14">
        <v>31310.3</v>
      </c>
      <c r="D217" s="14">
        <v>0</v>
      </c>
      <c r="E217" s="14">
        <v>11</v>
      </c>
      <c r="F217" s="14">
        <v>2613.9</v>
      </c>
      <c r="G217" s="14"/>
      <c r="H217" s="14">
        <v>0</v>
      </c>
      <c r="I217" s="14">
        <v>0</v>
      </c>
      <c r="J217" s="13">
        <v>0</v>
      </c>
      <c r="K217" s="13">
        <v>173997.09999999998</v>
      </c>
      <c r="L217" s="15">
        <v>26386.5</v>
      </c>
      <c r="M217" s="14">
        <f t="shared" si="9"/>
        <v>234318.8</v>
      </c>
    </row>
    <row r="218" spans="1:13">
      <c r="A218" s="71" t="s">
        <v>98</v>
      </c>
      <c r="B218" s="14">
        <v>0</v>
      </c>
      <c r="C218" s="14">
        <v>32528.5</v>
      </c>
      <c r="D218" s="14">
        <v>0</v>
      </c>
      <c r="E218" s="14">
        <v>11</v>
      </c>
      <c r="F218" s="14">
        <v>2631.5</v>
      </c>
      <c r="G218" s="14"/>
      <c r="H218" s="14">
        <v>0</v>
      </c>
      <c r="I218" s="14">
        <v>0</v>
      </c>
      <c r="J218" s="13">
        <v>0</v>
      </c>
      <c r="K218" s="13">
        <v>178510.7</v>
      </c>
      <c r="L218" s="15">
        <v>26937.8</v>
      </c>
      <c r="M218" s="14">
        <f t="shared" si="9"/>
        <v>240619.5</v>
      </c>
    </row>
    <row r="219" spans="1:13">
      <c r="A219" s="71" t="s">
        <v>99</v>
      </c>
      <c r="B219" s="14">
        <v>0</v>
      </c>
      <c r="C219" s="14">
        <v>31559.899999999998</v>
      </c>
      <c r="D219" s="14">
        <v>0</v>
      </c>
      <c r="E219" s="14">
        <v>11</v>
      </c>
      <c r="F219" s="14">
        <v>2648.7</v>
      </c>
      <c r="G219" s="14"/>
      <c r="H219" s="14">
        <v>0</v>
      </c>
      <c r="I219" s="14">
        <v>0</v>
      </c>
      <c r="J219" s="13">
        <v>0</v>
      </c>
      <c r="K219" s="13">
        <v>183703.5</v>
      </c>
      <c r="L219" s="15">
        <v>27789.799999999996</v>
      </c>
      <c r="M219" s="14">
        <v>245712.9</v>
      </c>
    </row>
    <row r="220" spans="1:13">
      <c r="A220" s="71" t="s">
        <v>100</v>
      </c>
      <c r="B220" s="14">
        <v>0</v>
      </c>
      <c r="C220" s="14">
        <v>34442</v>
      </c>
      <c r="D220" s="14">
        <v>0</v>
      </c>
      <c r="E220" s="14">
        <v>11</v>
      </c>
      <c r="F220" s="14">
        <v>2666.3</v>
      </c>
      <c r="G220" s="14"/>
      <c r="H220" s="14">
        <v>0</v>
      </c>
      <c r="I220" s="14">
        <v>0</v>
      </c>
      <c r="J220" s="13">
        <v>0</v>
      </c>
      <c r="K220" s="13">
        <v>186536.69999999998</v>
      </c>
      <c r="L220" s="15">
        <v>27011.599999999999</v>
      </c>
      <c r="M220" s="14">
        <f t="shared" ref="M220" si="10">SUM(B220:L220)</f>
        <v>250667.6</v>
      </c>
    </row>
    <row r="221" spans="1:13">
      <c r="A221" s="71" t="s">
        <v>101</v>
      </c>
      <c r="B221" s="14">
        <v>0</v>
      </c>
      <c r="C221" s="14">
        <v>35385.5</v>
      </c>
      <c r="D221" s="14">
        <v>0</v>
      </c>
      <c r="E221" s="14">
        <v>11</v>
      </c>
      <c r="F221" s="14">
        <v>2558.1</v>
      </c>
      <c r="G221" s="14"/>
      <c r="H221" s="14">
        <v>0</v>
      </c>
      <c r="I221" s="14">
        <v>0</v>
      </c>
      <c r="J221" s="13">
        <v>0</v>
      </c>
      <c r="K221" s="13">
        <v>191002.69999999998</v>
      </c>
      <c r="L221" s="15">
        <v>29956.6</v>
      </c>
      <c r="M221" s="14">
        <f t="shared" ref="M221" si="11">SUM(B221:L221)</f>
        <v>258913.9</v>
      </c>
    </row>
    <row r="222" spans="1:13">
      <c r="A222" s="71" t="s">
        <v>103</v>
      </c>
      <c r="B222" s="14">
        <v>0</v>
      </c>
      <c r="C222" s="14">
        <v>44718.1</v>
      </c>
      <c r="D222" s="14">
        <v>0</v>
      </c>
      <c r="E222" s="14">
        <v>11</v>
      </c>
      <c r="F222" s="14">
        <v>2575.6999999999998</v>
      </c>
      <c r="G222" s="14"/>
      <c r="H222" s="14">
        <v>0</v>
      </c>
      <c r="I222" s="14">
        <v>0</v>
      </c>
      <c r="J222" s="13">
        <v>0</v>
      </c>
      <c r="K222" s="13">
        <v>196077.59999999998</v>
      </c>
      <c r="L222" s="15">
        <v>30094.7</v>
      </c>
      <c r="M222" s="14">
        <v>273477.09999999998</v>
      </c>
    </row>
    <row r="223" spans="1:13">
      <c r="A223" s="71" t="s">
        <v>104</v>
      </c>
      <c r="B223" s="14">
        <v>0</v>
      </c>
      <c r="C223" s="14">
        <v>39599.4</v>
      </c>
      <c r="D223" s="14">
        <v>0</v>
      </c>
      <c r="E223" s="14">
        <v>11</v>
      </c>
      <c r="F223" s="14">
        <v>2679.3</v>
      </c>
      <c r="G223" s="14">
        <v>0</v>
      </c>
      <c r="H223" s="14">
        <v>0</v>
      </c>
      <c r="I223" s="14">
        <v>0</v>
      </c>
      <c r="J223" s="13">
        <v>0</v>
      </c>
      <c r="K223" s="13">
        <v>198055.2</v>
      </c>
      <c r="L223" s="15">
        <v>30502.300000000003</v>
      </c>
      <c r="M223" s="14">
        <v>270847.2</v>
      </c>
    </row>
    <row r="224" spans="1:13">
      <c r="A224" s="71" t="s">
        <v>105</v>
      </c>
      <c r="B224" s="14">
        <v>0</v>
      </c>
      <c r="C224" s="14">
        <v>41180</v>
      </c>
      <c r="D224" s="14">
        <v>0</v>
      </c>
      <c r="E224" s="14">
        <v>11</v>
      </c>
      <c r="F224" s="14">
        <v>2695.2</v>
      </c>
      <c r="G224" s="14">
        <v>0</v>
      </c>
      <c r="H224" s="14">
        <v>0</v>
      </c>
      <c r="I224" s="14">
        <v>0</v>
      </c>
      <c r="J224" s="13">
        <v>0</v>
      </c>
      <c r="K224" s="13">
        <v>204259.80000000002</v>
      </c>
      <c r="L224" s="15">
        <v>33561.100000000006</v>
      </c>
      <c r="M224" s="14">
        <v>281707.09999999998</v>
      </c>
    </row>
    <row r="225" spans="1:13">
      <c r="A225" s="71" t="s">
        <v>107</v>
      </c>
      <c r="B225" s="14">
        <v>0</v>
      </c>
      <c r="C225" s="14">
        <v>37261.9</v>
      </c>
      <c r="D225" s="14">
        <v>0</v>
      </c>
      <c r="E225" s="14">
        <v>11</v>
      </c>
      <c r="F225" s="14">
        <v>2712.9</v>
      </c>
      <c r="G225" s="14">
        <v>0</v>
      </c>
      <c r="H225" s="14">
        <v>0</v>
      </c>
      <c r="I225" s="14">
        <v>0</v>
      </c>
      <c r="J225" s="13">
        <v>0</v>
      </c>
      <c r="K225" s="13">
        <v>206878.90000000002</v>
      </c>
      <c r="L225" s="15">
        <v>34558.5</v>
      </c>
      <c r="M225" s="14">
        <v>281423.2</v>
      </c>
    </row>
    <row r="226" spans="1:13" ht="15.75" customHeight="1">
      <c r="A226" s="77" t="s">
        <v>2</v>
      </c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9"/>
    </row>
    <row r="227" spans="1:13">
      <c r="A227" s="74" t="s">
        <v>3</v>
      </c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6"/>
    </row>
    <row r="228" spans="1:13">
      <c r="C228" s="40"/>
      <c r="D228" s="40"/>
      <c r="E228" s="41"/>
      <c r="F228" s="40"/>
      <c r="G228" s="41"/>
      <c r="H228" s="41"/>
      <c r="I228" s="41"/>
      <c r="J228" s="41"/>
      <c r="K228" s="41"/>
      <c r="L228" s="41"/>
      <c r="M228" s="42"/>
    </row>
  </sheetData>
  <mergeCells count="3">
    <mergeCell ref="A4:M4"/>
    <mergeCell ref="A227:M227"/>
    <mergeCell ref="A226:M2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1"/>
  <sheetViews>
    <sheetView tabSelected="1" workbookViewId="0">
      <pane xSplit="1" ySplit="6" topLeftCell="L66" activePane="bottomRight" state="frozen"/>
      <selection pane="topRight" activeCell="B1" sqref="B1"/>
      <selection pane="bottomLeft" activeCell="A7" sqref="A7"/>
      <selection pane="bottomRight" activeCell="A79" sqref="A79:XFD79"/>
    </sheetView>
  </sheetViews>
  <sheetFormatPr baseColWidth="10" defaultColWidth="11.5546875" defaultRowHeight="15.75"/>
  <cols>
    <col min="1" max="1" width="32.44140625" customWidth="1"/>
    <col min="2" max="2" width="16.44140625" bestFit="1" customWidth="1"/>
    <col min="3" max="3" width="23.88671875" customWidth="1"/>
    <col min="4" max="4" width="23.21875" customWidth="1"/>
    <col min="5" max="5" width="18.6640625" customWidth="1"/>
    <col min="6" max="6" width="25.21875" customWidth="1"/>
    <col min="7" max="8" width="21.77734375" customWidth="1"/>
    <col min="9" max="9" width="13" customWidth="1"/>
    <col min="10" max="10" width="11.6640625" bestFit="1" customWidth="1"/>
    <col min="11" max="11" width="14" customWidth="1"/>
    <col min="12" max="12" width="14.88671875" customWidth="1"/>
    <col min="13" max="13" width="17.88671875" customWidth="1"/>
  </cols>
  <sheetData>
    <row r="1" spans="1:13" ht="18.75">
      <c r="A1" s="44" t="s">
        <v>31</v>
      </c>
      <c r="C1" s="5"/>
      <c r="D1" s="6"/>
      <c r="E1" s="5"/>
      <c r="F1" s="6"/>
      <c r="G1" s="6"/>
      <c r="H1" s="6"/>
      <c r="I1" s="6"/>
      <c r="J1" s="6"/>
      <c r="K1" s="6"/>
      <c r="L1" s="45"/>
      <c r="M1" s="45" t="s">
        <v>42</v>
      </c>
    </row>
    <row r="2" spans="1:13" ht="18.75">
      <c r="A2" s="7"/>
      <c r="B2" s="8"/>
      <c r="C2" s="8"/>
      <c r="D2" s="9"/>
      <c r="E2" s="8"/>
      <c r="F2" s="9"/>
      <c r="G2" s="9"/>
      <c r="H2" s="9"/>
      <c r="I2" s="9"/>
      <c r="J2" s="9"/>
      <c r="K2" s="9"/>
      <c r="L2" s="10"/>
    </row>
    <row r="3" spans="1:13" s="30" customFormat="1">
      <c r="A3" s="36"/>
      <c r="B3" s="37"/>
      <c r="C3" s="37"/>
      <c r="D3" s="38"/>
      <c r="E3" s="37"/>
      <c r="F3" s="38"/>
      <c r="G3" s="38"/>
      <c r="H3" s="38"/>
      <c r="I3" s="38"/>
      <c r="J3" s="38"/>
      <c r="K3" s="45"/>
      <c r="L3" s="45"/>
      <c r="M3" s="52"/>
    </row>
    <row r="4" spans="1:13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3"/>
    </row>
    <row r="5" spans="1:13" s="49" customFormat="1" ht="18.75">
      <c r="A5" s="46"/>
      <c r="B5" s="47"/>
      <c r="C5" s="47"/>
      <c r="D5" s="47"/>
      <c r="E5" s="47"/>
      <c r="F5" s="47"/>
      <c r="G5" s="47"/>
      <c r="H5" s="69"/>
      <c r="I5" s="47"/>
      <c r="J5" s="47"/>
      <c r="K5" s="47"/>
      <c r="L5" s="47"/>
      <c r="M5" s="53"/>
    </row>
    <row r="6" spans="1:13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7" t="s">
        <v>43</v>
      </c>
      <c r="I6" s="56" t="s">
        <v>10</v>
      </c>
      <c r="J6" s="57" t="s">
        <v>11</v>
      </c>
      <c r="K6" s="57" t="s">
        <v>12</v>
      </c>
      <c r="L6" s="58" t="s">
        <v>6</v>
      </c>
      <c r="M6" s="59" t="s">
        <v>7</v>
      </c>
    </row>
    <row r="7" spans="1:13" s="30" customFormat="1">
      <c r="A7" s="12">
        <v>39508</v>
      </c>
      <c r="B7" s="14"/>
      <c r="C7" s="14">
        <v>1172.9000000000001</v>
      </c>
      <c r="D7" s="14">
        <v>554</v>
      </c>
      <c r="E7" s="14">
        <v>11</v>
      </c>
      <c r="F7" s="14">
        <v>508.90000000000003</v>
      </c>
      <c r="G7" s="14" t="s">
        <v>1</v>
      </c>
      <c r="H7" s="14"/>
      <c r="I7" s="14">
        <f>132.9</f>
        <v>132.9</v>
      </c>
      <c r="J7" s="14">
        <v>501</v>
      </c>
      <c r="K7" s="14">
        <v>26193</v>
      </c>
      <c r="L7" s="15">
        <v>4572.8</v>
      </c>
      <c r="M7" s="14">
        <f t="shared" ref="M7:M27" si="0">SUM(B7:L7)</f>
        <v>33646.5</v>
      </c>
    </row>
    <row r="8" spans="1:13" s="30" customFormat="1">
      <c r="A8" s="12">
        <v>39600</v>
      </c>
      <c r="B8" s="14"/>
      <c r="C8" s="14">
        <v>1706.2</v>
      </c>
      <c r="D8" s="14">
        <v>700</v>
      </c>
      <c r="E8" s="14">
        <v>11</v>
      </c>
      <c r="F8" s="14">
        <v>529</v>
      </c>
      <c r="G8" s="14" t="s">
        <v>1</v>
      </c>
      <c r="H8" s="14"/>
      <c r="I8" s="14">
        <v>20.399999999999999</v>
      </c>
      <c r="J8" s="14">
        <v>591.6</v>
      </c>
      <c r="K8" s="14">
        <v>26739.8</v>
      </c>
      <c r="L8" s="15">
        <v>5003.8</v>
      </c>
      <c r="M8" s="14">
        <f t="shared" si="0"/>
        <v>35301.800000000003</v>
      </c>
    </row>
    <row r="9" spans="1:13" s="30" customFormat="1">
      <c r="A9" s="12">
        <v>39692</v>
      </c>
      <c r="B9" s="14"/>
      <c r="C9" s="14">
        <v>1549</v>
      </c>
      <c r="D9" s="14">
        <v>500</v>
      </c>
      <c r="E9" s="14">
        <v>11</v>
      </c>
      <c r="F9" s="14">
        <v>849.59999999999991</v>
      </c>
      <c r="G9" s="14" t="s">
        <v>1</v>
      </c>
      <c r="H9" s="14"/>
      <c r="I9" s="14">
        <v>658.1</v>
      </c>
      <c r="J9" s="14">
        <v>573.40000000000009</v>
      </c>
      <c r="K9" s="14">
        <v>27800.400000000001</v>
      </c>
      <c r="L9" s="15">
        <v>4831.7</v>
      </c>
      <c r="M9" s="14">
        <f t="shared" si="0"/>
        <v>36773.199999999997</v>
      </c>
    </row>
    <row r="10" spans="1:13" s="30" customFormat="1">
      <c r="A10" s="12">
        <v>39783</v>
      </c>
      <c r="B10" s="14"/>
      <c r="C10" s="14">
        <v>1410.6999999999998</v>
      </c>
      <c r="D10" s="14">
        <v>450</v>
      </c>
      <c r="E10" s="14">
        <v>11</v>
      </c>
      <c r="F10" s="14">
        <v>833.8</v>
      </c>
      <c r="G10" s="14" t="s">
        <v>1</v>
      </c>
      <c r="H10" s="14"/>
      <c r="I10" s="14">
        <v>615.9</v>
      </c>
      <c r="J10" s="14">
        <v>342.7</v>
      </c>
      <c r="K10" s="14">
        <v>29148.799999999999</v>
      </c>
      <c r="L10" s="15">
        <v>4364.6000000000004</v>
      </c>
      <c r="M10" s="14">
        <f t="shared" si="0"/>
        <v>37177.5</v>
      </c>
    </row>
    <row r="11" spans="1:13" s="30" customFormat="1">
      <c r="A11" s="12">
        <v>39873</v>
      </c>
      <c r="B11" s="14"/>
      <c r="C11" s="14">
        <v>643.79999999999995</v>
      </c>
      <c r="D11" s="14">
        <v>650</v>
      </c>
      <c r="E11" s="14">
        <v>11</v>
      </c>
      <c r="F11" s="14">
        <v>833.8</v>
      </c>
      <c r="G11" s="14" t="s">
        <v>1</v>
      </c>
      <c r="H11" s="14"/>
      <c r="I11" s="14">
        <v>47.5</v>
      </c>
      <c r="J11" s="14">
        <v>278.39999999999998</v>
      </c>
      <c r="K11" s="14">
        <v>30999.3</v>
      </c>
      <c r="L11" s="15">
        <v>4588.2</v>
      </c>
      <c r="M11" s="14">
        <f t="shared" si="0"/>
        <v>38052</v>
      </c>
    </row>
    <row r="12" spans="1:13" s="30" customFormat="1">
      <c r="A12" s="12">
        <v>39965</v>
      </c>
      <c r="B12" s="14"/>
      <c r="C12" s="14">
        <v>840.3</v>
      </c>
      <c r="D12" s="14">
        <v>850</v>
      </c>
      <c r="E12" s="14">
        <v>11</v>
      </c>
      <c r="F12" s="14">
        <v>833.8</v>
      </c>
      <c r="G12" s="14" t="s">
        <v>1</v>
      </c>
      <c r="H12" s="14"/>
      <c r="I12" s="14">
        <v>122</v>
      </c>
      <c r="J12" s="14">
        <v>776.4</v>
      </c>
      <c r="K12" s="14">
        <v>31950.800000000003</v>
      </c>
      <c r="L12" s="15">
        <v>4782</v>
      </c>
      <c r="M12" s="14">
        <f t="shared" si="0"/>
        <v>40166.300000000003</v>
      </c>
    </row>
    <row r="13" spans="1:13" s="30" customFormat="1">
      <c r="A13" s="12">
        <v>40057</v>
      </c>
      <c r="B13" s="14"/>
      <c r="C13" s="14">
        <v>1210.5999999999999</v>
      </c>
      <c r="D13" s="14">
        <v>450</v>
      </c>
      <c r="E13" s="14">
        <v>11</v>
      </c>
      <c r="F13" s="14">
        <v>907.59999999999991</v>
      </c>
      <c r="G13" s="14" t="s">
        <v>1</v>
      </c>
      <c r="H13" s="14"/>
      <c r="I13" s="14">
        <v>725.9</v>
      </c>
      <c r="J13" s="14">
        <v>789</v>
      </c>
      <c r="K13" s="14">
        <v>32253.100000000002</v>
      </c>
      <c r="L13" s="15">
        <v>6104.5</v>
      </c>
      <c r="M13" s="14">
        <f t="shared" si="0"/>
        <v>42451.700000000004</v>
      </c>
    </row>
    <row r="14" spans="1:13" s="30" customFormat="1">
      <c r="A14" s="12">
        <v>40148</v>
      </c>
      <c r="B14" s="14"/>
      <c r="C14" s="14">
        <v>1720.2</v>
      </c>
      <c r="D14" s="14">
        <v>750</v>
      </c>
      <c r="E14" s="14">
        <v>11</v>
      </c>
      <c r="F14" s="14">
        <v>902</v>
      </c>
      <c r="G14" s="14" t="s">
        <v>1</v>
      </c>
      <c r="H14" s="14"/>
      <c r="I14" s="14">
        <v>657</v>
      </c>
      <c r="J14" s="14">
        <v>763.49999999999989</v>
      </c>
      <c r="K14" s="14">
        <v>33755.4</v>
      </c>
      <c r="L14" s="15">
        <v>4972.1000000000004</v>
      </c>
      <c r="M14" s="14">
        <f t="shared" si="0"/>
        <v>43531.199999999997</v>
      </c>
    </row>
    <row r="15" spans="1:13" s="30" customFormat="1">
      <c r="A15" s="12">
        <v>40238</v>
      </c>
      <c r="B15" s="14"/>
      <c r="C15" s="14">
        <v>2237.1</v>
      </c>
      <c r="D15" s="14">
        <v>1100</v>
      </c>
      <c r="E15" s="14">
        <v>11</v>
      </c>
      <c r="F15" s="14">
        <v>896.3</v>
      </c>
      <c r="G15" s="14" t="s">
        <v>1</v>
      </c>
      <c r="H15" s="14"/>
      <c r="I15" s="14">
        <v>621.20000000000005</v>
      </c>
      <c r="J15" s="14">
        <v>641.29999999999995</v>
      </c>
      <c r="K15" s="14">
        <v>34937.1</v>
      </c>
      <c r="L15" s="15">
        <v>4329.5</v>
      </c>
      <c r="M15" s="14">
        <f t="shared" si="0"/>
        <v>44773.5</v>
      </c>
    </row>
    <row r="16" spans="1:13" s="30" customFormat="1">
      <c r="A16" s="12">
        <v>40330</v>
      </c>
      <c r="B16" s="14"/>
      <c r="C16" s="14">
        <v>1681.9</v>
      </c>
      <c r="D16" s="14">
        <v>950</v>
      </c>
      <c r="E16" s="14">
        <v>11</v>
      </c>
      <c r="F16" s="14">
        <v>891.3</v>
      </c>
      <c r="G16" s="14" t="s">
        <v>1</v>
      </c>
      <c r="H16" s="14"/>
      <c r="I16" s="14">
        <v>579.79999999999995</v>
      </c>
      <c r="J16" s="14">
        <v>709.3</v>
      </c>
      <c r="K16" s="14">
        <v>37365</v>
      </c>
      <c r="L16" s="15">
        <v>4260.2</v>
      </c>
      <c r="M16" s="14">
        <f t="shared" si="0"/>
        <v>46448.5</v>
      </c>
    </row>
    <row r="17" spans="1:13" s="30" customFormat="1">
      <c r="A17" s="12">
        <v>40422</v>
      </c>
      <c r="B17" s="14"/>
      <c r="C17" s="14">
        <v>2817</v>
      </c>
      <c r="D17" s="14">
        <v>450</v>
      </c>
      <c r="E17" s="14">
        <v>11</v>
      </c>
      <c r="F17" s="14">
        <v>885.19999999999993</v>
      </c>
      <c r="G17" s="14" t="s">
        <v>1</v>
      </c>
      <c r="H17" s="14"/>
      <c r="I17" s="14">
        <v>593.20000000000005</v>
      </c>
      <c r="J17" s="14">
        <v>734.3</v>
      </c>
      <c r="K17" s="14">
        <v>43690.1</v>
      </c>
      <c r="L17" s="15">
        <v>4830.7</v>
      </c>
      <c r="M17" s="14">
        <f t="shared" si="0"/>
        <v>54011.499999999993</v>
      </c>
    </row>
    <row r="18" spans="1:13" s="30" customFormat="1">
      <c r="A18" s="12">
        <v>40513</v>
      </c>
      <c r="B18" s="14"/>
      <c r="C18" s="14">
        <v>2353.3000000000002</v>
      </c>
      <c r="D18" s="14">
        <v>450</v>
      </c>
      <c r="E18" s="14">
        <v>11</v>
      </c>
      <c r="F18" s="14">
        <v>876.6</v>
      </c>
      <c r="G18" s="14" t="s">
        <v>1</v>
      </c>
      <c r="H18" s="14"/>
      <c r="I18" s="14">
        <v>142.9</v>
      </c>
      <c r="J18" s="14">
        <v>920.59999999999991</v>
      </c>
      <c r="K18" s="14">
        <v>46586.3</v>
      </c>
      <c r="L18" s="15">
        <v>4986.5</v>
      </c>
      <c r="M18" s="14">
        <f t="shared" si="0"/>
        <v>56327.200000000004</v>
      </c>
    </row>
    <row r="19" spans="1:13" s="30" customFormat="1">
      <c r="A19" s="12">
        <v>40603</v>
      </c>
      <c r="B19" s="14"/>
      <c r="C19" s="14">
        <v>1604.5</v>
      </c>
      <c r="D19" s="14" t="s">
        <v>1</v>
      </c>
      <c r="E19" s="14">
        <v>11</v>
      </c>
      <c r="F19" s="14">
        <v>833.80000000000007</v>
      </c>
      <c r="G19" s="14" t="s">
        <v>1</v>
      </c>
      <c r="H19" s="14"/>
      <c r="I19" s="14">
        <v>523.1</v>
      </c>
      <c r="J19" s="14">
        <v>616.49999999999989</v>
      </c>
      <c r="K19" s="14">
        <v>49347.199999999997</v>
      </c>
      <c r="L19" s="15">
        <v>5406.2</v>
      </c>
      <c r="M19" s="14">
        <f t="shared" si="0"/>
        <v>58342.299999999996</v>
      </c>
    </row>
    <row r="20" spans="1:13" s="30" customFormat="1">
      <c r="A20" s="12">
        <v>40695</v>
      </c>
      <c r="B20" s="14"/>
      <c r="C20" s="14">
        <v>1708.6999999999998</v>
      </c>
      <c r="D20" s="14">
        <v>300</v>
      </c>
      <c r="E20" s="14">
        <v>11</v>
      </c>
      <c r="F20" s="14">
        <v>862.69999999999982</v>
      </c>
      <c r="G20" s="14" t="s">
        <v>1</v>
      </c>
      <c r="H20" s="14"/>
      <c r="I20" s="14">
        <v>465.5</v>
      </c>
      <c r="J20" s="14">
        <v>614.59999999999991</v>
      </c>
      <c r="K20" s="14">
        <v>52919.6</v>
      </c>
      <c r="L20" s="15">
        <v>4347.2000000000007</v>
      </c>
      <c r="M20" s="14">
        <f t="shared" si="0"/>
        <v>61229.3</v>
      </c>
    </row>
    <row r="21" spans="1:13" s="30" customFormat="1">
      <c r="A21" s="12">
        <v>40787</v>
      </c>
      <c r="B21" s="14"/>
      <c r="C21" s="14">
        <v>1327.7999999999997</v>
      </c>
      <c r="D21" s="14">
        <v>150</v>
      </c>
      <c r="E21" s="14">
        <v>11</v>
      </c>
      <c r="F21" s="14">
        <v>857.8</v>
      </c>
      <c r="G21" s="14" t="s">
        <v>1</v>
      </c>
      <c r="H21" s="14"/>
      <c r="I21" s="14">
        <v>420.2</v>
      </c>
      <c r="J21" s="14">
        <v>996.59999999999991</v>
      </c>
      <c r="K21" s="14">
        <v>54875.100000000006</v>
      </c>
      <c r="L21" s="15">
        <v>4451.7000000000007</v>
      </c>
      <c r="M21" s="14">
        <f t="shared" si="0"/>
        <v>63090.200000000012</v>
      </c>
    </row>
    <row r="22" spans="1:13" s="30" customFormat="1">
      <c r="A22" s="12">
        <v>40878</v>
      </c>
      <c r="B22" s="14"/>
      <c r="C22" s="14">
        <v>1069.2</v>
      </c>
      <c r="D22" s="14" t="s">
        <v>1</v>
      </c>
      <c r="E22" s="14">
        <v>11</v>
      </c>
      <c r="F22" s="14">
        <v>850.2</v>
      </c>
      <c r="G22" s="14" t="s">
        <v>1</v>
      </c>
      <c r="H22" s="14"/>
      <c r="I22" s="14">
        <v>261.8</v>
      </c>
      <c r="J22" s="14">
        <v>967.59999999999991</v>
      </c>
      <c r="K22" s="14">
        <v>56451.100000000006</v>
      </c>
      <c r="L22" s="15">
        <v>5218.8</v>
      </c>
      <c r="M22" s="14">
        <f t="shared" si="0"/>
        <v>64829.700000000012</v>
      </c>
    </row>
    <row r="23" spans="1:13" s="30" customFormat="1">
      <c r="A23" s="12">
        <v>40969</v>
      </c>
      <c r="B23" s="14"/>
      <c r="C23" s="14">
        <v>1348.7</v>
      </c>
      <c r="D23" s="14" t="s">
        <v>1</v>
      </c>
      <c r="E23" s="14">
        <v>11</v>
      </c>
      <c r="F23" s="14">
        <v>844.89999999999986</v>
      </c>
      <c r="G23" s="14" t="s">
        <v>1</v>
      </c>
      <c r="H23" s="14"/>
      <c r="I23" s="14">
        <v>617.20000000000005</v>
      </c>
      <c r="J23" s="14">
        <v>946.8</v>
      </c>
      <c r="K23" s="14">
        <v>55968.2</v>
      </c>
      <c r="L23" s="15">
        <v>6412.8000000000011</v>
      </c>
      <c r="M23" s="14">
        <f t="shared" si="0"/>
        <v>66149.599999999991</v>
      </c>
    </row>
    <row r="24" spans="1:13" s="30" customFormat="1">
      <c r="A24" s="12">
        <v>41061</v>
      </c>
      <c r="B24" s="14"/>
      <c r="C24" s="14">
        <v>1892</v>
      </c>
      <c r="D24" s="14">
        <v>500</v>
      </c>
      <c r="E24" s="14">
        <v>11</v>
      </c>
      <c r="F24" s="14">
        <v>836.6</v>
      </c>
      <c r="G24" s="14" t="s">
        <v>1</v>
      </c>
      <c r="H24" s="14"/>
      <c r="I24" s="14">
        <v>882.9</v>
      </c>
      <c r="J24" s="14">
        <v>915.39999999999986</v>
      </c>
      <c r="K24" s="14">
        <v>57089.3</v>
      </c>
      <c r="L24" s="15">
        <v>6110.6</v>
      </c>
      <c r="M24" s="14">
        <f t="shared" si="0"/>
        <v>68237.8</v>
      </c>
    </row>
    <row r="25" spans="1:13" s="30" customFormat="1">
      <c r="A25" s="12">
        <v>41153</v>
      </c>
      <c r="B25" s="14"/>
      <c r="C25" s="14">
        <v>661.8</v>
      </c>
      <c r="D25" s="14">
        <v>500</v>
      </c>
      <c r="E25" s="14">
        <v>11</v>
      </c>
      <c r="F25" s="14">
        <v>836.6</v>
      </c>
      <c r="G25" s="14" t="s">
        <v>1</v>
      </c>
      <c r="H25" s="14"/>
      <c r="I25" s="14">
        <v>779.4</v>
      </c>
      <c r="J25" s="14">
        <v>882.89999999999986</v>
      </c>
      <c r="K25" s="14">
        <v>60186.3</v>
      </c>
      <c r="L25" s="15">
        <v>6362.3</v>
      </c>
      <c r="M25" s="14">
        <f t="shared" si="0"/>
        <v>70220.3</v>
      </c>
    </row>
    <row r="26" spans="1:13" s="30" customFormat="1">
      <c r="A26" s="12">
        <v>41244</v>
      </c>
      <c r="B26" s="14"/>
      <c r="C26" s="14">
        <v>3984.8</v>
      </c>
      <c r="D26" s="14">
        <v>1200</v>
      </c>
      <c r="E26" s="14">
        <v>11</v>
      </c>
      <c r="F26" s="14">
        <v>836.59999999999991</v>
      </c>
      <c r="G26" s="14" t="s">
        <v>1</v>
      </c>
      <c r="H26" s="14"/>
      <c r="I26" s="14">
        <v>693.3</v>
      </c>
      <c r="J26" s="14">
        <v>839.19999999999982</v>
      </c>
      <c r="K26" s="14">
        <v>59250.000000000007</v>
      </c>
      <c r="L26" s="15">
        <v>5417.5</v>
      </c>
      <c r="M26" s="14">
        <f t="shared" si="0"/>
        <v>72232.400000000009</v>
      </c>
    </row>
    <row r="27" spans="1:13" s="30" customFormat="1">
      <c r="A27" s="12">
        <v>41334</v>
      </c>
      <c r="B27" s="14"/>
      <c r="C27" s="14">
        <v>2437.2999999999997</v>
      </c>
      <c r="D27" s="14">
        <v>1200</v>
      </c>
      <c r="E27" s="14">
        <v>11</v>
      </c>
      <c r="F27" s="14">
        <v>329.79999999999995</v>
      </c>
      <c r="G27" s="14" t="s">
        <v>1</v>
      </c>
      <c r="H27" s="14"/>
      <c r="I27" s="14">
        <v>659.3</v>
      </c>
      <c r="J27" s="14">
        <v>804.49999999999989</v>
      </c>
      <c r="K27" s="14">
        <v>61556.200000000012</v>
      </c>
      <c r="L27" s="15">
        <v>5974.5</v>
      </c>
      <c r="M27" s="14">
        <f t="shared" si="0"/>
        <v>72972.600000000006</v>
      </c>
    </row>
    <row r="28" spans="1:13" s="30" customFormat="1">
      <c r="A28" s="12">
        <v>41426</v>
      </c>
      <c r="B28" s="14"/>
      <c r="C28" s="14">
        <v>3149.5</v>
      </c>
      <c r="D28" s="14">
        <v>200</v>
      </c>
      <c r="E28" s="14">
        <v>11</v>
      </c>
      <c r="F28" s="14">
        <v>2.7999999999999545</v>
      </c>
      <c r="G28" s="14" t="s">
        <v>1</v>
      </c>
      <c r="H28" s="14"/>
      <c r="I28" s="14">
        <v>1041.2</v>
      </c>
      <c r="J28" s="14">
        <v>769.29999999999984</v>
      </c>
      <c r="K28" s="14">
        <v>63817.599999999999</v>
      </c>
      <c r="L28" s="15">
        <v>6176</v>
      </c>
      <c r="M28" s="14">
        <f t="shared" ref="M28:M50" si="1">SUM(B28:L28)</f>
        <v>75167.399999999994</v>
      </c>
    </row>
    <row r="29" spans="1:13" s="30" customFormat="1">
      <c r="A29" s="12">
        <v>41518</v>
      </c>
      <c r="B29" s="14"/>
      <c r="C29" s="14">
        <v>1005.3</v>
      </c>
      <c r="D29" s="14">
        <v>200</v>
      </c>
      <c r="E29" s="14">
        <v>11</v>
      </c>
      <c r="F29" s="14">
        <v>0</v>
      </c>
      <c r="G29" s="14" t="s">
        <v>1</v>
      </c>
      <c r="H29" s="14"/>
      <c r="I29" s="14">
        <v>550.70000000000005</v>
      </c>
      <c r="J29" s="14">
        <v>605.4</v>
      </c>
      <c r="K29" s="14">
        <v>69742.100000000006</v>
      </c>
      <c r="L29" s="15">
        <v>6601.1</v>
      </c>
      <c r="M29" s="14">
        <f t="shared" si="1"/>
        <v>78715.600000000006</v>
      </c>
    </row>
    <row r="30" spans="1:13" s="30" customFormat="1">
      <c r="A30" s="12">
        <v>41609</v>
      </c>
      <c r="B30" s="14"/>
      <c r="C30" s="14">
        <v>1535.5</v>
      </c>
      <c r="D30" s="14">
        <v>200</v>
      </c>
      <c r="E30" s="14">
        <v>11</v>
      </c>
      <c r="F30" s="14">
        <v>0</v>
      </c>
      <c r="G30" s="14" t="s">
        <v>1</v>
      </c>
      <c r="H30" s="14"/>
      <c r="I30" s="14">
        <v>609.79999999999995</v>
      </c>
      <c r="J30" s="14">
        <v>604.59999999999991</v>
      </c>
      <c r="K30" s="14">
        <v>73439.199999999997</v>
      </c>
      <c r="L30" s="15">
        <v>6708.5</v>
      </c>
      <c r="M30" s="14">
        <f t="shared" si="1"/>
        <v>83108.599999999991</v>
      </c>
    </row>
    <row r="31" spans="1:13" s="30" customFormat="1">
      <c r="A31" s="12">
        <v>41699</v>
      </c>
      <c r="B31" s="14" t="s">
        <v>1</v>
      </c>
      <c r="C31" s="14">
        <v>1175.9000000000001</v>
      </c>
      <c r="D31" s="14">
        <v>200</v>
      </c>
      <c r="E31" s="14">
        <v>11</v>
      </c>
      <c r="F31" s="14">
        <v>0</v>
      </c>
      <c r="G31" s="14" t="s">
        <v>1</v>
      </c>
      <c r="H31" s="14"/>
      <c r="I31" s="14">
        <v>461.5</v>
      </c>
      <c r="J31" s="13">
        <v>602.99999999999989</v>
      </c>
      <c r="K31" s="13">
        <v>75716.200000000012</v>
      </c>
      <c r="L31" s="15">
        <v>7587.5</v>
      </c>
      <c r="M31" s="14">
        <f t="shared" si="1"/>
        <v>85755.1</v>
      </c>
    </row>
    <row r="32" spans="1:13" s="30" customFormat="1">
      <c r="A32" s="12">
        <v>41791</v>
      </c>
      <c r="B32" s="14" t="s">
        <v>1</v>
      </c>
      <c r="C32" s="14">
        <v>1781.1</v>
      </c>
      <c r="D32" s="14">
        <v>250</v>
      </c>
      <c r="E32" s="14">
        <v>11</v>
      </c>
      <c r="F32" s="14">
        <v>73.199999999999989</v>
      </c>
      <c r="G32" s="14" t="s">
        <v>1</v>
      </c>
      <c r="H32" s="14"/>
      <c r="I32" s="14">
        <v>444.8</v>
      </c>
      <c r="J32" s="13">
        <v>601.79999999999995</v>
      </c>
      <c r="K32" s="13">
        <v>79629.900000000009</v>
      </c>
      <c r="L32" s="15">
        <v>8264.6000000000022</v>
      </c>
      <c r="M32" s="14">
        <f t="shared" si="1"/>
        <v>91056.400000000009</v>
      </c>
    </row>
    <row r="33" spans="1:13" s="30" customFormat="1">
      <c r="A33" s="12">
        <v>41883</v>
      </c>
      <c r="B33" s="14">
        <v>67.2</v>
      </c>
      <c r="C33" s="14">
        <v>2418</v>
      </c>
      <c r="D33" s="14" t="s">
        <v>1</v>
      </c>
      <c r="E33" s="14">
        <v>11</v>
      </c>
      <c r="F33" s="14">
        <v>0</v>
      </c>
      <c r="G33" s="14" t="s">
        <v>1</v>
      </c>
      <c r="H33" s="14"/>
      <c r="I33" s="14">
        <v>401.1</v>
      </c>
      <c r="J33" s="13">
        <v>600.9</v>
      </c>
      <c r="K33" s="13">
        <v>84091.8</v>
      </c>
      <c r="L33" s="15">
        <v>8356.5</v>
      </c>
      <c r="M33" s="14">
        <f t="shared" si="1"/>
        <v>95946.5</v>
      </c>
    </row>
    <row r="34" spans="1:13" s="30" customFormat="1">
      <c r="A34" s="12">
        <v>41974</v>
      </c>
      <c r="B34" s="14">
        <v>67.2</v>
      </c>
      <c r="C34" s="14">
        <v>2724.3</v>
      </c>
      <c r="D34" s="14">
        <v>1500</v>
      </c>
      <c r="E34" s="14">
        <v>511</v>
      </c>
      <c r="F34" s="14">
        <v>0</v>
      </c>
      <c r="G34" s="14" t="s">
        <v>1</v>
      </c>
      <c r="H34" s="14"/>
      <c r="I34" s="14" t="s">
        <v>1</v>
      </c>
      <c r="J34" s="13">
        <v>597.69999999999993</v>
      </c>
      <c r="K34" s="13">
        <v>87468.6</v>
      </c>
      <c r="L34" s="15">
        <v>9064.2000000000007</v>
      </c>
      <c r="M34" s="14">
        <f t="shared" si="1"/>
        <v>101933</v>
      </c>
    </row>
    <row r="35" spans="1:13" s="30" customFormat="1">
      <c r="A35" s="12">
        <v>42064</v>
      </c>
      <c r="B35" s="14">
        <v>67.2</v>
      </c>
      <c r="C35" s="14">
        <v>1745.7</v>
      </c>
      <c r="D35" s="14">
        <v>2265.8000000000002</v>
      </c>
      <c r="E35" s="14">
        <v>511</v>
      </c>
      <c r="F35" s="14">
        <v>0</v>
      </c>
      <c r="G35" s="14" t="s">
        <v>1</v>
      </c>
      <c r="H35" s="14"/>
      <c r="I35" s="14" t="s">
        <v>1</v>
      </c>
      <c r="J35" s="13">
        <v>597.69999999999993</v>
      </c>
      <c r="K35" s="13">
        <v>87282.8</v>
      </c>
      <c r="L35" s="15">
        <v>10418.700000000001</v>
      </c>
      <c r="M35" s="14">
        <f t="shared" si="1"/>
        <v>102888.9</v>
      </c>
    </row>
    <row r="36" spans="1:13" s="30" customFormat="1">
      <c r="A36" s="12">
        <v>42156</v>
      </c>
      <c r="B36" s="14">
        <v>67.2</v>
      </c>
      <c r="C36" s="14">
        <v>3429.1000000000004</v>
      </c>
      <c r="D36" s="14">
        <v>5715.8</v>
      </c>
      <c r="E36" s="14">
        <v>11</v>
      </c>
      <c r="F36" s="14">
        <v>0</v>
      </c>
      <c r="G36" s="14" t="s">
        <v>1</v>
      </c>
      <c r="H36" s="14"/>
      <c r="I36" s="14" t="s">
        <v>1</v>
      </c>
      <c r="J36" s="13">
        <v>597.69999999999993</v>
      </c>
      <c r="K36" s="13">
        <v>86842</v>
      </c>
      <c r="L36" s="15">
        <v>10593.5</v>
      </c>
      <c r="M36" s="14">
        <f t="shared" si="1"/>
        <v>107256.3</v>
      </c>
    </row>
    <row r="37" spans="1:13" s="30" customFormat="1">
      <c r="A37" s="12">
        <v>42248</v>
      </c>
      <c r="B37" s="14">
        <v>67.2</v>
      </c>
      <c r="C37" s="14">
        <v>4414.1000000000004</v>
      </c>
      <c r="D37" s="14">
        <v>9215.7999999999993</v>
      </c>
      <c r="E37" s="14">
        <v>11</v>
      </c>
      <c r="F37" s="14">
        <v>0</v>
      </c>
      <c r="G37" s="14" t="s">
        <v>1</v>
      </c>
      <c r="H37" s="14"/>
      <c r="I37" s="14" t="s">
        <v>1</v>
      </c>
      <c r="J37" s="13">
        <v>597.69999999999993</v>
      </c>
      <c r="K37" s="13">
        <v>87471.799999999988</v>
      </c>
      <c r="L37" s="15">
        <v>10771.5</v>
      </c>
      <c r="M37" s="14">
        <f t="shared" si="1"/>
        <v>112549.09999999999</v>
      </c>
    </row>
    <row r="38" spans="1:13" s="30" customFormat="1">
      <c r="A38" s="12">
        <v>42339</v>
      </c>
      <c r="B38" s="14" t="s">
        <v>1</v>
      </c>
      <c r="C38" s="14">
        <v>8555</v>
      </c>
      <c r="D38" s="14">
        <v>9496.7000000000007</v>
      </c>
      <c r="E38" s="14">
        <v>11</v>
      </c>
      <c r="F38" s="14">
        <v>23.2</v>
      </c>
      <c r="G38" s="14" t="s">
        <v>1</v>
      </c>
      <c r="H38" s="14"/>
      <c r="I38" s="14" t="s">
        <v>1</v>
      </c>
      <c r="J38" s="13">
        <v>529</v>
      </c>
      <c r="K38" s="13">
        <v>86640.700000000012</v>
      </c>
      <c r="L38" s="15">
        <v>14206.4</v>
      </c>
      <c r="M38" s="14">
        <f t="shared" si="1"/>
        <v>119462</v>
      </c>
    </row>
    <row r="39" spans="1:13" s="30" customFormat="1">
      <c r="A39" s="12">
        <v>42430</v>
      </c>
      <c r="B39" s="14"/>
      <c r="C39" s="14">
        <v>9209.5</v>
      </c>
      <c r="D39" s="14">
        <v>9626.5</v>
      </c>
      <c r="E39" s="14">
        <v>11</v>
      </c>
      <c r="F39" s="14">
        <v>24.4</v>
      </c>
      <c r="G39" s="14" t="s">
        <v>1</v>
      </c>
      <c r="H39" s="14"/>
      <c r="I39" s="14" t="s">
        <v>1</v>
      </c>
      <c r="J39" s="13">
        <v>528.20000000000005</v>
      </c>
      <c r="K39" s="13">
        <v>90185.5</v>
      </c>
      <c r="L39" s="15">
        <v>17286</v>
      </c>
      <c r="M39" s="14">
        <f t="shared" si="1"/>
        <v>126871.1</v>
      </c>
    </row>
    <row r="40" spans="1:13" s="30" customFormat="1">
      <c r="A40" s="12">
        <v>42522</v>
      </c>
      <c r="B40" s="14"/>
      <c r="C40" s="14">
        <v>4975.3</v>
      </c>
      <c r="D40" s="14">
        <v>8060.6</v>
      </c>
      <c r="E40" s="14">
        <v>311</v>
      </c>
      <c r="F40" s="14">
        <v>33.299999999999997</v>
      </c>
      <c r="G40" s="14"/>
      <c r="H40" s="14"/>
      <c r="I40" s="14" t="s">
        <v>1</v>
      </c>
      <c r="J40" s="13">
        <v>507.1</v>
      </c>
      <c r="K40" s="13">
        <v>96470.1</v>
      </c>
      <c r="L40" s="15">
        <v>17272.400000000001</v>
      </c>
      <c r="M40" s="14">
        <f t="shared" si="1"/>
        <v>127629.80000000002</v>
      </c>
    </row>
    <row r="41" spans="1:13" s="30" customFormat="1">
      <c r="A41" s="12">
        <v>42614</v>
      </c>
      <c r="B41" s="14"/>
      <c r="C41" s="14">
        <v>8292.6999999999989</v>
      </c>
      <c r="D41" s="14">
        <v>8078.5000000000009</v>
      </c>
      <c r="E41" s="14">
        <v>312.7</v>
      </c>
      <c r="F41" s="14">
        <v>42.2</v>
      </c>
      <c r="G41" s="14"/>
      <c r="H41" s="14"/>
      <c r="I41" s="14" t="s">
        <v>1</v>
      </c>
      <c r="J41" s="13">
        <v>507.1</v>
      </c>
      <c r="K41" s="13">
        <v>98409.9</v>
      </c>
      <c r="L41" s="15">
        <v>18620.599999999999</v>
      </c>
      <c r="M41" s="14">
        <f t="shared" si="1"/>
        <v>134263.69999999998</v>
      </c>
    </row>
    <row r="42" spans="1:13" s="30" customFormat="1">
      <c r="A42" s="12">
        <v>42705</v>
      </c>
      <c r="B42" s="14"/>
      <c r="C42" s="14">
        <v>7159.2</v>
      </c>
      <c r="D42" s="14">
        <v>8792.4</v>
      </c>
      <c r="E42" s="14">
        <v>312.8</v>
      </c>
      <c r="F42" s="14">
        <v>51.1</v>
      </c>
      <c r="G42" s="14"/>
      <c r="H42" s="14"/>
      <c r="I42" s="14" t="s">
        <v>1</v>
      </c>
      <c r="J42" s="13">
        <v>507.1</v>
      </c>
      <c r="K42" s="13">
        <v>102322.1</v>
      </c>
      <c r="L42" s="15">
        <v>19061.099999999999</v>
      </c>
      <c r="M42" s="14">
        <f t="shared" si="1"/>
        <v>138205.80000000002</v>
      </c>
    </row>
    <row r="43" spans="1:13" s="30" customFormat="1">
      <c r="A43" s="48">
        <v>42825</v>
      </c>
      <c r="B43" s="14"/>
      <c r="C43" s="14">
        <v>6991.1</v>
      </c>
      <c r="D43" s="14">
        <v>8936.6</v>
      </c>
      <c r="E43" s="14">
        <v>312.8</v>
      </c>
      <c r="F43" s="14">
        <v>2.2000000000000002</v>
      </c>
      <c r="G43" s="14"/>
      <c r="H43" s="14"/>
      <c r="I43" s="14" t="s">
        <v>1</v>
      </c>
      <c r="J43" s="13">
        <v>447.7</v>
      </c>
      <c r="K43" s="13">
        <v>100995.79999999999</v>
      </c>
      <c r="L43" s="15">
        <v>20915.400000000001</v>
      </c>
      <c r="M43" s="14">
        <f t="shared" si="1"/>
        <v>138601.59999999998</v>
      </c>
    </row>
    <row r="44" spans="1:13" s="30" customFormat="1">
      <c r="A44" s="48">
        <v>42916</v>
      </c>
      <c r="B44" s="14"/>
      <c r="C44" s="14">
        <v>8205.1</v>
      </c>
      <c r="D44" s="14">
        <v>9027.4</v>
      </c>
      <c r="E44" s="14">
        <v>1014.2</v>
      </c>
      <c r="F44" s="14">
        <v>14.4</v>
      </c>
      <c r="G44" s="14"/>
      <c r="H44" s="14"/>
      <c r="I44" s="14" t="s">
        <v>1</v>
      </c>
      <c r="J44" s="13" t="s">
        <v>1</v>
      </c>
      <c r="K44" s="13">
        <v>105879.4</v>
      </c>
      <c r="L44" s="15">
        <v>20318.400000000001</v>
      </c>
      <c r="M44" s="14">
        <f t="shared" si="1"/>
        <v>144458.9</v>
      </c>
    </row>
    <row r="45" spans="1:13" s="30" customFormat="1">
      <c r="A45" s="48">
        <v>43008</v>
      </c>
      <c r="B45" s="14"/>
      <c r="C45" s="14">
        <v>6640.2000000000007</v>
      </c>
      <c r="D45" s="14">
        <v>9143.7999999999993</v>
      </c>
      <c r="E45" s="14">
        <v>1013.8</v>
      </c>
      <c r="F45" s="14">
        <v>26.7</v>
      </c>
      <c r="G45" s="14"/>
      <c r="H45" s="14"/>
      <c r="I45" s="14" t="s">
        <v>1</v>
      </c>
      <c r="J45" s="13">
        <v>1006.9</v>
      </c>
      <c r="K45" s="13">
        <v>108527.6</v>
      </c>
      <c r="L45" s="15">
        <v>21300.800000000003</v>
      </c>
      <c r="M45" s="14">
        <f t="shared" si="1"/>
        <v>147659.79999999999</v>
      </c>
    </row>
    <row r="46" spans="1:13" s="30" customFormat="1">
      <c r="A46" s="48">
        <v>43100</v>
      </c>
      <c r="B46" s="14"/>
      <c r="C46" s="14">
        <v>8196.2000000000007</v>
      </c>
      <c r="D46" s="14">
        <v>10280</v>
      </c>
      <c r="E46" s="14">
        <v>1014.1</v>
      </c>
      <c r="F46" s="14">
        <v>38.9</v>
      </c>
      <c r="G46" s="14"/>
      <c r="H46" s="14"/>
      <c r="I46" s="14" t="s">
        <v>1</v>
      </c>
      <c r="J46" s="13" t="s">
        <v>1</v>
      </c>
      <c r="K46" s="13">
        <v>110545.9</v>
      </c>
      <c r="L46" s="15">
        <v>21126.799999999999</v>
      </c>
      <c r="M46" s="14">
        <f t="shared" si="1"/>
        <v>151201.9</v>
      </c>
    </row>
    <row r="47" spans="1:13" s="30" customFormat="1">
      <c r="A47" s="48">
        <v>43160</v>
      </c>
      <c r="B47" s="14"/>
      <c r="C47" s="14">
        <v>6444.2000000000007</v>
      </c>
      <c r="D47" s="14">
        <v>10158.200000000001</v>
      </c>
      <c r="E47" s="14">
        <f>11</f>
        <v>11</v>
      </c>
      <c r="F47" s="14">
        <v>3004.4</v>
      </c>
      <c r="G47" s="14"/>
      <c r="H47" s="14"/>
      <c r="I47" s="14" t="s">
        <v>1</v>
      </c>
      <c r="J47" s="13" t="s">
        <v>1</v>
      </c>
      <c r="K47" s="13">
        <v>113092.8</v>
      </c>
      <c r="L47" s="15">
        <v>22577.199999999997</v>
      </c>
      <c r="M47" s="14">
        <f t="shared" si="1"/>
        <v>155287.79999999999</v>
      </c>
    </row>
    <row r="48" spans="1:13" s="30" customFormat="1">
      <c r="A48" s="48">
        <v>43281</v>
      </c>
      <c r="B48" s="14"/>
      <c r="C48" s="14">
        <v>7142.2</v>
      </c>
      <c r="D48" s="14">
        <v>10255.6</v>
      </c>
      <c r="E48" s="14">
        <v>11</v>
      </c>
      <c r="F48" s="14">
        <v>3516.2</v>
      </c>
      <c r="G48" s="14"/>
      <c r="H48" s="14"/>
      <c r="I48" s="14" t="s">
        <v>1</v>
      </c>
      <c r="J48" s="13" t="s">
        <v>1</v>
      </c>
      <c r="K48" s="13">
        <v>116258.50000000001</v>
      </c>
      <c r="L48" s="15">
        <v>23047.4</v>
      </c>
      <c r="M48" s="14">
        <f t="shared" si="1"/>
        <v>160230.9</v>
      </c>
    </row>
    <row r="49" spans="1:13" s="30" customFormat="1">
      <c r="A49" s="48">
        <v>43373</v>
      </c>
      <c r="B49" s="14"/>
      <c r="C49" s="14">
        <v>7921.4</v>
      </c>
      <c r="D49" s="14">
        <v>6846.1</v>
      </c>
      <c r="E49" s="14">
        <v>11</v>
      </c>
      <c r="F49" s="14">
        <v>4532.3999999999996</v>
      </c>
      <c r="G49" s="14"/>
      <c r="H49" s="14"/>
      <c r="I49" s="14" t="s">
        <v>1</v>
      </c>
      <c r="J49" s="13" t="s">
        <v>1</v>
      </c>
      <c r="K49" s="13">
        <v>124702.39999999999</v>
      </c>
      <c r="L49" s="15">
        <v>23087</v>
      </c>
      <c r="M49" s="14">
        <f t="shared" si="1"/>
        <v>167100.29999999999</v>
      </c>
    </row>
    <row r="50" spans="1:13" s="30" customFormat="1">
      <c r="A50" s="48">
        <v>43435</v>
      </c>
      <c r="B50" s="14"/>
      <c r="C50" s="14">
        <v>7696.4</v>
      </c>
      <c r="D50" s="14">
        <v>4785.1000000000004</v>
      </c>
      <c r="E50" s="14">
        <v>11</v>
      </c>
      <c r="F50" s="14">
        <v>5432.4</v>
      </c>
      <c r="G50" s="14"/>
      <c r="H50" s="14"/>
      <c r="I50" s="14" t="s">
        <v>1</v>
      </c>
      <c r="J50" s="13" t="s">
        <v>1</v>
      </c>
      <c r="K50" s="13">
        <v>127946.79999999999</v>
      </c>
      <c r="L50" s="15">
        <v>21544.6</v>
      </c>
      <c r="M50" s="14">
        <f t="shared" si="1"/>
        <v>167416.29999999999</v>
      </c>
    </row>
    <row r="51" spans="1:13" s="30" customFormat="1">
      <c r="A51" s="48">
        <v>43555</v>
      </c>
      <c r="B51" s="14" t="s">
        <v>1</v>
      </c>
      <c r="C51" s="14">
        <v>7552.2</v>
      </c>
      <c r="D51" s="14">
        <v>4874.5</v>
      </c>
      <c r="E51" s="14">
        <v>11</v>
      </c>
      <c r="F51" s="14">
        <v>7477.1</v>
      </c>
      <c r="G51" s="14"/>
      <c r="H51" s="14"/>
      <c r="I51" s="14" t="s">
        <v>1</v>
      </c>
      <c r="J51" s="13" t="s">
        <v>1</v>
      </c>
      <c r="K51" s="13">
        <v>134656.50000000003</v>
      </c>
      <c r="L51" s="15">
        <v>22086</v>
      </c>
      <c r="M51" s="14">
        <f t="shared" ref="M51" si="2">SUM(B51:L51)</f>
        <v>176657.30000000005</v>
      </c>
    </row>
    <row r="52" spans="1:13" s="30" customFormat="1">
      <c r="A52" s="48">
        <v>43619</v>
      </c>
      <c r="B52" s="14" t="s">
        <v>1</v>
      </c>
      <c r="C52" s="14">
        <f>5289.3+3838.7</f>
        <v>9128</v>
      </c>
      <c r="D52" s="14">
        <v>4687.8999999999996</v>
      </c>
      <c r="E52" s="14">
        <v>11</v>
      </c>
      <c r="F52" s="14">
        <f>4087.1+2371.2+16.9</f>
        <v>6475.1999999999989</v>
      </c>
      <c r="G52" s="14"/>
      <c r="H52" s="14"/>
      <c r="I52" s="14" t="s">
        <v>1</v>
      </c>
      <c r="J52" s="13" t="s">
        <v>1</v>
      </c>
      <c r="K52" s="13">
        <f>103842.3+209.2+37633.7</f>
        <v>141685.20000000001</v>
      </c>
      <c r="L52" s="15">
        <f>5430.7+15661.6</f>
        <v>21092.3</v>
      </c>
      <c r="M52" s="14">
        <f t="shared" ref="M52" si="3">SUM(B52:L52)</f>
        <v>183079.6</v>
      </c>
    </row>
    <row r="53" spans="1:13" s="30" customFormat="1">
      <c r="A53" s="48">
        <v>43738</v>
      </c>
      <c r="B53" s="14" t="s">
        <v>1</v>
      </c>
      <c r="C53" s="14">
        <f>3873+4180.2</f>
        <v>8053.2</v>
      </c>
      <c r="D53" s="14">
        <v>4774.7999999999993</v>
      </c>
      <c r="E53" s="14">
        <v>11</v>
      </c>
      <c r="F53" s="14">
        <f>4137.8+33.9+3619.2</f>
        <v>7790.9</v>
      </c>
      <c r="G53" s="14"/>
      <c r="H53" s="14"/>
      <c r="I53" s="14" t="s">
        <v>1</v>
      </c>
      <c r="J53" s="13" t="s">
        <v>1</v>
      </c>
      <c r="K53" s="13">
        <f>110127.3+209.2+36089.9</f>
        <v>146426.4</v>
      </c>
      <c r="L53" s="15">
        <f>6052.2+17038</f>
        <v>23090.2</v>
      </c>
      <c r="M53" s="14">
        <f t="shared" ref="M53" si="4">SUM(B53:L53)</f>
        <v>190146.5</v>
      </c>
    </row>
    <row r="54" spans="1:13" s="30" customFormat="1">
      <c r="A54" s="48">
        <v>43800</v>
      </c>
      <c r="B54" s="14"/>
      <c r="C54" s="14">
        <f>5090.1+4883.7</f>
        <v>9973.7999999999993</v>
      </c>
      <c r="D54" s="14">
        <v>4902.2</v>
      </c>
      <c r="E54" s="14">
        <v>11</v>
      </c>
      <c r="F54" s="14">
        <f>50.8+11819.8+3685.5</f>
        <v>15556.099999999999</v>
      </c>
      <c r="G54" s="14"/>
      <c r="H54" s="14"/>
      <c r="I54" s="14" t="s">
        <v>1</v>
      </c>
      <c r="J54" s="13" t="s">
        <v>1</v>
      </c>
      <c r="K54" s="13">
        <f>110736.2+209.2+37577.5</f>
        <v>148522.9</v>
      </c>
      <c r="L54" s="15">
        <f>5906.9+17480</f>
        <v>23386.9</v>
      </c>
      <c r="M54" s="14">
        <f t="shared" ref="M54" si="5">SUM(B54:L54)</f>
        <v>202352.9</v>
      </c>
    </row>
    <row r="55" spans="1:13" s="30" customFormat="1">
      <c r="A55" s="48">
        <v>43921</v>
      </c>
      <c r="B55" s="14" t="s">
        <v>1</v>
      </c>
      <c r="C55" s="14">
        <f>4922.4+3985.9</f>
        <v>8908.2999999999993</v>
      </c>
      <c r="D55" s="14">
        <v>2697.5</v>
      </c>
      <c r="E55" s="14">
        <v>11</v>
      </c>
      <c r="F55" s="14">
        <f>0+14308.4+3073.8</f>
        <v>17382.2</v>
      </c>
      <c r="G55" s="14"/>
      <c r="H55" s="14"/>
      <c r="I55" s="14" t="s">
        <v>1</v>
      </c>
      <c r="J55" s="13" t="s">
        <v>1</v>
      </c>
      <c r="K55" s="13">
        <f>116111+209.2+39988.2</f>
        <v>156308.4</v>
      </c>
      <c r="L55" s="15">
        <f>6882+18870.2</f>
        <v>25752.2</v>
      </c>
      <c r="M55" s="14">
        <f t="shared" ref="M55:M74" si="6">SUM(B55:L55)</f>
        <v>211059.6</v>
      </c>
    </row>
    <row r="56" spans="1:13" s="30" customFormat="1">
      <c r="A56" s="48">
        <v>44012</v>
      </c>
      <c r="B56" s="14" t="s">
        <v>1</v>
      </c>
      <c r="C56" s="14">
        <f>6380.8+3899.9</f>
        <v>10280.700000000001</v>
      </c>
      <c r="D56" s="14">
        <v>1752.9</v>
      </c>
      <c r="E56" s="14">
        <v>11</v>
      </c>
      <c r="F56" s="14">
        <f>3152.5+14708.5+21.1</f>
        <v>17882.099999999999</v>
      </c>
      <c r="G56" s="14"/>
      <c r="H56" s="14"/>
      <c r="I56" s="14" t="s">
        <v>1</v>
      </c>
      <c r="J56" s="13" t="s">
        <v>1</v>
      </c>
      <c r="K56" s="13">
        <f>209.2+41960.7+126938.8</f>
        <v>169108.7</v>
      </c>
      <c r="L56" s="15">
        <f>6238.4+20241.7</f>
        <v>26480.1</v>
      </c>
      <c r="M56" s="14">
        <f t="shared" si="6"/>
        <v>225515.50000000003</v>
      </c>
    </row>
    <row r="57" spans="1:13" s="30" customFormat="1">
      <c r="A57" s="48">
        <v>44104</v>
      </c>
      <c r="B57" s="14" t="s">
        <v>1</v>
      </c>
      <c r="C57" s="14">
        <f>3996.5+4410.7</f>
        <v>8407.2000000000007</v>
      </c>
      <c r="D57" s="14">
        <v>11.4</v>
      </c>
      <c r="E57" s="14">
        <v>11</v>
      </c>
      <c r="F57" s="14">
        <f>3232.2+14913.5+42.1</f>
        <v>18187.8</v>
      </c>
      <c r="G57" s="14"/>
      <c r="H57" s="14"/>
      <c r="I57" s="14" t="s">
        <v>1</v>
      </c>
      <c r="J57" s="13" t="s">
        <v>1</v>
      </c>
      <c r="K57" s="13">
        <f>209.2+45187.6+145072.1</f>
        <v>190468.9</v>
      </c>
      <c r="L57" s="15">
        <f>6134.5+21060.7</f>
        <v>27195.200000000001</v>
      </c>
      <c r="M57" s="14">
        <f t="shared" si="6"/>
        <v>244281.5</v>
      </c>
    </row>
    <row r="58" spans="1:13" s="30" customFormat="1">
      <c r="A58" s="48">
        <v>44196</v>
      </c>
      <c r="B58" s="14" t="s">
        <v>1</v>
      </c>
      <c r="C58" s="14">
        <f>6904.2+3152.6</f>
        <v>10056.799999999999</v>
      </c>
      <c r="D58" s="14">
        <v>0</v>
      </c>
      <c r="E58" s="14">
        <v>11</v>
      </c>
      <c r="F58" s="14">
        <f>3186.1+14432.8+63.2</f>
        <v>17682.099999999999</v>
      </c>
      <c r="G58" s="14"/>
      <c r="H58" s="14"/>
      <c r="I58" s="14" t="s">
        <v>1</v>
      </c>
      <c r="J58" s="13" t="s">
        <v>1</v>
      </c>
      <c r="K58" s="13">
        <f>209.2+45845.1+157950.6</f>
        <v>204004.9</v>
      </c>
      <c r="L58" s="15">
        <f>5698.6+23022.5</f>
        <v>28721.1</v>
      </c>
      <c r="M58" s="14">
        <f t="shared" si="6"/>
        <v>260475.9</v>
      </c>
    </row>
    <row r="59" spans="1:13" s="30" customFormat="1">
      <c r="A59" s="48">
        <v>44286</v>
      </c>
      <c r="B59" s="14" t="s">
        <v>1</v>
      </c>
      <c r="C59" s="14">
        <v>8930</v>
      </c>
      <c r="D59" s="14">
        <v>10.4</v>
      </c>
      <c r="E59" s="14">
        <v>11</v>
      </c>
      <c r="F59" s="14">
        <v>16425.5</v>
      </c>
      <c r="G59" s="14"/>
      <c r="H59" s="14"/>
      <c r="I59" s="14" t="s">
        <v>1</v>
      </c>
      <c r="J59" s="13" t="s">
        <v>1</v>
      </c>
      <c r="K59" s="13">
        <v>218334.5</v>
      </c>
      <c r="L59" s="15">
        <v>32690.600000000002</v>
      </c>
      <c r="M59" s="14">
        <f t="shared" si="6"/>
        <v>276402</v>
      </c>
    </row>
    <row r="60" spans="1:13" s="30" customFormat="1">
      <c r="A60" s="48">
        <v>44377</v>
      </c>
      <c r="B60" s="14" t="s">
        <v>1</v>
      </c>
      <c r="C60" s="14">
        <v>14625</v>
      </c>
      <c r="D60" s="14">
        <v>10.4</v>
      </c>
      <c r="E60" s="14">
        <v>11</v>
      </c>
      <c r="F60" s="14">
        <v>17356.2</v>
      </c>
      <c r="G60" s="14"/>
      <c r="H60" s="14"/>
      <c r="I60" s="14" t="s">
        <v>1</v>
      </c>
      <c r="J60" s="13" t="s">
        <v>1</v>
      </c>
      <c r="K60" s="13">
        <v>243053.59999999998</v>
      </c>
      <c r="L60" s="15">
        <v>32183.899999999998</v>
      </c>
      <c r="M60" s="14">
        <f t="shared" si="6"/>
        <v>307240.09999999998</v>
      </c>
    </row>
    <row r="61" spans="1:13" s="30" customFormat="1">
      <c r="A61" s="48">
        <v>44469</v>
      </c>
      <c r="B61" s="14" t="s">
        <v>1</v>
      </c>
      <c r="C61" s="14">
        <v>7178.1</v>
      </c>
      <c r="D61" s="14">
        <v>0</v>
      </c>
      <c r="E61" s="14">
        <v>11</v>
      </c>
      <c r="F61" s="14">
        <v>2696.8</v>
      </c>
      <c r="G61" s="14"/>
      <c r="H61" s="14"/>
      <c r="I61" s="14" t="s">
        <v>1</v>
      </c>
      <c r="J61" s="13" t="s">
        <v>1</v>
      </c>
      <c r="K61" s="13">
        <v>76382.899999999994</v>
      </c>
      <c r="L61" s="15">
        <v>6176.3000000000011</v>
      </c>
      <c r="M61" s="14">
        <f t="shared" si="6"/>
        <v>92445.099999999991</v>
      </c>
    </row>
    <row r="62" spans="1:13" s="30" customFormat="1">
      <c r="A62" s="48">
        <v>44561</v>
      </c>
      <c r="B62" s="14" t="s">
        <v>1</v>
      </c>
      <c r="C62" s="14">
        <v>7954.5</v>
      </c>
      <c r="D62" s="14">
        <v>0</v>
      </c>
      <c r="E62" s="14">
        <v>11</v>
      </c>
      <c r="F62" s="14">
        <v>2639.1</v>
      </c>
      <c r="G62" s="14"/>
      <c r="H62" s="14"/>
      <c r="I62" s="14" t="s">
        <v>1</v>
      </c>
      <c r="J62" s="13" t="s">
        <v>1</v>
      </c>
      <c r="K62" s="13">
        <v>79854.2</v>
      </c>
      <c r="L62" s="15">
        <v>6113.7000000000007</v>
      </c>
      <c r="M62" s="14">
        <f t="shared" si="6"/>
        <v>96572.5</v>
      </c>
    </row>
    <row r="63" spans="1:13" s="30" customFormat="1">
      <c r="A63" s="71" t="s">
        <v>54</v>
      </c>
      <c r="B63" s="14" t="s">
        <v>1</v>
      </c>
      <c r="C63" s="14">
        <v>6854.9999999999991</v>
      </c>
      <c r="D63" s="14">
        <v>0</v>
      </c>
      <c r="E63" s="14">
        <v>11</v>
      </c>
      <c r="F63" s="14">
        <v>2594.9</v>
      </c>
      <c r="G63" s="14"/>
      <c r="H63" s="14">
        <v>0</v>
      </c>
      <c r="I63" s="14" t="s">
        <v>1</v>
      </c>
      <c r="J63" s="13" t="s">
        <v>1</v>
      </c>
      <c r="K63" s="13">
        <v>85343.2</v>
      </c>
      <c r="L63" s="15">
        <v>7715.4</v>
      </c>
      <c r="M63" s="14">
        <f t="shared" si="6"/>
        <v>102519.49999999999</v>
      </c>
    </row>
    <row r="64" spans="1:13" s="30" customFormat="1">
      <c r="A64" s="71" t="s">
        <v>69</v>
      </c>
      <c r="B64" s="14" t="s">
        <v>1</v>
      </c>
      <c r="C64" s="14">
        <v>7556.4999999999991</v>
      </c>
      <c r="D64" s="14">
        <v>0</v>
      </c>
      <c r="E64" s="14">
        <v>11</v>
      </c>
      <c r="F64" s="14">
        <v>2629.6</v>
      </c>
      <c r="G64" s="14"/>
      <c r="H64" s="14">
        <v>0</v>
      </c>
      <c r="I64" s="14" t="s">
        <v>1</v>
      </c>
      <c r="J64" s="13" t="s">
        <v>1</v>
      </c>
      <c r="K64" s="13">
        <v>90818.200000000012</v>
      </c>
      <c r="L64" s="15">
        <v>7580.2000000000007</v>
      </c>
      <c r="M64" s="14">
        <f t="shared" si="6"/>
        <v>108595.50000000001</v>
      </c>
    </row>
    <row r="65" spans="1:13" s="30" customFormat="1">
      <c r="A65" s="71" t="s">
        <v>60</v>
      </c>
      <c r="B65" s="14" t="s">
        <v>1</v>
      </c>
      <c r="C65" s="14">
        <v>23121.800000000003</v>
      </c>
      <c r="D65" s="14">
        <v>0</v>
      </c>
      <c r="E65" s="14">
        <v>11</v>
      </c>
      <c r="F65" s="14">
        <v>2696.8</v>
      </c>
      <c r="G65" s="14"/>
      <c r="H65" s="14">
        <v>0</v>
      </c>
      <c r="I65" s="14" t="s">
        <v>1</v>
      </c>
      <c r="J65" s="13" t="s">
        <v>1</v>
      </c>
      <c r="K65" s="13">
        <v>95059.9</v>
      </c>
      <c r="L65" s="15">
        <v>7726.6999999999989</v>
      </c>
      <c r="M65" s="14">
        <f t="shared" si="6"/>
        <v>128616.2</v>
      </c>
    </row>
    <row r="66" spans="1:13" s="30" customFormat="1">
      <c r="A66" s="71" t="s">
        <v>63</v>
      </c>
      <c r="B66" s="14" t="s">
        <v>1</v>
      </c>
      <c r="C66" s="14">
        <v>16494.400000000001</v>
      </c>
      <c r="D66" s="14">
        <v>0</v>
      </c>
      <c r="E66" s="14">
        <v>11</v>
      </c>
      <c r="F66" s="14">
        <v>2639.1</v>
      </c>
      <c r="G66" s="14"/>
      <c r="H66" s="14">
        <v>0</v>
      </c>
      <c r="I66" s="14" t="s">
        <v>1</v>
      </c>
      <c r="J66" s="13" t="s">
        <v>1</v>
      </c>
      <c r="K66" s="13">
        <v>109685.5</v>
      </c>
      <c r="L66" s="15">
        <v>16895.2</v>
      </c>
      <c r="M66" s="14">
        <f t="shared" si="6"/>
        <v>145725.20000000001</v>
      </c>
    </row>
    <row r="67" spans="1:13" s="30" customFormat="1">
      <c r="A67" s="71" t="s">
        <v>66</v>
      </c>
      <c r="B67" s="14" t="s">
        <v>1</v>
      </c>
      <c r="C67" s="14">
        <v>16198</v>
      </c>
      <c r="D67" s="14">
        <v>0</v>
      </c>
      <c r="E67" s="14">
        <v>11</v>
      </c>
      <c r="F67" s="14">
        <v>3746.4</v>
      </c>
      <c r="G67" s="14"/>
      <c r="H67" s="14">
        <v>0</v>
      </c>
      <c r="I67" s="14" t="s">
        <v>1</v>
      </c>
      <c r="J67" s="13" t="s">
        <v>1</v>
      </c>
      <c r="K67" s="13">
        <v>121701.4</v>
      </c>
      <c r="L67" s="15">
        <v>18082.900000000001</v>
      </c>
      <c r="M67" s="14">
        <f t="shared" si="6"/>
        <v>159739.69999999998</v>
      </c>
    </row>
    <row r="68" spans="1:13" s="30" customFormat="1">
      <c r="A68" s="71" t="s">
        <v>69</v>
      </c>
      <c r="B68" s="14" t="s">
        <v>1</v>
      </c>
      <c r="C68" s="14">
        <v>13676.900000000001</v>
      </c>
      <c r="D68" s="14">
        <v>0</v>
      </c>
      <c r="E68" s="14">
        <v>11</v>
      </c>
      <c r="F68" s="14">
        <v>3689.2999999999997</v>
      </c>
      <c r="G68" s="14"/>
      <c r="H68" s="14">
        <v>0</v>
      </c>
      <c r="I68" s="14" t="s">
        <v>1</v>
      </c>
      <c r="J68" s="13" t="s">
        <v>1</v>
      </c>
      <c r="K68" s="13">
        <v>126376.6</v>
      </c>
      <c r="L68" s="15">
        <v>19651.099999999999</v>
      </c>
      <c r="M68" s="14">
        <f t="shared" si="6"/>
        <v>163404.90000000002</v>
      </c>
    </row>
    <row r="69" spans="1:13" s="30" customFormat="1">
      <c r="A69" s="71" t="s">
        <v>72</v>
      </c>
      <c r="B69" s="14" t="s">
        <v>1</v>
      </c>
      <c r="C69" s="14">
        <v>26503.3</v>
      </c>
      <c r="D69" s="14">
        <v>0</v>
      </c>
      <c r="E69" s="14">
        <v>11</v>
      </c>
      <c r="F69" s="14">
        <v>2696.8</v>
      </c>
      <c r="G69" s="14"/>
      <c r="H69" s="14">
        <v>0</v>
      </c>
      <c r="I69" s="14" t="s">
        <v>1</v>
      </c>
      <c r="J69" s="13" t="s">
        <v>1</v>
      </c>
      <c r="K69" s="13">
        <v>133426.20000000001</v>
      </c>
      <c r="L69" s="15">
        <v>20583.199999999997</v>
      </c>
      <c r="M69" s="14">
        <f t="shared" si="6"/>
        <v>183220.5</v>
      </c>
    </row>
    <row r="70" spans="1:13" s="30" customFormat="1">
      <c r="A70" s="71" t="s">
        <v>75</v>
      </c>
      <c r="B70" s="14" t="s">
        <v>1</v>
      </c>
      <c r="C70" s="14">
        <v>28194.400000000001</v>
      </c>
      <c r="D70" s="14">
        <v>0</v>
      </c>
      <c r="E70" s="14">
        <v>11</v>
      </c>
      <c r="F70" s="14">
        <v>2639.1</v>
      </c>
      <c r="G70" s="14"/>
      <c r="H70" s="14">
        <v>0</v>
      </c>
      <c r="I70" s="14" t="s">
        <v>1</v>
      </c>
      <c r="J70" s="13" t="s">
        <v>1</v>
      </c>
      <c r="K70" s="13">
        <f>136110.6+297.5</f>
        <v>136408.1</v>
      </c>
      <c r="L70" s="15">
        <v>21726.1</v>
      </c>
      <c r="M70" s="14">
        <f t="shared" si="6"/>
        <v>188978.7</v>
      </c>
    </row>
    <row r="71" spans="1:13" s="30" customFormat="1">
      <c r="A71" s="71" t="s">
        <v>78</v>
      </c>
      <c r="B71" s="14" t="s">
        <v>1</v>
      </c>
      <c r="C71" s="14">
        <v>34724.1</v>
      </c>
      <c r="D71" s="14">
        <v>0</v>
      </c>
      <c r="E71" s="14">
        <v>11</v>
      </c>
      <c r="F71" s="14">
        <v>1581.8</v>
      </c>
      <c r="G71" s="14"/>
      <c r="H71" s="14">
        <v>0</v>
      </c>
      <c r="I71" s="14" t="s">
        <v>1</v>
      </c>
      <c r="J71" s="13" t="s">
        <v>1</v>
      </c>
      <c r="K71" s="13">
        <v>140707</v>
      </c>
      <c r="L71" s="15">
        <v>23688.2</v>
      </c>
      <c r="M71" s="14">
        <f t="shared" si="6"/>
        <v>200712.1</v>
      </c>
    </row>
    <row r="72" spans="1:13" s="30" customFormat="1">
      <c r="A72" s="71" t="s">
        <v>81</v>
      </c>
      <c r="B72" s="14" t="s">
        <v>1</v>
      </c>
      <c r="C72" s="14">
        <v>33464.800000000003</v>
      </c>
      <c r="D72" s="14">
        <v>0</v>
      </c>
      <c r="E72" s="14">
        <v>11</v>
      </c>
      <c r="F72" s="14">
        <v>2596.6</v>
      </c>
      <c r="G72" s="14"/>
      <c r="H72" s="14">
        <v>0</v>
      </c>
      <c r="I72" s="14" t="s">
        <v>1</v>
      </c>
      <c r="J72" s="13" t="s">
        <v>1</v>
      </c>
      <c r="K72" s="13">
        <v>145811</v>
      </c>
      <c r="L72" s="15">
        <v>22592.699999999997</v>
      </c>
      <c r="M72" s="14">
        <f t="shared" si="6"/>
        <v>204476.09999999998</v>
      </c>
    </row>
    <row r="73" spans="1:13" s="30" customFormat="1">
      <c r="A73" s="71" t="s">
        <v>84</v>
      </c>
      <c r="B73" s="14" t="s">
        <v>1</v>
      </c>
      <c r="C73" s="14">
        <v>21508.400000000001</v>
      </c>
      <c r="D73" s="14">
        <v>0</v>
      </c>
      <c r="E73" s="14">
        <v>11</v>
      </c>
      <c r="F73" s="14">
        <v>2649</v>
      </c>
      <c r="G73" s="14"/>
      <c r="H73" s="14">
        <v>0</v>
      </c>
      <c r="I73" s="14" t="s">
        <v>1</v>
      </c>
      <c r="J73" s="13" t="s">
        <v>1</v>
      </c>
      <c r="K73" s="13">
        <v>159155.29999999999</v>
      </c>
      <c r="L73" s="15">
        <v>29419.9</v>
      </c>
      <c r="M73" s="14">
        <f t="shared" si="6"/>
        <v>212743.59999999998</v>
      </c>
    </row>
    <row r="74" spans="1:13" s="30" customFormat="1">
      <c r="A74" s="71" t="s">
        <v>87</v>
      </c>
      <c r="B74" s="14" t="s">
        <v>1</v>
      </c>
      <c r="C74" s="14">
        <v>16577.2</v>
      </c>
      <c r="D74" s="14">
        <v>0</v>
      </c>
      <c r="E74" s="14">
        <v>11</v>
      </c>
      <c r="F74" s="14">
        <v>2682.6</v>
      </c>
      <c r="G74" s="14"/>
      <c r="H74" s="14">
        <v>0</v>
      </c>
      <c r="I74" s="14" t="s">
        <v>1</v>
      </c>
      <c r="J74" s="13" t="s">
        <v>1</v>
      </c>
      <c r="K74" s="13">
        <v>161273.60000000001</v>
      </c>
      <c r="L74" s="15">
        <v>35722.100000000006</v>
      </c>
      <c r="M74" s="14">
        <f t="shared" si="6"/>
        <v>216266.5</v>
      </c>
    </row>
    <row r="75" spans="1:13" s="30" customFormat="1">
      <c r="A75" s="71" t="s">
        <v>90</v>
      </c>
      <c r="B75" s="14" t="s">
        <v>1</v>
      </c>
      <c r="C75" s="14">
        <v>28786.400000000001</v>
      </c>
      <c r="D75" s="14">
        <v>0</v>
      </c>
      <c r="E75" s="14">
        <v>11</v>
      </c>
      <c r="F75" s="14">
        <v>2752.8</v>
      </c>
      <c r="G75" s="14"/>
      <c r="H75" s="14">
        <v>0</v>
      </c>
      <c r="I75" s="14" t="s">
        <v>1</v>
      </c>
      <c r="J75" s="13" t="s">
        <v>1</v>
      </c>
      <c r="K75" s="13">
        <v>167749.9</v>
      </c>
      <c r="L75" s="15">
        <v>27005.200000000001</v>
      </c>
      <c r="M75" s="14">
        <f t="shared" ref="M75:M76" si="7">SUM(B75:L75)</f>
        <v>226305.30000000002</v>
      </c>
    </row>
    <row r="76" spans="1:13" s="30" customFormat="1">
      <c r="A76" s="48" t="s">
        <v>93</v>
      </c>
      <c r="B76" s="14" t="s">
        <v>1</v>
      </c>
      <c r="C76" s="14">
        <v>34398.6</v>
      </c>
      <c r="D76" s="14">
        <v>0</v>
      </c>
      <c r="E76" s="14">
        <v>11</v>
      </c>
      <c r="F76" s="14">
        <v>2596.1999999999998</v>
      </c>
      <c r="G76" s="14"/>
      <c r="H76" s="14">
        <v>0</v>
      </c>
      <c r="I76" s="14" t="s">
        <v>1</v>
      </c>
      <c r="J76" s="13" t="s">
        <v>1</v>
      </c>
      <c r="K76" s="13">
        <v>172175.39999999997</v>
      </c>
      <c r="L76" s="15">
        <v>25211.899999999998</v>
      </c>
      <c r="M76" s="14">
        <f t="shared" si="7"/>
        <v>234393.09999999995</v>
      </c>
    </row>
    <row r="77" spans="1:13" s="30" customFormat="1">
      <c r="A77" s="71" t="s">
        <v>99</v>
      </c>
      <c r="B77" s="14" t="s">
        <v>1</v>
      </c>
      <c r="C77" s="14">
        <v>31559.899999999998</v>
      </c>
      <c r="D77" s="14">
        <v>0</v>
      </c>
      <c r="E77" s="14">
        <v>11</v>
      </c>
      <c r="F77" s="14">
        <v>2648.7</v>
      </c>
      <c r="G77" s="14"/>
      <c r="H77" s="14">
        <v>0</v>
      </c>
      <c r="I77" s="14" t="s">
        <v>1</v>
      </c>
      <c r="J77" s="13" t="s">
        <v>1</v>
      </c>
      <c r="K77" s="13">
        <v>183703.5</v>
      </c>
      <c r="L77" s="15">
        <v>27789.799999999996</v>
      </c>
      <c r="M77" s="14">
        <v>245712.9</v>
      </c>
    </row>
    <row r="78" spans="1:13" s="30" customFormat="1">
      <c r="A78" s="71" t="s">
        <v>103</v>
      </c>
      <c r="B78" s="14" t="s">
        <v>1</v>
      </c>
      <c r="C78" s="14">
        <v>44718.1</v>
      </c>
      <c r="D78" s="14">
        <v>0</v>
      </c>
      <c r="E78" s="14">
        <v>11</v>
      </c>
      <c r="F78" s="14">
        <v>2575.6999999999998</v>
      </c>
      <c r="G78" s="14"/>
      <c r="H78" s="14">
        <v>0</v>
      </c>
      <c r="I78" s="14" t="s">
        <v>1</v>
      </c>
      <c r="J78" s="13" t="s">
        <v>1</v>
      </c>
      <c r="K78" s="13">
        <v>196077.59999999998</v>
      </c>
      <c r="L78" s="15">
        <v>30094.7</v>
      </c>
      <c r="M78" s="14">
        <v>273477.09999999998</v>
      </c>
    </row>
    <row r="79" spans="1:13" s="30" customFormat="1">
      <c r="A79" s="71" t="s">
        <v>107</v>
      </c>
      <c r="B79" s="14">
        <v>0</v>
      </c>
      <c r="C79" s="14">
        <v>37261.9</v>
      </c>
      <c r="D79" s="14">
        <v>0</v>
      </c>
      <c r="E79" s="14">
        <v>11</v>
      </c>
      <c r="F79" s="14">
        <v>2712.9</v>
      </c>
      <c r="G79" s="14">
        <v>0</v>
      </c>
      <c r="H79" s="14">
        <v>0</v>
      </c>
      <c r="I79" s="14">
        <v>0</v>
      </c>
      <c r="J79" s="13">
        <v>0</v>
      </c>
      <c r="K79" s="13">
        <v>206878.90000000002</v>
      </c>
      <c r="L79" s="15">
        <v>34558.5</v>
      </c>
      <c r="M79" s="14">
        <v>281423.2</v>
      </c>
    </row>
    <row r="80" spans="1:13" s="30" customFormat="1">
      <c r="A80" s="16" t="s">
        <v>2</v>
      </c>
      <c r="B80" s="13"/>
      <c r="C80" s="13"/>
      <c r="D80" s="13"/>
      <c r="E80" s="11"/>
      <c r="F80" s="13"/>
      <c r="G80" s="11"/>
      <c r="H80" s="11"/>
      <c r="I80" s="11"/>
      <c r="J80" s="11"/>
      <c r="K80" s="11"/>
      <c r="L80" s="11"/>
      <c r="M80" s="14"/>
    </row>
    <row r="81" spans="1:13" s="30" customFormat="1">
      <c r="A81" s="74" t="s">
        <v>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6"/>
    </row>
  </sheetData>
  <mergeCells count="2">
    <mergeCell ref="A4:L4"/>
    <mergeCell ref="A81:M8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7"/>
  <sheetViews>
    <sheetView workbookViewId="0">
      <pane xSplit="1" ySplit="6" topLeftCell="C13" activePane="bottomRight" state="frozen"/>
      <selection pane="topRight" activeCell="B1" sqref="B1"/>
      <selection pane="bottomLeft" activeCell="A7" sqref="A7"/>
      <selection pane="bottomRight" activeCell="D29" sqref="D29"/>
    </sheetView>
  </sheetViews>
  <sheetFormatPr baseColWidth="10" defaultColWidth="11.5546875" defaultRowHeight="15.75"/>
  <cols>
    <col min="1" max="1" width="31.109375" customWidth="1"/>
    <col min="2" max="2" width="17.77734375" customWidth="1"/>
    <col min="3" max="3" width="16.109375" customWidth="1"/>
    <col min="4" max="4" width="14.44140625" customWidth="1"/>
    <col min="5" max="5" width="16" customWidth="1"/>
    <col min="6" max="6" width="16.77734375" customWidth="1"/>
    <col min="7" max="7" width="18.109375" customWidth="1"/>
    <col min="8" max="8" width="24.109375" customWidth="1"/>
    <col min="9" max="9" width="15.109375" customWidth="1"/>
    <col min="10" max="10" width="8.77734375" customWidth="1"/>
    <col min="11" max="11" width="14.88671875" customWidth="1"/>
  </cols>
  <sheetData>
    <row r="1" spans="1:12" ht="18.75">
      <c r="A1" s="43" t="s">
        <v>31</v>
      </c>
      <c r="B1" s="5"/>
      <c r="C1" s="5"/>
      <c r="D1" s="6"/>
      <c r="E1" s="5"/>
      <c r="F1" s="6"/>
      <c r="G1" s="6"/>
      <c r="H1" s="6"/>
      <c r="I1" s="6"/>
      <c r="J1" s="6"/>
      <c r="K1" s="45" t="s">
        <v>40</v>
      </c>
    </row>
    <row r="2" spans="1:12" s="30" customFormat="1">
      <c r="A2" s="36"/>
      <c r="B2" s="37"/>
      <c r="C2" s="37"/>
      <c r="D2" s="38"/>
      <c r="E2" s="37"/>
      <c r="F2" s="38"/>
      <c r="G2" s="38"/>
      <c r="H2" s="38"/>
      <c r="I2" s="38"/>
      <c r="J2" s="45"/>
      <c r="K2" s="45"/>
      <c r="L2" s="52"/>
    </row>
    <row r="3" spans="1:12" s="30" customFormat="1">
      <c r="A3" s="36"/>
      <c r="B3" s="37"/>
      <c r="C3" s="37"/>
      <c r="D3" s="38"/>
      <c r="E3" s="37"/>
      <c r="F3" s="38"/>
      <c r="G3" s="38"/>
      <c r="H3" s="38"/>
      <c r="I3" s="38"/>
      <c r="J3" s="45"/>
      <c r="K3" s="45"/>
      <c r="L3" s="52"/>
    </row>
    <row r="4" spans="1:12" s="49" customFormat="1" ht="18.75">
      <c r="A4" s="72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3"/>
    </row>
    <row r="5" spans="1:12" s="49" customFormat="1" ht="18.7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50" customFormat="1" ht="57.75" customHeight="1">
      <c r="A6" s="54" t="s">
        <v>33</v>
      </c>
      <c r="B6" s="67" t="s">
        <v>41</v>
      </c>
      <c r="C6" s="55" t="s">
        <v>0</v>
      </c>
      <c r="D6" s="56" t="s">
        <v>4</v>
      </c>
      <c r="E6" s="56" t="s">
        <v>5</v>
      </c>
      <c r="F6" s="57" t="s">
        <v>8</v>
      </c>
      <c r="G6" s="57" t="s">
        <v>9</v>
      </c>
      <c r="H6" s="56" t="s">
        <v>10</v>
      </c>
      <c r="I6" s="57" t="s">
        <v>11</v>
      </c>
      <c r="J6" s="57" t="s">
        <v>12</v>
      </c>
      <c r="K6" s="58" t="s">
        <v>6</v>
      </c>
      <c r="L6" s="59" t="s">
        <v>7</v>
      </c>
    </row>
    <row r="7" spans="1:12" s="30" customFormat="1">
      <c r="A7" s="60">
        <v>2008</v>
      </c>
      <c r="B7" s="14"/>
      <c r="C7" s="14">
        <v>1410.6999999999998</v>
      </c>
      <c r="D7" s="14">
        <v>450</v>
      </c>
      <c r="E7" s="14">
        <v>11</v>
      </c>
      <c r="F7" s="14">
        <v>833.8</v>
      </c>
      <c r="G7" s="14" t="s">
        <v>1</v>
      </c>
      <c r="H7" s="14">
        <v>615.9</v>
      </c>
      <c r="I7" s="14">
        <v>342.7</v>
      </c>
      <c r="J7" s="14">
        <v>29148.799999999999</v>
      </c>
      <c r="K7" s="15">
        <v>4364.6000000000004</v>
      </c>
      <c r="L7" s="14">
        <f t="shared" ref="L7:L16" si="0">SUM(B7:K7)</f>
        <v>37177.5</v>
      </c>
    </row>
    <row r="8" spans="1:12" s="30" customFormat="1">
      <c r="A8" s="60">
        <v>2009</v>
      </c>
      <c r="B8" s="14"/>
      <c r="C8" s="14">
        <v>1720.2</v>
      </c>
      <c r="D8" s="14">
        <v>750</v>
      </c>
      <c r="E8" s="14">
        <v>11</v>
      </c>
      <c r="F8" s="14">
        <v>902</v>
      </c>
      <c r="G8" s="14" t="s">
        <v>1</v>
      </c>
      <c r="H8" s="14">
        <v>657</v>
      </c>
      <c r="I8" s="14">
        <v>763.49999999999989</v>
      </c>
      <c r="J8" s="14">
        <v>33755.4</v>
      </c>
      <c r="K8" s="15">
        <v>4972.1000000000004</v>
      </c>
      <c r="L8" s="14">
        <f t="shared" si="0"/>
        <v>43531.199999999997</v>
      </c>
    </row>
    <row r="9" spans="1:12" s="30" customFormat="1">
      <c r="A9" s="60">
        <v>2010</v>
      </c>
      <c r="B9" s="14"/>
      <c r="C9" s="14">
        <v>2353.3000000000002</v>
      </c>
      <c r="D9" s="14">
        <v>450</v>
      </c>
      <c r="E9" s="14">
        <v>11</v>
      </c>
      <c r="F9" s="14">
        <v>876.6</v>
      </c>
      <c r="G9" s="14" t="s">
        <v>1</v>
      </c>
      <c r="H9" s="14">
        <v>142.9</v>
      </c>
      <c r="I9" s="14">
        <v>920.59999999999991</v>
      </c>
      <c r="J9" s="14">
        <v>46586.3</v>
      </c>
      <c r="K9" s="15">
        <v>4986.5</v>
      </c>
      <c r="L9" s="14">
        <f t="shared" si="0"/>
        <v>56327.200000000004</v>
      </c>
    </row>
    <row r="10" spans="1:12" s="30" customFormat="1">
      <c r="A10" s="60">
        <v>2011</v>
      </c>
      <c r="B10" s="14"/>
      <c r="C10" s="14">
        <v>1069.2</v>
      </c>
      <c r="D10" s="14" t="s">
        <v>1</v>
      </c>
      <c r="E10" s="14">
        <v>11</v>
      </c>
      <c r="F10" s="14">
        <v>850.2</v>
      </c>
      <c r="G10" s="14" t="s">
        <v>1</v>
      </c>
      <c r="H10" s="14">
        <v>261.8</v>
      </c>
      <c r="I10" s="14">
        <v>967.59999999999991</v>
      </c>
      <c r="J10" s="14">
        <v>56451.100000000006</v>
      </c>
      <c r="K10" s="15">
        <v>5218.8</v>
      </c>
      <c r="L10" s="14">
        <f t="shared" si="0"/>
        <v>64829.700000000012</v>
      </c>
    </row>
    <row r="11" spans="1:12" s="30" customFormat="1">
      <c r="A11" s="60">
        <v>2012</v>
      </c>
      <c r="B11" s="14"/>
      <c r="C11" s="14">
        <v>3984.8</v>
      </c>
      <c r="D11" s="14">
        <v>1200</v>
      </c>
      <c r="E11" s="14">
        <v>11</v>
      </c>
      <c r="F11" s="14">
        <v>836.59999999999991</v>
      </c>
      <c r="G11" s="14" t="s">
        <v>1</v>
      </c>
      <c r="H11" s="14">
        <v>693.3</v>
      </c>
      <c r="I11" s="14">
        <v>839.19999999999982</v>
      </c>
      <c r="J11" s="14">
        <v>59250.000000000007</v>
      </c>
      <c r="K11" s="15">
        <v>5417.5</v>
      </c>
      <c r="L11" s="14">
        <f t="shared" si="0"/>
        <v>72232.400000000009</v>
      </c>
    </row>
    <row r="12" spans="1:12" s="30" customFormat="1">
      <c r="A12" s="60">
        <v>2013</v>
      </c>
      <c r="B12" s="14"/>
      <c r="C12" s="14">
        <v>1535.5</v>
      </c>
      <c r="D12" s="14">
        <v>200</v>
      </c>
      <c r="E12" s="14">
        <v>11</v>
      </c>
      <c r="F12" s="14">
        <v>0</v>
      </c>
      <c r="G12" s="14" t="s">
        <v>1</v>
      </c>
      <c r="H12" s="14">
        <v>609.79999999999995</v>
      </c>
      <c r="I12" s="14">
        <v>604.59999999999991</v>
      </c>
      <c r="J12" s="14">
        <v>73439.199999999997</v>
      </c>
      <c r="K12" s="15">
        <v>6708.5</v>
      </c>
      <c r="L12" s="14">
        <f t="shared" si="0"/>
        <v>83108.599999999991</v>
      </c>
    </row>
    <row r="13" spans="1:12" s="30" customFormat="1">
      <c r="A13" s="60">
        <v>2014</v>
      </c>
      <c r="B13" s="14">
        <v>67.2</v>
      </c>
      <c r="C13" s="14">
        <v>2724.3</v>
      </c>
      <c r="D13" s="14">
        <v>1500</v>
      </c>
      <c r="E13" s="14">
        <v>511</v>
      </c>
      <c r="F13" s="14">
        <v>0</v>
      </c>
      <c r="G13" s="14" t="s">
        <v>1</v>
      </c>
      <c r="H13" s="14" t="s">
        <v>1</v>
      </c>
      <c r="I13" s="13">
        <v>597.69999999999993</v>
      </c>
      <c r="J13" s="13">
        <v>87468.6</v>
      </c>
      <c r="K13" s="15">
        <v>9064.2000000000007</v>
      </c>
      <c r="L13" s="14">
        <f t="shared" si="0"/>
        <v>101933</v>
      </c>
    </row>
    <row r="14" spans="1:12" s="30" customFormat="1">
      <c r="A14" s="60">
        <v>2015</v>
      </c>
      <c r="B14" s="14" t="s">
        <v>1</v>
      </c>
      <c r="C14" s="14">
        <v>8555</v>
      </c>
      <c r="D14" s="14">
        <v>9496.7000000000007</v>
      </c>
      <c r="E14" s="14">
        <v>11</v>
      </c>
      <c r="F14" s="14">
        <v>23.2</v>
      </c>
      <c r="G14" s="14" t="s">
        <v>1</v>
      </c>
      <c r="H14" s="14" t="s">
        <v>1</v>
      </c>
      <c r="I14" s="13">
        <v>529</v>
      </c>
      <c r="J14" s="13">
        <v>86640.700000000012</v>
      </c>
      <c r="K14" s="15">
        <v>14206.4</v>
      </c>
      <c r="L14" s="14">
        <f t="shared" si="0"/>
        <v>119462</v>
      </c>
    </row>
    <row r="15" spans="1:12" s="30" customFormat="1">
      <c r="A15" s="60">
        <v>2016</v>
      </c>
      <c r="B15" s="14"/>
      <c r="C15" s="14">
        <v>7159.2</v>
      </c>
      <c r="D15" s="14">
        <v>8792.4</v>
      </c>
      <c r="E15" s="14">
        <v>312.8</v>
      </c>
      <c r="F15" s="14">
        <v>51.1</v>
      </c>
      <c r="G15" s="14"/>
      <c r="H15" s="14" t="s">
        <v>1</v>
      </c>
      <c r="I15" s="13">
        <v>507.1</v>
      </c>
      <c r="J15" s="13">
        <v>102322.1</v>
      </c>
      <c r="K15" s="15">
        <v>19061.099999999999</v>
      </c>
      <c r="L15" s="14">
        <f t="shared" si="0"/>
        <v>138205.80000000002</v>
      </c>
    </row>
    <row r="16" spans="1:12" s="30" customFormat="1">
      <c r="A16" s="60">
        <v>2017</v>
      </c>
      <c r="B16" s="14"/>
      <c r="C16" s="14">
        <v>8196.2000000000007</v>
      </c>
      <c r="D16" s="14">
        <v>10280</v>
      </c>
      <c r="E16" s="14">
        <v>1014.1</v>
      </c>
      <c r="F16" s="14">
        <v>38.9</v>
      </c>
      <c r="G16" s="14"/>
      <c r="H16" s="14" t="s">
        <v>1</v>
      </c>
      <c r="I16" s="13" t="s">
        <v>1</v>
      </c>
      <c r="J16" s="13">
        <v>110545.9</v>
      </c>
      <c r="K16" s="15">
        <v>21126.799999999999</v>
      </c>
      <c r="L16" s="14">
        <f t="shared" si="0"/>
        <v>151201.9</v>
      </c>
    </row>
    <row r="17" spans="1:12" s="30" customFormat="1">
      <c r="A17" s="60">
        <v>2018</v>
      </c>
      <c r="B17" s="14"/>
      <c r="C17" s="14">
        <v>7696.4</v>
      </c>
      <c r="D17" s="14">
        <v>4785.1000000000004</v>
      </c>
      <c r="E17" s="14">
        <v>11</v>
      </c>
      <c r="F17" s="14">
        <v>5432.4</v>
      </c>
      <c r="G17" s="14"/>
      <c r="H17" s="14" t="s">
        <v>1</v>
      </c>
      <c r="I17" s="13" t="s">
        <v>1</v>
      </c>
      <c r="J17" s="13">
        <v>127946.79999999999</v>
      </c>
      <c r="K17" s="15">
        <v>21544.6</v>
      </c>
      <c r="L17" s="14">
        <f t="shared" ref="L17" si="1">SUM(B17:K17)</f>
        <v>167416.29999999999</v>
      </c>
    </row>
    <row r="18" spans="1:12" s="30" customFormat="1">
      <c r="A18" s="60">
        <v>2019</v>
      </c>
      <c r="B18" s="14"/>
      <c r="C18" s="14">
        <f>5090.1+4883.7</f>
        <v>9973.7999999999993</v>
      </c>
      <c r="D18" s="14">
        <v>4902.2</v>
      </c>
      <c r="E18" s="14">
        <v>11</v>
      </c>
      <c r="F18" s="14">
        <f>50.8+11819.8+3685.5</f>
        <v>15556.099999999999</v>
      </c>
      <c r="G18" s="14"/>
      <c r="H18" s="14" t="s">
        <v>1</v>
      </c>
      <c r="I18" s="13" t="s">
        <v>1</v>
      </c>
      <c r="J18" s="13">
        <f>110736.2+209.2+37577.5</f>
        <v>148522.9</v>
      </c>
      <c r="K18" s="15">
        <f>5906.9+17480</f>
        <v>23386.9</v>
      </c>
      <c r="L18" s="14">
        <f t="shared" ref="L18" si="2">SUM(B18:K18)</f>
        <v>202352.9</v>
      </c>
    </row>
    <row r="19" spans="1:12" s="30" customFormat="1">
      <c r="A19" s="60">
        <v>2020</v>
      </c>
      <c r="B19" s="14" t="s">
        <v>1</v>
      </c>
      <c r="C19" s="14">
        <f>6904.2+3152.6</f>
        <v>10056.799999999999</v>
      </c>
      <c r="D19" s="14">
        <v>0</v>
      </c>
      <c r="E19" s="14">
        <v>11</v>
      </c>
      <c r="F19" s="14">
        <f>3186.1+14432.8+63.2</f>
        <v>17682.099999999999</v>
      </c>
      <c r="G19" s="14"/>
      <c r="H19" s="14" t="s">
        <v>1</v>
      </c>
      <c r="I19" s="13" t="s">
        <v>1</v>
      </c>
      <c r="J19" s="13">
        <f>209.2+45845.1+157950.6</f>
        <v>204004.9</v>
      </c>
      <c r="K19" s="15">
        <f>5698.6+23022.5</f>
        <v>28721.1</v>
      </c>
      <c r="L19" s="14">
        <f t="shared" ref="L19" si="3">SUM(B19:K19)</f>
        <v>260475.9</v>
      </c>
    </row>
    <row r="20" spans="1:12" s="30" customFormat="1">
      <c r="A20" s="71" t="s">
        <v>95</v>
      </c>
      <c r="B20" s="14" t="s">
        <v>1</v>
      </c>
      <c r="C20" s="14">
        <v>7954.5</v>
      </c>
      <c r="D20" s="14">
        <v>0</v>
      </c>
      <c r="E20" s="14">
        <v>11</v>
      </c>
      <c r="F20" s="14">
        <v>2639.1</v>
      </c>
      <c r="G20" s="14"/>
      <c r="H20" s="14" t="s">
        <v>1</v>
      </c>
      <c r="I20" s="13" t="s">
        <v>1</v>
      </c>
      <c r="J20" s="13">
        <v>79854.2</v>
      </c>
      <c r="K20" s="15">
        <v>6113.7000000000007</v>
      </c>
      <c r="L20" s="14">
        <v>96572.5</v>
      </c>
    </row>
    <row r="21" spans="1:12" s="30" customFormat="1">
      <c r="A21" s="71" t="s">
        <v>96</v>
      </c>
      <c r="B21" s="14" t="s">
        <v>1</v>
      </c>
      <c r="C21" s="14">
        <v>16494.400000000001</v>
      </c>
      <c r="D21" s="14">
        <v>0</v>
      </c>
      <c r="E21" s="14">
        <v>11</v>
      </c>
      <c r="F21" s="14">
        <v>2639.1</v>
      </c>
      <c r="G21" s="14"/>
      <c r="H21" s="14" t="s">
        <v>1</v>
      </c>
      <c r="I21" s="13" t="s">
        <v>1</v>
      </c>
      <c r="J21" s="13">
        <v>109685.5</v>
      </c>
      <c r="K21" s="15">
        <v>16895.2</v>
      </c>
      <c r="L21" s="14">
        <v>145725.20000000001</v>
      </c>
    </row>
    <row r="22" spans="1:12" s="30" customFormat="1">
      <c r="A22" s="71" t="s">
        <v>97</v>
      </c>
      <c r="B22" s="14" t="s">
        <v>1</v>
      </c>
      <c r="C22" s="14">
        <v>28194.400000000001</v>
      </c>
      <c r="D22" s="14">
        <v>0</v>
      </c>
      <c r="E22" s="14">
        <v>11</v>
      </c>
      <c r="F22" s="14">
        <v>2639.1</v>
      </c>
      <c r="G22" s="14"/>
      <c r="H22" s="14" t="s">
        <v>1</v>
      </c>
      <c r="I22" s="13" t="s">
        <v>1</v>
      </c>
      <c r="J22" s="13">
        <f>136110.6+297.5</f>
        <v>136408.1</v>
      </c>
      <c r="K22" s="15">
        <v>21726.1</v>
      </c>
      <c r="L22" s="14">
        <f>SUM(B22:K22)</f>
        <v>188978.7</v>
      </c>
    </row>
    <row r="23" spans="1:12" s="30" customFormat="1">
      <c r="A23" s="71" t="s">
        <v>44</v>
      </c>
      <c r="B23" s="14" t="s">
        <v>1</v>
      </c>
      <c r="C23" s="14">
        <v>16577.2</v>
      </c>
      <c r="D23" s="14">
        <v>0</v>
      </c>
      <c r="E23" s="14">
        <v>11</v>
      </c>
      <c r="F23" s="14">
        <v>2682.6</v>
      </c>
      <c r="G23" s="14"/>
      <c r="H23" s="14" t="s">
        <v>1</v>
      </c>
      <c r="I23" s="13" t="s">
        <v>1</v>
      </c>
      <c r="J23" s="13">
        <v>161273.60000000001</v>
      </c>
      <c r="K23" s="15">
        <v>35722.100000000006</v>
      </c>
      <c r="L23" s="14">
        <v>216266.5</v>
      </c>
    </row>
    <row r="24" spans="1:12" s="30" customFormat="1">
      <c r="A24" s="71" t="s">
        <v>102</v>
      </c>
      <c r="B24" s="14" t="s">
        <v>1</v>
      </c>
      <c r="C24" s="14">
        <v>44718.1</v>
      </c>
      <c r="D24" s="14">
        <v>0</v>
      </c>
      <c r="E24" s="14">
        <v>11</v>
      </c>
      <c r="F24" s="14">
        <v>2575.6999999999998</v>
      </c>
      <c r="G24" s="14"/>
      <c r="H24" s="14" t="s">
        <v>1</v>
      </c>
      <c r="I24" s="13" t="s">
        <v>1</v>
      </c>
      <c r="J24" s="13">
        <v>196077.59999999998</v>
      </c>
      <c r="K24" s="15">
        <v>30094.7</v>
      </c>
      <c r="L24" s="14">
        <v>273477.09999999998</v>
      </c>
    </row>
    <row r="25" spans="1:12" s="30" customFormat="1">
      <c r="A25" s="74" t="s">
        <v>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7" spans="1:12" s="30" customFormat="1"/>
  </sheetData>
  <mergeCells count="2">
    <mergeCell ref="A4:K4"/>
    <mergeCell ref="A25:L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2015-01-02T06:10:35Z</cp:lastPrinted>
  <dcterms:created xsi:type="dcterms:W3CDTF">2000-09-13T06:00:01Z</dcterms:created>
  <dcterms:modified xsi:type="dcterms:W3CDTF">2026-05-05T07:02:43Z</dcterms:modified>
</cp:coreProperties>
</file>