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Tableaux site en français-MARS-2026\"/>
    </mc:Choice>
  </mc:AlternateContent>
  <bookViews>
    <workbookView xWindow="0" yWindow="0" windowWidth="12090" windowHeight="7860" activeTab="1"/>
  </bookViews>
  <sheets>
    <sheet name="Table_de_Matière" sheetId="8" r:id="rId1"/>
    <sheet name="Mensuelle" sheetId="5" r:id="rId2"/>
    <sheet name="Trimestrielle" sheetId="6" r:id="rId3"/>
    <sheet name="Annuelle" sheetId="7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U20" i="7" l="1"/>
  <c r="U21" i="7"/>
  <c r="U22" i="7"/>
  <c r="U24" i="7"/>
  <c r="L207" i="5" l="1"/>
  <c r="U56" i="6" l="1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S206" i="5" l="1"/>
  <c r="S207" i="5"/>
  <c r="O207" i="5"/>
  <c r="L206" i="5"/>
  <c r="O206" i="5" s="1"/>
  <c r="E206" i="5"/>
  <c r="E207" i="5"/>
  <c r="L205" i="5"/>
  <c r="T207" i="5" l="1"/>
  <c r="U207" i="5" s="1"/>
  <c r="T206" i="5"/>
  <c r="U206" i="5" s="1"/>
  <c r="S205" i="5"/>
  <c r="O205" i="5"/>
  <c r="T205" i="5" s="1"/>
  <c r="E205" i="5"/>
  <c r="S204" i="5"/>
  <c r="L204" i="5"/>
  <c r="O204" i="5" s="1"/>
  <c r="E204" i="5"/>
  <c r="S203" i="5"/>
  <c r="L203" i="5"/>
  <c r="O203" i="5" s="1"/>
  <c r="T203" i="5" s="1"/>
  <c r="E203" i="5"/>
  <c r="U203" i="5" s="1"/>
  <c r="S202" i="5"/>
  <c r="L202" i="5"/>
  <c r="O202" i="5" s="1"/>
  <c r="E202" i="5"/>
  <c r="S201" i="5"/>
  <c r="L201" i="5"/>
  <c r="O201" i="5" s="1"/>
  <c r="T201" i="5" s="1"/>
  <c r="E201" i="5"/>
  <c r="S200" i="5"/>
  <c r="L200" i="5"/>
  <c r="O200" i="5" s="1"/>
  <c r="T200" i="5" s="1"/>
  <c r="E200" i="5"/>
  <c r="S199" i="5"/>
  <c r="L199" i="5"/>
  <c r="O199" i="5" s="1"/>
  <c r="T199" i="5" s="1"/>
  <c r="E199" i="5"/>
  <c r="U199" i="5" s="1"/>
  <c r="T204" i="5" l="1"/>
  <c r="U201" i="5"/>
  <c r="U205" i="5"/>
  <c r="U204" i="5"/>
  <c r="U200" i="5"/>
  <c r="T202" i="5"/>
  <c r="U202" i="5" s="1"/>
  <c r="E68" i="6" l="1"/>
  <c r="S192" i="5"/>
  <c r="L192" i="5"/>
  <c r="O192" i="5" s="1"/>
  <c r="T192" i="5" s="1"/>
  <c r="U192" i="5" s="1"/>
  <c r="E192" i="5"/>
  <c r="S191" i="5" l="1"/>
  <c r="L191" i="5"/>
  <c r="O191" i="5" s="1"/>
  <c r="T191" i="5" s="1"/>
  <c r="E191" i="5"/>
  <c r="S190" i="5"/>
  <c r="L190" i="5"/>
  <c r="O190" i="5" s="1"/>
  <c r="T190" i="5" s="1"/>
  <c r="E190" i="5"/>
  <c r="S189" i="5"/>
  <c r="L189" i="5"/>
  <c r="O189" i="5" s="1"/>
  <c r="T189" i="5" s="1"/>
  <c r="E189" i="5"/>
  <c r="S188" i="5"/>
  <c r="L188" i="5"/>
  <c r="O188" i="5" s="1"/>
  <c r="E188" i="5"/>
  <c r="S187" i="5"/>
  <c r="L187" i="5"/>
  <c r="O187" i="5" s="1"/>
  <c r="T187" i="5" s="1"/>
  <c r="E187" i="5"/>
  <c r="Q186" i="5"/>
  <c r="P186" i="5"/>
  <c r="S186" i="5" s="1"/>
  <c r="K186" i="5"/>
  <c r="I186" i="5"/>
  <c r="G186" i="5"/>
  <c r="D186" i="5"/>
  <c r="C186" i="5"/>
  <c r="B186" i="5"/>
  <c r="Q185" i="5"/>
  <c r="P185" i="5"/>
  <c r="S185" i="5" s="1"/>
  <c r="K185" i="5"/>
  <c r="I185" i="5"/>
  <c r="G185" i="5"/>
  <c r="C185" i="5"/>
  <c r="B185" i="5"/>
  <c r="Q184" i="5"/>
  <c r="P184" i="5"/>
  <c r="K184" i="5"/>
  <c r="I184" i="5"/>
  <c r="G184" i="5"/>
  <c r="C184" i="5"/>
  <c r="B184" i="5"/>
  <c r="E184" i="5" s="1"/>
  <c r="Q183" i="5"/>
  <c r="P183" i="5"/>
  <c r="S183" i="5" s="1"/>
  <c r="K183" i="5"/>
  <c r="I183" i="5"/>
  <c r="G183" i="5"/>
  <c r="C183" i="5"/>
  <c r="B183" i="5"/>
  <c r="Q182" i="5"/>
  <c r="P182" i="5"/>
  <c r="K182" i="5"/>
  <c r="I182" i="5"/>
  <c r="G182" i="5"/>
  <c r="C182" i="5"/>
  <c r="B182" i="5"/>
  <c r="E182" i="5" s="1"/>
  <c r="E186" i="5" l="1"/>
  <c r="T188" i="5"/>
  <c r="U188" i="5" s="1"/>
  <c r="U191" i="5"/>
  <c r="U187" i="5"/>
  <c r="U190" i="5"/>
  <c r="U189" i="5"/>
  <c r="L183" i="5"/>
  <c r="O183" i="5" s="1"/>
  <c r="T183" i="5" s="1"/>
  <c r="U183" i="5" s="1"/>
  <c r="L184" i="5"/>
  <c r="O184" i="5" s="1"/>
  <c r="L182" i="5"/>
  <c r="O182" i="5" s="1"/>
  <c r="S184" i="5"/>
  <c r="S182" i="5"/>
  <c r="E185" i="5"/>
  <c r="E183" i="5"/>
  <c r="L185" i="5"/>
  <c r="O185" i="5" s="1"/>
  <c r="L186" i="5"/>
  <c r="O186" i="5" s="1"/>
  <c r="T186" i="5" s="1"/>
  <c r="T185" i="5"/>
  <c r="U186" i="5" l="1"/>
  <c r="U185" i="5"/>
  <c r="T182" i="5"/>
  <c r="U182" i="5" s="1"/>
  <c r="T184" i="5"/>
  <c r="U184" i="5" s="1"/>
  <c r="L181" i="5"/>
  <c r="O181" i="5" s="1"/>
  <c r="L180" i="5"/>
  <c r="O180" i="5" s="1"/>
  <c r="L179" i="5"/>
  <c r="O179" i="5" s="1"/>
  <c r="L178" i="5"/>
  <c r="O178" i="5" s="1"/>
  <c r="L177" i="5"/>
  <c r="O177" i="5" s="1"/>
  <c r="L176" i="5"/>
  <c r="O176" i="5" s="1"/>
  <c r="L175" i="5"/>
  <c r="O175" i="5" s="1"/>
  <c r="L174" i="5"/>
  <c r="O174" i="5" s="1"/>
  <c r="L173" i="5"/>
  <c r="O173" i="5" s="1"/>
  <c r="L172" i="5"/>
  <c r="O172" i="5" s="1"/>
  <c r="L171" i="5"/>
  <c r="O171" i="5" s="1"/>
  <c r="L170" i="5"/>
  <c r="O170" i="5" s="1"/>
  <c r="L169" i="5"/>
  <c r="O169" i="5" s="1"/>
  <c r="L168" i="5"/>
  <c r="O168" i="5" s="1"/>
  <c r="L167" i="5"/>
  <c r="O167" i="5" s="1"/>
  <c r="L166" i="5"/>
  <c r="O166" i="5" s="1"/>
  <c r="L165" i="5"/>
  <c r="O165" i="5" s="1"/>
  <c r="L164" i="5"/>
  <c r="O164" i="5" s="1"/>
  <c r="L163" i="5"/>
  <c r="O163" i="5" s="1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7" i="5"/>
  <c r="S166" i="5"/>
  <c r="S165" i="5"/>
  <c r="S164" i="5"/>
  <c r="S163" i="5"/>
  <c r="T173" i="5" l="1"/>
  <c r="T163" i="5"/>
  <c r="T176" i="5"/>
  <c r="T165" i="5"/>
  <c r="T164" i="5"/>
  <c r="T177" i="5"/>
  <c r="U177" i="5" s="1"/>
  <c r="T168" i="5"/>
  <c r="T169" i="5"/>
  <c r="T181" i="5"/>
  <c r="U181" i="5" s="1"/>
  <c r="T170" i="5"/>
  <c r="T171" i="5"/>
  <c r="U171" i="5" s="1"/>
  <c r="T172" i="5"/>
  <c r="U172" i="5" s="1"/>
  <c r="T178" i="5"/>
  <c r="U178" i="5" s="1"/>
  <c r="T179" i="5"/>
  <c r="T180" i="5"/>
  <c r="T166" i="5"/>
  <c r="T174" i="5"/>
  <c r="U174" i="5" s="1"/>
  <c r="T167" i="5"/>
  <c r="U167" i="5" s="1"/>
  <c r="T175" i="5"/>
  <c r="U175" i="5" s="1"/>
  <c r="U166" i="5"/>
  <c r="U168" i="5"/>
  <c r="U169" i="5"/>
  <c r="U170" i="5"/>
  <c r="U173" i="5"/>
  <c r="U176" i="5"/>
  <c r="U179" i="5"/>
  <c r="U180" i="5"/>
  <c r="U163" i="5"/>
  <c r="U164" i="5"/>
  <c r="U165" i="5"/>
  <c r="P19" i="7" l="1"/>
  <c r="S19" i="7" s="1"/>
  <c r="I19" i="7"/>
  <c r="L19" i="7" s="1"/>
  <c r="O19" i="7" s="1"/>
  <c r="T19" i="7" s="1"/>
  <c r="U19" i="7" s="1"/>
  <c r="E19" i="7"/>
  <c r="P58" i="6"/>
  <c r="I58" i="6"/>
  <c r="E58" i="6"/>
  <c r="P162" i="5"/>
  <c r="S162" i="5" s="1"/>
  <c r="I162" i="5"/>
  <c r="L162" i="5" s="1"/>
  <c r="O162" i="5" s="1"/>
  <c r="T162" i="5" s="1"/>
  <c r="E162" i="5"/>
  <c r="U162" i="5" l="1"/>
  <c r="P57" i="6"/>
  <c r="I57" i="6"/>
  <c r="E57" i="6"/>
  <c r="P161" i="5"/>
  <c r="S161" i="5" s="1"/>
  <c r="I161" i="5"/>
  <c r="L161" i="5" s="1"/>
  <c r="O161" i="5" s="1"/>
  <c r="E161" i="5"/>
  <c r="P160" i="5"/>
  <c r="S160" i="5" s="1"/>
  <c r="I160" i="5"/>
  <c r="L160" i="5" s="1"/>
  <c r="O160" i="5" s="1"/>
  <c r="E160" i="5"/>
  <c r="P159" i="5"/>
  <c r="S159" i="5" s="1"/>
  <c r="I159" i="5"/>
  <c r="L159" i="5" s="1"/>
  <c r="O159" i="5" s="1"/>
  <c r="E159" i="5"/>
  <c r="S158" i="5"/>
  <c r="I158" i="5"/>
  <c r="L158" i="5" s="1"/>
  <c r="O158" i="5" s="1"/>
  <c r="C158" i="5"/>
  <c r="E158" i="5" s="1"/>
  <c r="P157" i="5"/>
  <c r="S157" i="5" s="1"/>
  <c r="I157" i="5"/>
  <c r="L157" i="5" s="1"/>
  <c r="O157" i="5" s="1"/>
  <c r="C157" i="5"/>
  <c r="E157" i="5" s="1"/>
  <c r="T159" i="5" l="1"/>
  <c r="U159" i="5" s="1"/>
  <c r="T161" i="5"/>
  <c r="U161" i="5" s="1"/>
  <c r="T160" i="5"/>
  <c r="U160" i="5" s="1"/>
  <c r="T157" i="5"/>
  <c r="U157" i="5" s="1"/>
  <c r="T158" i="5"/>
  <c r="U158" i="5" s="1"/>
  <c r="P18" i="7" l="1"/>
  <c r="S18" i="7" s="1"/>
  <c r="L18" i="7"/>
  <c r="O18" i="7" s="1"/>
  <c r="E18" i="7"/>
  <c r="P56" i="6"/>
  <c r="I56" i="6"/>
  <c r="C56" i="6"/>
  <c r="B56" i="6"/>
  <c r="P55" i="6"/>
  <c r="I55" i="6"/>
  <c r="O55" i="6" s="1"/>
  <c r="C55" i="6"/>
  <c r="B55" i="6"/>
  <c r="P54" i="6"/>
  <c r="O54" i="6"/>
  <c r="E54" i="6"/>
  <c r="Q53" i="6"/>
  <c r="P53" i="6"/>
  <c r="G53" i="6"/>
  <c r="O53" i="6" s="1"/>
  <c r="C53" i="6"/>
  <c r="B53" i="6"/>
  <c r="T18" i="7" l="1"/>
  <c r="U18" i="7" s="1"/>
  <c r="T54" i="6"/>
  <c r="U54" i="6" s="1"/>
  <c r="T53" i="6"/>
  <c r="E56" i="6"/>
  <c r="E53" i="6"/>
  <c r="E55" i="6"/>
  <c r="T55" i="6"/>
  <c r="T56" i="6"/>
  <c r="U55" i="6" l="1"/>
  <c r="U53" i="6"/>
  <c r="P156" i="5" l="1"/>
  <c r="S156" i="5" s="1"/>
  <c r="I156" i="5"/>
  <c r="L156" i="5" s="1"/>
  <c r="O156" i="5" s="1"/>
  <c r="C156" i="5"/>
  <c r="B156" i="5"/>
  <c r="P155" i="5"/>
  <c r="S155" i="5" s="1"/>
  <c r="I155" i="5"/>
  <c r="L155" i="5" s="1"/>
  <c r="O155" i="5" s="1"/>
  <c r="C155" i="5"/>
  <c r="B155" i="5"/>
  <c r="P154" i="5"/>
  <c r="S154" i="5" s="1"/>
  <c r="I154" i="5"/>
  <c r="L154" i="5" s="1"/>
  <c r="O154" i="5" s="1"/>
  <c r="C154" i="5"/>
  <c r="B154" i="5"/>
  <c r="P153" i="5"/>
  <c r="S153" i="5" s="1"/>
  <c r="I153" i="5"/>
  <c r="L153" i="5" s="1"/>
  <c r="O153" i="5" s="1"/>
  <c r="C153" i="5"/>
  <c r="B153" i="5"/>
  <c r="P152" i="5"/>
  <c r="S152" i="5" s="1"/>
  <c r="I152" i="5"/>
  <c r="L152" i="5" s="1"/>
  <c r="O152" i="5" s="1"/>
  <c r="C152" i="5"/>
  <c r="B152" i="5"/>
  <c r="P151" i="5"/>
  <c r="S151" i="5" s="1"/>
  <c r="I151" i="5"/>
  <c r="L151" i="5" s="1"/>
  <c r="O151" i="5" s="1"/>
  <c r="C151" i="5"/>
  <c r="E151" i="5" s="1"/>
  <c r="P150" i="5"/>
  <c r="S150" i="5" s="1"/>
  <c r="L150" i="5"/>
  <c r="O150" i="5" s="1"/>
  <c r="E150" i="5"/>
  <c r="P149" i="5"/>
  <c r="S149" i="5" s="1"/>
  <c r="L149" i="5"/>
  <c r="O149" i="5" s="1"/>
  <c r="C149" i="5"/>
  <c r="B149" i="5"/>
  <c r="P148" i="5"/>
  <c r="S148" i="5" s="1"/>
  <c r="G148" i="5"/>
  <c r="L148" i="5" s="1"/>
  <c r="O148" i="5" s="1"/>
  <c r="C148" i="5"/>
  <c r="B148" i="5"/>
  <c r="Q147" i="5"/>
  <c r="P147" i="5"/>
  <c r="G147" i="5"/>
  <c r="L147" i="5" s="1"/>
  <c r="O147" i="5" s="1"/>
  <c r="C147" i="5"/>
  <c r="B147" i="5"/>
  <c r="P146" i="5"/>
  <c r="S146" i="5" s="1"/>
  <c r="G146" i="5"/>
  <c r="L146" i="5" s="1"/>
  <c r="O146" i="5" s="1"/>
  <c r="C146" i="5"/>
  <c r="B146" i="5"/>
  <c r="P145" i="5"/>
  <c r="S145" i="5" s="1"/>
  <c r="G145" i="5"/>
  <c r="L145" i="5" s="1"/>
  <c r="O145" i="5" s="1"/>
  <c r="C145" i="5"/>
  <c r="B145" i="5"/>
  <c r="T148" i="5" l="1"/>
  <c r="E155" i="5"/>
  <c r="S147" i="5"/>
  <c r="T147" i="5" s="1"/>
  <c r="E152" i="5"/>
  <c r="T150" i="5"/>
  <c r="U150" i="5" s="1"/>
  <c r="E145" i="5"/>
  <c r="T153" i="5"/>
  <c r="T155" i="5"/>
  <c r="U155" i="5" s="1"/>
  <c r="E146" i="5"/>
  <c r="E156" i="5"/>
  <c r="T145" i="5"/>
  <c r="E149" i="5"/>
  <c r="T149" i="5"/>
  <c r="E147" i="5"/>
  <c r="T152" i="5"/>
  <c r="E153" i="5"/>
  <c r="T156" i="5"/>
  <c r="E154" i="5"/>
  <c r="E148" i="5"/>
  <c r="T151" i="5"/>
  <c r="U151" i="5" s="1"/>
  <c r="T146" i="5"/>
  <c r="T154" i="5"/>
  <c r="U156" i="5" l="1"/>
  <c r="U153" i="5"/>
  <c r="U148" i="5"/>
  <c r="U146" i="5"/>
  <c r="U145" i="5"/>
  <c r="U152" i="5"/>
  <c r="U149" i="5"/>
  <c r="U154" i="5"/>
  <c r="U147" i="5"/>
  <c r="P52" i="6" l="1"/>
  <c r="G52" i="6"/>
  <c r="L52" i="6" s="1"/>
  <c r="O52" i="6" s="1"/>
  <c r="C52" i="6"/>
  <c r="B52" i="6"/>
  <c r="G51" i="6"/>
  <c r="L51" i="6" s="1"/>
  <c r="O51" i="6" s="1"/>
  <c r="E51" i="6"/>
  <c r="P144" i="5"/>
  <c r="S144" i="5" s="1"/>
  <c r="G144" i="5"/>
  <c r="L144" i="5" s="1"/>
  <c r="O144" i="5" s="1"/>
  <c r="C144" i="5"/>
  <c r="B144" i="5"/>
  <c r="P143" i="5"/>
  <c r="S143" i="5" s="1"/>
  <c r="G143" i="5"/>
  <c r="L143" i="5" s="1"/>
  <c r="O143" i="5" s="1"/>
  <c r="C143" i="5"/>
  <c r="B143" i="5"/>
  <c r="S142" i="5"/>
  <c r="G142" i="5"/>
  <c r="L142" i="5" s="1"/>
  <c r="O142" i="5" s="1"/>
  <c r="C142" i="5"/>
  <c r="B142" i="5"/>
  <c r="S141" i="5"/>
  <c r="G141" i="5"/>
  <c r="L141" i="5" s="1"/>
  <c r="O141" i="5" s="1"/>
  <c r="E141" i="5"/>
  <c r="S140" i="5"/>
  <c r="L140" i="5"/>
  <c r="O140" i="5" s="1"/>
  <c r="E140" i="5"/>
  <c r="S139" i="5"/>
  <c r="L139" i="5"/>
  <c r="O139" i="5" s="1"/>
  <c r="E139" i="5"/>
  <c r="T142" i="5" l="1"/>
  <c r="T141" i="5"/>
  <c r="U141" i="5" s="1"/>
  <c r="T143" i="5"/>
  <c r="T140" i="5"/>
  <c r="U140" i="5" s="1"/>
  <c r="E52" i="6"/>
  <c r="T51" i="6"/>
  <c r="U51" i="6" s="1"/>
  <c r="T52" i="6"/>
  <c r="T139" i="5"/>
  <c r="U139" i="5" s="1"/>
  <c r="E142" i="5"/>
  <c r="E144" i="5"/>
  <c r="E143" i="5"/>
  <c r="T144" i="5"/>
  <c r="U143" i="5" l="1"/>
  <c r="U142" i="5"/>
  <c r="U144" i="5"/>
  <c r="U52" i="6"/>
  <c r="L50" i="6" l="1"/>
  <c r="O50" i="6" s="1"/>
  <c r="E50" i="6"/>
  <c r="S49" i="6"/>
  <c r="L49" i="6"/>
  <c r="O49" i="6" s="1"/>
  <c r="E49" i="6"/>
  <c r="S48" i="6"/>
  <c r="L48" i="6"/>
  <c r="O48" i="6" s="1"/>
  <c r="E48" i="6"/>
  <c r="S47" i="6"/>
  <c r="L47" i="6"/>
  <c r="O47" i="6" s="1"/>
  <c r="E47" i="6"/>
  <c r="E127" i="5"/>
  <c r="E128" i="5"/>
  <c r="E129" i="5"/>
  <c r="E130" i="5"/>
  <c r="E131" i="5"/>
  <c r="E132" i="5"/>
  <c r="E133" i="5"/>
  <c r="E134" i="5"/>
  <c r="E135" i="5"/>
  <c r="E136" i="5"/>
  <c r="E137" i="5"/>
  <c r="E138" i="5"/>
  <c r="L127" i="5"/>
  <c r="O127" i="5" s="1"/>
  <c r="L128" i="5"/>
  <c r="O128" i="5" s="1"/>
  <c r="L129" i="5"/>
  <c r="O129" i="5" s="1"/>
  <c r="L130" i="5"/>
  <c r="O130" i="5" s="1"/>
  <c r="L131" i="5"/>
  <c r="O131" i="5" s="1"/>
  <c r="L132" i="5"/>
  <c r="O132" i="5" s="1"/>
  <c r="L133" i="5"/>
  <c r="O133" i="5" s="1"/>
  <c r="L134" i="5"/>
  <c r="O134" i="5" s="1"/>
  <c r="L135" i="5"/>
  <c r="O135" i="5" s="1"/>
  <c r="L136" i="5"/>
  <c r="O136" i="5" s="1"/>
  <c r="L137" i="5"/>
  <c r="O137" i="5" s="1"/>
  <c r="L138" i="5"/>
  <c r="O138" i="5" s="1"/>
  <c r="S127" i="5"/>
  <c r="S128" i="5"/>
  <c r="S129" i="5"/>
  <c r="S130" i="5"/>
  <c r="S131" i="5"/>
  <c r="S132" i="5"/>
  <c r="S133" i="5"/>
  <c r="S134" i="5"/>
  <c r="S135" i="5"/>
  <c r="S136" i="5"/>
  <c r="S137" i="5"/>
  <c r="S138" i="5"/>
  <c r="T127" i="5" l="1"/>
  <c r="U127" i="5" s="1"/>
  <c r="T49" i="6"/>
  <c r="U49" i="6" s="1"/>
  <c r="T50" i="6"/>
  <c r="U50" i="6" s="1"/>
  <c r="T48" i="6"/>
  <c r="U48" i="6" s="1"/>
  <c r="T47" i="6"/>
  <c r="U47" i="6" s="1"/>
  <c r="T130" i="5"/>
  <c r="U130" i="5" s="1"/>
  <c r="T131" i="5"/>
  <c r="U131" i="5" s="1"/>
  <c r="T135" i="5"/>
  <c r="U135" i="5" s="1"/>
  <c r="T138" i="5"/>
  <c r="U138" i="5" s="1"/>
  <c r="T137" i="5"/>
  <c r="U137" i="5" s="1"/>
  <c r="T129" i="5"/>
  <c r="U129" i="5" s="1"/>
  <c r="T132" i="5"/>
  <c r="U132" i="5" s="1"/>
  <c r="T128" i="5"/>
  <c r="U128" i="5" s="1"/>
  <c r="T136" i="5"/>
  <c r="U136" i="5" s="1"/>
  <c r="T134" i="5"/>
  <c r="U134" i="5" s="1"/>
  <c r="T133" i="5"/>
  <c r="U133" i="5" s="1"/>
  <c r="S17" i="7" l="1"/>
  <c r="L17" i="7"/>
  <c r="O17" i="7" s="1"/>
  <c r="E17" i="7"/>
  <c r="Q16" i="7"/>
  <c r="P16" i="7"/>
  <c r="G16" i="7"/>
  <c r="L16" i="7" s="1"/>
  <c r="O16" i="7" s="1"/>
  <c r="C16" i="7"/>
  <c r="E16" i="7" s="1"/>
  <c r="S16" i="7" l="1"/>
  <c r="T16" i="7" s="1"/>
  <c r="U16" i="7" s="1"/>
  <c r="T17" i="7"/>
  <c r="U17" i="7" s="1"/>
  <c r="S46" i="6" l="1"/>
  <c r="L46" i="6"/>
  <c r="O46" i="6" s="1"/>
  <c r="E46" i="6"/>
  <c r="S126" i="5"/>
  <c r="L126" i="5"/>
  <c r="O126" i="5" s="1"/>
  <c r="E126" i="5"/>
  <c r="T46" i="6" l="1"/>
  <c r="U46" i="6" s="1"/>
  <c r="T126" i="5"/>
  <c r="U126" i="5" s="1"/>
  <c r="S15" i="7" l="1"/>
  <c r="L15" i="7"/>
  <c r="O15" i="7" s="1"/>
  <c r="E15" i="7"/>
  <c r="S14" i="7"/>
  <c r="L14" i="7"/>
  <c r="O14" i="7" s="1"/>
  <c r="E14" i="7"/>
  <c r="S13" i="7"/>
  <c r="L13" i="7"/>
  <c r="O13" i="7" s="1"/>
  <c r="E13" i="7"/>
  <c r="S12" i="7"/>
  <c r="L12" i="7"/>
  <c r="O12" i="7" s="1"/>
  <c r="E12" i="7"/>
  <c r="S11" i="7"/>
  <c r="L11" i="7"/>
  <c r="O11" i="7" s="1"/>
  <c r="E11" i="7"/>
  <c r="S10" i="7"/>
  <c r="L10" i="7"/>
  <c r="O10" i="7" s="1"/>
  <c r="E10" i="7"/>
  <c r="S9" i="7"/>
  <c r="L9" i="7"/>
  <c r="O9" i="7" s="1"/>
  <c r="E9" i="7"/>
  <c r="S8" i="7"/>
  <c r="L8" i="7"/>
  <c r="O8" i="7" s="1"/>
  <c r="E8" i="7"/>
  <c r="S7" i="7"/>
  <c r="L7" i="7"/>
  <c r="O7" i="7" s="1"/>
  <c r="E7" i="7"/>
  <c r="S45" i="6"/>
  <c r="L45" i="6"/>
  <c r="O45" i="6" s="1"/>
  <c r="E45" i="6"/>
  <c r="S44" i="6"/>
  <c r="L44" i="6"/>
  <c r="O44" i="6" s="1"/>
  <c r="E44" i="6"/>
  <c r="S43" i="6"/>
  <c r="L43" i="6"/>
  <c r="O43" i="6" s="1"/>
  <c r="E43" i="6"/>
  <c r="S42" i="6"/>
  <c r="L42" i="6"/>
  <c r="O42" i="6" s="1"/>
  <c r="E42" i="6"/>
  <c r="S41" i="6"/>
  <c r="L41" i="6"/>
  <c r="O41" i="6" s="1"/>
  <c r="E41" i="6"/>
  <c r="S40" i="6"/>
  <c r="L40" i="6"/>
  <c r="O40" i="6" s="1"/>
  <c r="E40" i="6"/>
  <c r="S39" i="6"/>
  <c r="L39" i="6"/>
  <c r="O39" i="6" s="1"/>
  <c r="E39" i="6"/>
  <c r="S38" i="6"/>
  <c r="L38" i="6"/>
  <c r="O38" i="6" s="1"/>
  <c r="E38" i="6"/>
  <c r="S37" i="6"/>
  <c r="L37" i="6"/>
  <c r="O37" i="6" s="1"/>
  <c r="E37" i="6"/>
  <c r="S36" i="6"/>
  <c r="L36" i="6"/>
  <c r="O36" i="6" s="1"/>
  <c r="E36" i="6"/>
  <c r="S35" i="6"/>
  <c r="L35" i="6"/>
  <c r="O35" i="6" s="1"/>
  <c r="E35" i="6"/>
  <c r="S34" i="6"/>
  <c r="L34" i="6"/>
  <c r="O34" i="6" s="1"/>
  <c r="E34" i="6"/>
  <c r="S33" i="6"/>
  <c r="L33" i="6"/>
  <c r="O33" i="6" s="1"/>
  <c r="E33" i="6"/>
  <c r="S32" i="6"/>
  <c r="L32" i="6"/>
  <c r="O32" i="6" s="1"/>
  <c r="E32" i="6"/>
  <c r="S31" i="6"/>
  <c r="L31" i="6"/>
  <c r="O31" i="6" s="1"/>
  <c r="E31" i="6"/>
  <c r="S30" i="6"/>
  <c r="L30" i="6"/>
  <c r="O30" i="6" s="1"/>
  <c r="E30" i="6"/>
  <c r="S29" i="6"/>
  <c r="L29" i="6"/>
  <c r="O29" i="6" s="1"/>
  <c r="E29" i="6"/>
  <c r="S28" i="6"/>
  <c r="L28" i="6"/>
  <c r="O28" i="6" s="1"/>
  <c r="E28" i="6"/>
  <c r="S27" i="6"/>
  <c r="L27" i="6"/>
  <c r="O27" i="6" s="1"/>
  <c r="E27" i="6"/>
  <c r="S26" i="6"/>
  <c r="L26" i="6"/>
  <c r="O26" i="6" s="1"/>
  <c r="E26" i="6"/>
  <c r="S25" i="6"/>
  <c r="L25" i="6"/>
  <c r="O25" i="6" s="1"/>
  <c r="E25" i="6"/>
  <c r="S24" i="6"/>
  <c r="L24" i="6"/>
  <c r="O24" i="6" s="1"/>
  <c r="E24" i="6"/>
  <c r="S23" i="6"/>
  <c r="L23" i="6"/>
  <c r="O23" i="6" s="1"/>
  <c r="E23" i="6"/>
  <c r="S22" i="6"/>
  <c r="L22" i="6"/>
  <c r="O22" i="6" s="1"/>
  <c r="E22" i="6"/>
  <c r="S21" i="6"/>
  <c r="L21" i="6"/>
  <c r="O21" i="6" s="1"/>
  <c r="E21" i="6"/>
  <c r="S20" i="6"/>
  <c r="L20" i="6"/>
  <c r="O20" i="6" s="1"/>
  <c r="E20" i="6"/>
  <c r="S19" i="6"/>
  <c r="L19" i="6"/>
  <c r="O19" i="6" s="1"/>
  <c r="E19" i="6"/>
  <c r="S18" i="6"/>
  <c r="L18" i="6"/>
  <c r="O18" i="6" s="1"/>
  <c r="E18" i="6"/>
  <c r="S17" i="6"/>
  <c r="L17" i="6"/>
  <c r="O17" i="6" s="1"/>
  <c r="E17" i="6"/>
  <c r="S16" i="6"/>
  <c r="L16" i="6"/>
  <c r="O16" i="6" s="1"/>
  <c r="E16" i="6"/>
  <c r="S15" i="6"/>
  <c r="L15" i="6"/>
  <c r="O15" i="6" s="1"/>
  <c r="E15" i="6"/>
  <c r="S14" i="6"/>
  <c r="L14" i="6"/>
  <c r="O14" i="6" s="1"/>
  <c r="E14" i="6"/>
  <c r="S13" i="6"/>
  <c r="L13" i="6"/>
  <c r="O13" i="6" s="1"/>
  <c r="E13" i="6"/>
  <c r="S12" i="6"/>
  <c r="L12" i="6"/>
  <c r="O12" i="6" s="1"/>
  <c r="E12" i="6"/>
  <c r="S11" i="6"/>
  <c r="L11" i="6"/>
  <c r="O11" i="6" s="1"/>
  <c r="E11" i="6"/>
  <c r="S10" i="6"/>
  <c r="L10" i="6"/>
  <c r="O10" i="6" s="1"/>
  <c r="E10" i="6"/>
  <c r="S9" i="6"/>
  <c r="L9" i="6"/>
  <c r="O9" i="6" s="1"/>
  <c r="E9" i="6"/>
  <c r="S8" i="6"/>
  <c r="L8" i="6"/>
  <c r="O8" i="6" s="1"/>
  <c r="E8" i="6"/>
  <c r="S7" i="6"/>
  <c r="L7" i="6"/>
  <c r="O7" i="6" s="1"/>
  <c r="E7" i="6"/>
  <c r="T14" i="7" l="1"/>
  <c r="U14" i="7" s="1"/>
  <c r="T10" i="7"/>
  <c r="U10" i="7" s="1"/>
  <c r="T8" i="7"/>
  <c r="U8" i="7" s="1"/>
  <c r="T12" i="7"/>
  <c r="U12" i="7" s="1"/>
  <c r="T7" i="7"/>
  <c r="U7" i="7" s="1"/>
  <c r="T11" i="7"/>
  <c r="U11" i="7" s="1"/>
  <c r="T15" i="7"/>
  <c r="U15" i="7" s="1"/>
  <c r="T9" i="7"/>
  <c r="U9" i="7" s="1"/>
  <c r="T13" i="7"/>
  <c r="U13" i="7" s="1"/>
  <c r="T33" i="6"/>
  <c r="U33" i="6" s="1"/>
  <c r="T20" i="6"/>
  <c r="U20" i="6" s="1"/>
  <c r="T29" i="6"/>
  <c r="U29" i="6" s="1"/>
  <c r="T22" i="6"/>
  <c r="U22" i="6" s="1"/>
  <c r="T30" i="6"/>
  <c r="U30" i="6" s="1"/>
  <c r="T34" i="6"/>
  <c r="U34" i="6" s="1"/>
  <c r="T40" i="6"/>
  <c r="U40" i="6" s="1"/>
  <c r="T14" i="6"/>
  <c r="U14" i="6" s="1"/>
  <c r="T24" i="6"/>
  <c r="U24" i="6" s="1"/>
  <c r="T15" i="6"/>
  <c r="U15" i="6" s="1"/>
  <c r="T10" i="6"/>
  <c r="U10" i="6" s="1"/>
  <c r="T23" i="6"/>
  <c r="U23" i="6" s="1"/>
  <c r="T42" i="6"/>
  <c r="U42" i="6" s="1"/>
  <c r="T27" i="6"/>
  <c r="U27" i="6" s="1"/>
  <c r="T19" i="6"/>
  <c r="U19" i="6" s="1"/>
  <c r="T38" i="6"/>
  <c r="U38" i="6" s="1"/>
  <c r="T45" i="6"/>
  <c r="U45" i="6" s="1"/>
  <c r="T11" i="6"/>
  <c r="U11" i="6" s="1"/>
  <c r="T43" i="6"/>
  <c r="U43" i="6" s="1"/>
  <c r="T7" i="6"/>
  <c r="U7" i="6" s="1"/>
  <c r="T12" i="6"/>
  <c r="U12" i="6" s="1"/>
  <c r="T21" i="6"/>
  <c r="U21" i="6" s="1"/>
  <c r="T26" i="6"/>
  <c r="U26" i="6" s="1"/>
  <c r="T39" i="6"/>
  <c r="U39" i="6" s="1"/>
  <c r="T35" i="6"/>
  <c r="U35" i="6" s="1"/>
  <c r="T18" i="6"/>
  <c r="U18" i="6" s="1"/>
  <c r="T31" i="6"/>
  <c r="U31" i="6" s="1"/>
  <c r="T8" i="6"/>
  <c r="U8" i="6" s="1"/>
  <c r="T13" i="6"/>
  <c r="U13" i="6" s="1"/>
  <c r="T9" i="6"/>
  <c r="U9" i="6" s="1"/>
  <c r="T32" i="6"/>
  <c r="U32" i="6" s="1"/>
  <c r="T41" i="6"/>
  <c r="U41" i="6" s="1"/>
  <c r="T36" i="6"/>
  <c r="U36" i="6" s="1"/>
  <c r="T28" i="6"/>
  <c r="U28" i="6" s="1"/>
  <c r="T37" i="6"/>
  <c r="U37" i="6" s="1"/>
  <c r="T17" i="6"/>
  <c r="U17" i="6" s="1"/>
  <c r="T16" i="6"/>
  <c r="U16" i="6" s="1"/>
  <c r="T25" i="6"/>
  <c r="U25" i="6" s="1"/>
  <c r="T44" i="6"/>
  <c r="U44" i="6" s="1"/>
  <c r="E125" i="5" l="1"/>
  <c r="L121" i="5"/>
  <c r="O121" i="5" s="1"/>
  <c r="L122" i="5"/>
  <c r="L123" i="5"/>
  <c r="O123" i="5" s="1"/>
  <c r="L124" i="5"/>
  <c r="O124" i="5" s="1"/>
  <c r="L125" i="5"/>
  <c r="O125" i="5" s="1"/>
  <c r="O122" i="5"/>
  <c r="S122" i="5"/>
  <c r="S123" i="5"/>
  <c r="S124" i="5"/>
  <c r="S125" i="5"/>
  <c r="T122" i="5" l="1"/>
  <c r="T125" i="5"/>
  <c r="T124" i="5"/>
  <c r="T123" i="5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7" i="5"/>
  <c r="L100" i="5" l="1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S115" i="5" l="1"/>
  <c r="S116" i="5"/>
  <c r="S117" i="5"/>
  <c r="S118" i="5"/>
  <c r="S119" i="5"/>
  <c r="S120" i="5"/>
  <c r="S121" i="5"/>
  <c r="S106" i="5"/>
  <c r="S107" i="5"/>
  <c r="S108" i="5"/>
  <c r="S109" i="5"/>
  <c r="S110" i="5"/>
  <c r="S111" i="5"/>
  <c r="S112" i="5"/>
  <c r="S113" i="5"/>
  <c r="S114" i="5"/>
  <c r="O106" i="5"/>
  <c r="O107" i="5"/>
  <c r="O108" i="5"/>
  <c r="O109" i="5"/>
  <c r="O110" i="5"/>
  <c r="O111" i="5"/>
  <c r="O112" i="5"/>
  <c r="O113" i="5"/>
  <c r="O114" i="5"/>
  <c r="O103" i="5"/>
  <c r="O104" i="5"/>
  <c r="O105" i="5"/>
  <c r="L56" i="5"/>
  <c r="L57" i="5"/>
  <c r="L58" i="5"/>
  <c r="L59" i="5"/>
  <c r="L60" i="5"/>
  <c r="L61" i="5"/>
  <c r="L62" i="5"/>
  <c r="L63" i="5"/>
  <c r="L64" i="5"/>
  <c r="L65" i="5"/>
  <c r="L66" i="5"/>
  <c r="O66" i="5" s="1"/>
  <c r="L67" i="5"/>
  <c r="O67" i="5" s="1"/>
  <c r="L68" i="5"/>
  <c r="O68" i="5" s="1"/>
  <c r="L69" i="5"/>
  <c r="O69" i="5" s="1"/>
  <c r="L70" i="5"/>
  <c r="O70" i="5" s="1"/>
  <c r="L71" i="5"/>
  <c r="O71" i="5" s="1"/>
  <c r="L72" i="5"/>
  <c r="O72" i="5" s="1"/>
  <c r="L73" i="5"/>
  <c r="O73" i="5" s="1"/>
  <c r="L74" i="5"/>
  <c r="O74" i="5" s="1"/>
  <c r="L75" i="5"/>
  <c r="O75" i="5" s="1"/>
  <c r="L76" i="5"/>
  <c r="O76" i="5" s="1"/>
  <c r="L77" i="5"/>
  <c r="O77" i="5" s="1"/>
  <c r="L78" i="5"/>
  <c r="O78" i="5" s="1"/>
  <c r="L79" i="5"/>
  <c r="O79" i="5" s="1"/>
  <c r="L80" i="5"/>
  <c r="O80" i="5" s="1"/>
  <c r="L81" i="5"/>
  <c r="O81" i="5" s="1"/>
  <c r="L82" i="5"/>
  <c r="O82" i="5" s="1"/>
  <c r="L83" i="5"/>
  <c r="O83" i="5" s="1"/>
  <c r="L84" i="5"/>
  <c r="O84" i="5" s="1"/>
  <c r="L85" i="5"/>
  <c r="O85" i="5" s="1"/>
  <c r="L86" i="5"/>
  <c r="O86" i="5" s="1"/>
  <c r="L87" i="5"/>
  <c r="O87" i="5" s="1"/>
  <c r="L88" i="5"/>
  <c r="O88" i="5" s="1"/>
  <c r="L89" i="5"/>
  <c r="O89" i="5" s="1"/>
  <c r="L90" i="5"/>
  <c r="O90" i="5" s="1"/>
  <c r="L91" i="5"/>
  <c r="O91" i="5" s="1"/>
  <c r="L92" i="5"/>
  <c r="O92" i="5" s="1"/>
  <c r="L93" i="5"/>
  <c r="O93" i="5" s="1"/>
  <c r="L94" i="5"/>
  <c r="O94" i="5" s="1"/>
  <c r="L95" i="5"/>
  <c r="O95" i="5" s="1"/>
  <c r="L96" i="5"/>
  <c r="O96" i="5" s="1"/>
  <c r="L97" i="5"/>
  <c r="O97" i="5" s="1"/>
  <c r="L98" i="5"/>
  <c r="O98" i="5" s="1"/>
  <c r="L99" i="5"/>
  <c r="O99" i="5" s="1"/>
  <c r="O100" i="5"/>
  <c r="O102" i="5"/>
  <c r="O115" i="5"/>
  <c r="O116" i="5"/>
  <c r="O117" i="5"/>
  <c r="T117" i="5" s="1"/>
  <c r="O118" i="5"/>
  <c r="O119" i="5"/>
  <c r="O120" i="5"/>
  <c r="U124" i="5"/>
  <c r="U125" i="5"/>
  <c r="O101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T119" i="5" l="1"/>
  <c r="U119" i="5" s="1"/>
  <c r="T116" i="5"/>
  <c r="U116" i="5" s="1"/>
  <c r="T68" i="5"/>
  <c r="T79" i="5"/>
  <c r="T67" i="5"/>
  <c r="T74" i="5"/>
  <c r="T69" i="5"/>
  <c r="T77" i="5"/>
  <c r="T78" i="5"/>
  <c r="T70" i="5"/>
  <c r="U117" i="5"/>
  <c r="U123" i="5"/>
  <c r="T115" i="5"/>
  <c r="U115" i="5" s="1"/>
  <c r="U122" i="5"/>
  <c r="T118" i="5"/>
  <c r="U118" i="5" s="1"/>
  <c r="T121" i="5"/>
  <c r="U121" i="5" s="1"/>
  <c r="T120" i="5"/>
  <c r="U120" i="5" s="1"/>
  <c r="T80" i="5"/>
  <c r="T76" i="5"/>
  <c r="T75" i="5"/>
  <c r="T73" i="5"/>
  <c r="T71" i="5"/>
  <c r="T72" i="5"/>
  <c r="S105" i="5" l="1"/>
  <c r="S104" i="5"/>
  <c r="S103" i="5"/>
  <c r="S102" i="5"/>
  <c r="S101" i="5"/>
  <c r="S100" i="5"/>
  <c r="T100" i="5" s="1"/>
  <c r="S99" i="5"/>
  <c r="S98" i="5"/>
  <c r="S97" i="5"/>
  <c r="S96" i="5"/>
  <c r="S95" i="5"/>
  <c r="S94" i="5"/>
  <c r="S93" i="5"/>
  <c r="S92" i="5"/>
  <c r="T92" i="5" s="1"/>
  <c r="S91" i="5"/>
  <c r="T91" i="5" s="1"/>
  <c r="U91" i="5" s="1"/>
  <c r="S90" i="5"/>
  <c r="S89" i="5"/>
  <c r="T89" i="5" s="1"/>
  <c r="S88" i="5"/>
  <c r="T88" i="5" s="1"/>
  <c r="U88" i="5" s="1"/>
  <c r="S87" i="5"/>
  <c r="S86" i="5"/>
  <c r="T86" i="5" s="1"/>
  <c r="U86" i="5" s="1"/>
  <c r="S85" i="5"/>
  <c r="T85" i="5" s="1"/>
  <c r="U85" i="5" s="1"/>
  <c r="S84" i="5"/>
  <c r="S83" i="5"/>
  <c r="T83" i="5" s="1"/>
  <c r="S82" i="5"/>
  <c r="T82" i="5" s="1"/>
  <c r="U82" i="5" s="1"/>
  <c r="S81" i="5"/>
  <c r="T81" i="5" s="1"/>
  <c r="U81" i="5" s="1"/>
  <c r="U80" i="5"/>
  <c r="U79" i="5"/>
  <c r="S66" i="5"/>
  <c r="S65" i="5"/>
  <c r="O65" i="5"/>
  <c r="S64" i="5"/>
  <c r="O64" i="5"/>
  <c r="S63" i="5"/>
  <c r="S62" i="5"/>
  <c r="O62" i="5"/>
  <c r="S61" i="5"/>
  <c r="O61" i="5"/>
  <c r="S60" i="5"/>
  <c r="S59" i="5"/>
  <c r="O59" i="5"/>
  <c r="S58" i="5"/>
  <c r="O58" i="5"/>
  <c r="S57" i="5"/>
  <c r="S56" i="5"/>
  <c r="O56" i="5"/>
  <c r="S55" i="5"/>
  <c r="L55" i="5"/>
  <c r="O55" i="5" s="1"/>
  <c r="S54" i="5"/>
  <c r="L54" i="5"/>
  <c r="S53" i="5"/>
  <c r="L53" i="5"/>
  <c r="O53" i="5" s="1"/>
  <c r="S52" i="5"/>
  <c r="L52" i="5"/>
  <c r="O52" i="5" s="1"/>
  <c r="S51" i="5"/>
  <c r="L51" i="5"/>
  <c r="S50" i="5"/>
  <c r="L50" i="5"/>
  <c r="O50" i="5" s="1"/>
  <c r="S49" i="5"/>
  <c r="L49" i="5"/>
  <c r="O49" i="5" s="1"/>
  <c r="S48" i="5"/>
  <c r="L48" i="5"/>
  <c r="S47" i="5"/>
  <c r="L47" i="5"/>
  <c r="O47" i="5" s="1"/>
  <c r="S46" i="5"/>
  <c r="L46" i="5"/>
  <c r="O46" i="5" s="1"/>
  <c r="S45" i="5"/>
  <c r="L45" i="5"/>
  <c r="S44" i="5"/>
  <c r="L44" i="5"/>
  <c r="O44" i="5" s="1"/>
  <c r="S43" i="5"/>
  <c r="L43" i="5"/>
  <c r="O43" i="5" s="1"/>
  <c r="S42" i="5"/>
  <c r="L42" i="5"/>
  <c r="S41" i="5"/>
  <c r="L41" i="5"/>
  <c r="O41" i="5" s="1"/>
  <c r="S40" i="5"/>
  <c r="L40" i="5"/>
  <c r="O40" i="5" s="1"/>
  <c r="S39" i="5"/>
  <c r="L39" i="5"/>
  <c r="S38" i="5"/>
  <c r="L38" i="5"/>
  <c r="O38" i="5" s="1"/>
  <c r="S37" i="5"/>
  <c r="L37" i="5"/>
  <c r="O37" i="5" s="1"/>
  <c r="S36" i="5"/>
  <c r="L36" i="5"/>
  <c r="S35" i="5"/>
  <c r="L35" i="5"/>
  <c r="O35" i="5" s="1"/>
  <c r="S34" i="5"/>
  <c r="L34" i="5"/>
  <c r="O34" i="5" s="1"/>
  <c r="S33" i="5"/>
  <c r="L33" i="5"/>
  <c r="S32" i="5"/>
  <c r="L32" i="5"/>
  <c r="O32" i="5" s="1"/>
  <c r="S31" i="5"/>
  <c r="L31" i="5"/>
  <c r="O31" i="5" s="1"/>
  <c r="S30" i="5"/>
  <c r="L30" i="5"/>
  <c r="S29" i="5"/>
  <c r="L29" i="5"/>
  <c r="O29" i="5" s="1"/>
  <c r="S28" i="5"/>
  <c r="L28" i="5"/>
  <c r="O28" i="5" s="1"/>
  <c r="S27" i="5"/>
  <c r="L27" i="5"/>
  <c r="S26" i="5"/>
  <c r="L26" i="5"/>
  <c r="O26" i="5" s="1"/>
  <c r="S25" i="5"/>
  <c r="L25" i="5"/>
  <c r="O25" i="5" s="1"/>
  <c r="S24" i="5"/>
  <c r="L24" i="5"/>
  <c r="S23" i="5"/>
  <c r="L23" i="5"/>
  <c r="O23" i="5" s="1"/>
  <c r="S22" i="5"/>
  <c r="L22" i="5"/>
  <c r="O22" i="5" s="1"/>
  <c r="S21" i="5"/>
  <c r="L21" i="5"/>
  <c r="S20" i="5"/>
  <c r="L20" i="5"/>
  <c r="O20" i="5" s="1"/>
  <c r="S19" i="5"/>
  <c r="L19" i="5"/>
  <c r="O19" i="5" s="1"/>
  <c r="S18" i="5"/>
  <c r="L18" i="5"/>
  <c r="S17" i="5"/>
  <c r="L17" i="5"/>
  <c r="O17" i="5" s="1"/>
  <c r="S16" i="5"/>
  <c r="L16" i="5"/>
  <c r="O16" i="5" s="1"/>
  <c r="S15" i="5"/>
  <c r="L15" i="5"/>
  <c r="S14" i="5"/>
  <c r="L14" i="5"/>
  <c r="O14" i="5" s="1"/>
  <c r="S13" i="5"/>
  <c r="L13" i="5"/>
  <c r="O13" i="5" s="1"/>
  <c r="S12" i="5"/>
  <c r="L12" i="5"/>
  <c r="S11" i="5"/>
  <c r="L11" i="5"/>
  <c r="O11" i="5" s="1"/>
  <c r="S10" i="5"/>
  <c r="L10" i="5"/>
  <c r="O10" i="5" s="1"/>
  <c r="S9" i="5"/>
  <c r="L9" i="5"/>
  <c r="S8" i="5"/>
  <c r="L8" i="5"/>
  <c r="O8" i="5" s="1"/>
  <c r="S7" i="5"/>
  <c r="L7" i="5"/>
  <c r="O7" i="5" s="1"/>
  <c r="U89" i="5" l="1"/>
  <c r="T90" i="5"/>
  <c r="U90" i="5" s="1"/>
  <c r="T84" i="5"/>
  <c r="U84" i="5" s="1"/>
  <c r="U83" i="5"/>
  <c r="U92" i="5"/>
  <c r="T93" i="5"/>
  <c r="U93" i="5" s="1"/>
  <c r="T87" i="5"/>
  <c r="U87" i="5" s="1"/>
  <c r="O57" i="5"/>
  <c r="O12" i="5"/>
  <c r="O24" i="5"/>
  <c r="T24" i="5" s="1"/>
  <c r="O48" i="5"/>
  <c r="O27" i="5"/>
  <c r="T27" i="5" s="1"/>
  <c r="O51" i="5"/>
  <c r="O30" i="5"/>
  <c r="T30" i="5" s="1"/>
  <c r="O54" i="5"/>
  <c r="O9" i="5"/>
  <c r="O36" i="5"/>
  <c r="T36" i="5" s="1"/>
  <c r="O15" i="5"/>
  <c r="O39" i="5"/>
  <c r="T39" i="5" s="1"/>
  <c r="O63" i="5"/>
  <c r="O33" i="5"/>
  <c r="T33" i="5" s="1"/>
  <c r="O60" i="5"/>
  <c r="O42" i="5"/>
  <c r="O18" i="5"/>
  <c r="O21" i="5"/>
  <c r="O45" i="5"/>
  <c r="T109" i="5"/>
  <c r="U109" i="5" s="1"/>
  <c r="T46" i="5"/>
  <c r="U46" i="5" s="1"/>
  <c r="T7" i="5"/>
  <c r="U7" i="5" s="1"/>
  <c r="T65" i="5"/>
  <c r="U65" i="5" s="1"/>
  <c r="T19" i="5"/>
  <c r="U19" i="5" s="1"/>
  <c r="T22" i="5"/>
  <c r="U22" i="5" s="1"/>
  <c r="T8" i="5"/>
  <c r="U8" i="5" s="1"/>
  <c r="T35" i="5"/>
  <c r="U35" i="5" s="1"/>
  <c r="T59" i="5"/>
  <c r="U59" i="5" s="1"/>
  <c r="T102" i="5"/>
  <c r="T37" i="5"/>
  <c r="U37" i="5" s="1"/>
  <c r="T49" i="5"/>
  <c r="U49" i="5" s="1"/>
  <c r="T26" i="5"/>
  <c r="U26" i="5" s="1"/>
  <c r="T104" i="5"/>
  <c r="U104" i="5" s="1"/>
  <c r="T98" i="5"/>
  <c r="U98" i="5" s="1"/>
  <c r="T28" i="5"/>
  <c r="U28" i="5" s="1"/>
  <c r="T106" i="5"/>
  <c r="U106" i="5" s="1"/>
  <c r="T16" i="5"/>
  <c r="U16" i="5" s="1"/>
  <c r="T56" i="5"/>
  <c r="U56" i="5" s="1"/>
  <c r="T94" i="5"/>
  <c r="U94" i="5" s="1"/>
  <c r="T11" i="5"/>
  <c r="U11" i="5" s="1"/>
  <c r="T44" i="5"/>
  <c r="U44" i="5" s="1"/>
  <c r="T55" i="5"/>
  <c r="U55" i="5" s="1"/>
  <c r="U77" i="5"/>
  <c r="T95" i="5"/>
  <c r="U95" i="5" s="1"/>
  <c r="T38" i="5"/>
  <c r="U38" i="5" s="1"/>
  <c r="T113" i="5"/>
  <c r="U113" i="5" s="1"/>
  <c r="T34" i="5"/>
  <c r="U34" i="5" s="1"/>
  <c r="T64" i="5"/>
  <c r="U64" i="5" s="1"/>
  <c r="T53" i="5"/>
  <c r="U53" i="5" s="1"/>
  <c r="T112" i="5"/>
  <c r="U112" i="5" s="1"/>
  <c r="T23" i="5"/>
  <c r="U23" i="5" s="1"/>
  <c r="T41" i="5"/>
  <c r="U41" i="5" s="1"/>
  <c r="T52" i="5"/>
  <c r="U52" i="5" s="1"/>
  <c r="T47" i="5"/>
  <c r="U47" i="5" s="1"/>
  <c r="T14" i="5"/>
  <c r="U14" i="5" s="1"/>
  <c r="T21" i="5"/>
  <c r="T10" i="5"/>
  <c r="U10" i="5" s="1"/>
  <c r="T25" i="5"/>
  <c r="U25" i="5" s="1"/>
  <c r="T103" i="5"/>
  <c r="U103" i="5" s="1"/>
  <c r="T29" i="5"/>
  <c r="U29" i="5" s="1"/>
  <c r="T58" i="5"/>
  <c r="U58" i="5" s="1"/>
  <c r="T101" i="5"/>
  <c r="U101" i="5" s="1"/>
  <c r="T107" i="5"/>
  <c r="U107" i="5" s="1"/>
  <c r="T97" i="5"/>
  <c r="U97" i="5" s="1"/>
  <c r="T20" i="5"/>
  <c r="U20" i="5" s="1"/>
  <c r="T32" i="5"/>
  <c r="U32" i="5" s="1"/>
  <c r="T50" i="5"/>
  <c r="U50" i="5" s="1"/>
  <c r="T62" i="5"/>
  <c r="U62" i="5" s="1"/>
  <c r="T40" i="5"/>
  <c r="U40" i="5" s="1"/>
  <c r="U100" i="5"/>
  <c r="T31" i="5"/>
  <c r="U31" i="5" s="1"/>
  <c r="T43" i="5"/>
  <c r="U43" i="5" s="1"/>
  <c r="T61" i="5"/>
  <c r="U61" i="5" s="1"/>
  <c r="T110" i="5"/>
  <c r="U110" i="5" s="1"/>
  <c r="U73" i="5"/>
  <c r="U71" i="5"/>
  <c r="U74" i="5"/>
  <c r="T17" i="5"/>
  <c r="U17" i="5" s="1"/>
  <c r="U67" i="5"/>
  <c r="T13" i="5"/>
  <c r="U13" i="5" s="1"/>
  <c r="U70" i="5"/>
  <c r="U68" i="5"/>
  <c r="U76" i="5"/>
  <c r="T18" i="5" l="1"/>
  <c r="U18" i="5" s="1"/>
  <c r="T63" i="5"/>
  <c r="U63" i="5" s="1"/>
  <c r="T48" i="5"/>
  <c r="U48" i="5" s="1"/>
  <c r="T114" i="5"/>
  <c r="U114" i="5" s="1"/>
  <c r="T54" i="5"/>
  <c r="U54" i="5" s="1"/>
  <c r="T42" i="5"/>
  <c r="U42" i="5" s="1"/>
  <c r="U75" i="5"/>
  <c r="T96" i="5"/>
  <c r="T57" i="5"/>
  <c r="U57" i="5" s="1"/>
  <c r="T105" i="5"/>
  <c r="U39" i="5"/>
  <c r="U27" i="5"/>
  <c r="T111" i="5"/>
  <c r="T99" i="5"/>
  <c r="T9" i="5"/>
  <c r="T51" i="5"/>
  <c r="U30" i="5"/>
  <c r="T108" i="5"/>
  <c r="U72" i="5"/>
  <c r="T66" i="5"/>
  <c r="U36" i="5"/>
  <c r="T45" i="5"/>
  <c r="T15" i="5"/>
  <c r="U33" i="5"/>
  <c r="U21" i="5"/>
  <c r="U24" i="5"/>
  <c r="U102" i="5"/>
  <c r="T12" i="5"/>
  <c r="T60" i="5"/>
  <c r="U96" i="5" l="1"/>
  <c r="U78" i="5"/>
  <c r="U105" i="5"/>
  <c r="U66" i="5"/>
  <c r="U12" i="5"/>
  <c r="U15" i="5"/>
  <c r="U9" i="5"/>
  <c r="U45" i="5"/>
  <c r="U99" i="5"/>
  <c r="U60" i="5"/>
  <c r="U111" i="5"/>
  <c r="U69" i="5"/>
  <c r="U108" i="5"/>
  <c r="U51" i="5"/>
</calcChain>
</file>

<file path=xl/sharedStrings.xml><?xml version="1.0" encoding="utf-8"?>
<sst xmlns="http://schemas.openxmlformats.org/spreadsheetml/2006/main" count="383" uniqueCount="69">
  <si>
    <t>Total</t>
  </si>
  <si>
    <t>Avances</t>
  </si>
  <si>
    <t>-</t>
  </si>
  <si>
    <t xml:space="preserve">     AVOIRS EXTERIEURS NETS</t>
  </si>
  <si>
    <t>CREDIT INTERIEUR</t>
  </si>
  <si>
    <t>Avoirs extérieurs nets</t>
  </si>
  <si>
    <t>Créances nettes sur l'Etat</t>
  </si>
  <si>
    <t>Créances sur l'économie</t>
  </si>
  <si>
    <t>Crédit intérieur</t>
  </si>
  <si>
    <t>total actif</t>
  </si>
  <si>
    <t xml:space="preserve"> Bons et   obligations du Trésor</t>
  </si>
  <si>
    <t>Certificats du trésor</t>
  </si>
  <si>
    <t xml:space="preserve">  Autres Créances</t>
  </si>
  <si>
    <t xml:space="preserve">  Crédit  spécial</t>
  </si>
  <si>
    <t>Créances Rééchelonnées</t>
  </si>
  <si>
    <t>Total des créances</t>
  </si>
  <si>
    <t xml:space="preserve">  Créances    sur le    secteur    privé</t>
  </si>
  <si>
    <t xml:space="preserve">  Banques commerciales </t>
  </si>
  <si>
    <t>brb</t>
  </si>
  <si>
    <t xml:space="preserve">    Dépôts de l'Administration  Centrale</t>
  </si>
  <si>
    <t xml:space="preserve">   Dépôts    d'agences   gouvernementales</t>
  </si>
  <si>
    <t>Total actif</t>
  </si>
  <si>
    <t>Créances nettes à l'Etat</t>
  </si>
  <si>
    <t>Retour à la Table de Matière</t>
  </si>
  <si>
    <t>Table de Matière</t>
  </si>
  <si>
    <t>Actif de la Banque de la République</t>
  </si>
  <si>
    <t>Cliquez dans cette feuille pour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</si>
  <si>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</si>
  <si>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</si>
  <si>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</si>
  <si>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</si>
  <si>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</si>
  <si>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</si>
  <si>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</si>
  <si>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</si>
  <si>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</si>
  <si>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</si>
  <si>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</si>
  <si>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 situation monétaire données annuelles</t>
  </si>
  <si>
    <t>Actif situation monétaire.xls</t>
  </si>
  <si>
    <t>Dernière date de publication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</si>
  <si>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</si>
  <si>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</si>
  <si>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</si>
  <si>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</si>
  <si>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Source: Compilé sur base des données de la BRB, des banques commerciales, des établissements de microfinances à partir de décembre 2010 et des CCP</t>
  </si>
  <si>
    <t>Période       Rubliques</t>
  </si>
  <si>
    <t xml:space="preserve">Banques commerciales </t>
  </si>
  <si>
    <t xml:space="preserve"> Bons et obligations du Trésor</t>
  </si>
  <si>
    <t>Autres Créances</t>
  </si>
  <si>
    <t>Crédit spécial</t>
  </si>
  <si>
    <t xml:space="preserve">    Dépôts de l' Administration Centrale</t>
  </si>
  <si>
    <t xml:space="preserve">   Dépôts d'agences   gouvernementales</t>
  </si>
  <si>
    <t xml:space="preserve"> Créances sur   les sociétés à participation publique</t>
  </si>
  <si>
    <t xml:space="preserve">  Créances sur les Administrations locales</t>
  </si>
  <si>
    <t>ACTIF SITUATION MONETAIRE</t>
  </si>
  <si>
    <t xml:space="preserve">  Créances sur le secteur privé</t>
  </si>
  <si>
    <t>BRB</t>
  </si>
  <si>
    <t xml:space="preserve">   Créances sur les sociétés à participation publique</t>
  </si>
  <si>
    <t>Actif situation monétaire données mensuelles</t>
  </si>
  <si>
    <t>Actif situation monétaire données trimestrielles</t>
  </si>
  <si>
    <t xml:space="preserve">Actif situation monétaire renseigne sur les contreparties de la masse monétaire à savoir les avoirs extérieurs nets  et le crédit intérieur </t>
  </si>
  <si>
    <t>II.5.1</t>
  </si>
  <si>
    <t>Etablissements de Microfinance</t>
  </si>
  <si>
    <t>Aout-23</t>
  </si>
  <si>
    <t>Aout-24</t>
  </si>
  <si>
    <t>Aout-25</t>
  </si>
  <si>
    <t>2025</t>
  </si>
  <si>
    <t>Q1-2026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</si>
</sst>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41" formatCode="_-* #,##0\ _€_-;\-* #,##0\ _€_-;_-* &quot;-&quot;\ _€_-;_-@_-"/>
    <numFmt numFmtId="43" formatCode="_-* #,##0.00\ _€_-;\-* #,##0.00\ _€_-;_-* &quot;-&quot;??\ _€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.0_);\(#,##0.0\)"/>
    <numFmt numFmtId="169" formatCode="0.0_)"/>
    <numFmt numFmtId="170" formatCode="#,##0.0"/>
    <numFmt numFmtId="171" formatCode="[$-409]dd\-mmm\-yy;@"/>
    <numFmt numFmtId="172" formatCode="_-* #,##0.00\ &quot;F&quot;_-;\-* #,##0.00\ &quot;F&quot;_-;_-* &quot;-&quot;??\ &quot;F&quot;_-;_-@_-"/>
    <numFmt numFmtId="173" formatCode="_-* #,##0.00\ _F_-;\-* #,##0.00\ _F_-;_-* &quot;-&quot;??\ _F_-;_-@_-"/>
    <numFmt numFmtId="174" formatCode="0_)"/>
    <numFmt numFmtId="175" formatCode="General_)"/>
    <numFmt numFmtId="176" formatCode="0.0"/>
    <numFmt numFmtId="177" formatCode="&quot;   &quot;@"/>
    <numFmt numFmtId="178" formatCode="&quot;      &quot;@"/>
    <numFmt numFmtId="179" formatCode="&quot;         &quot;@"/>
    <numFmt numFmtId="180" formatCode="&quot;            &quot;@"/>
    <numFmt numFmtId="181" formatCode="&quot;               &quot;@"/>
    <numFmt numFmtId="182" formatCode="#,##0;[Red]\(#,##0\)"/>
    <numFmt numFmtId="183" formatCode="_ * #,##0.00_ ;_ * \-#,##0.00_ ;_ * &quot;-&quot;??_ ;_ @_ "/>
    <numFmt numFmtId="184" formatCode="_-[$€-2]* #,##0.00_-;\-[$€-2]* #,##0.00_-;_-[$€-2]* &quot;-&quot;??_-"/>
    <numFmt numFmtId="185" formatCode="_-* #,##0.00\ [$€]_-;\-* #,##0.00\ [$€]_-;_-* &quot;-&quot;??\ [$€]_-;_-@_-"/>
    <numFmt numFmtId="186" formatCode="#,#00"/>
    <numFmt numFmtId="187" formatCode="#,"/>
    <numFmt numFmtId="188" formatCode="&quot;Cr$&quot;#,##0_);[Red]\(&quot;Cr$&quot;#,##0\)"/>
    <numFmt numFmtId="189" formatCode="&quot;Cr$&quot;#,##0.00_);[Red]\(&quot;Cr$&quot;#,##0.00\)"/>
    <numFmt numFmtId="190" formatCode="\$#,"/>
    <numFmt numFmtId="191" formatCode="&quot;$&quot;#,#00"/>
    <numFmt numFmtId="192" formatCode="&quot;$&quot;#,"/>
    <numFmt numFmtId="193" formatCode="[&gt;=0.05]#,##0.0;[&lt;=-0.05]\-#,##0.0;?\-\-"/>
  </numFmts>
  <fonts count="58">
    <font>
      <sz val="12"/>
      <name val="Helv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2"/>
      <color rgb="FF0070C0"/>
      <name val="Garamond"/>
      <family val="1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 "/>
    </font>
    <font>
      <sz val="14"/>
      <name val="Calibri 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2">
    <xf numFmtId="169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8" fontId="18" fillId="0" borderId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3" fillId="0" borderId="8">
      <protection hidden="1"/>
    </xf>
    <xf numFmtId="0" fontId="24" fillId="7" borderId="8" applyNumberFormat="0" applyFont="0" applyBorder="0" applyAlignment="0" applyProtection="0">
      <protection hidden="1"/>
    </xf>
    <xf numFmtId="0" fontId="20" fillId="0" borderId="0"/>
    <xf numFmtId="0" fontId="25" fillId="0" borderId="0"/>
    <xf numFmtId="2" fontId="26" fillId="0" borderId="0">
      <protection locked="0"/>
    </xf>
    <xf numFmtId="2" fontId="27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182" fontId="20" fillId="0" borderId="0"/>
    <xf numFmtId="0" fontId="28" fillId="8" borderId="10">
      <alignment horizontal="right" vertical="center"/>
    </xf>
    <xf numFmtId="0" fontId="29" fillId="8" borderId="10">
      <alignment horizontal="right" vertical="center"/>
    </xf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30" fillId="9" borderId="10">
      <alignment horizontal="center" vertical="center"/>
    </xf>
    <xf numFmtId="0" fontId="28" fillId="8" borderId="10">
      <alignment horizontal="right" vertical="center"/>
    </xf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31" fillId="8" borderId="10">
      <alignment horizontal="left" vertical="center"/>
    </xf>
    <xf numFmtId="0" fontId="31" fillId="8" borderId="20">
      <alignment vertical="center"/>
    </xf>
    <xf numFmtId="0" fontId="32" fillId="8" borderId="21">
      <alignment vertical="center"/>
    </xf>
    <xf numFmtId="0" fontId="31" fillId="8" borderId="10"/>
    <xf numFmtId="0" fontId="29" fillId="8" borderId="10">
      <alignment horizontal="right" vertical="center"/>
    </xf>
    <xf numFmtId="0" fontId="33" fillId="10" borderId="10">
      <alignment horizontal="left" vertical="center"/>
    </xf>
    <xf numFmtId="0" fontId="33" fillId="10" borderId="10">
      <alignment horizontal="left" vertical="center"/>
    </xf>
    <xf numFmtId="0" fontId="34" fillId="8" borderId="10">
      <alignment horizontal="left" vertical="center"/>
    </xf>
    <xf numFmtId="0" fontId="35" fillId="8" borderId="19"/>
    <xf numFmtId="0" fontId="30" fillId="11" borderId="10">
      <alignment horizontal="left" vertical="center"/>
    </xf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54" fillId="6" borderId="22" applyNumberFormat="0" applyFont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2" fontId="26" fillId="0" borderId="0">
      <protection locked="0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6" fontId="38" fillId="0" borderId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75" fontId="18" fillId="0" borderId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40" fillId="0" borderId="0"/>
    <xf numFmtId="0" fontId="26" fillId="0" borderId="0">
      <protection locked="0"/>
    </xf>
    <xf numFmtId="186" fontId="26" fillId="0" borderId="0">
      <protection locked="0"/>
    </xf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86" fontId="26" fillId="0" borderId="0">
      <protection locked="0"/>
    </xf>
    <xf numFmtId="38" fontId="41" fillId="11" borderId="0" applyNumberFormat="0" applyBorder="0" applyAlignment="0" applyProtection="0"/>
    <xf numFmtId="0" fontId="42" fillId="0" borderId="23" applyNumberFormat="0" applyAlignment="0" applyProtection="0">
      <alignment horizontal="left" vertical="center"/>
    </xf>
    <xf numFmtId="0" fontId="42" fillId="0" borderId="12">
      <alignment horizontal="left" vertical="center"/>
    </xf>
    <xf numFmtId="187" fontId="43" fillId="0" borderId="0">
      <protection locked="0"/>
    </xf>
    <xf numFmtId="187" fontId="43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0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10" fontId="41" fillId="8" borderId="10" applyNumberFormat="0" applyBorder="0" applyAlignment="0" applyProtection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8">
      <alignment horizontal="left"/>
      <protection locked="0"/>
    </xf>
    <xf numFmtId="1" fontId="36" fillId="0" borderId="0" applyNumberFormat="0" applyAlignment="0">
      <alignment horizontal="center"/>
    </xf>
    <xf numFmtId="174" fontId="50" fillId="0" borderId="0" applyNumberFormat="0">
      <alignment horizontal="centerContinuous"/>
    </xf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8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0" fillId="0" borderId="0" applyFont="0" applyFill="0" applyBorder="0" applyAlignment="0" applyProtection="0"/>
    <xf numFmtId="188" fontId="40" fillId="0" borderId="0" applyFont="0" applyFill="0" applyBorder="0" applyAlignment="0" applyProtection="0"/>
    <xf numFmtId="189" fontId="40" fillId="0" borderId="0" applyFont="0" applyFill="0" applyBorder="0" applyAlignment="0" applyProtection="0"/>
    <xf numFmtId="190" fontId="26" fillId="0" borderId="0">
      <protection locked="0"/>
    </xf>
    <xf numFmtId="166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91" fontId="26" fillId="0" borderId="0">
      <protection locked="0"/>
    </xf>
    <xf numFmtId="192" fontId="26" fillId="0" borderId="0">
      <protection locked="0"/>
    </xf>
    <xf numFmtId="0" fontId="51" fillId="0" borderId="0"/>
    <xf numFmtId="0" fontId="52" fillId="0" borderId="0"/>
    <xf numFmtId="0" fontId="18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8" fontId="18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8" fontId="18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175" fontId="18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18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9" fontId="18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0" fontId="18" fillId="0" borderId="0"/>
    <xf numFmtId="175" fontId="18" fillId="0" borderId="0"/>
    <xf numFmtId="0" fontId="18" fillId="0" borderId="0"/>
    <xf numFmtId="175" fontId="18" fillId="0" borderId="0"/>
    <xf numFmtId="0" fontId="18" fillId="0" borderId="0"/>
    <xf numFmtId="175" fontId="18" fillId="0" borderId="0"/>
    <xf numFmtId="0" fontId="18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175" fontId="18" fillId="0" borderId="0"/>
    <xf numFmtId="0" fontId="18" fillId="0" borderId="0"/>
    <xf numFmtId="175" fontId="18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7" fillId="0" borderId="0"/>
    <xf numFmtId="0" fontId="20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169" fontId="51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175" fontId="18" fillId="0" borderId="0"/>
    <xf numFmtId="175" fontId="18" fillId="0" borderId="0"/>
    <xf numFmtId="0" fontId="18" fillId="0" borderId="0"/>
    <xf numFmtId="175" fontId="18" fillId="0" borderId="0"/>
    <xf numFmtId="175" fontId="18" fillId="0" borderId="0"/>
    <xf numFmtId="0" fontId="18" fillId="0" borderId="0"/>
    <xf numFmtId="175" fontId="18" fillId="0" borderId="0"/>
    <xf numFmtId="0" fontId="20" fillId="0" borderId="0"/>
    <xf numFmtId="0" fontId="18" fillId="0" borderId="0"/>
    <xf numFmtId="175" fontId="18" fillId="0" borderId="0"/>
    <xf numFmtId="0" fontId="20" fillId="0" borderId="0"/>
    <xf numFmtId="0" fontId="18" fillId="0" borderId="0"/>
    <xf numFmtId="0" fontId="20" fillId="0" borderId="0"/>
    <xf numFmtId="175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18" fillId="0" borderId="0"/>
    <xf numFmtId="0" fontId="20" fillId="0" borderId="0"/>
    <xf numFmtId="175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175" fontId="18" fillId="0" borderId="0"/>
    <xf numFmtId="0" fontId="54" fillId="0" borderId="0"/>
    <xf numFmtId="175" fontId="18" fillId="0" borderId="0"/>
    <xf numFmtId="0" fontId="1" fillId="0" borderId="0"/>
    <xf numFmtId="0" fontId="20" fillId="0" borderId="0"/>
    <xf numFmtId="0" fontId="1" fillId="0" borderId="0"/>
    <xf numFmtId="0" fontId="54" fillId="0" borderId="0"/>
    <xf numFmtId="175" fontId="18" fillId="0" borderId="0"/>
    <xf numFmtId="0" fontId="1" fillId="0" borderId="0"/>
    <xf numFmtId="0" fontId="20" fillId="0" borderId="0"/>
    <xf numFmtId="0" fontId="1" fillId="0" borderId="0"/>
    <xf numFmtId="0" fontId="54" fillId="0" borderId="0"/>
    <xf numFmtId="175" fontId="18" fillId="0" borderId="0"/>
    <xf numFmtId="0" fontId="1" fillId="0" borderId="0"/>
    <xf numFmtId="0" fontId="1" fillId="0" borderId="0"/>
    <xf numFmtId="175" fontId="18" fillId="0" borderId="0"/>
    <xf numFmtId="0" fontId="18" fillId="0" borderId="0"/>
    <xf numFmtId="175" fontId="18" fillId="0" borderId="0"/>
    <xf numFmtId="0" fontId="54" fillId="0" borderId="0"/>
    <xf numFmtId="175" fontId="18" fillId="0" borderId="0"/>
    <xf numFmtId="0" fontId="1" fillId="0" borderId="0"/>
    <xf numFmtId="0" fontId="1" fillId="0" borderId="0"/>
    <xf numFmtId="175" fontId="18" fillId="0" borderId="0"/>
    <xf numFmtId="0" fontId="18" fillId="0" borderId="0"/>
    <xf numFmtId="175" fontId="18" fillId="0" borderId="0"/>
    <xf numFmtId="0" fontId="54" fillId="0" borderId="0"/>
    <xf numFmtId="175" fontId="18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54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54" fillId="0" borderId="0"/>
    <xf numFmtId="175" fontId="18" fillId="0" borderId="0"/>
    <xf numFmtId="175" fontId="18" fillId="0" borderId="0"/>
    <xf numFmtId="0" fontId="18" fillId="0" borderId="0"/>
    <xf numFmtId="0" fontId="20" fillId="0" borderId="0"/>
    <xf numFmtId="0" fontId="54" fillId="0" borderId="0"/>
    <xf numFmtId="175" fontId="18" fillId="0" borderId="0"/>
    <xf numFmtId="0" fontId="18" fillId="0" borderId="0"/>
    <xf numFmtId="0" fontId="20" fillId="0" borderId="0"/>
    <xf numFmtId="0" fontId="54" fillId="0" borderId="0"/>
    <xf numFmtId="175" fontId="18" fillId="0" borderId="0"/>
    <xf numFmtId="0" fontId="18" fillId="0" borderId="0"/>
    <xf numFmtId="0" fontId="20" fillId="0" borderId="0"/>
    <xf numFmtId="0" fontId="54" fillId="0" borderId="0"/>
    <xf numFmtId="175" fontId="18" fillId="0" borderId="0"/>
    <xf numFmtId="0" fontId="18" fillId="0" borderId="0"/>
    <xf numFmtId="0" fontId="20" fillId="0" borderId="0"/>
    <xf numFmtId="0" fontId="54" fillId="0" borderId="0"/>
    <xf numFmtId="175" fontId="18" fillId="0" borderId="0"/>
    <xf numFmtId="0" fontId="18" fillId="0" borderId="0"/>
    <xf numFmtId="0" fontId="20" fillId="0" borderId="0"/>
    <xf numFmtId="0" fontId="54" fillId="0" borderId="0"/>
    <xf numFmtId="175" fontId="18" fillId="0" borderId="0"/>
    <xf numFmtId="0" fontId="20" fillId="0" borderId="0"/>
    <xf numFmtId="0" fontId="54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68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54" fillId="0" borderId="0"/>
    <xf numFmtId="0" fontId="54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168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168" fontId="18" fillId="0" borderId="0"/>
    <xf numFmtId="0" fontId="20" fillId="0" borderId="0"/>
    <xf numFmtId="0" fontId="20" fillId="0" borderId="0"/>
    <xf numFmtId="0" fontId="18" fillId="0" borderId="0"/>
    <xf numFmtId="193" fontId="36" fillId="0" borderId="0" applyFill="0" applyBorder="0" applyProtection="0">
      <alignment horizontal="right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175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8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9" fontId="18" fillId="0" borderId="0"/>
    <xf numFmtId="0" fontId="20" fillId="0" borderId="0"/>
    <xf numFmtId="0" fontId="57" fillId="0" borderId="0" applyNumberFormat="0" applyBorder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9" fontId="18" fillId="0" borderId="0"/>
    <xf numFmtId="169" fontId="18" fillId="0" borderId="0"/>
    <xf numFmtId="0" fontId="20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8" fontId="18" fillId="0" borderId="0"/>
    <xf numFmtId="173" fontId="19" fillId="0" borderId="0" applyFont="0" applyFill="0" applyBorder="0" applyAlignment="0" applyProtection="0"/>
    <xf numFmtId="168" fontId="18" fillId="0" borderId="0"/>
  </cellStyleXfs>
  <cellXfs count="66">
    <xf numFmtId="169" fontId="0" fillId="0" borderId="0" xfId="0"/>
    <xf numFmtId="169" fontId="3" fillId="0" borderId="0" xfId="0" applyFont="1"/>
    <xf numFmtId="169" fontId="3" fillId="0" borderId="0" xfId="0" applyFont="1" applyAlignment="1">
      <alignment horizontal="center"/>
    </xf>
    <xf numFmtId="169" fontId="4" fillId="0" borderId="0" xfId="0" applyFont="1"/>
    <xf numFmtId="169" fontId="5" fillId="0" borderId="0" xfId="0" applyFont="1"/>
    <xf numFmtId="169" fontId="6" fillId="0" borderId="0" xfId="0" applyFont="1"/>
    <xf numFmtId="169" fontId="7" fillId="3" borderId="14" xfId="0" applyFont="1" applyFill="1" applyBorder="1"/>
    <xf numFmtId="0" fontId="9" fillId="4" borderId="0" xfId="1" applyFont="1" applyFill="1" applyAlignment="1" applyProtection="1"/>
    <xf numFmtId="169" fontId="5" fillId="4" borderId="0" xfId="0" applyFont="1" applyFill="1"/>
    <xf numFmtId="49" fontId="5" fillId="4" borderId="0" xfId="0" applyNumberFormat="1" applyFont="1" applyFill="1" applyAlignment="1">
      <alignment horizontal="right"/>
    </xf>
    <xf numFmtId="49" fontId="5" fillId="4" borderId="0" xfId="0" quotePrefix="1" applyNumberFormat="1" applyFont="1" applyFill="1" applyAlignment="1">
      <alignment horizontal="right"/>
    </xf>
    <xf numFmtId="169" fontId="10" fillId="4" borderId="15" xfId="0" applyFont="1" applyFill="1" applyBorder="1"/>
    <xf numFmtId="169" fontId="5" fillId="4" borderId="15" xfId="0" applyFont="1" applyFill="1" applyBorder="1"/>
    <xf numFmtId="171" fontId="5" fillId="0" borderId="0" xfId="0" applyNumberFormat="1" applyFont="1" applyAlignment="1">
      <alignment horizontal="left"/>
    </xf>
    <xf numFmtId="0" fontId="8" fillId="0" borderId="0" xfId="1" applyAlignment="1" applyProtection="1"/>
    <xf numFmtId="169" fontId="8" fillId="0" borderId="0" xfId="1" applyNumberFormat="1" applyAlignment="1" applyProtection="1">
      <alignment horizontal="center"/>
    </xf>
    <xf numFmtId="169" fontId="8" fillId="0" borderId="0" xfId="1" applyNumberFormat="1" applyAlignment="1" applyProtection="1"/>
    <xf numFmtId="169" fontId="12" fillId="0" borderId="7" xfId="0" applyFont="1" applyBorder="1" applyAlignment="1">
      <alignment horizontal="center"/>
    </xf>
    <xf numFmtId="169" fontId="12" fillId="0" borderId="8" xfId="0" applyFont="1" applyBorder="1" applyAlignment="1">
      <alignment horizontal="center"/>
    </xf>
    <xf numFmtId="169" fontId="12" fillId="0" borderId="9" xfId="0" applyFont="1" applyBorder="1" applyAlignment="1">
      <alignment horizontal="center"/>
    </xf>
    <xf numFmtId="169" fontId="13" fillId="0" borderId="0" xfId="0" applyFont="1" applyAlignment="1">
      <alignment horizontal="justify" vertical="center"/>
    </xf>
    <xf numFmtId="169" fontId="3" fillId="0" borderId="0" xfId="0" applyFont="1" applyBorder="1" applyAlignment="1">
      <alignment horizontal="center"/>
    </xf>
    <xf numFmtId="169" fontId="17" fillId="0" borderId="0" xfId="0" applyFont="1" applyBorder="1"/>
    <xf numFmtId="169" fontId="17" fillId="0" borderId="0" xfId="0" applyFont="1"/>
    <xf numFmtId="168" fontId="17" fillId="0" borderId="0" xfId="0" applyNumberFormat="1" applyFont="1" applyBorder="1" applyAlignment="1" applyProtection="1">
      <alignment horizontal="center"/>
    </xf>
    <xf numFmtId="168" fontId="17" fillId="0" borderId="0" xfId="0" applyNumberFormat="1" applyFont="1" applyBorder="1" applyAlignment="1" applyProtection="1">
      <alignment horizontal="fill"/>
    </xf>
    <xf numFmtId="169" fontId="16" fillId="5" borderId="10" xfId="0" applyFont="1" applyFill="1" applyBorder="1" applyAlignment="1">
      <alignment horizontal="center" vertical="center" wrapText="1"/>
    </xf>
    <xf numFmtId="168" fontId="16" fillId="5" borderId="10" xfId="0" applyNumberFormat="1" applyFont="1" applyFill="1" applyBorder="1" applyAlignment="1" applyProtection="1">
      <alignment horizontal="center" vertical="center" wrapText="1"/>
    </xf>
    <xf numFmtId="168" fontId="16" fillId="5" borderId="11" xfId="0" applyNumberFormat="1" applyFont="1" applyFill="1" applyBorder="1" applyAlignment="1" applyProtection="1">
      <alignment horizontal="center" vertical="center" wrapText="1"/>
    </xf>
    <xf numFmtId="170" fontId="15" fillId="0" borderId="10" xfId="0" applyNumberFormat="1" applyFont="1" applyFill="1" applyBorder="1" applyAlignment="1" applyProtection="1">
      <alignment horizontal="center"/>
    </xf>
    <xf numFmtId="170" fontId="15" fillId="0" borderId="10" xfId="0" quotePrefix="1" applyNumberFormat="1" applyFont="1" applyFill="1" applyBorder="1" applyAlignment="1" applyProtection="1">
      <alignment horizontal="center"/>
    </xf>
    <xf numFmtId="170" fontId="15" fillId="2" borderId="10" xfId="0" applyNumberFormat="1" applyFont="1" applyFill="1" applyBorder="1" applyAlignment="1" applyProtection="1">
      <alignment horizontal="center"/>
    </xf>
    <xf numFmtId="170" fontId="15" fillId="0" borderId="10" xfId="0" applyNumberFormat="1" applyFont="1" applyFill="1" applyBorder="1" applyAlignment="1">
      <alignment horizontal="center"/>
    </xf>
    <xf numFmtId="170" fontId="15" fillId="0" borderId="11" xfId="0" applyNumberFormat="1" applyFont="1" applyFill="1" applyBorder="1" applyAlignment="1" applyProtection="1">
      <alignment horizontal="center"/>
    </xf>
    <xf numFmtId="169" fontId="15" fillId="0" borderId="0" xfId="0" applyFont="1" applyBorder="1" applyAlignment="1">
      <alignment horizontal="center"/>
    </xf>
    <xf numFmtId="169" fontId="15" fillId="0" borderId="0" xfId="0" applyFont="1" applyAlignment="1">
      <alignment horizontal="center"/>
    </xf>
    <xf numFmtId="169" fontId="15" fillId="0" borderId="10" xfId="0" applyNumberFormat="1" applyFont="1" applyBorder="1" applyAlignment="1" applyProtection="1">
      <alignment horizontal="center"/>
    </xf>
    <xf numFmtId="0" fontId="15" fillId="2" borderId="10" xfId="0" quotePrefix="1" applyNumberFormat="1" applyFont="1" applyFill="1" applyBorder="1" applyAlignment="1" applyProtection="1">
      <alignment horizontal="left"/>
    </xf>
    <xf numFmtId="169" fontId="11" fillId="0" borderId="0" xfId="0" applyFont="1" applyBorder="1" applyAlignment="1">
      <alignment horizontal="center" wrapText="1"/>
    </xf>
    <xf numFmtId="17" fontId="15" fillId="0" borderId="10" xfId="0" applyNumberFormat="1" applyFont="1" applyFill="1" applyBorder="1" applyAlignment="1" applyProtection="1">
      <alignment horizontal="center" vertical="center"/>
    </xf>
    <xf numFmtId="17" fontId="15" fillId="0" borderId="10" xfId="0" applyNumberFormat="1" applyFont="1" applyFill="1" applyBorder="1" applyAlignment="1" applyProtection="1">
      <alignment horizontal="left" vertical="center" indent="2"/>
    </xf>
    <xf numFmtId="17" fontId="5" fillId="4" borderId="0" xfId="0" applyNumberFormat="1" applyFont="1" applyFill="1" applyAlignment="1">
      <alignment horizontal="right"/>
    </xf>
    <xf numFmtId="169" fontId="2" fillId="0" borderId="0" xfId="0" applyFont="1" applyAlignment="1">
      <alignment horizontal="center"/>
    </xf>
    <xf numFmtId="169" fontId="16" fillId="5" borderId="11" xfId="0" applyFont="1" applyFill="1" applyBorder="1" applyAlignment="1">
      <alignment horizontal="center"/>
    </xf>
    <xf numFmtId="169" fontId="16" fillId="5" borderId="12" xfId="0" applyFont="1" applyFill="1" applyBorder="1" applyAlignment="1">
      <alignment horizontal="center"/>
    </xf>
    <xf numFmtId="169" fontId="16" fillId="5" borderId="13" xfId="0" applyFont="1" applyFill="1" applyBorder="1" applyAlignment="1">
      <alignment horizontal="center"/>
    </xf>
    <xf numFmtId="169" fontId="12" fillId="0" borderId="4" xfId="0" applyFont="1" applyBorder="1" applyAlignment="1">
      <alignment horizontal="left"/>
    </xf>
    <xf numFmtId="169" fontId="12" fillId="0" borderId="5" xfId="0" applyFont="1" applyBorder="1" applyAlignment="1">
      <alignment horizontal="left"/>
    </xf>
    <xf numFmtId="169" fontId="12" fillId="0" borderId="6" xfId="0" applyFont="1" applyBorder="1" applyAlignment="1">
      <alignment horizontal="left"/>
    </xf>
    <xf numFmtId="169" fontId="12" fillId="0" borderId="1" xfId="0" applyFont="1" applyBorder="1" applyAlignment="1">
      <alignment horizontal="left"/>
    </xf>
    <xf numFmtId="169" fontId="12" fillId="0" borderId="2" xfId="0" applyFont="1" applyBorder="1" applyAlignment="1">
      <alignment horizontal="left"/>
    </xf>
    <xf numFmtId="169" fontId="12" fillId="0" borderId="3" xfId="0" applyFont="1" applyBorder="1" applyAlignment="1">
      <alignment horizontal="left"/>
    </xf>
    <xf numFmtId="169" fontId="16" fillId="5" borderId="7" xfId="0" applyFont="1" applyFill="1" applyBorder="1" applyAlignment="1">
      <alignment horizontal="center" vertical="center"/>
    </xf>
    <xf numFmtId="169" fontId="16" fillId="5" borderId="9" xfId="0" applyFont="1" applyFill="1" applyBorder="1" applyAlignment="1">
      <alignment horizontal="center" vertical="center"/>
    </xf>
    <xf numFmtId="168" fontId="16" fillId="5" borderId="7" xfId="0" applyNumberFormat="1" applyFont="1" applyFill="1" applyBorder="1" applyAlignment="1" applyProtection="1">
      <alignment horizontal="center" vertical="center"/>
    </xf>
    <xf numFmtId="168" fontId="16" fillId="5" borderId="8" xfId="0" applyNumberFormat="1" applyFont="1" applyFill="1" applyBorder="1" applyAlignment="1" applyProtection="1">
      <alignment horizontal="center" vertical="center"/>
    </xf>
    <xf numFmtId="168" fontId="16" fillId="5" borderId="9" xfId="0" applyNumberFormat="1" applyFont="1" applyFill="1" applyBorder="1" applyAlignment="1" applyProtection="1">
      <alignment horizontal="center" vertical="center"/>
    </xf>
    <xf numFmtId="168" fontId="16" fillId="5" borderId="4" xfId="0" applyNumberFormat="1" applyFont="1" applyFill="1" applyBorder="1" applyAlignment="1" applyProtection="1">
      <alignment horizontal="center"/>
    </xf>
    <xf numFmtId="168" fontId="16" fillId="5" borderId="5" xfId="0" applyNumberFormat="1" applyFont="1" applyFill="1" applyBorder="1" applyAlignment="1" applyProtection="1">
      <alignment horizontal="center"/>
    </xf>
    <xf numFmtId="168" fontId="16" fillId="5" borderId="6" xfId="0" applyNumberFormat="1" applyFont="1" applyFill="1" applyBorder="1" applyAlignment="1" applyProtection="1">
      <alignment horizontal="center"/>
    </xf>
    <xf numFmtId="168" fontId="16" fillId="5" borderId="1" xfId="0" applyNumberFormat="1" applyFont="1" applyFill="1" applyBorder="1" applyAlignment="1" applyProtection="1">
      <alignment horizontal="center"/>
    </xf>
    <xf numFmtId="168" fontId="16" fillId="5" borderId="2" xfId="0" applyNumberFormat="1" applyFont="1" applyFill="1" applyBorder="1" applyAlignment="1" applyProtection="1">
      <alignment horizontal="center"/>
    </xf>
    <xf numFmtId="168" fontId="16" fillId="5" borderId="3" xfId="0" applyNumberFormat="1" applyFont="1" applyFill="1" applyBorder="1" applyAlignment="1" applyProtection="1">
      <alignment horizontal="center"/>
    </xf>
    <xf numFmtId="169" fontId="16" fillId="5" borderId="16" xfId="0" applyFont="1" applyFill="1" applyBorder="1" applyAlignment="1">
      <alignment horizontal="center" vertical="center"/>
    </xf>
    <xf numFmtId="169" fontId="16" fillId="5" borderId="17" xfId="0" applyFont="1" applyFill="1" applyBorder="1" applyAlignment="1">
      <alignment horizontal="center" vertical="center"/>
    </xf>
    <xf numFmtId="169" fontId="16" fillId="5" borderId="18" xfId="0" applyFont="1" applyFill="1" applyBorder="1" applyAlignment="1">
      <alignment horizontal="center" vertical="center"/>
    </xf>
  </cellXfs>
  <cellStyles count="4362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10" xfId="4360"/>
    <cellStyle name="Comma 2" xfId="60"/>
    <cellStyle name="Comma 2 10" xfId="61"/>
    <cellStyle name="Comma 2 11" xfId="62"/>
    <cellStyle name="Comma 2 12" xfId="63"/>
    <cellStyle name="Comma 2 13" xfId="64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 9" xfId="278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" xfId="1" builtinId="8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 10" xfId="279"/>
    <cellStyle name="Milliers 10 2" xfId="280"/>
    <cellStyle name="Milliers 10 3" xfId="281"/>
    <cellStyle name="Milliers 11" xfId="282"/>
    <cellStyle name="Milliers 11 2" xfId="283"/>
    <cellStyle name="Milliers 11 2 10" xfId="284"/>
    <cellStyle name="Milliers 11 2 11" xfId="285"/>
    <cellStyle name="Milliers 11 2 12" xfId="286"/>
    <cellStyle name="Milliers 11 2 2" xfId="287"/>
    <cellStyle name="Milliers 11 2 3" xfId="288"/>
    <cellStyle name="Milliers 11 2 4" xfId="289"/>
    <cellStyle name="Milliers 11 2 5" xfId="290"/>
    <cellStyle name="Milliers 11 2 6" xfId="291"/>
    <cellStyle name="Milliers 11 2 7" xfId="292"/>
    <cellStyle name="Milliers 11 2 8" xfId="293"/>
    <cellStyle name="Milliers 11 2 9" xfId="294"/>
    <cellStyle name="Milliers 11 3" xfId="295"/>
    <cellStyle name="Milliers 11 3 2" xfId="296"/>
    <cellStyle name="Milliers 11 3 3" xfId="297"/>
    <cellStyle name="Milliers 11 4" xfId="298"/>
    <cellStyle name="Milliers 11 4 2" xfId="299"/>
    <cellStyle name="Milliers 11 4 3" xfId="300"/>
    <cellStyle name="Milliers 12" xfId="301"/>
    <cellStyle name="Milliers 13" xfId="302"/>
    <cellStyle name="Milliers 13 2" xfId="303"/>
    <cellStyle name="Milliers 13 2 2" xfId="304"/>
    <cellStyle name="Milliers 13 2 2 2" xfId="305"/>
    <cellStyle name="Milliers 13 2 2 3" xfId="306"/>
    <cellStyle name="Milliers 13 2 3" xfId="307"/>
    <cellStyle name="Milliers 13 3" xfId="308"/>
    <cellStyle name="Milliers 13 4" xfId="309"/>
    <cellStyle name="Milliers 13 5" xfId="310"/>
    <cellStyle name="Milliers 13 6" xfId="311"/>
    <cellStyle name="Milliers 13 7" xfId="312"/>
    <cellStyle name="Milliers 13 8" xfId="313"/>
    <cellStyle name="Milliers 13 9" xfId="314"/>
    <cellStyle name="Milliers 14" xfId="315"/>
    <cellStyle name="Milliers 15" xfId="316"/>
    <cellStyle name="Milliers 15 2" xfId="317"/>
    <cellStyle name="Milliers 15 2 2" xfId="318"/>
    <cellStyle name="Milliers 15 2 2 2" xfId="319"/>
    <cellStyle name="Milliers 15 2 2 3" xfId="320"/>
    <cellStyle name="Milliers 15 2 3" xfId="321"/>
    <cellStyle name="Milliers 15 3" xfId="322"/>
    <cellStyle name="Milliers 15 4" xfId="323"/>
    <cellStyle name="Milliers 15 5" xfId="324"/>
    <cellStyle name="Milliers 15 6" xfId="325"/>
    <cellStyle name="Milliers 15 7" xfId="326"/>
    <cellStyle name="Milliers 15 8" xfId="327"/>
    <cellStyle name="Milliers 15 9" xfId="328"/>
    <cellStyle name="Milliers 16" xfId="329"/>
    <cellStyle name="Milliers 17" xfId="330"/>
    <cellStyle name="Milliers 17 2" xfId="331"/>
    <cellStyle name="Milliers 17 2 2" xfId="332"/>
    <cellStyle name="Milliers 17 2 2 2" xfId="333"/>
    <cellStyle name="Milliers 17 2 2 3" xfId="334"/>
    <cellStyle name="Milliers 17 2 3" xfId="335"/>
    <cellStyle name="Milliers 17 3" xfId="336"/>
    <cellStyle name="Milliers 17 3 2" xfId="337"/>
    <cellStyle name="Milliers 17 3 3" xfId="338"/>
    <cellStyle name="Milliers 17 4" xfId="339"/>
    <cellStyle name="Milliers 17 4 2" xfId="340"/>
    <cellStyle name="Milliers 17 4 3" xfId="341"/>
    <cellStyle name="Milliers 17 5" xfId="342"/>
    <cellStyle name="Milliers 17 6" xfId="343"/>
    <cellStyle name="Milliers 18" xfId="344"/>
    <cellStyle name="Milliers 19" xfId="345"/>
    <cellStyle name="Milliers 2" xfId="346"/>
    <cellStyle name="Milliers 2 10" xfId="347"/>
    <cellStyle name="Milliers 2 11" xfId="348"/>
    <cellStyle name="Milliers 2 12" xfId="349"/>
    <cellStyle name="Milliers 2 13" xfId="350"/>
    <cellStyle name="Milliers 2 14" xfId="351"/>
    <cellStyle name="Milliers 2 15" xfId="352"/>
    <cellStyle name="Milliers 2 16" xfId="353"/>
    <cellStyle name="Milliers 2 17" xfId="354"/>
    <cellStyle name="Milliers 2 18" xfId="355"/>
    <cellStyle name="Milliers 2 19" xfId="356"/>
    <cellStyle name="Milliers 2 2" xfId="357"/>
    <cellStyle name="Milliers 2 2 2" xfId="358"/>
    <cellStyle name="Milliers 2 2 2 2" xfId="359"/>
    <cellStyle name="Milliers 2 2 2 3" xfId="360"/>
    <cellStyle name="Milliers 2 2 2_ACT BNDE NR" xfId="361"/>
    <cellStyle name="Milliers 2 2 3" xfId="362"/>
    <cellStyle name="Milliers 2 2 4" xfId="363"/>
    <cellStyle name="Milliers 2 2_ACT BNDE NR" xfId="364"/>
    <cellStyle name="Milliers 2 20" xfId="365"/>
    <cellStyle name="Milliers 2 21" xfId="366"/>
    <cellStyle name="Milliers 2 3" xfId="367"/>
    <cellStyle name="Milliers 2 3 2" xfId="368"/>
    <cellStyle name="Milliers 2 3_ACT FPHU NR" xfId="369"/>
    <cellStyle name="Milliers 2 4" xfId="370"/>
    <cellStyle name="Milliers 2 4 2" xfId="371"/>
    <cellStyle name="Milliers 2 4_ACT FPHU NR" xfId="372"/>
    <cellStyle name="Milliers 2 5" xfId="373"/>
    <cellStyle name="Milliers 2 5 2" xfId="374"/>
    <cellStyle name="Milliers 2 5_ACT FPHU NR" xfId="375"/>
    <cellStyle name="Milliers 2 6" xfId="376"/>
    <cellStyle name="Milliers 2 7" xfId="377"/>
    <cellStyle name="Milliers 2 8" xfId="378"/>
    <cellStyle name="Milliers 2 9" xfId="379"/>
    <cellStyle name="Milliers 2_ACT BNDE NR" xfId="380"/>
    <cellStyle name="Milliers 20" xfId="381"/>
    <cellStyle name="Milliers 20 2" xfId="382"/>
    <cellStyle name="Milliers 20 2 2" xfId="383"/>
    <cellStyle name="Milliers 20 2 3" xfId="384"/>
    <cellStyle name="Milliers 20 3" xfId="385"/>
    <cellStyle name="Milliers 21" xfId="386"/>
    <cellStyle name="Milliers 21 2" xfId="387"/>
    <cellStyle name="Milliers 21 2 2" xfId="388"/>
    <cellStyle name="Milliers 21 2 3" xfId="389"/>
    <cellStyle name="Milliers 21 3" xfId="390"/>
    <cellStyle name="Milliers 22" xfId="391"/>
    <cellStyle name="Milliers 22 2" xfId="392"/>
    <cellStyle name="Milliers 22 2 2" xfId="393"/>
    <cellStyle name="Milliers 22 2 3" xfId="394"/>
    <cellStyle name="Milliers 22 3" xfId="395"/>
    <cellStyle name="Milliers 23" xfId="396"/>
    <cellStyle name="Milliers 24" xfId="397"/>
    <cellStyle name="Milliers 24 2" xfId="398"/>
    <cellStyle name="Milliers 25" xfId="399"/>
    <cellStyle name="Milliers 26" xfId="400"/>
    <cellStyle name="Milliers 27" xfId="401"/>
    <cellStyle name="Milliers 28" xfId="402"/>
    <cellStyle name="Milliers 29" xfId="403"/>
    <cellStyle name="Milliers 3" xfId="404"/>
    <cellStyle name="Milliers 3 10" xfId="405"/>
    <cellStyle name="Milliers 3 11" xfId="406"/>
    <cellStyle name="Milliers 3 12" xfId="407"/>
    <cellStyle name="Milliers 3 13" xfId="408"/>
    <cellStyle name="Milliers 3 2" xfId="409"/>
    <cellStyle name="Milliers 3 2 2" xfId="410"/>
    <cellStyle name="Milliers 3 2 2 2" xfId="411"/>
    <cellStyle name="Milliers 3 2 2 3" xfId="412"/>
    <cellStyle name="Milliers 3 2 2 4" xfId="413"/>
    <cellStyle name="Milliers 3 2 2_ACT BNDE NR" xfId="414"/>
    <cellStyle name="Milliers 3 2 3" xfId="415"/>
    <cellStyle name="Milliers 3 2 3 2" xfId="416"/>
    <cellStyle name="Milliers 3 2 3_ACT FPHU NR" xfId="417"/>
    <cellStyle name="Milliers 3 2 4" xfId="418"/>
    <cellStyle name="Milliers 3 2 5" xfId="419"/>
    <cellStyle name="Milliers 3 2_ACT BNDE NR" xfId="420"/>
    <cellStyle name="Milliers 3 3" xfId="421"/>
    <cellStyle name="Milliers 3 3 2" xfId="422"/>
    <cellStyle name="Milliers 3 3 3" xfId="423"/>
    <cellStyle name="Milliers 3 3 4" xfId="424"/>
    <cellStyle name="Milliers 3 3 5" xfId="425"/>
    <cellStyle name="Milliers 3 3_ACT BNDE NR" xfId="426"/>
    <cellStyle name="Milliers 3 4" xfId="427"/>
    <cellStyle name="Milliers 3 4 2" xfId="428"/>
    <cellStyle name="Milliers 3 4_ACT BNDE NR" xfId="429"/>
    <cellStyle name="Milliers 3 5" xfId="430"/>
    <cellStyle name="Milliers 3 5 2" xfId="431"/>
    <cellStyle name="Milliers 3 5_ACT FPHU NR" xfId="432"/>
    <cellStyle name="Milliers 3 6" xfId="433"/>
    <cellStyle name="Milliers 3 6 2" xfId="434"/>
    <cellStyle name="Milliers 3 6_ACT FPHU NR" xfId="435"/>
    <cellStyle name="Milliers 3 7" xfId="436"/>
    <cellStyle name="Milliers 3 7 2" xfId="437"/>
    <cellStyle name="Milliers 3 7_ACT FPHU NR" xfId="438"/>
    <cellStyle name="Milliers 3 8" xfId="439"/>
    <cellStyle name="Milliers 3 9" xfId="440"/>
    <cellStyle name="Milliers 3_ACT BNDE NR" xfId="441"/>
    <cellStyle name="Milliers 30" xfId="442"/>
    <cellStyle name="Milliers 31" xfId="443"/>
    <cellStyle name="Milliers 32" xfId="444"/>
    <cellStyle name="Milliers 32 2" xfId="445"/>
    <cellStyle name="Milliers 33" xfId="446"/>
    <cellStyle name="Milliers 33 2" xfId="447"/>
    <cellStyle name="Milliers 33 3" xfId="448"/>
    <cellStyle name="Milliers 34" xfId="449"/>
    <cellStyle name="Milliers 35" xfId="450"/>
    <cellStyle name="Milliers 35 2" xfId="451"/>
    <cellStyle name="Milliers 36" xfId="452"/>
    <cellStyle name="Milliers 36 2" xfId="453"/>
    <cellStyle name="Milliers 36 3" xfId="454"/>
    <cellStyle name="Milliers 37" xfId="455"/>
    <cellStyle name="Milliers 37 2" xfId="456"/>
    <cellStyle name="Milliers 38" xfId="457"/>
    <cellStyle name="Milliers 39" xfId="458"/>
    <cellStyle name="Milliers 4" xfId="459"/>
    <cellStyle name="Milliers 4 10" xfId="460"/>
    <cellStyle name="Milliers 4 11" xfId="461"/>
    <cellStyle name="Milliers 4 12" xfId="462"/>
    <cellStyle name="Milliers 4 13" xfId="463"/>
    <cellStyle name="Milliers 4 14" xfId="464"/>
    <cellStyle name="Milliers 4 2" xfId="465"/>
    <cellStyle name="Milliers 4 2 2" xfId="466"/>
    <cellStyle name="Milliers 4 2 2 2" xfId="467"/>
    <cellStyle name="Milliers 4 2 2_ACT BNDE NR" xfId="468"/>
    <cellStyle name="Milliers 4 2 3" xfId="469"/>
    <cellStyle name="Milliers 4 2 4" xfId="470"/>
    <cellStyle name="Milliers 4 2 5" xfId="471"/>
    <cellStyle name="Milliers 4 2_ACT BNDE NR" xfId="472"/>
    <cellStyle name="Milliers 4 3" xfId="473"/>
    <cellStyle name="Milliers 4 3 2" xfId="474"/>
    <cellStyle name="Milliers 4 3 3" xfId="475"/>
    <cellStyle name="Milliers 4 3 4" xfId="476"/>
    <cellStyle name="Milliers 4 3 5" xfId="477"/>
    <cellStyle name="Milliers 4 3_ACT BNDE NR" xfId="478"/>
    <cellStyle name="Milliers 4 4" xfId="479"/>
    <cellStyle name="Milliers 4 4 2" xfId="480"/>
    <cellStyle name="Milliers 4 4_ACT BNDE NR" xfId="481"/>
    <cellStyle name="Milliers 4 5" xfId="482"/>
    <cellStyle name="Milliers 4 5 2" xfId="483"/>
    <cellStyle name="Milliers 4 5_ACT FPHU NR" xfId="484"/>
    <cellStyle name="Milliers 4 6" xfId="485"/>
    <cellStyle name="Milliers 4 6 2" xfId="486"/>
    <cellStyle name="Milliers 4 6_ACT FPHU NR" xfId="487"/>
    <cellStyle name="Milliers 4 7" xfId="488"/>
    <cellStyle name="Milliers 4 7 2" xfId="489"/>
    <cellStyle name="Milliers 4 7_ACT FPHU NR" xfId="490"/>
    <cellStyle name="Milliers 4 8" xfId="491"/>
    <cellStyle name="Milliers 4 9" xfId="492"/>
    <cellStyle name="Milliers 40" xfId="493"/>
    <cellStyle name="Milliers 40 2" xfId="494"/>
    <cellStyle name="Milliers 41" xfId="495"/>
    <cellStyle name="Milliers 41 2" xfId="496"/>
    <cellStyle name="Milliers 42" xfId="497"/>
    <cellStyle name="Milliers 42 2" xfId="498"/>
    <cellStyle name="Milliers 43" xfId="499"/>
    <cellStyle name="Milliers 43 2" xfId="500"/>
    <cellStyle name="Milliers 44" xfId="501"/>
    <cellStyle name="Milliers 44 2" xfId="502"/>
    <cellStyle name="Milliers 45" xfId="503"/>
    <cellStyle name="Milliers 46" xfId="504"/>
    <cellStyle name="Milliers 46 2" xfId="505"/>
    <cellStyle name="Milliers 47" xfId="506"/>
    <cellStyle name="Milliers 47 2" xfId="507"/>
    <cellStyle name="Milliers 48" xfId="508"/>
    <cellStyle name="Milliers 49" xfId="509"/>
    <cellStyle name="Milliers 49 2" xfId="510"/>
    <cellStyle name="Milliers 5" xfId="511"/>
    <cellStyle name="Milliers 5 2" xfId="512"/>
    <cellStyle name="Milliers 5 2 2" xfId="513"/>
    <cellStyle name="Milliers 5 2_ACT BNDE NR" xfId="514"/>
    <cellStyle name="Milliers 5 3" xfId="515"/>
    <cellStyle name="Milliers 5 4" xfId="516"/>
    <cellStyle name="Milliers 5 5" xfId="517"/>
    <cellStyle name="Milliers 5_ACT BNDE NR" xfId="518"/>
    <cellStyle name="Milliers 50" xfId="519"/>
    <cellStyle name="Milliers 50 2" xfId="520"/>
    <cellStyle name="Milliers 51" xfId="521"/>
    <cellStyle name="Milliers 51 2" xfId="522"/>
    <cellStyle name="Milliers 51 3" xfId="523"/>
    <cellStyle name="Milliers 52" xfId="524"/>
    <cellStyle name="Milliers 52 2" xfId="525"/>
    <cellStyle name="Milliers 52 3" xfId="526"/>
    <cellStyle name="Milliers 53" xfId="527"/>
    <cellStyle name="Milliers 6" xfId="528"/>
    <cellStyle name="Milliers 6 2" xfId="529"/>
    <cellStyle name="Milliers 6 2 2" xfId="530"/>
    <cellStyle name="Milliers 6 3" xfId="531"/>
    <cellStyle name="Milliers 6 3 2" xfId="532"/>
    <cellStyle name="Milliers 6 4" xfId="533"/>
    <cellStyle name="Milliers 6 5" xfId="534"/>
    <cellStyle name="Milliers 6_ACT BNDE NR" xfId="535"/>
    <cellStyle name="Milliers 7" xfId="536"/>
    <cellStyle name="Milliers 7 2" xfId="537"/>
    <cellStyle name="Milliers 7 3" xfId="538"/>
    <cellStyle name="Milliers 7 4" xfId="539"/>
    <cellStyle name="Milliers 7 5" xfId="540"/>
    <cellStyle name="Milliers 7_ACT BNDE NR" xfId="541"/>
    <cellStyle name="Milliers 8" xfId="542"/>
    <cellStyle name="Milliers 8 2" xfId="543"/>
    <cellStyle name="Milliers 8_ACT FPHU NR" xfId="544"/>
    <cellStyle name="Milliers 9" xfId="545"/>
    <cellStyle name="Moeda [0]_A" xfId="546"/>
    <cellStyle name="Moeda_A" xfId="547"/>
    <cellStyle name="Moeda0" xfId="548"/>
    <cellStyle name="Moneda [0]_11.1.3. bis" xfId="549"/>
    <cellStyle name="Moneda_11.1.3. bis" xfId="550"/>
    <cellStyle name="Monétaire 2" xfId="551"/>
    <cellStyle name="Monétaire 2 2" xfId="552"/>
    <cellStyle name="Monétaire 2 3" xfId="553"/>
    <cellStyle name="Monétaire 2_ACT FPHU NR" xfId="554"/>
    <cellStyle name="Monétaire 3" xfId="555"/>
    <cellStyle name="Monétaire 3 2" xfId="556"/>
    <cellStyle name="Monétaire 4" xfId="557"/>
    <cellStyle name="Monetario" xfId="558"/>
    <cellStyle name="Monetario0" xfId="559"/>
    <cellStyle name="Non défini" xfId="560"/>
    <cellStyle name="Normal" xfId="0" builtinId="0"/>
    <cellStyle name="Normal - Style1" xfId="561"/>
    <cellStyle name="Normal - Style1 2" xfId="562"/>
    <cellStyle name="Normal - Style2" xfId="563"/>
    <cellStyle name="Normal - Style2 2" xfId="564"/>
    <cellStyle name="Normal - Style3" xfId="565"/>
    <cellStyle name="Normal - Style4" xfId="566"/>
    <cellStyle name="Normal 10" xfId="567"/>
    <cellStyle name="Normal 10 10" xfId="568"/>
    <cellStyle name="Normal 10 11" xfId="569"/>
    <cellStyle name="Normal 10 12" xfId="570"/>
    <cellStyle name="Normal 10 13" xfId="571"/>
    <cellStyle name="Normal 10 14" xfId="572"/>
    <cellStyle name="Normal 10 15" xfId="573"/>
    <cellStyle name="Normal 10 16" xfId="574"/>
    <cellStyle name="Normal 10 17" xfId="575"/>
    <cellStyle name="Normal 10 18" xfId="576"/>
    <cellStyle name="Normal 10 19" xfId="577"/>
    <cellStyle name="Normal 10 2" xfId="578"/>
    <cellStyle name="Normal 10 20" xfId="579"/>
    <cellStyle name="Normal 10 21" xfId="580"/>
    <cellStyle name="Normal 10 22" xfId="581"/>
    <cellStyle name="Normal 10 23" xfId="582"/>
    <cellStyle name="Normal 10 24" xfId="583"/>
    <cellStyle name="Normal 10 25" xfId="584"/>
    <cellStyle name="Normal 10 26" xfId="585"/>
    <cellStyle name="Normal 10 27" xfId="586"/>
    <cellStyle name="Normal 10 28" xfId="587"/>
    <cellStyle name="Normal 10 29" xfId="588"/>
    <cellStyle name="Normal 10 3" xfId="589"/>
    <cellStyle name="Normal 10 30" xfId="590"/>
    <cellStyle name="Normal 10 31" xfId="591"/>
    <cellStyle name="Normal 10 32" xfId="592"/>
    <cellStyle name="Normal 10 33" xfId="593"/>
    <cellStyle name="Normal 10 34" xfId="594"/>
    <cellStyle name="Normal 10 35" xfId="595"/>
    <cellStyle name="Normal 10 36" xfId="596"/>
    <cellStyle name="Normal 10 37" xfId="597"/>
    <cellStyle name="Normal 10 38" xfId="598"/>
    <cellStyle name="Normal 10 39" xfId="599"/>
    <cellStyle name="Normal 10 4" xfId="600"/>
    <cellStyle name="Normal 10 40" xfId="601"/>
    <cellStyle name="Normal 10 41" xfId="602"/>
    <cellStyle name="Normal 10 42" xfId="603"/>
    <cellStyle name="Normal 10 43" xfId="604"/>
    <cellStyle name="Normal 10 44" xfId="605"/>
    <cellStyle name="Normal 10 45" xfId="606"/>
    <cellStyle name="Normal 10 46" xfId="607"/>
    <cellStyle name="Normal 10 47" xfId="608"/>
    <cellStyle name="Normal 10 48" xfId="609"/>
    <cellStyle name="Normal 10 49" xfId="610"/>
    <cellStyle name="Normal 10 5" xfId="611"/>
    <cellStyle name="Normal 10 50" xfId="612"/>
    <cellStyle name="Normal 10 51" xfId="613"/>
    <cellStyle name="Normal 10 52" xfId="614"/>
    <cellStyle name="Normal 10 53" xfId="615"/>
    <cellStyle name="Normal 10 54" xfId="616"/>
    <cellStyle name="Normal 10 55" xfId="617"/>
    <cellStyle name="Normal 10 56" xfId="618"/>
    <cellStyle name="Normal 10 57" xfId="619"/>
    <cellStyle name="Normal 10 58" xfId="620"/>
    <cellStyle name="Normal 10 59" xfId="621"/>
    <cellStyle name="Normal 10 6" xfId="622"/>
    <cellStyle name="Normal 10 60" xfId="623"/>
    <cellStyle name="Normal 10 61" xfId="624"/>
    <cellStyle name="Normal 10 62" xfId="625"/>
    <cellStyle name="Normal 10 63" xfId="626"/>
    <cellStyle name="Normal 10 64" xfId="627"/>
    <cellStyle name="Normal 10 65" xfId="628"/>
    <cellStyle name="Normal 10 7" xfId="629"/>
    <cellStyle name="Normal 10 8" xfId="630"/>
    <cellStyle name="Normal 10 9" xfId="631"/>
    <cellStyle name="Normal 100" xfId="632"/>
    <cellStyle name="Normal 101" xfId="633"/>
    <cellStyle name="Normal 102" xfId="634"/>
    <cellStyle name="Normal 103" xfId="635"/>
    <cellStyle name="Normal 104" xfId="636"/>
    <cellStyle name="Normal 105" xfId="637"/>
    <cellStyle name="Normal 106" xfId="638"/>
    <cellStyle name="Normal 107" xfId="639"/>
    <cellStyle name="Normal 108" xfId="640"/>
    <cellStyle name="Normal 109" xfId="641"/>
    <cellStyle name="Normal 109 2" xfId="642"/>
    <cellStyle name="Normal 11" xfId="643"/>
    <cellStyle name="Normal 11 2" xfId="644"/>
    <cellStyle name="Normal 110" xfId="645"/>
    <cellStyle name="Normal 111" xfId="646"/>
    <cellStyle name="Normal 111 2" xfId="647"/>
    <cellStyle name="Normal 112" xfId="648"/>
    <cellStyle name="Normal 113" xfId="649"/>
    <cellStyle name="Normal 114" xfId="650"/>
    <cellStyle name="Normal 114 10" xfId="651"/>
    <cellStyle name="Normal 114 10 2" xfId="652"/>
    <cellStyle name="Normal 114 10 3" xfId="653"/>
    <cellStyle name="Normal 114 10_II_7_2 Liabilities Fcial interm" xfId="654"/>
    <cellStyle name="Normal 114 11" xfId="655"/>
    <cellStyle name="Normal 114 11 2" xfId="656"/>
    <cellStyle name="Normal 114 12" xfId="657"/>
    <cellStyle name="Normal 114 13" xfId="658"/>
    <cellStyle name="Normal 114 2" xfId="659"/>
    <cellStyle name="Normal 114 2 10" xfId="660"/>
    <cellStyle name="Normal 114 2 10 2" xfId="661"/>
    <cellStyle name="Normal 114 2 11" xfId="662"/>
    <cellStyle name="Normal 114 2 12" xfId="663"/>
    <cellStyle name="Normal 114 2 2" xfId="664"/>
    <cellStyle name="Normal 114 2 2 10" xfId="665"/>
    <cellStyle name="Normal 114 2 2 2" xfId="666"/>
    <cellStyle name="Normal 114 2 2 2 2" xfId="667"/>
    <cellStyle name="Normal 114 2 2 2 2 2" xfId="668"/>
    <cellStyle name="Normal 114 2 2 2 2 2 2" xfId="669"/>
    <cellStyle name="Normal 114 2 2 2 2 2_II_7_2 Liabilities Fcial interm" xfId="670"/>
    <cellStyle name="Normal 114 2 2 2 2 3" xfId="671"/>
    <cellStyle name="Normal 114 2 2 2 2 4" xfId="672"/>
    <cellStyle name="Normal 114 2 2 2 2 5" xfId="673"/>
    <cellStyle name="Normal 114 2 2 2 2_II_7_2 Liabilities Fcial interm" xfId="674"/>
    <cellStyle name="Normal 114 2 2 2 3" xfId="675"/>
    <cellStyle name="Normal 114 2 2 2 3 2" xfId="676"/>
    <cellStyle name="Normal 114 2 2 2 3 3" xfId="677"/>
    <cellStyle name="Normal 114 2 2 2 3 4" xfId="678"/>
    <cellStyle name="Normal 114 2 2 2 3_II_7_2 Liabilities Fcial interm" xfId="679"/>
    <cellStyle name="Normal 114 2 2 2 4" xfId="680"/>
    <cellStyle name="Normal 114 2 2 2 4 2" xfId="681"/>
    <cellStyle name="Normal 114 2 2 2 4 3" xfId="682"/>
    <cellStyle name="Normal 114 2 2 2 4 4" xfId="683"/>
    <cellStyle name="Normal 114 2 2 2 4_II_7_2 Liabilities Fcial interm" xfId="684"/>
    <cellStyle name="Normal 114 2 2 2 5" xfId="685"/>
    <cellStyle name="Normal 114 2 2 2 5 2" xfId="686"/>
    <cellStyle name="Normal 114 2 2 2 5 3" xfId="687"/>
    <cellStyle name="Normal 114 2 2 2 5 4" xfId="688"/>
    <cellStyle name="Normal 114 2 2 2 5_II_7_2 Liabilities Fcial interm" xfId="689"/>
    <cellStyle name="Normal 114 2 2 2 6" xfId="690"/>
    <cellStyle name="Normal 114 2 2 2 6 2" xfId="691"/>
    <cellStyle name="Normal 114 2 2 2 6 3" xfId="692"/>
    <cellStyle name="Normal 114 2 2 2 6_II_7_2 Liabilities Fcial interm" xfId="693"/>
    <cellStyle name="Normal 114 2 2 2 7" xfId="694"/>
    <cellStyle name="Normal 114 2 2 2 7 2" xfId="695"/>
    <cellStyle name="Normal 114 2 2 2 8" xfId="696"/>
    <cellStyle name="Normal 114 2 2 2_II_7_2 Liabilities Fcial interm" xfId="697"/>
    <cellStyle name="Normal 114 2 2 3" xfId="698"/>
    <cellStyle name="Normal 114 2 2 3 2" xfId="699"/>
    <cellStyle name="Normal 114 2 2 3 2 2" xfId="700"/>
    <cellStyle name="Normal 114 2 2 3 2 3" xfId="701"/>
    <cellStyle name="Normal 114 2 2 3 2 4" xfId="702"/>
    <cellStyle name="Normal 114 2 2 3 2_II_7_2 Liabilities Fcial interm" xfId="703"/>
    <cellStyle name="Normal 114 2 2 3 3" xfId="704"/>
    <cellStyle name="Normal 114 2 2 3 3 2" xfId="705"/>
    <cellStyle name="Normal 114 2 2 3 3 3" xfId="706"/>
    <cellStyle name="Normal 114 2 2 3 3 4" xfId="707"/>
    <cellStyle name="Normal 114 2 2 3 3_II_7_2 Liabilities Fcial interm" xfId="708"/>
    <cellStyle name="Normal 114 2 2 3 4" xfId="709"/>
    <cellStyle name="Normal 114 2 2 3 4 2" xfId="710"/>
    <cellStyle name="Normal 114 2 2 3 4 3" xfId="711"/>
    <cellStyle name="Normal 114 2 2 3 4 4" xfId="712"/>
    <cellStyle name="Normal 114 2 2 3 4_II_7_2 Liabilities Fcial interm" xfId="713"/>
    <cellStyle name="Normal 114 2 2 3 5" xfId="714"/>
    <cellStyle name="Normal 114 2 2 3 5 2" xfId="715"/>
    <cellStyle name="Normal 114 2 2 3 5 3" xfId="716"/>
    <cellStyle name="Normal 114 2 2 3 5_II_7_2 Liabilities Fcial interm" xfId="717"/>
    <cellStyle name="Normal 114 2 2 3 6" xfId="718"/>
    <cellStyle name="Normal 114 2 2 3 6 2" xfId="719"/>
    <cellStyle name="Normal 114 2 2 3 7" xfId="720"/>
    <cellStyle name="Normal 114 2 2 3_II_7_2 Liabilities Fcial interm" xfId="721"/>
    <cellStyle name="Normal 114 2 2 4" xfId="722"/>
    <cellStyle name="Normal 114 2 2 4 2" xfId="723"/>
    <cellStyle name="Normal 114 2 2 4 2 2" xfId="724"/>
    <cellStyle name="Normal 114 2 2 4 2 3" xfId="725"/>
    <cellStyle name="Normal 114 2 2 4 2_II_7_2 Liabilities Fcial interm" xfId="726"/>
    <cellStyle name="Normal 114 2 2 4 3" xfId="727"/>
    <cellStyle name="Normal 114 2 2 4 3 2" xfId="728"/>
    <cellStyle name="Normal 114 2 2 4 4" xfId="729"/>
    <cellStyle name="Normal 114 2 2 4_II_7_2 Liabilities Fcial interm" xfId="730"/>
    <cellStyle name="Normal 114 2 2 5" xfId="731"/>
    <cellStyle name="Normal 114 2 2 5 2" xfId="732"/>
    <cellStyle name="Normal 114 2 2 5 2 2" xfId="733"/>
    <cellStyle name="Normal 114 2 2 5 2_II_7_2 Liabilities Fcial interm" xfId="734"/>
    <cellStyle name="Normal 114 2 2 5 3" xfId="735"/>
    <cellStyle name="Normal 114 2 2 5 4" xfId="736"/>
    <cellStyle name="Normal 114 2 2 5_II_7_2 Liabilities Fcial interm" xfId="737"/>
    <cellStyle name="Normal 114 2 2 6" xfId="738"/>
    <cellStyle name="Normal 114 2 2 6 2" xfId="739"/>
    <cellStyle name="Normal 114 2 2 6 3" xfId="740"/>
    <cellStyle name="Normal 114 2 2 6 4" xfId="741"/>
    <cellStyle name="Normal 114 2 2 6_II_7_2 Liabilities Fcial interm" xfId="742"/>
    <cellStyle name="Normal 114 2 2 7" xfId="743"/>
    <cellStyle name="Normal 114 2 2 7 2" xfId="744"/>
    <cellStyle name="Normal 114 2 2 7 3" xfId="745"/>
    <cellStyle name="Normal 114 2 2 7_II_7_2 Liabilities Fcial interm" xfId="746"/>
    <cellStyle name="Normal 114 2 2 8" xfId="747"/>
    <cellStyle name="Normal 114 2 2 8 2" xfId="748"/>
    <cellStyle name="Normal 114 2 2 9" xfId="749"/>
    <cellStyle name="Normal 114 2 2_II_7_2 Liabilities Fcial interm" xfId="750"/>
    <cellStyle name="Normal 114 2 3" xfId="751"/>
    <cellStyle name="Normal 114 2 3 2" xfId="752"/>
    <cellStyle name="Normal 114 2 3 2 2" xfId="753"/>
    <cellStyle name="Normal 114 2 3 2 2 2" xfId="754"/>
    <cellStyle name="Normal 114 2 3 2 2_II_7_2 Liabilities Fcial interm" xfId="755"/>
    <cellStyle name="Normal 114 2 3 2 3" xfId="756"/>
    <cellStyle name="Normal 114 2 3 2 4" xfId="757"/>
    <cellStyle name="Normal 114 2 3 2 5" xfId="758"/>
    <cellStyle name="Normal 114 2 3 2_II_7_2 Liabilities Fcial interm" xfId="759"/>
    <cellStyle name="Normal 114 2 3 3" xfId="760"/>
    <cellStyle name="Normal 114 2 3 3 2" xfId="761"/>
    <cellStyle name="Normal 114 2 3 3 3" xfId="762"/>
    <cellStyle name="Normal 114 2 3 3 4" xfId="763"/>
    <cellStyle name="Normal 114 2 3 3_II_7_2 Liabilities Fcial interm" xfId="764"/>
    <cellStyle name="Normal 114 2 3 4" xfId="765"/>
    <cellStyle name="Normal 114 2 3 4 2" xfId="766"/>
    <cellStyle name="Normal 114 2 3 4 3" xfId="767"/>
    <cellStyle name="Normal 114 2 3 4 4" xfId="768"/>
    <cellStyle name="Normal 114 2 3 4_II_7_2 Liabilities Fcial interm" xfId="769"/>
    <cellStyle name="Normal 114 2 3 5" xfId="770"/>
    <cellStyle name="Normal 114 2 3 5 2" xfId="771"/>
    <cellStyle name="Normal 114 2 3 5 3" xfId="772"/>
    <cellStyle name="Normal 114 2 3 5 4" xfId="773"/>
    <cellStyle name="Normal 114 2 3 5_II_7_2 Liabilities Fcial interm" xfId="774"/>
    <cellStyle name="Normal 114 2 3 6" xfId="775"/>
    <cellStyle name="Normal 114 2 3 6 2" xfId="776"/>
    <cellStyle name="Normal 114 2 3 6 3" xfId="777"/>
    <cellStyle name="Normal 114 2 3 6 4" xfId="778"/>
    <cellStyle name="Normal 114 2 3 6_II_7_2 Liabilities Fcial interm" xfId="779"/>
    <cellStyle name="Normal 114 2 3 7" xfId="780"/>
    <cellStyle name="Normal 114 2 3 7 2" xfId="781"/>
    <cellStyle name="Normal 114 2 3 7 3" xfId="782"/>
    <cellStyle name="Normal 114 2 3 7_II_7_2 Liabilities Fcial interm" xfId="783"/>
    <cellStyle name="Normal 114 2 3 8" xfId="784"/>
    <cellStyle name="Normal 114 2 3 8 2" xfId="785"/>
    <cellStyle name="Normal 114 2 3 9" xfId="786"/>
    <cellStyle name="Normal 114 2 3_II_7_2 Liabilities Fcial interm" xfId="787"/>
    <cellStyle name="Normal 114 2 4" xfId="788"/>
    <cellStyle name="Normal 114 2 4 2" xfId="789"/>
    <cellStyle name="Normal 114 2 4 2 2" xfId="790"/>
    <cellStyle name="Normal 114 2 4 2 2 2" xfId="791"/>
    <cellStyle name="Normal 114 2 4 2 2_II_7_2 Liabilities Fcial interm" xfId="792"/>
    <cellStyle name="Normal 114 2 4 2 3" xfId="793"/>
    <cellStyle name="Normal 114 2 4 2 4" xfId="794"/>
    <cellStyle name="Normal 114 2 4 2 5" xfId="795"/>
    <cellStyle name="Normal 114 2 4 2_II_7_2 Liabilities Fcial interm" xfId="796"/>
    <cellStyle name="Normal 114 2 4 3" xfId="797"/>
    <cellStyle name="Normal 114 2 4 3 2" xfId="798"/>
    <cellStyle name="Normal 114 2 4 3 3" xfId="799"/>
    <cellStyle name="Normal 114 2 4 3 4" xfId="800"/>
    <cellStyle name="Normal 114 2 4 3_II_7_2 Liabilities Fcial interm" xfId="801"/>
    <cellStyle name="Normal 114 2 4 4" xfId="802"/>
    <cellStyle name="Normal 114 2 4 4 2" xfId="803"/>
    <cellStyle name="Normal 114 2 4 4 3" xfId="804"/>
    <cellStyle name="Normal 114 2 4 4 4" xfId="805"/>
    <cellStyle name="Normal 114 2 4 4_II_7_2 Liabilities Fcial interm" xfId="806"/>
    <cellStyle name="Normal 114 2 4 5" xfId="807"/>
    <cellStyle name="Normal 114 2 4 5 2" xfId="808"/>
    <cellStyle name="Normal 114 2 4 5 3" xfId="809"/>
    <cellStyle name="Normal 114 2 4 5_II_7_2 Liabilities Fcial interm" xfId="810"/>
    <cellStyle name="Normal 114 2 4 6" xfId="811"/>
    <cellStyle name="Normal 114 2 4 6 2" xfId="812"/>
    <cellStyle name="Normal 114 2 4 7" xfId="813"/>
    <cellStyle name="Normal 114 2 4_II_7_2 Liabilities Fcial interm" xfId="814"/>
    <cellStyle name="Normal 114 2 5" xfId="815"/>
    <cellStyle name="Normal 114 2 5 2" xfId="816"/>
    <cellStyle name="Normal 114 2 5 2 2" xfId="817"/>
    <cellStyle name="Normal 114 2 5 2 3" xfId="818"/>
    <cellStyle name="Normal 114 2 5 2_II_7_2 Liabilities Fcial interm" xfId="819"/>
    <cellStyle name="Normal 114 2 5 3" xfId="820"/>
    <cellStyle name="Normal 114 2 5 3 2" xfId="821"/>
    <cellStyle name="Normal 114 2 5 3_II_7_2 Liabilities Fcial interm" xfId="822"/>
    <cellStyle name="Normal 114 2 5 4" xfId="823"/>
    <cellStyle name="Normal 114 2 5 5" xfId="824"/>
    <cellStyle name="Normal 114 2 5_II_7_2 Liabilities Fcial interm" xfId="825"/>
    <cellStyle name="Normal 114 2 6" xfId="826"/>
    <cellStyle name="Normal 114 2 6 2" xfId="827"/>
    <cellStyle name="Normal 114 2 6 2 2" xfId="828"/>
    <cellStyle name="Normal 114 2 6 2_II_7_2 Liabilities Fcial interm" xfId="829"/>
    <cellStyle name="Normal 114 2 6 3" xfId="830"/>
    <cellStyle name="Normal 114 2 6 4" xfId="831"/>
    <cellStyle name="Normal 114 2 6_II_7_2 Liabilities Fcial interm" xfId="832"/>
    <cellStyle name="Normal 114 2 7" xfId="833"/>
    <cellStyle name="Normal 114 2 7 2" xfId="834"/>
    <cellStyle name="Normal 114 2 7 3" xfId="835"/>
    <cellStyle name="Normal 114 2 7 4" xfId="836"/>
    <cellStyle name="Normal 114 2 7_II_7_2 Liabilities Fcial interm" xfId="837"/>
    <cellStyle name="Normal 114 2 8" xfId="838"/>
    <cellStyle name="Normal 114 2 8 2" xfId="839"/>
    <cellStyle name="Normal 114 2 8 3" xfId="840"/>
    <cellStyle name="Normal 114 2 8 4" xfId="841"/>
    <cellStyle name="Normal 114 2 8_II_7_2 Liabilities Fcial interm" xfId="842"/>
    <cellStyle name="Normal 114 2 9" xfId="843"/>
    <cellStyle name="Normal 114 2 9 2" xfId="844"/>
    <cellStyle name="Normal 114 2 9 3" xfId="845"/>
    <cellStyle name="Normal 114 2 9_II_7_2 Liabilities Fcial interm" xfId="846"/>
    <cellStyle name="Normal 114 2_II_7_2 Liabilities Fcial interm" xfId="847"/>
    <cellStyle name="Normal 114 3" xfId="848"/>
    <cellStyle name="Normal 114 3 10" xfId="849"/>
    <cellStyle name="Normal 114 3 2" xfId="850"/>
    <cellStyle name="Normal 114 3 2 2" xfId="851"/>
    <cellStyle name="Normal 114 3 2 2 2" xfId="852"/>
    <cellStyle name="Normal 114 3 2 2 2 2" xfId="853"/>
    <cellStyle name="Normal 114 3 2 2 2_II_7_2 Liabilities Fcial interm" xfId="854"/>
    <cellStyle name="Normal 114 3 2 2 3" xfId="855"/>
    <cellStyle name="Normal 114 3 2 2 4" xfId="856"/>
    <cellStyle name="Normal 114 3 2 2 5" xfId="857"/>
    <cellStyle name="Normal 114 3 2 2_II_7_2 Liabilities Fcial interm" xfId="858"/>
    <cellStyle name="Normal 114 3 2 3" xfId="859"/>
    <cellStyle name="Normal 114 3 2 3 2" xfId="860"/>
    <cellStyle name="Normal 114 3 2 3 3" xfId="861"/>
    <cellStyle name="Normal 114 3 2 3 4" xfId="862"/>
    <cellStyle name="Normal 114 3 2 3_II_7_2 Liabilities Fcial interm" xfId="863"/>
    <cellStyle name="Normal 114 3 2 4" xfId="864"/>
    <cellStyle name="Normal 114 3 2 4 2" xfId="865"/>
    <cellStyle name="Normal 114 3 2 4 3" xfId="866"/>
    <cellStyle name="Normal 114 3 2 4 4" xfId="867"/>
    <cellStyle name="Normal 114 3 2 4_II_7_2 Liabilities Fcial interm" xfId="868"/>
    <cellStyle name="Normal 114 3 2 5" xfId="869"/>
    <cellStyle name="Normal 114 3 2 5 2" xfId="870"/>
    <cellStyle name="Normal 114 3 2 5 3" xfId="871"/>
    <cellStyle name="Normal 114 3 2 5 4" xfId="872"/>
    <cellStyle name="Normal 114 3 2 5_II_7_2 Liabilities Fcial interm" xfId="873"/>
    <cellStyle name="Normal 114 3 2 6" xfId="874"/>
    <cellStyle name="Normal 114 3 2 6 2" xfId="875"/>
    <cellStyle name="Normal 114 3 2 6 3" xfId="876"/>
    <cellStyle name="Normal 114 3 2 6_II_7_2 Liabilities Fcial interm" xfId="877"/>
    <cellStyle name="Normal 114 3 2 7" xfId="878"/>
    <cellStyle name="Normal 114 3 2 7 2" xfId="879"/>
    <cellStyle name="Normal 114 3 2 8" xfId="880"/>
    <cellStyle name="Normal 114 3 2_II_7_2 Liabilities Fcial interm" xfId="881"/>
    <cellStyle name="Normal 114 3 3" xfId="882"/>
    <cellStyle name="Normal 114 3 3 2" xfId="883"/>
    <cellStyle name="Normal 114 3 3 2 2" xfId="884"/>
    <cellStyle name="Normal 114 3 3 2 3" xfId="885"/>
    <cellStyle name="Normal 114 3 3 2 4" xfId="886"/>
    <cellStyle name="Normal 114 3 3 2_II_7_2 Liabilities Fcial interm" xfId="887"/>
    <cellStyle name="Normal 114 3 3 3" xfId="888"/>
    <cellStyle name="Normal 114 3 3 3 2" xfId="889"/>
    <cellStyle name="Normal 114 3 3 3 3" xfId="890"/>
    <cellStyle name="Normal 114 3 3 3 4" xfId="891"/>
    <cellStyle name="Normal 114 3 3 3_II_7_2 Liabilities Fcial interm" xfId="892"/>
    <cellStyle name="Normal 114 3 3 4" xfId="893"/>
    <cellStyle name="Normal 114 3 3 4 2" xfId="894"/>
    <cellStyle name="Normal 114 3 3 4 3" xfId="895"/>
    <cellStyle name="Normal 114 3 3 4 4" xfId="896"/>
    <cellStyle name="Normal 114 3 3 4_II_7_2 Liabilities Fcial interm" xfId="897"/>
    <cellStyle name="Normal 114 3 3 5" xfId="898"/>
    <cellStyle name="Normal 114 3 3 5 2" xfId="899"/>
    <cellStyle name="Normal 114 3 3 5 3" xfId="900"/>
    <cellStyle name="Normal 114 3 3 5_II_7_2 Liabilities Fcial interm" xfId="901"/>
    <cellStyle name="Normal 114 3 3 6" xfId="902"/>
    <cellStyle name="Normal 114 3 3 6 2" xfId="903"/>
    <cellStyle name="Normal 114 3 3 7" xfId="904"/>
    <cellStyle name="Normal 114 3 3_II_7_2 Liabilities Fcial interm" xfId="905"/>
    <cellStyle name="Normal 114 3 4" xfId="906"/>
    <cellStyle name="Normal 114 3 4 2" xfId="907"/>
    <cellStyle name="Normal 114 3 4 2 2" xfId="908"/>
    <cellStyle name="Normal 114 3 4 2 3" xfId="909"/>
    <cellStyle name="Normal 114 3 4 2_II_7_2 Liabilities Fcial interm" xfId="910"/>
    <cellStyle name="Normal 114 3 4 3" xfId="911"/>
    <cellStyle name="Normal 114 3 4 3 2" xfId="912"/>
    <cellStyle name="Normal 114 3 4 4" xfId="913"/>
    <cellStyle name="Normal 114 3 4_II_7_2 Liabilities Fcial interm" xfId="914"/>
    <cellStyle name="Normal 114 3 5" xfId="915"/>
    <cellStyle name="Normal 114 3 5 2" xfId="916"/>
    <cellStyle name="Normal 114 3 5 2 2" xfId="917"/>
    <cellStyle name="Normal 114 3 5 2_II_7_2 Liabilities Fcial interm" xfId="918"/>
    <cellStyle name="Normal 114 3 5 3" xfId="919"/>
    <cellStyle name="Normal 114 3 5 4" xfId="920"/>
    <cellStyle name="Normal 114 3 5_II_7_2 Liabilities Fcial interm" xfId="921"/>
    <cellStyle name="Normal 114 3 6" xfId="922"/>
    <cellStyle name="Normal 114 3 6 2" xfId="923"/>
    <cellStyle name="Normal 114 3 6 3" xfId="924"/>
    <cellStyle name="Normal 114 3 6 4" xfId="925"/>
    <cellStyle name="Normal 114 3 6_II_7_2 Liabilities Fcial interm" xfId="926"/>
    <cellStyle name="Normal 114 3 7" xfId="927"/>
    <cellStyle name="Normal 114 3 7 2" xfId="928"/>
    <cellStyle name="Normal 114 3 7 3" xfId="929"/>
    <cellStyle name="Normal 114 3 7_II_7_2 Liabilities Fcial interm" xfId="930"/>
    <cellStyle name="Normal 114 3 8" xfId="931"/>
    <cellStyle name="Normal 114 3 8 2" xfId="932"/>
    <cellStyle name="Normal 114 3 9" xfId="933"/>
    <cellStyle name="Normal 114 3_II_7_2 Liabilities Fcial interm" xfId="934"/>
    <cellStyle name="Normal 114 4" xfId="935"/>
    <cellStyle name="Normal 114 4 2" xfId="936"/>
    <cellStyle name="Normal 114 4 2 2" xfId="937"/>
    <cellStyle name="Normal 114 4 2 2 2" xfId="938"/>
    <cellStyle name="Normal 114 4 2 2_II_7_2 Liabilities Fcial interm" xfId="939"/>
    <cellStyle name="Normal 114 4 2 3" xfId="940"/>
    <cellStyle name="Normal 114 4 2 4" xfId="941"/>
    <cellStyle name="Normal 114 4 2 5" xfId="942"/>
    <cellStyle name="Normal 114 4 2_II_7_2 Liabilities Fcial interm" xfId="943"/>
    <cellStyle name="Normal 114 4 3" xfId="944"/>
    <cellStyle name="Normal 114 4 3 2" xfId="945"/>
    <cellStyle name="Normal 114 4 3 3" xfId="946"/>
    <cellStyle name="Normal 114 4 3 4" xfId="947"/>
    <cellStyle name="Normal 114 4 3_II_7_2 Liabilities Fcial interm" xfId="948"/>
    <cellStyle name="Normal 114 4 4" xfId="949"/>
    <cellStyle name="Normal 114 4 4 2" xfId="950"/>
    <cellStyle name="Normal 114 4 4 3" xfId="951"/>
    <cellStyle name="Normal 114 4 4 4" xfId="952"/>
    <cellStyle name="Normal 114 4 4_II_7_2 Liabilities Fcial interm" xfId="953"/>
    <cellStyle name="Normal 114 4 5" xfId="954"/>
    <cellStyle name="Normal 114 4 5 2" xfId="955"/>
    <cellStyle name="Normal 114 4 5 3" xfId="956"/>
    <cellStyle name="Normal 114 4 5 4" xfId="957"/>
    <cellStyle name="Normal 114 4 5_II_7_2 Liabilities Fcial interm" xfId="958"/>
    <cellStyle name="Normal 114 4 6" xfId="959"/>
    <cellStyle name="Normal 114 4 6 2" xfId="960"/>
    <cellStyle name="Normal 114 4 6 3" xfId="961"/>
    <cellStyle name="Normal 114 4 6 4" xfId="962"/>
    <cellStyle name="Normal 114 4 6_II_7_2 Liabilities Fcial interm" xfId="963"/>
    <cellStyle name="Normal 114 4 7" xfId="964"/>
    <cellStyle name="Normal 114 4 7 2" xfId="965"/>
    <cellStyle name="Normal 114 4 7 3" xfId="966"/>
    <cellStyle name="Normal 114 4 7_II_7_2 Liabilities Fcial interm" xfId="967"/>
    <cellStyle name="Normal 114 4 8" xfId="968"/>
    <cellStyle name="Normal 114 4 8 2" xfId="969"/>
    <cellStyle name="Normal 114 4 9" xfId="970"/>
    <cellStyle name="Normal 114 4_II_7_2 Liabilities Fcial interm" xfId="971"/>
    <cellStyle name="Normal 114 5" xfId="972"/>
    <cellStyle name="Normal 114 5 2" xfId="973"/>
    <cellStyle name="Normal 114 5 2 2" xfId="974"/>
    <cellStyle name="Normal 114 5 2 2 2" xfId="975"/>
    <cellStyle name="Normal 114 5 2 2_II_7_2 Liabilities Fcial interm" xfId="976"/>
    <cellStyle name="Normal 114 5 2 3" xfId="977"/>
    <cellStyle name="Normal 114 5 2 4" xfId="978"/>
    <cellStyle name="Normal 114 5 2 5" xfId="979"/>
    <cellStyle name="Normal 114 5 2_II_7_2 Liabilities Fcial interm" xfId="980"/>
    <cellStyle name="Normal 114 5 3" xfId="981"/>
    <cellStyle name="Normal 114 5 3 2" xfId="982"/>
    <cellStyle name="Normal 114 5 3 3" xfId="983"/>
    <cellStyle name="Normal 114 5 3 4" xfId="984"/>
    <cellStyle name="Normal 114 5 3_II_7_2 Liabilities Fcial interm" xfId="985"/>
    <cellStyle name="Normal 114 5 4" xfId="986"/>
    <cellStyle name="Normal 114 5 4 2" xfId="987"/>
    <cellStyle name="Normal 114 5 4 3" xfId="988"/>
    <cellStyle name="Normal 114 5 4 4" xfId="989"/>
    <cellStyle name="Normal 114 5 4_II_7_2 Liabilities Fcial interm" xfId="990"/>
    <cellStyle name="Normal 114 5 5" xfId="991"/>
    <cellStyle name="Normal 114 5 5 2" xfId="992"/>
    <cellStyle name="Normal 114 5 5 3" xfId="993"/>
    <cellStyle name="Normal 114 5 5_II_7_2 Liabilities Fcial interm" xfId="994"/>
    <cellStyle name="Normal 114 5 6" xfId="995"/>
    <cellStyle name="Normal 114 5 6 2" xfId="996"/>
    <cellStyle name="Normal 114 5 7" xfId="997"/>
    <cellStyle name="Normal 114 5_II_7_2 Liabilities Fcial interm" xfId="998"/>
    <cellStyle name="Normal 114 6" xfId="999"/>
    <cellStyle name="Normal 114 6 2" xfId="1000"/>
    <cellStyle name="Normal 114 6 2 2" xfId="1001"/>
    <cellStyle name="Normal 114 6 2 3" xfId="1002"/>
    <cellStyle name="Normal 114 6 2_II_7_2 Liabilities Fcial interm" xfId="1003"/>
    <cellStyle name="Normal 114 6 3" xfId="1004"/>
    <cellStyle name="Normal 114 6 3 2" xfId="1005"/>
    <cellStyle name="Normal 114 6 3_II_7_2 Liabilities Fcial interm" xfId="1006"/>
    <cellStyle name="Normal 114 6 4" xfId="1007"/>
    <cellStyle name="Normal 114 6 5" xfId="1008"/>
    <cellStyle name="Normal 114 6_II_7_2 Liabilities Fcial interm" xfId="1009"/>
    <cellStyle name="Normal 114 7" xfId="1010"/>
    <cellStyle name="Normal 114 7 2" xfId="1011"/>
    <cellStyle name="Normal 114 7 2 2" xfId="1012"/>
    <cellStyle name="Normal 114 7 2_II_7_2 Liabilities Fcial interm" xfId="1013"/>
    <cellStyle name="Normal 114 7 3" xfId="1014"/>
    <cellStyle name="Normal 114 7 4" xfId="1015"/>
    <cellStyle name="Normal 114 7_II_7_2 Liabilities Fcial interm" xfId="1016"/>
    <cellStyle name="Normal 114 8" xfId="1017"/>
    <cellStyle name="Normal 114 8 2" xfId="1018"/>
    <cellStyle name="Normal 114 8 3" xfId="1019"/>
    <cellStyle name="Normal 114 8 4" xfId="1020"/>
    <cellStyle name="Normal 114 8_II_7_2 Liabilities Fcial interm" xfId="1021"/>
    <cellStyle name="Normal 114 9" xfId="1022"/>
    <cellStyle name="Normal 114 9 2" xfId="1023"/>
    <cellStyle name="Normal 114 9 3" xfId="1024"/>
    <cellStyle name="Normal 114 9 4" xfId="1025"/>
    <cellStyle name="Normal 114 9_II_7_2 Liabilities Fcial interm" xfId="1026"/>
    <cellStyle name="Normal 114_II_7_2 Liabilities Fcial interm" xfId="1027"/>
    <cellStyle name="Normal 115" xfId="1028"/>
    <cellStyle name="Normal 116" xfId="1029"/>
    <cellStyle name="Normal 117" xfId="1030"/>
    <cellStyle name="Normal 117 2" xfId="1031"/>
    <cellStyle name="Normal 118" xfId="1032"/>
    <cellStyle name="Normal 119" xfId="1033"/>
    <cellStyle name="Normal 12" xfId="1034"/>
    <cellStyle name="Normal 12 2" xfId="1035"/>
    <cellStyle name="Normal 120" xfId="1036"/>
    <cellStyle name="Normal 121" xfId="1037"/>
    <cellStyle name="Normal 122" xfId="1038"/>
    <cellStyle name="Normal 123" xfId="1039"/>
    <cellStyle name="Normal 124" xfId="1040"/>
    <cellStyle name="Normal 125" xfId="1041"/>
    <cellStyle name="Normal 126" xfId="1042"/>
    <cellStyle name="Normal 127" xfId="1043"/>
    <cellStyle name="Normal 128" xfId="1044"/>
    <cellStyle name="Normal 129" xfId="1045"/>
    <cellStyle name="Normal 129 2" xfId="1046"/>
    <cellStyle name="Normal 13" xfId="1047"/>
    <cellStyle name="Normal 13 2" xfId="1048"/>
    <cellStyle name="Normal 13 3" xfId="1049"/>
    <cellStyle name="Normal 130" xfId="1050"/>
    <cellStyle name="Normal 131" xfId="1051"/>
    <cellStyle name="Normal 132" xfId="1052"/>
    <cellStyle name="Normal 133" xfId="1053"/>
    <cellStyle name="Normal 133 2" xfId="1054"/>
    <cellStyle name="Normal 134" xfId="1055"/>
    <cellStyle name="Normal 135" xfId="1056"/>
    <cellStyle name="Normal 136" xfId="1057"/>
    <cellStyle name="Normal 137" xfId="1058"/>
    <cellStyle name="Normal 138" xfId="1059"/>
    <cellStyle name="Normal 139" xfId="1060"/>
    <cellStyle name="Normal 14" xfId="1061"/>
    <cellStyle name="Normal 14 2" xfId="1062"/>
    <cellStyle name="Normal 140" xfId="1063"/>
    <cellStyle name="Normal 141" xfId="1064"/>
    <cellStyle name="Normal 142" xfId="1065"/>
    <cellStyle name="Normal 142 2" xfId="1066"/>
    <cellStyle name="Normal 143" xfId="1067"/>
    <cellStyle name="Normal 143 2" xfId="1068"/>
    <cellStyle name="Normal 144" xfId="1069"/>
    <cellStyle name="Normal 145" xfId="1070"/>
    <cellStyle name="Normal 146" xfId="1071"/>
    <cellStyle name="Normal 146 2" xfId="1072"/>
    <cellStyle name="Normal 147" xfId="1073"/>
    <cellStyle name="Normal 148" xfId="1074"/>
    <cellStyle name="Normal 149" xfId="1075"/>
    <cellStyle name="Normal 15" xfId="1076"/>
    <cellStyle name="Normal 150" xfId="1077"/>
    <cellStyle name="Normal 151" xfId="1078"/>
    <cellStyle name="Normal 152" xfId="1079"/>
    <cellStyle name="Normal 153" xfId="1080"/>
    <cellStyle name="Normal 154" xfId="1081"/>
    <cellStyle name="Normal 154 2" xfId="1082"/>
    <cellStyle name="Normal 155" xfId="1083"/>
    <cellStyle name="Normal 156" xfId="1084"/>
    <cellStyle name="Normal 157" xfId="1085"/>
    <cellStyle name="Normal 158" xfId="1086"/>
    <cellStyle name="Normal 158 2" xfId="1087"/>
    <cellStyle name="Normal 159" xfId="1088"/>
    <cellStyle name="Normal 16" xfId="1089"/>
    <cellStyle name="Normal 160" xfId="1090"/>
    <cellStyle name="Normal 161" xfId="1091"/>
    <cellStyle name="Normal 162" xfId="1092"/>
    <cellStyle name="Normal 163" xfId="1093"/>
    <cellStyle name="Normal 163 2" xfId="1094"/>
    <cellStyle name="Normal 164" xfId="1095"/>
    <cellStyle name="Normal 165" xfId="1096"/>
    <cellStyle name="Normal 166" xfId="1097"/>
    <cellStyle name="Normal 166 2" xfId="1098"/>
    <cellStyle name="Normal 167" xfId="1099"/>
    <cellStyle name="Normal 168" xfId="1100"/>
    <cellStyle name="Normal 169" xfId="1101"/>
    <cellStyle name="Normal 17" xfId="1102"/>
    <cellStyle name="Normal 17 2" xfId="1103"/>
    <cellStyle name="Normal 170" xfId="1104"/>
    <cellStyle name="Normal 171" xfId="1105"/>
    <cellStyle name="Normal 172" xfId="1106"/>
    <cellStyle name="Normal 173" xfId="1107"/>
    <cellStyle name="Normal 173 2" xfId="1108"/>
    <cellStyle name="Normal 174" xfId="1109"/>
    <cellStyle name="Normal 174 2" xfId="1110"/>
    <cellStyle name="Normal 175" xfId="1111"/>
    <cellStyle name="Normal 176" xfId="1112"/>
    <cellStyle name="Normal 177" xfId="1113"/>
    <cellStyle name="Normal 177 2" xfId="1114"/>
    <cellStyle name="Normal 178" xfId="1115"/>
    <cellStyle name="Normal 179" xfId="1116"/>
    <cellStyle name="Normal 18" xfId="1117"/>
    <cellStyle name="Normal 18 10" xfId="1118"/>
    <cellStyle name="Normal 18 11" xfId="1119"/>
    <cellStyle name="Normal 18 12" xfId="1120"/>
    <cellStyle name="Normal 18 2" xfId="1121"/>
    <cellStyle name="Normal 18 3" xfId="1122"/>
    <cellStyle name="Normal 18 3 2" xfId="1123"/>
    <cellStyle name="Normal 18 3 2 2" xfId="1124"/>
    <cellStyle name="Normal 18 3 2 3" xfId="1125"/>
    <cellStyle name="Normal 18 3 3" xfId="1126"/>
    <cellStyle name="Normal 18 4" xfId="1127"/>
    <cellStyle name="Normal 18 5" xfId="1128"/>
    <cellStyle name="Normal 18 6" xfId="1129"/>
    <cellStyle name="Normal 18 7" xfId="1130"/>
    <cellStyle name="Normal 18 8" xfId="1131"/>
    <cellStyle name="Normal 18 9" xfId="1132"/>
    <cellStyle name="Normal 180" xfId="1133"/>
    <cellStyle name="Normal 181" xfId="1134"/>
    <cellStyle name="Normal 182" xfId="1135"/>
    <cellStyle name="Normal 182 2" xfId="1136"/>
    <cellStyle name="Normal 183" xfId="1137"/>
    <cellStyle name="Normal 183 2" xfId="1138"/>
    <cellStyle name="Normal 184" xfId="1139"/>
    <cellStyle name="Normal 184 2" xfId="1140"/>
    <cellStyle name="Normal 185" xfId="1141"/>
    <cellStyle name="Normal 185 2" xfId="1142"/>
    <cellStyle name="Normal 186" xfId="1143"/>
    <cellStyle name="Normal 187" xfId="1144"/>
    <cellStyle name="Normal 188" xfId="1145"/>
    <cellStyle name="Normal 189" xfId="1146"/>
    <cellStyle name="Normal 189 2" xfId="1147"/>
    <cellStyle name="Normal 19" xfId="1148"/>
    <cellStyle name="Normal 19 10" xfId="1149"/>
    <cellStyle name="Normal 19 11" xfId="1150"/>
    <cellStyle name="Normal 19 12" xfId="1151"/>
    <cellStyle name="Normal 19 2" xfId="1152"/>
    <cellStyle name="Normal 19 3" xfId="1153"/>
    <cellStyle name="Normal 19 3 2" xfId="1154"/>
    <cellStyle name="Normal 19 3 2 2" xfId="1155"/>
    <cellStyle name="Normal 19 3 2 3" xfId="1156"/>
    <cellStyle name="Normal 19 3 3" xfId="1157"/>
    <cellStyle name="Normal 19 4" xfId="1158"/>
    <cellStyle name="Normal 19 5" xfId="1159"/>
    <cellStyle name="Normal 19 6" xfId="1160"/>
    <cellStyle name="Normal 19 7" xfId="1161"/>
    <cellStyle name="Normal 19 8" xfId="1162"/>
    <cellStyle name="Normal 19 9" xfId="1163"/>
    <cellStyle name="Normal 190" xfId="1164"/>
    <cellStyle name="Normal 191" xfId="1165"/>
    <cellStyle name="Normal 191 2" xfId="1166"/>
    <cellStyle name="Normal 192" xfId="1167"/>
    <cellStyle name="Normal 192 2" xfId="1168"/>
    <cellStyle name="Normal 193" xfId="1169"/>
    <cellStyle name="Normal 194" xfId="1170"/>
    <cellStyle name="Normal 195" xfId="1171"/>
    <cellStyle name="Normal 195 2" xfId="1172"/>
    <cellStyle name="Normal 196" xfId="1173"/>
    <cellStyle name="Normal 196 2" xfId="1174"/>
    <cellStyle name="Normal 197" xfId="1175"/>
    <cellStyle name="Normal 197 2" xfId="1176"/>
    <cellStyle name="Normal 198" xfId="1177"/>
    <cellStyle name="Normal 198 2" xfId="1178"/>
    <cellStyle name="Normal 199" xfId="1179"/>
    <cellStyle name="Normal 199 2" xfId="1180"/>
    <cellStyle name="Normal 2" xfId="1181"/>
    <cellStyle name="Normal 2 10" xfId="1182"/>
    <cellStyle name="Normal 2 10 2" xfId="1183"/>
    <cellStyle name="Normal 2 11" xfId="1184"/>
    <cellStyle name="Normal 2 12" xfId="1185"/>
    <cellStyle name="Normal 2 13" xfId="1186"/>
    <cellStyle name="Normal 2 14" xfId="1187"/>
    <cellStyle name="Normal 2 15" xfId="1188"/>
    <cellStyle name="Normal 2 16" xfId="1189"/>
    <cellStyle name="Normal 2 17" xfId="1190"/>
    <cellStyle name="Normal 2 18" xfId="1191"/>
    <cellStyle name="Normal 2 19" xfId="1192"/>
    <cellStyle name="Normal 2 2" xfId="1193"/>
    <cellStyle name="Normal 2 2 10" xfId="1194"/>
    <cellStyle name="Normal 2 2 10 2" xfId="4342"/>
    <cellStyle name="Normal 2 2 11" xfId="1195"/>
    <cellStyle name="Normal 2 2 2" xfId="1196"/>
    <cellStyle name="Normal 2 2 2 2" xfId="1197"/>
    <cellStyle name="Normal 2 2 2_ACT BNDE NR" xfId="1198"/>
    <cellStyle name="Normal 2 2 3" xfId="1199"/>
    <cellStyle name="Normal 2 2 4" xfId="1200"/>
    <cellStyle name="Normal 2 2 5" xfId="1201"/>
    <cellStyle name="Normal 2 2 6" xfId="1202"/>
    <cellStyle name="Normal 2 2 7" xfId="1203"/>
    <cellStyle name="Normal 2 2 8" xfId="1204"/>
    <cellStyle name="Normal 2 2 9" xfId="1205"/>
    <cellStyle name="Normal 2 20" xfId="1206"/>
    <cellStyle name="Normal 2 3" xfId="1207"/>
    <cellStyle name="Normal 2 3 2" xfId="1208"/>
    <cellStyle name="Normal 2 3 2 2" xfId="1209"/>
    <cellStyle name="Normal 2 3 2_ACT BNDE NR" xfId="1210"/>
    <cellStyle name="Normal 2 3 3" xfId="1211"/>
    <cellStyle name="Normal 2 3 4" xfId="1212"/>
    <cellStyle name="Normal 2 3 5" xfId="1213"/>
    <cellStyle name="Normal 2 4" xfId="1214"/>
    <cellStyle name="Normal 2 4 10" xfId="1215"/>
    <cellStyle name="Normal 2 4 11" xfId="1216"/>
    <cellStyle name="Normal 2 4 12" xfId="1217"/>
    <cellStyle name="Normal 2 4 13" xfId="1218"/>
    <cellStyle name="Normal 2 4 2" xfId="1219"/>
    <cellStyle name="Normal 2 4 2 2" xfId="1220"/>
    <cellStyle name="Normal 2 4 2 2 2" xfId="1221"/>
    <cellStyle name="Normal 2 4 2 2 3" xfId="1222"/>
    <cellStyle name="Normal 2 4 2 3" xfId="1223"/>
    <cellStyle name="Normal 2 4 2_ACT BNDE NR" xfId="1224"/>
    <cellStyle name="Normal 2 4 3" xfId="1225"/>
    <cellStyle name="Normal 2 4 3 2" xfId="1226"/>
    <cellStyle name="Normal 2 4 3_ACT FPHU NR" xfId="1227"/>
    <cellStyle name="Normal 2 4 4" xfId="1228"/>
    <cellStyle name="Normal 2 4 4 2" xfId="1229"/>
    <cellStyle name="Normal 2 4 4_ACT FPHU NR" xfId="1230"/>
    <cellStyle name="Normal 2 4 5" xfId="1231"/>
    <cellStyle name="Normal 2 4 5 2" xfId="1232"/>
    <cellStyle name="Normal 2 4 5_ACT FPHU NR" xfId="1233"/>
    <cellStyle name="Normal 2 4 6" xfId="1234"/>
    <cellStyle name="Normal 2 4 7" xfId="1235"/>
    <cellStyle name="Normal 2 4 8" xfId="1236"/>
    <cellStyle name="Normal 2 4 9" xfId="1237"/>
    <cellStyle name="Normal 2 5" xfId="1238"/>
    <cellStyle name="Normal 2 5 2" xfId="1239"/>
    <cellStyle name="Normal 2 6" xfId="1240"/>
    <cellStyle name="Normal 2 6 2" xfId="1241"/>
    <cellStyle name="Normal 2 7" xfId="1242"/>
    <cellStyle name="Normal 2 7 2" xfId="1243"/>
    <cellStyle name="Normal 2 8" xfId="1244"/>
    <cellStyle name="Normal 2 8 2" xfId="1245"/>
    <cellStyle name="Normal 2 9" xfId="1246"/>
    <cellStyle name="Normal 2 9 2" xfId="1247"/>
    <cellStyle name="Normal 2_ACT BNDE NR" xfId="1248"/>
    <cellStyle name="Normal 20" xfId="1249"/>
    <cellStyle name="Normal 200" xfId="1250"/>
    <cellStyle name="Normal 200 2" xfId="1251"/>
    <cellStyle name="Normal 201" xfId="1252"/>
    <cellStyle name="Normal 202" xfId="1253"/>
    <cellStyle name="Normal 203" xfId="1254"/>
    <cellStyle name="Normal 204" xfId="1255"/>
    <cellStyle name="Normal 204 2" xfId="1256"/>
    <cellStyle name="Normal 205" xfId="1257"/>
    <cellStyle name="Normal 205 2" xfId="1258"/>
    <cellStyle name="Normal 206" xfId="1259"/>
    <cellStyle name="Normal 206 2" xfId="1260"/>
    <cellStyle name="Normal 206 3" xfId="1261"/>
    <cellStyle name="Normal 207" xfId="1262"/>
    <cellStyle name="Normal 207 2" xfId="1263"/>
    <cellStyle name="Normal 207 3" xfId="1264"/>
    <cellStyle name="Normal 208" xfId="1265"/>
    <cellStyle name="Normal 208 2" xfId="1266"/>
    <cellStyle name="Normal 208 3" xfId="1267"/>
    <cellStyle name="Normal 209" xfId="1268"/>
    <cellStyle name="Normal 209 2" xfId="1269"/>
    <cellStyle name="Normal 209 3" xfId="1270"/>
    <cellStyle name="Normal 21" xfId="1271"/>
    <cellStyle name="Normal 210" xfId="1272"/>
    <cellStyle name="Normal 210 2" xfId="1273"/>
    <cellStyle name="Normal 210 2 2" xfId="1274"/>
    <cellStyle name="Normal 210 2 3" xfId="1275"/>
    <cellStyle name="Normal 210 3" xfId="1276"/>
    <cellStyle name="Normal 211" xfId="1277"/>
    <cellStyle name="Normal 211 2" xfId="1278"/>
    <cellStyle name="Normal 211 2 2" xfId="1279"/>
    <cellStyle name="Normal 212" xfId="1280"/>
    <cellStyle name="Normal 212 2" xfId="1281"/>
    <cellStyle name="Normal 212 2 2" xfId="1282"/>
    <cellStyle name="Normal 212 2 3" xfId="1283"/>
    <cellStyle name="Normal 212 3" xfId="1284"/>
    <cellStyle name="Normal 213" xfId="1285"/>
    <cellStyle name="Normal 213 2" xfId="1286"/>
    <cellStyle name="Normal 213 2 2" xfId="1287"/>
    <cellStyle name="Normal 214" xfId="1288"/>
    <cellStyle name="Normal 214 2" xfId="1289"/>
    <cellStyle name="Normal 214 2 2" xfId="1290"/>
    <cellStyle name="Normal 214 2 3" xfId="1291"/>
    <cellStyle name="Normal 214 3" xfId="1292"/>
    <cellStyle name="Normal 214 4" xfId="1293"/>
    <cellStyle name="Normal 214 5" xfId="1294"/>
    <cellStyle name="Normal 214_II_7_2 Liabilities Fcial interm" xfId="1295"/>
    <cellStyle name="Normal 215" xfId="1296"/>
    <cellStyle name="Normal 215 2" xfId="1297"/>
    <cellStyle name="Normal 215 3" xfId="1298"/>
    <cellStyle name="Normal 215 4" xfId="1299"/>
    <cellStyle name="Normal 215_II_7_2 Liabilities Fcial interm" xfId="1300"/>
    <cellStyle name="Normal 216" xfId="1301"/>
    <cellStyle name="Normal 216 2" xfId="1302"/>
    <cellStyle name="Normal 216 3" xfId="1303"/>
    <cellStyle name="Normal 216 4" xfId="1304"/>
    <cellStyle name="Normal 216_II_7_2 Liabilities Fcial interm" xfId="1305"/>
    <cellStyle name="Normal 217" xfId="1306"/>
    <cellStyle name="Normal 217 2" xfId="1307"/>
    <cellStyle name="Normal 217 2 2" xfId="1308"/>
    <cellStyle name="Normal 217 2_II_7_2 Liabilities Fcial interm" xfId="1309"/>
    <cellStyle name="Normal 217 3" xfId="1310"/>
    <cellStyle name="Normal 217 4" xfId="1311"/>
    <cellStyle name="Normal 217_II_7_2 Liabilities Fcial interm" xfId="1312"/>
    <cellStyle name="Normal 218" xfId="1313"/>
    <cellStyle name="Normal 218 2" xfId="1314"/>
    <cellStyle name="Normal 218 2 2" xfId="1315"/>
    <cellStyle name="Normal 218 2_II_7_2 Liabilities Fcial interm" xfId="1316"/>
    <cellStyle name="Normal 218 3" xfId="1317"/>
    <cellStyle name="Normal 218 4" xfId="1318"/>
    <cellStyle name="Normal 218_II_7_2 Liabilities Fcial interm" xfId="1319"/>
    <cellStyle name="Normal 219" xfId="1320"/>
    <cellStyle name="Normal 219 2" xfId="1321"/>
    <cellStyle name="Normal 219 2 2" xfId="1322"/>
    <cellStyle name="Normal 219 2_II_7_2 Liabilities Fcial interm" xfId="1323"/>
    <cellStyle name="Normal 219 3" xfId="1324"/>
    <cellStyle name="Normal 219 4" xfId="1325"/>
    <cellStyle name="Normal 219_II_7_2 Liabilities Fcial interm" xfId="1326"/>
    <cellStyle name="Normal 22" xfId="1327"/>
    <cellStyle name="Normal 22 10" xfId="1328"/>
    <cellStyle name="Normal 22 11" xfId="1329"/>
    <cellStyle name="Normal 22 12" xfId="1330"/>
    <cellStyle name="Normal 22 2" xfId="1331"/>
    <cellStyle name="Normal 22 2 2" xfId="1332"/>
    <cellStyle name="Normal 22 2 2 2" xfId="1333"/>
    <cellStyle name="Normal 22 2 2 3" xfId="1334"/>
    <cellStyle name="Normal 22 2 3" xfId="1335"/>
    <cellStyle name="Normal 22 3" xfId="1336"/>
    <cellStyle name="Normal 22 4" xfId="1337"/>
    <cellStyle name="Normal 22 5" xfId="1338"/>
    <cellStyle name="Normal 22 6" xfId="1339"/>
    <cellStyle name="Normal 22 7" xfId="1340"/>
    <cellStyle name="Normal 22 8" xfId="1341"/>
    <cellStyle name="Normal 22 9" xfId="1342"/>
    <cellStyle name="Normal 220" xfId="1343"/>
    <cellStyle name="Normal 220 2" xfId="1344"/>
    <cellStyle name="Normal 220 2 2" xfId="1345"/>
    <cellStyle name="Normal 220 2_II_7_2 Liabilities Fcial interm" xfId="1346"/>
    <cellStyle name="Normal 220 3" xfId="1347"/>
    <cellStyle name="Normal 220_II_7_2 Liabilities Fcial interm" xfId="1348"/>
    <cellStyle name="Normal 221" xfId="1349"/>
    <cellStyle name="Normal 221 2" xfId="1350"/>
    <cellStyle name="Normal 221 2 2" xfId="1351"/>
    <cellStyle name="Normal 221 3" xfId="1352"/>
    <cellStyle name="Normal 222" xfId="1353"/>
    <cellStyle name="Normal 222 2" xfId="1354"/>
    <cellStyle name="Normal 222 2 2" xfId="1355"/>
    <cellStyle name="Normal 222 3" xfId="1356"/>
    <cellStyle name="Normal 223" xfId="1357"/>
    <cellStyle name="Normal 223 2" xfId="1358"/>
    <cellStyle name="Normal 223 2 2" xfId="1359"/>
    <cellStyle name="Normal 223_II_7_2 Liabilities Fcial interm" xfId="1360"/>
    <cellStyle name="Normal 224" xfId="1361"/>
    <cellStyle name="Normal 224 2" xfId="1362"/>
    <cellStyle name="Normal 224 2 2" xfId="1363"/>
    <cellStyle name="Normal 224_II_7_2 Liabilities Fcial interm" xfId="1364"/>
    <cellStyle name="Normal 225" xfId="1365"/>
    <cellStyle name="Normal 225 2" xfId="1366"/>
    <cellStyle name="Normal 225 2 2" xfId="1367"/>
    <cellStyle name="Normal 225_II_7_2 Liabilities Fcial interm" xfId="1368"/>
    <cellStyle name="Normal 226" xfId="1369"/>
    <cellStyle name="Normal 226 2" xfId="1370"/>
    <cellStyle name="Normal 226_II_7_2 Liabilities Fcial interm" xfId="1371"/>
    <cellStyle name="Normal 227" xfId="1372"/>
    <cellStyle name="Normal 228" xfId="1373"/>
    <cellStyle name="Normal 229" xfId="1374"/>
    <cellStyle name="Normal 23" xfId="1375"/>
    <cellStyle name="Normal 23 10" xfId="1376"/>
    <cellStyle name="Normal 23 11" xfId="1377"/>
    <cellStyle name="Normal 23 12" xfId="1378"/>
    <cellStyle name="Normal 23 2" xfId="1379"/>
    <cellStyle name="Normal 23 2 10" xfId="1380"/>
    <cellStyle name="Normal 23 2 11" xfId="1381"/>
    <cellStyle name="Normal 23 2 12" xfId="1382"/>
    <cellStyle name="Normal 23 2 2" xfId="1383"/>
    <cellStyle name="Normal 23 2 3" xfId="1384"/>
    <cellStyle name="Normal 23 2 4" xfId="1385"/>
    <cellStyle name="Normal 23 2 5" xfId="1386"/>
    <cellStyle name="Normal 23 2 6" xfId="1387"/>
    <cellStyle name="Normal 23 2 7" xfId="1388"/>
    <cellStyle name="Normal 23 2 8" xfId="1389"/>
    <cellStyle name="Normal 23 2 9" xfId="1390"/>
    <cellStyle name="Normal 23 3" xfId="1391"/>
    <cellStyle name="Normal 23 3 2" xfId="1392"/>
    <cellStyle name="Normal 23 3 2 2" xfId="1393"/>
    <cellStyle name="Normal 23 3 2 3" xfId="1394"/>
    <cellStyle name="Normal 23 3 3" xfId="1395"/>
    <cellStyle name="Normal 23 4" xfId="1396"/>
    <cellStyle name="Normal 23 4 2" xfId="1397"/>
    <cellStyle name="Normal 23 4 3" xfId="1398"/>
    <cellStyle name="Normal 23 5" xfId="1399"/>
    <cellStyle name="Normal 23 6" xfId="1400"/>
    <cellStyle name="Normal 23 7" xfId="1401"/>
    <cellStyle name="Normal 23 8" xfId="1402"/>
    <cellStyle name="Normal 23 9" xfId="1403"/>
    <cellStyle name="Normal 230" xfId="1404"/>
    <cellStyle name="Normal 231" xfId="1405"/>
    <cellStyle name="Normal 232" xfId="1406"/>
    <cellStyle name="Normal 233" xfId="1407"/>
    <cellStyle name="Normal 234" xfId="1408"/>
    <cellStyle name="Normal 235" xfId="1409"/>
    <cellStyle name="Normal 236" xfId="1410"/>
    <cellStyle name="Normal 237" xfId="1411"/>
    <cellStyle name="Normal 238" xfId="1412"/>
    <cellStyle name="Normal 239" xfId="1413"/>
    <cellStyle name="Normal 24" xfId="1414"/>
    <cellStyle name="Normal 24 10" xfId="1415"/>
    <cellStyle name="Normal 24 2" xfId="1416"/>
    <cellStyle name="Normal 24 2 2" xfId="1417"/>
    <cellStyle name="Normal 24 2 2 2" xfId="1418"/>
    <cellStyle name="Normal 24 2 2 3" xfId="1419"/>
    <cellStyle name="Normal 24 2 3" xfId="1420"/>
    <cellStyle name="Normal 24 3" xfId="1421"/>
    <cellStyle name="Normal 24 4" xfId="1422"/>
    <cellStyle name="Normal 24 5" xfId="1423"/>
    <cellStyle name="Normal 24 6" xfId="1424"/>
    <cellStyle name="Normal 24 7" xfId="1425"/>
    <cellStyle name="Normal 24 8" xfId="1426"/>
    <cellStyle name="Normal 24 9" xfId="1427"/>
    <cellStyle name="Normal 240" xfId="1428"/>
    <cellStyle name="Normal 241" xfId="1429"/>
    <cellStyle name="Normal 242" xfId="1430"/>
    <cellStyle name="Normal 242 2" xfId="1431"/>
    <cellStyle name="Normal 242_II_7_2 Liabilities Fcial interm" xfId="1432"/>
    <cellStyle name="Normal 243" xfId="1433"/>
    <cellStyle name="Normal 243 2" xfId="1434"/>
    <cellStyle name="Normal 243_II_7_2 Liabilities Fcial interm" xfId="1435"/>
    <cellStyle name="Normal 244" xfId="1436"/>
    <cellStyle name="Normal 245" xfId="1437"/>
    <cellStyle name="Normal 246" xfId="1438"/>
    <cellStyle name="Normal 247" xfId="1439"/>
    <cellStyle name="Normal 248" xfId="1440"/>
    <cellStyle name="Normal 249" xfId="1441"/>
    <cellStyle name="Normal 25" xfId="1442"/>
    <cellStyle name="Normal 25 2" xfId="1443"/>
    <cellStyle name="Normal 250" xfId="1444"/>
    <cellStyle name="Normal 251" xfId="1445"/>
    <cellStyle name="Normal 252" xfId="1446"/>
    <cellStyle name="Normal 253" xfId="1447"/>
    <cellStyle name="Normal 254" xfId="1448"/>
    <cellStyle name="Normal 255" xfId="1449"/>
    <cellStyle name="Normal 256" xfId="1450"/>
    <cellStyle name="Normal 257" xfId="1451"/>
    <cellStyle name="Normal 258" xfId="1452"/>
    <cellStyle name="Normal 259" xfId="1453"/>
    <cellStyle name="Normal 26" xfId="1454"/>
    <cellStyle name="Normal 26 10" xfId="1455"/>
    <cellStyle name="Normal 26 11" xfId="1456"/>
    <cellStyle name="Normal 26 12" xfId="1457"/>
    <cellStyle name="Normal 26 2" xfId="1458"/>
    <cellStyle name="Normal 26 2 2" xfId="1459"/>
    <cellStyle name="Normal 26 2 2 2" xfId="1460"/>
    <cellStyle name="Normal 26 2 2 3" xfId="1461"/>
    <cellStyle name="Normal 26 2 3" xfId="1462"/>
    <cellStyle name="Normal 26 3" xfId="1463"/>
    <cellStyle name="Normal 26 4" xfId="1464"/>
    <cellStyle name="Normal 26 5" xfId="1465"/>
    <cellStyle name="Normal 26 6" xfId="1466"/>
    <cellStyle name="Normal 26 7" xfId="1467"/>
    <cellStyle name="Normal 26 8" xfId="1468"/>
    <cellStyle name="Normal 26 9" xfId="1469"/>
    <cellStyle name="Normal 260" xfId="1470"/>
    <cellStyle name="Normal 261" xfId="1471"/>
    <cellStyle name="Normal 262" xfId="1472"/>
    <cellStyle name="Normal 263" xfId="1473"/>
    <cellStyle name="Normal 264" xfId="1474"/>
    <cellStyle name="Normal 265" xfId="1475"/>
    <cellStyle name="Normal 266" xfId="1476"/>
    <cellStyle name="Normal 267" xfId="1477"/>
    <cellStyle name="Normal 268" xfId="1478"/>
    <cellStyle name="Normal 269" xfId="1479"/>
    <cellStyle name="Normal 27" xfId="1480"/>
    <cellStyle name="Normal 27 10" xfId="1481"/>
    <cellStyle name="Normal 27 11" xfId="1482"/>
    <cellStyle name="Normal 27 12" xfId="1483"/>
    <cellStyle name="Normal 27 2" xfId="1484"/>
    <cellStyle name="Normal 27 2 2" xfId="1485"/>
    <cellStyle name="Normal 27 2 2 2" xfId="1486"/>
    <cellStyle name="Normal 27 2 2 3" xfId="1487"/>
    <cellStyle name="Normal 27 2 3" xfId="1488"/>
    <cellStyle name="Normal 27 3" xfId="1489"/>
    <cellStyle name="Normal 27 4" xfId="1490"/>
    <cellStyle name="Normal 27 5" xfId="1491"/>
    <cellStyle name="Normal 27 6" xfId="1492"/>
    <cellStyle name="Normal 27 7" xfId="1493"/>
    <cellStyle name="Normal 27 8" xfId="1494"/>
    <cellStyle name="Normal 27 9" xfId="1495"/>
    <cellStyle name="Normal 270" xfId="1496"/>
    <cellStyle name="Normal 271" xfId="1497"/>
    <cellStyle name="Normal 272" xfId="1498"/>
    <cellStyle name="Normal 273" xfId="1499"/>
    <cellStyle name="Normal 274" xfId="1500"/>
    <cellStyle name="Normal 275" xfId="1501"/>
    <cellStyle name="Normal 276" xfId="1502"/>
    <cellStyle name="Normal 277" xfId="1503"/>
    <cellStyle name="Normal 278" xfId="1504"/>
    <cellStyle name="Normal 279" xfId="1505"/>
    <cellStyle name="Normal 28" xfId="1506"/>
    <cellStyle name="Normal 28 10" xfId="1507"/>
    <cellStyle name="Normal 28 2" xfId="1508"/>
    <cellStyle name="Normal 28 2 2" xfId="1509"/>
    <cellStyle name="Normal 28 2 2 2" xfId="1510"/>
    <cellStyle name="Normal 28 2 2 3" xfId="1511"/>
    <cellStyle name="Normal 28 2 3" xfId="1512"/>
    <cellStyle name="Normal 28 3" xfId="1513"/>
    <cellStyle name="Normal 28 4" xfId="1514"/>
    <cellStyle name="Normal 28 5" xfId="1515"/>
    <cellStyle name="Normal 28 6" xfId="1516"/>
    <cellStyle name="Normal 28 7" xfId="1517"/>
    <cellStyle name="Normal 28 8" xfId="1518"/>
    <cellStyle name="Normal 28 9" xfId="1519"/>
    <cellStyle name="Normal 280" xfId="1520"/>
    <cellStyle name="Normal 281" xfId="1521"/>
    <cellStyle name="Normal 282" xfId="1522"/>
    <cellStyle name="Normal 283" xfId="1523"/>
    <cellStyle name="Normal 284" xfId="1524"/>
    <cellStyle name="Normal 285" xfId="1525"/>
    <cellStyle name="Normal 286" xfId="1526"/>
    <cellStyle name="Normal 287" xfId="1527"/>
    <cellStyle name="Normal 288" xfId="1528"/>
    <cellStyle name="Normal 289" xfId="1529"/>
    <cellStyle name="Normal 29" xfId="1530"/>
    <cellStyle name="Normal 290" xfId="1531"/>
    <cellStyle name="Normal 291" xfId="1532"/>
    <cellStyle name="Normal 292" xfId="1533"/>
    <cellStyle name="Normal 293" xfId="1534"/>
    <cellStyle name="Normal 294" xfId="1535"/>
    <cellStyle name="Normal 295" xfId="1536"/>
    <cellStyle name="Normal 296" xfId="1537"/>
    <cellStyle name="Normal 297" xfId="1538"/>
    <cellStyle name="Normal 298" xfId="1539"/>
    <cellStyle name="Normal 299" xfId="1540"/>
    <cellStyle name="Normal 3" xfId="1541"/>
    <cellStyle name="Normal 3 10" xfId="1542"/>
    <cellStyle name="Normal 3 11" xfId="1543"/>
    <cellStyle name="Normal 3 12" xfId="1544"/>
    <cellStyle name="Normal 3 13" xfId="1545"/>
    <cellStyle name="Normal 3 14" xfId="1546"/>
    <cellStyle name="Normal 3 15" xfId="1547"/>
    <cellStyle name="Normal 3 16" xfId="1548"/>
    <cellStyle name="Normal 3 17" xfId="1549"/>
    <cellStyle name="Normal 3 18" xfId="1550"/>
    <cellStyle name="Normal 3 2" xfId="1551"/>
    <cellStyle name="Normal 3 2 2" xfId="1552"/>
    <cellStyle name="Normal 3 3" xfId="1553"/>
    <cellStyle name="Normal 3 3 2" xfId="1554"/>
    <cellStyle name="Normal 3 3_ACT FPHU NR" xfId="1555"/>
    <cellStyle name="Normal 3 4" xfId="1556"/>
    <cellStyle name="Normal 3 4 10" xfId="1557"/>
    <cellStyle name="Normal 3 4 11" xfId="1558"/>
    <cellStyle name="Normal 3 4 12" xfId="1559"/>
    <cellStyle name="Normal 3 4 2" xfId="1560"/>
    <cellStyle name="Normal 3 4 2 2" xfId="1561"/>
    <cellStyle name="Normal 3 4 2 2 2" xfId="1562"/>
    <cellStyle name="Normal 3 4 2 2 3" xfId="1563"/>
    <cellStyle name="Normal 3 4 2 3" xfId="1564"/>
    <cellStyle name="Normal 3 4 3" xfId="1565"/>
    <cellStyle name="Normal 3 4 4" xfId="1566"/>
    <cellStyle name="Normal 3 4 5" xfId="1567"/>
    <cellStyle name="Normal 3 4 6" xfId="1568"/>
    <cellStyle name="Normal 3 4 7" xfId="1569"/>
    <cellStyle name="Normal 3 4 8" xfId="1570"/>
    <cellStyle name="Normal 3 4 9" xfId="1571"/>
    <cellStyle name="Normal 3 5" xfId="1572"/>
    <cellStyle name="Normal 3 6" xfId="1573"/>
    <cellStyle name="Normal 3 7" xfId="1574"/>
    <cellStyle name="Normal 3 8" xfId="1575"/>
    <cellStyle name="Normal 3 9" xfId="1576"/>
    <cellStyle name="Normal 3_ACT BNDE NR" xfId="1577"/>
    <cellStyle name="Normal 30" xfId="1578"/>
    <cellStyle name="Normal 30 2" xfId="1579"/>
    <cellStyle name="Normal 300" xfId="1580"/>
    <cellStyle name="Normal 301" xfId="1581"/>
    <cellStyle name="Normal 302" xfId="1582"/>
    <cellStyle name="Normal 303" xfId="1583"/>
    <cellStyle name="Normal 304" xfId="1584"/>
    <cellStyle name="Normal 305" xfId="1585"/>
    <cellStyle name="Normal 306" xfId="1586"/>
    <cellStyle name="Normal 307" xfId="1587"/>
    <cellStyle name="Normal 308" xfId="1588"/>
    <cellStyle name="Normal 309" xfId="1589"/>
    <cellStyle name="Normal 31" xfId="1590"/>
    <cellStyle name="Normal 310" xfId="1591"/>
    <cellStyle name="Normal 311" xfId="1592"/>
    <cellStyle name="Normal 312" xfId="1593"/>
    <cellStyle name="Normal 313" xfId="1594"/>
    <cellStyle name="Normal 314" xfId="1595"/>
    <cellStyle name="Normal 315" xfId="1596"/>
    <cellStyle name="Normal 316" xfId="1597"/>
    <cellStyle name="Normal 317" xfId="1598"/>
    <cellStyle name="Normal 318" xfId="1599"/>
    <cellStyle name="Normal 319" xfId="1600"/>
    <cellStyle name="Normal 32" xfId="1601"/>
    <cellStyle name="Normal 32 2" xfId="1602"/>
    <cellStyle name="Normal 32 2 2" xfId="1603"/>
    <cellStyle name="Normal 32 2 2 2" xfId="1604"/>
    <cellStyle name="Normal 32 2 2 3" xfId="1605"/>
    <cellStyle name="Normal 32 2 3" xfId="1606"/>
    <cellStyle name="Normal 32 3" xfId="1607"/>
    <cellStyle name="Normal 32 4" xfId="1608"/>
    <cellStyle name="Normal 32 5" xfId="1609"/>
    <cellStyle name="Normal 32 6" xfId="1610"/>
    <cellStyle name="Normal 320" xfId="1611"/>
    <cellStyle name="Normal 321" xfId="1612"/>
    <cellStyle name="Normal 322" xfId="1613"/>
    <cellStyle name="Normal 323" xfId="1614"/>
    <cellStyle name="Normal 324" xfId="1615"/>
    <cellStyle name="Normal 325" xfId="1616"/>
    <cellStyle name="Normal 326" xfId="1617"/>
    <cellStyle name="Normal 327" xfId="1618"/>
    <cellStyle name="Normal 328" xfId="1619"/>
    <cellStyle name="Normal 329" xfId="1620"/>
    <cellStyle name="Normal 33" xfId="1621"/>
    <cellStyle name="Normal 33 2" xfId="1622"/>
    <cellStyle name="Normal 33 2 2" xfId="1623"/>
    <cellStyle name="Normal 33 2 3" xfId="1624"/>
    <cellStyle name="Normal 33 3" xfId="1625"/>
    <cellStyle name="Normal 33 3 2" xfId="1626"/>
    <cellStyle name="Normal 33 3 3" xfId="1627"/>
    <cellStyle name="Normal 33 4" xfId="1628"/>
    <cellStyle name="Normal 33 4 2" xfId="1629"/>
    <cellStyle name="Normal 33 4 3" xfId="1630"/>
    <cellStyle name="Normal 330" xfId="1631"/>
    <cellStyle name="Normal 331" xfId="1632"/>
    <cellStyle name="Normal 332" xfId="1633"/>
    <cellStyle name="Normal 333" xfId="1634"/>
    <cellStyle name="Normal 334" xfId="1635"/>
    <cellStyle name="Normal 335" xfId="1636"/>
    <cellStyle name="Normal 336" xfId="1637"/>
    <cellStyle name="Normal 337" xfId="1638"/>
    <cellStyle name="Normal 338" xfId="1639"/>
    <cellStyle name="Normal 339" xfId="1640"/>
    <cellStyle name="Normal 34" xfId="1641"/>
    <cellStyle name="Normal 34 2" xfId="1642"/>
    <cellStyle name="Normal 34 2 2" xfId="1643"/>
    <cellStyle name="Normal 34 2 2 2" xfId="1644"/>
    <cellStyle name="Normal 34 2 2 3" xfId="1645"/>
    <cellStyle name="Normal 34 2 3" xfId="1646"/>
    <cellStyle name="Normal 34 3" xfId="1647"/>
    <cellStyle name="Normal 34 3 2" xfId="1648"/>
    <cellStyle name="Normal 34 3 3" xfId="1649"/>
    <cellStyle name="Normal 34 4" xfId="1650"/>
    <cellStyle name="Normal 34 4 2" xfId="1651"/>
    <cellStyle name="Normal 34 4 3" xfId="1652"/>
    <cellStyle name="Normal 34 5" xfId="1653"/>
    <cellStyle name="Normal 34 6" xfId="1654"/>
    <cellStyle name="Normal 340" xfId="1655"/>
    <cellStyle name="Normal 341" xfId="1656"/>
    <cellStyle name="Normal 342" xfId="1657"/>
    <cellStyle name="Normal 343" xfId="1658"/>
    <cellStyle name="Normal 344" xfId="1659"/>
    <cellStyle name="Normal 345" xfId="1660"/>
    <cellStyle name="Normal 346" xfId="1661"/>
    <cellStyle name="Normal 347" xfId="1662"/>
    <cellStyle name="Normal 348" xfId="1663"/>
    <cellStyle name="Normal 349" xfId="1664"/>
    <cellStyle name="Normal 35" xfId="1665"/>
    <cellStyle name="Normal 35 2" xfId="1666"/>
    <cellStyle name="Normal 35 2 2" xfId="1667"/>
    <cellStyle name="Normal 35 2 3" xfId="1668"/>
    <cellStyle name="Normal 35 3" xfId="1669"/>
    <cellStyle name="Normal 350" xfId="1670"/>
    <cellStyle name="Normal 351" xfId="1671"/>
    <cellStyle name="Normal 352" xfId="1672"/>
    <cellStyle name="Normal 353" xfId="1673"/>
    <cellStyle name="Normal 354" xfId="1674"/>
    <cellStyle name="Normal 355" xfId="1675"/>
    <cellStyle name="Normal 356" xfId="4340"/>
    <cellStyle name="Normal 357" xfId="4341"/>
    <cellStyle name="Normal 358" xfId="4345"/>
    <cellStyle name="Normal 359" xfId="4346"/>
    <cellStyle name="Normal 36" xfId="1676"/>
    <cellStyle name="Normal 36 2" xfId="1677"/>
    <cellStyle name="Normal 36 2 2" xfId="1678"/>
    <cellStyle name="Normal 36 2 3" xfId="1679"/>
    <cellStyle name="Normal 36 3" xfId="1680"/>
    <cellStyle name="Normal 360" xfId="4347"/>
    <cellStyle name="Normal 361" xfId="1681"/>
    <cellStyle name="Normal 362" xfId="4348"/>
    <cellStyle name="Normal 363" xfId="4349"/>
    <cellStyle name="Normal 364" xfId="4350"/>
    <cellStyle name="Normal 365" xfId="4351"/>
    <cellStyle name="Normal 366" xfId="4352"/>
    <cellStyle name="Normal 367" xfId="4353"/>
    <cellStyle name="Normal 368" xfId="4354"/>
    <cellStyle name="Normal 369" xfId="4355"/>
    <cellStyle name="Normal 37" xfId="1682"/>
    <cellStyle name="Normal 37 2" xfId="1683"/>
    <cellStyle name="Normal 37 2 2" xfId="1684"/>
    <cellStyle name="Normal 37 2 3" xfId="1685"/>
    <cellStyle name="Normal 37 3" xfId="1686"/>
    <cellStyle name="Normal 370" xfId="4356"/>
    <cellStyle name="Normal 371" xfId="4357"/>
    <cellStyle name="Normal 372" xfId="4358"/>
    <cellStyle name="Normal 373" xfId="2"/>
    <cellStyle name="Normal 374" xfId="4359"/>
    <cellStyle name="Normal 38" xfId="1687"/>
    <cellStyle name="Normal 38 2" xfId="1688"/>
    <cellStyle name="Normal 38 2 2" xfId="1689"/>
    <cellStyle name="Normal 38 2 3" xfId="1690"/>
    <cellStyle name="Normal 38 3" xfId="1691"/>
    <cellStyle name="Normal 39" xfId="1692"/>
    <cellStyle name="Normal 39 2" xfId="1693"/>
    <cellStyle name="Normal 39 2 2" xfId="1694"/>
    <cellStyle name="Normal 39 2 3" xfId="1695"/>
    <cellStyle name="Normal 39 3" xfId="1696"/>
    <cellStyle name="Normal 4" xfId="1697"/>
    <cellStyle name="Normal 4 10" xfId="1698"/>
    <cellStyle name="Normal 4 11" xfId="1699"/>
    <cellStyle name="Normal 4 12" xfId="1700"/>
    <cellStyle name="Normal 4 13" xfId="1701"/>
    <cellStyle name="Normal 4 14" xfId="1702"/>
    <cellStyle name="Normal 4 15" xfId="1703"/>
    <cellStyle name="Normal 4 16" xfId="1704"/>
    <cellStyle name="Normal 4 17" xfId="1705"/>
    <cellStyle name="Normal 4 2" xfId="1706"/>
    <cellStyle name="Normal 4 2 2" xfId="1707"/>
    <cellStyle name="Normal 4 2 3" xfId="1708"/>
    <cellStyle name="Normal 4 3" xfId="1709"/>
    <cellStyle name="Normal 4 4" xfId="1710"/>
    <cellStyle name="Normal 4 5" xfId="1711"/>
    <cellStyle name="Normal 4 6" xfId="1712"/>
    <cellStyle name="Normal 4 7" xfId="1713"/>
    <cellStyle name="Normal 4 8" xfId="1714"/>
    <cellStyle name="Normal 4 9" xfId="1715"/>
    <cellStyle name="Normal 4_II_7_2 Liabilities Fcial interm" xfId="1716"/>
    <cellStyle name="Normal 40" xfId="1717"/>
    <cellStyle name="Normal 40 2" xfId="1718"/>
    <cellStyle name="Normal 40 2 2" xfId="1719"/>
    <cellStyle name="Normal 40 2 3" xfId="1720"/>
    <cellStyle name="Normal 40 3" xfId="1721"/>
    <cellStyle name="Normal 41" xfId="1722"/>
    <cellStyle name="Normal 41 2" xfId="1723"/>
    <cellStyle name="Normal 41 2 2" xfId="1724"/>
    <cellStyle name="Normal 41 2 3" xfId="1725"/>
    <cellStyle name="Normal 41 3" xfId="1726"/>
    <cellStyle name="Normal 42" xfId="1727"/>
    <cellStyle name="Normal 42 2" xfId="1728"/>
    <cellStyle name="Normal 43" xfId="1729"/>
    <cellStyle name="Normal 44" xfId="1730"/>
    <cellStyle name="Normal 44 2" xfId="1731"/>
    <cellStyle name="Normal 44 2 2" xfId="1732"/>
    <cellStyle name="Normal 44 2 3" xfId="1733"/>
    <cellStyle name="Normal 44 3" xfId="1734"/>
    <cellStyle name="Normal 45" xfId="1735"/>
    <cellStyle name="Normal 45 2" xfId="1736"/>
    <cellStyle name="Normal 45 2 2" xfId="1737"/>
    <cellStyle name="Normal 45 2 3" xfId="1738"/>
    <cellStyle name="Normal 45 3" xfId="1739"/>
    <cellStyle name="Normal 46" xfId="1740"/>
    <cellStyle name="Normal 46 2" xfId="1741"/>
    <cellStyle name="Normal 46 2 2" xfId="1742"/>
    <cellStyle name="Normal 46 2 3" xfId="1743"/>
    <cellStyle name="Normal 46 3" xfId="1744"/>
    <cellStyle name="Normal 47" xfId="1745"/>
    <cellStyle name="Normal 47 2" xfId="1746"/>
    <cellStyle name="Normal 47 2 2" xfId="1747"/>
    <cellStyle name="Normal 47 2 3" xfId="1748"/>
    <cellStyle name="Normal 47 3" xfId="1749"/>
    <cellStyle name="Normal 48" xfId="1750"/>
    <cellStyle name="Normal 48 2" xfId="1751"/>
    <cellStyle name="Normal 48 2 2" xfId="1752"/>
    <cellStyle name="Normal 48 2 3" xfId="1753"/>
    <cellStyle name="Normal 48 3" xfId="1754"/>
    <cellStyle name="Normal 49" xfId="1755"/>
    <cellStyle name="Normal 49 2" xfId="1756"/>
    <cellStyle name="Normal 49 2 2" xfId="1757"/>
    <cellStyle name="Normal 49 2 3" xfId="1758"/>
    <cellStyle name="Normal 49 3" xfId="1759"/>
    <cellStyle name="Normal 5" xfId="1760"/>
    <cellStyle name="Normal 5 10" xfId="1761"/>
    <cellStyle name="Normal 5 11" xfId="1762"/>
    <cellStyle name="Normal 5 12" xfId="1763"/>
    <cellStyle name="Normal 5 13" xfId="1764"/>
    <cellStyle name="Normal 5 14" xfId="1765"/>
    <cellStyle name="Normal 5 15" xfId="1766"/>
    <cellStyle name="Normal 5 16" xfId="1767"/>
    <cellStyle name="Normal 5 16 10" xfId="1768"/>
    <cellStyle name="Normal 5 16 10 2" xfId="1769"/>
    <cellStyle name="Normal 5 16 11" xfId="1770"/>
    <cellStyle name="Normal 5 16 12" xfId="1771"/>
    <cellStyle name="Normal 5 16 2" xfId="1772"/>
    <cellStyle name="Normal 5 16 2 10" xfId="1773"/>
    <cellStyle name="Normal 5 16 2 2" xfId="1774"/>
    <cellStyle name="Normal 5 16 2 2 2" xfId="1775"/>
    <cellStyle name="Normal 5 16 2 2 2 2" xfId="1776"/>
    <cellStyle name="Normal 5 16 2 2 2 2 2" xfId="1777"/>
    <cellStyle name="Normal 5 16 2 2 2 2_II_7_2 Liabilities Fcial interm" xfId="1778"/>
    <cellStyle name="Normal 5 16 2 2 2 3" xfId="1779"/>
    <cellStyle name="Normal 5 16 2 2 2 4" xfId="1780"/>
    <cellStyle name="Normal 5 16 2 2 2 5" xfId="1781"/>
    <cellStyle name="Normal 5 16 2 2 2_II_7_2 Liabilities Fcial interm" xfId="1782"/>
    <cellStyle name="Normal 5 16 2 2 3" xfId="1783"/>
    <cellStyle name="Normal 5 16 2 2 3 2" xfId="1784"/>
    <cellStyle name="Normal 5 16 2 2 3 3" xfId="1785"/>
    <cellStyle name="Normal 5 16 2 2 3 4" xfId="1786"/>
    <cellStyle name="Normal 5 16 2 2 3_II_7_2 Liabilities Fcial interm" xfId="1787"/>
    <cellStyle name="Normal 5 16 2 2 4" xfId="1788"/>
    <cellStyle name="Normal 5 16 2 2 4 2" xfId="1789"/>
    <cellStyle name="Normal 5 16 2 2 4 3" xfId="1790"/>
    <cellStyle name="Normal 5 16 2 2 4 4" xfId="1791"/>
    <cellStyle name="Normal 5 16 2 2 4_II_7_2 Liabilities Fcial interm" xfId="1792"/>
    <cellStyle name="Normal 5 16 2 2 5" xfId="1793"/>
    <cellStyle name="Normal 5 16 2 2 5 2" xfId="1794"/>
    <cellStyle name="Normal 5 16 2 2 5 3" xfId="1795"/>
    <cellStyle name="Normal 5 16 2 2 5 4" xfId="1796"/>
    <cellStyle name="Normal 5 16 2 2 5_II_7_2 Liabilities Fcial interm" xfId="1797"/>
    <cellStyle name="Normal 5 16 2 2 6" xfId="1798"/>
    <cellStyle name="Normal 5 16 2 2 6 2" xfId="1799"/>
    <cellStyle name="Normal 5 16 2 2 6 3" xfId="1800"/>
    <cellStyle name="Normal 5 16 2 2 6_II_7_2 Liabilities Fcial interm" xfId="1801"/>
    <cellStyle name="Normal 5 16 2 2 7" xfId="1802"/>
    <cellStyle name="Normal 5 16 2 2 7 2" xfId="1803"/>
    <cellStyle name="Normal 5 16 2 2 8" xfId="1804"/>
    <cellStyle name="Normal 5 16 2 2_II_7_2 Liabilities Fcial interm" xfId="1805"/>
    <cellStyle name="Normal 5 16 2 3" xfId="1806"/>
    <cellStyle name="Normal 5 16 2 3 2" xfId="1807"/>
    <cellStyle name="Normal 5 16 2 3 2 2" xfId="1808"/>
    <cellStyle name="Normal 5 16 2 3 2 3" xfId="1809"/>
    <cellStyle name="Normal 5 16 2 3 2 4" xfId="1810"/>
    <cellStyle name="Normal 5 16 2 3 2_II_7_2 Liabilities Fcial interm" xfId="1811"/>
    <cellStyle name="Normal 5 16 2 3 3" xfId="1812"/>
    <cellStyle name="Normal 5 16 2 3 3 2" xfId="1813"/>
    <cellStyle name="Normal 5 16 2 3 3 3" xfId="1814"/>
    <cellStyle name="Normal 5 16 2 3 3 4" xfId="1815"/>
    <cellStyle name="Normal 5 16 2 3 3_II_7_2 Liabilities Fcial interm" xfId="1816"/>
    <cellStyle name="Normal 5 16 2 3 4" xfId="1817"/>
    <cellStyle name="Normal 5 16 2 3 4 2" xfId="1818"/>
    <cellStyle name="Normal 5 16 2 3 4 3" xfId="1819"/>
    <cellStyle name="Normal 5 16 2 3 4 4" xfId="1820"/>
    <cellStyle name="Normal 5 16 2 3 4_II_7_2 Liabilities Fcial interm" xfId="1821"/>
    <cellStyle name="Normal 5 16 2 3 5" xfId="1822"/>
    <cellStyle name="Normal 5 16 2 3 5 2" xfId="1823"/>
    <cellStyle name="Normal 5 16 2 3 5 3" xfId="1824"/>
    <cellStyle name="Normal 5 16 2 3 5_II_7_2 Liabilities Fcial interm" xfId="1825"/>
    <cellStyle name="Normal 5 16 2 3 6" xfId="1826"/>
    <cellStyle name="Normal 5 16 2 3 6 2" xfId="1827"/>
    <cellStyle name="Normal 5 16 2 3 7" xfId="1828"/>
    <cellStyle name="Normal 5 16 2 3_II_7_2 Liabilities Fcial interm" xfId="1829"/>
    <cellStyle name="Normal 5 16 2 4" xfId="1830"/>
    <cellStyle name="Normal 5 16 2 4 2" xfId="1831"/>
    <cellStyle name="Normal 5 16 2 4 2 2" xfId="1832"/>
    <cellStyle name="Normal 5 16 2 4 2 3" xfId="1833"/>
    <cellStyle name="Normal 5 16 2 4 2_II_7_2 Liabilities Fcial interm" xfId="1834"/>
    <cellStyle name="Normal 5 16 2 4 3" xfId="1835"/>
    <cellStyle name="Normal 5 16 2 4 3 2" xfId="1836"/>
    <cellStyle name="Normal 5 16 2 4 4" xfId="1837"/>
    <cellStyle name="Normal 5 16 2 4_II_7_2 Liabilities Fcial interm" xfId="1838"/>
    <cellStyle name="Normal 5 16 2 5" xfId="1839"/>
    <cellStyle name="Normal 5 16 2 5 2" xfId="1840"/>
    <cellStyle name="Normal 5 16 2 5 2 2" xfId="1841"/>
    <cellStyle name="Normal 5 16 2 5 2_II_7_2 Liabilities Fcial interm" xfId="1842"/>
    <cellStyle name="Normal 5 16 2 5 3" xfId="1843"/>
    <cellStyle name="Normal 5 16 2 5 4" xfId="1844"/>
    <cellStyle name="Normal 5 16 2 5_II_7_2 Liabilities Fcial interm" xfId="1845"/>
    <cellStyle name="Normal 5 16 2 6" xfId="1846"/>
    <cellStyle name="Normal 5 16 2 6 2" xfId="1847"/>
    <cellStyle name="Normal 5 16 2 6 3" xfId="1848"/>
    <cellStyle name="Normal 5 16 2 6 4" xfId="1849"/>
    <cellStyle name="Normal 5 16 2 6_II_7_2 Liabilities Fcial interm" xfId="1850"/>
    <cellStyle name="Normal 5 16 2 7" xfId="1851"/>
    <cellStyle name="Normal 5 16 2 7 2" xfId="1852"/>
    <cellStyle name="Normal 5 16 2 7 3" xfId="1853"/>
    <cellStyle name="Normal 5 16 2 7_II_7_2 Liabilities Fcial interm" xfId="1854"/>
    <cellStyle name="Normal 5 16 2 8" xfId="1855"/>
    <cellStyle name="Normal 5 16 2 8 2" xfId="1856"/>
    <cellStyle name="Normal 5 16 2 9" xfId="1857"/>
    <cellStyle name="Normal 5 16 2_II_7_2 Liabilities Fcial interm" xfId="1858"/>
    <cellStyle name="Normal 5 16 3" xfId="1859"/>
    <cellStyle name="Normal 5 16 3 2" xfId="1860"/>
    <cellStyle name="Normal 5 16 3 2 2" xfId="1861"/>
    <cellStyle name="Normal 5 16 3 2 2 2" xfId="1862"/>
    <cellStyle name="Normal 5 16 3 2 2_II_7_2 Liabilities Fcial interm" xfId="1863"/>
    <cellStyle name="Normal 5 16 3 2 3" xfId="1864"/>
    <cellStyle name="Normal 5 16 3 2 4" xfId="1865"/>
    <cellStyle name="Normal 5 16 3 2 5" xfId="1866"/>
    <cellStyle name="Normal 5 16 3 2_II_7_2 Liabilities Fcial interm" xfId="1867"/>
    <cellStyle name="Normal 5 16 3 3" xfId="1868"/>
    <cellStyle name="Normal 5 16 3 3 2" xfId="1869"/>
    <cellStyle name="Normal 5 16 3 3 3" xfId="1870"/>
    <cellStyle name="Normal 5 16 3 3 4" xfId="1871"/>
    <cellStyle name="Normal 5 16 3 3_II_7_2 Liabilities Fcial interm" xfId="1872"/>
    <cellStyle name="Normal 5 16 3 4" xfId="1873"/>
    <cellStyle name="Normal 5 16 3 4 2" xfId="1874"/>
    <cellStyle name="Normal 5 16 3 4 3" xfId="1875"/>
    <cellStyle name="Normal 5 16 3 4 4" xfId="1876"/>
    <cellStyle name="Normal 5 16 3 4_II_7_2 Liabilities Fcial interm" xfId="1877"/>
    <cellStyle name="Normal 5 16 3 5" xfId="1878"/>
    <cellStyle name="Normal 5 16 3 5 2" xfId="1879"/>
    <cellStyle name="Normal 5 16 3 5 3" xfId="1880"/>
    <cellStyle name="Normal 5 16 3 5 4" xfId="1881"/>
    <cellStyle name="Normal 5 16 3 5_II_7_2 Liabilities Fcial interm" xfId="1882"/>
    <cellStyle name="Normal 5 16 3 6" xfId="1883"/>
    <cellStyle name="Normal 5 16 3 6 2" xfId="1884"/>
    <cellStyle name="Normal 5 16 3 6 3" xfId="1885"/>
    <cellStyle name="Normal 5 16 3 6 4" xfId="1886"/>
    <cellStyle name="Normal 5 16 3 6_II_7_2 Liabilities Fcial interm" xfId="1887"/>
    <cellStyle name="Normal 5 16 3 7" xfId="1888"/>
    <cellStyle name="Normal 5 16 3 7 2" xfId="1889"/>
    <cellStyle name="Normal 5 16 3 7 3" xfId="1890"/>
    <cellStyle name="Normal 5 16 3 7_II_7_2 Liabilities Fcial interm" xfId="1891"/>
    <cellStyle name="Normal 5 16 3 8" xfId="1892"/>
    <cellStyle name="Normal 5 16 3 8 2" xfId="1893"/>
    <cellStyle name="Normal 5 16 3 9" xfId="1894"/>
    <cellStyle name="Normal 5 16 3_II_7_2 Liabilities Fcial interm" xfId="1895"/>
    <cellStyle name="Normal 5 16 4" xfId="1896"/>
    <cellStyle name="Normal 5 16 4 2" xfId="1897"/>
    <cellStyle name="Normal 5 16 4 2 2" xfId="1898"/>
    <cellStyle name="Normal 5 16 4 2 2 2" xfId="1899"/>
    <cellStyle name="Normal 5 16 4 2 2_II_7_2 Liabilities Fcial interm" xfId="1900"/>
    <cellStyle name="Normal 5 16 4 2 3" xfId="1901"/>
    <cellStyle name="Normal 5 16 4 2 4" xfId="1902"/>
    <cellStyle name="Normal 5 16 4 2 5" xfId="1903"/>
    <cellStyle name="Normal 5 16 4 2_II_7_2 Liabilities Fcial interm" xfId="1904"/>
    <cellStyle name="Normal 5 16 4 3" xfId="1905"/>
    <cellStyle name="Normal 5 16 4 3 2" xfId="1906"/>
    <cellStyle name="Normal 5 16 4 3 3" xfId="1907"/>
    <cellStyle name="Normal 5 16 4 3 4" xfId="1908"/>
    <cellStyle name="Normal 5 16 4 3_II_7_2 Liabilities Fcial interm" xfId="1909"/>
    <cellStyle name="Normal 5 16 4 4" xfId="1910"/>
    <cellStyle name="Normal 5 16 4 4 2" xfId="1911"/>
    <cellStyle name="Normal 5 16 4 4 3" xfId="1912"/>
    <cellStyle name="Normal 5 16 4 4 4" xfId="1913"/>
    <cellStyle name="Normal 5 16 4 4_II_7_2 Liabilities Fcial interm" xfId="1914"/>
    <cellStyle name="Normal 5 16 4 5" xfId="1915"/>
    <cellStyle name="Normal 5 16 4 5 2" xfId="1916"/>
    <cellStyle name="Normal 5 16 4 5 3" xfId="1917"/>
    <cellStyle name="Normal 5 16 4 5_II_7_2 Liabilities Fcial interm" xfId="1918"/>
    <cellStyle name="Normal 5 16 4 6" xfId="1919"/>
    <cellStyle name="Normal 5 16 4 6 2" xfId="1920"/>
    <cellStyle name="Normal 5 16 4 7" xfId="1921"/>
    <cellStyle name="Normal 5 16 4_II_7_2 Liabilities Fcial interm" xfId="1922"/>
    <cellStyle name="Normal 5 16 5" xfId="1923"/>
    <cellStyle name="Normal 5 16 5 2" xfId="1924"/>
    <cellStyle name="Normal 5 16 5 2 2" xfId="1925"/>
    <cellStyle name="Normal 5 16 5 2 3" xfId="1926"/>
    <cellStyle name="Normal 5 16 5 2_II_7_2 Liabilities Fcial interm" xfId="1927"/>
    <cellStyle name="Normal 5 16 5 3" xfId="1928"/>
    <cellStyle name="Normal 5 16 5 3 2" xfId="1929"/>
    <cellStyle name="Normal 5 16 5 3_II_7_2 Liabilities Fcial interm" xfId="1930"/>
    <cellStyle name="Normal 5 16 5 4" xfId="1931"/>
    <cellStyle name="Normal 5 16 5 5" xfId="1932"/>
    <cellStyle name="Normal 5 16 5_II_7_2 Liabilities Fcial interm" xfId="1933"/>
    <cellStyle name="Normal 5 16 6" xfId="1934"/>
    <cellStyle name="Normal 5 16 6 2" xfId="1935"/>
    <cellStyle name="Normal 5 16 6 2 2" xfId="1936"/>
    <cellStyle name="Normal 5 16 6 2_II_7_2 Liabilities Fcial interm" xfId="1937"/>
    <cellStyle name="Normal 5 16 6 3" xfId="1938"/>
    <cellStyle name="Normal 5 16 6 4" xfId="1939"/>
    <cellStyle name="Normal 5 16 6_II_7_2 Liabilities Fcial interm" xfId="1940"/>
    <cellStyle name="Normal 5 16 7" xfId="1941"/>
    <cellStyle name="Normal 5 16 7 2" xfId="1942"/>
    <cellStyle name="Normal 5 16 7 3" xfId="1943"/>
    <cellStyle name="Normal 5 16 7 4" xfId="1944"/>
    <cellStyle name="Normal 5 16 7_II_7_2 Liabilities Fcial interm" xfId="1945"/>
    <cellStyle name="Normal 5 16 8" xfId="1946"/>
    <cellStyle name="Normal 5 16 8 2" xfId="1947"/>
    <cellStyle name="Normal 5 16 8 3" xfId="1948"/>
    <cellStyle name="Normal 5 16 8 4" xfId="1949"/>
    <cellStyle name="Normal 5 16 8_II_7_2 Liabilities Fcial interm" xfId="1950"/>
    <cellStyle name="Normal 5 16 9" xfId="1951"/>
    <cellStyle name="Normal 5 16 9 2" xfId="1952"/>
    <cellStyle name="Normal 5 16 9 3" xfId="1953"/>
    <cellStyle name="Normal 5 16 9_II_7_2 Liabilities Fcial interm" xfId="1954"/>
    <cellStyle name="Normal 5 16_II_7_2 Liabilities Fcial interm" xfId="1955"/>
    <cellStyle name="Normal 5 2" xfId="1956"/>
    <cellStyle name="Normal 5 2 2" xfId="1957"/>
    <cellStyle name="Normal 5 2 2 2" xfId="1958"/>
    <cellStyle name="Normal 5 2 2 2 10" xfId="1959"/>
    <cellStyle name="Normal 5 2 2 2 10 2" xfId="1960"/>
    <cellStyle name="Normal 5 2 2 2 11" xfId="1961"/>
    <cellStyle name="Normal 5 2 2 2 12" xfId="1962"/>
    <cellStyle name="Normal 5 2 2 2 2" xfId="1963"/>
    <cellStyle name="Normal 5 2 2 2 2 10" xfId="1964"/>
    <cellStyle name="Normal 5 2 2 2 2 2" xfId="1965"/>
    <cellStyle name="Normal 5 2 2 2 2 2 2" xfId="1966"/>
    <cellStyle name="Normal 5 2 2 2 2 2 2 2" xfId="1967"/>
    <cellStyle name="Normal 5 2 2 2 2 2 2 2 2" xfId="1968"/>
    <cellStyle name="Normal 5 2 2 2 2 2 2 2_II_7_2 Liabilities Fcial interm" xfId="1969"/>
    <cellStyle name="Normal 5 2 2 2 2 2 2 3" xfId="1970"/>
    <cellStyle name="Normal 5 2 2 2 2 2 2 4" xfId="1971"/>
    <cellStyle name="Normal 5 2 2 2 2 2 2 5" xfId="1972"/>
    <cellStyle name="Normal 5 2 2 2 2 2 2_II_7_2 Liabilities Fcial interm" xfId="1973"/>
    <cellStyle name="Normal 5 2 2 2 2 2 3" xfId="1974"/>
    <cellStyle name="Normal 5 2 2 2 2 2 3 2" xfId="1975"/>
    <cellStyle name="Normal 5 2 2 2 2 2 3 3" xfId="1976"/>
    <cellStyle name="Normal 5 2 2 2 2 2 3 4" xfId="1977"/>
    <cellStyle name="Normal 5 2 2 2 2 2 3_II_7_2 Liabilities Fcial interm" xfId="1978"/>
    <cellStyle name="Normal 5 2 2 2 2 2 4" xfId="1979"/>
    <cellStyle name="Normal 5 2 2 2 2 2 4 2" xfId="1980"/>
    <cellStyle name="Normal 5 2 2 2 2 2 4 3" xfId="1981"/>
    <cellStyle name="Normal 5 2 2 2 2 2 4 4" xfId="1982"/>
    <cellStyle name="Normal 5 2 2 2 2 2 4_II_7_2 Liabilities Fcial interm" xfId="1983"/>
    <cellStyle name="Normal 5 2 2 2 2 2 5" xfId="1984"/>
    <cellStyle name="Normal 5 2 2 2 2 2 5 2" xfId="1985"/>
    <cellStyle name="Normal 5 2 2 2 2 2 5 3" xfId="1986"/>
    <cellStyle name="Normal 5 2 2 2 2 2 5 4" xfId="1987"/>
    <cellStyle name="Normal 5 2 2 2 2 2 5_II_7_2 Liabilities Fcial interm" xfId="1988"/>
    <cellStyle name="Normal 5 2 2 2 2 2 6" xfId="1989"/>
    <cellStyle name="Normal 5 2 2 2 2 2 6 2" xfId="1990"/>
    <cellStyle name="Normal 5 2 2 2 2 2 6 3" xfId="1991"/>
    <cellStyle name="Normal 5 2 2 2 2 2 6_II_7_2 Liabilities Fcial interm" xfId="1992"/>
    <cellStyle name="Normal 5 2 2 2 2 2 7" xfId="1993"/>
    <cellStyle name="Normal 5 2 2 2 2 2 7 2" xfId="1994"/>
    <cellStyle name="Normal 5 2 2 2 2 2 8" xfId="1995"/>
    <cellStyle name="Normal 5 2 2 2 2 2_II_7_2 Liabilities Fcial interm" xfId="1996"/>
    <cellStyle name="Normal 5 2 2 2 2 3" xfId="1997"/>
    <cellStyle name="Normal 5 2 2 2 2 3 2" xfId="1998"/>
    <cellStyle name="Normal 5 2 2 2 2 3 2 2" xfId="1999"/>
    <cellStyle name="Normal 5 2 2 2 2 3 2 3" xfId="2000"/>
    <cellStyle name="Normal 5 2 2 2 2 3 2 4" xfId="2001"/>
    <cellStyle name="Normal 5 2 2 2 2 3 2_II_7_2 Liabilities Fcial interm" xfId="2002"/>
    <cellStyle name="Normal 5 2 2 2 2 3 3" xfId="2003"/>
    <cellStyle name="Normal 5 2 2 2 2 3 3 2" xfId="2004"/>
    <cellStyle name="Normal 5 2 2 2 2 3 3 3" xfId="2005"/>
    <cellStyle name="Normal 5 2 2 2 2 3 3 4" xfId="2006"/>
    <cellStyle name="Normal 5 2 2 2 2 3 3_II_7_2 Liabilities Fcial interm" xfId="2007"/>
    <cellStyle name="Normal 5 2 2 2 2 3 4" xfId="2008"/>
    <cellStyle name="Normal 5 2 2 2 2 3 4 2" xfId="2009"/>
    <cellStyle name="Normal 5 2 2 2 2 3 4 3" xfId="2010"/>
    <cellStyle name="Normal 5 2 2 2 2 3 4 4" xfId="2011"/>
    <cellStyle name="Normal 5 2 2 2 2 3 4_II_7_2 Liabilities Fcial interm" xfId="2012"/>
    <cellStyle name="Normal 5 2 2 2 2 3 5" xfId="2013"/>
    <cellStyle name="Normal 5 2 2 2 2 3 5 2" xfId="2014"/>
    <cellStyle name="Normal 5 2 2 2 2 3 5 3" xfId="2015"/>
    <cellStyle name="Normal 5 2 2 2 2 3 5_II_7_2 Liabilities Fcial interm" xfId="2016"/>
    <cellStyle name="Normal 5 2 2 2 2 3 6" xfId="2017"/>
    <cellStyle name="Normal 5 2 2 2 2 3 6 2" xfId="2018"/>
    <cellStyle name="Normal 5 2 2 2 2 3 7" xfId="2019"/>
    <cellStyle name="Normal 5 2 2 2 2 3_II_7_2 Liabilities Fcial interm" xfId="2020"/>
    <cellStyle name="Normal 5 2 2 2 2 4" xfId="2021"/>
    <cellStyle name="Normal 5 2 2 2 2 4 2" xfId="2022"/>
    <cellStyle name="Normal 5 2 2 2 2 4 2 2" xfId="2023"/>
    <cellStyle name="Normal 5 2 2 2 2 4 2 3" xfId="2024"/>
    <cellStyle name="Normal 5 2 2 2 2 4 2_II_7_2 Liabilities Fcial interm" xfId="2025"/>
    <cellStyle name="Normal 5 2 2 2 2 4 3" xfId="2026"/>
    <cellStyle name="Normal 5 2 2 2 2 4 3 2" xfId="2027"/>
    <cellStyle name="Normal 5 2 2 2 2 4 4" xfId="2028"/>
    <cellStyle name="Normal 5 2 2 2 2 4_II_7_2 Liabilities Fcial interm" xfId="2029"/>
    <cellStyle name="Normal 5 2 2 2 2 5" xfId="2030"/>
    <cellStyle name="Normal 5 2 2 2 2 5 2" xfId="2031"/>
    <cellStyle name="Normal 5 2 2 2 2 5 2 2" xfId="2032"/>
    <cellStyle name="Normal 5 2 2 2 2 5 2_II_7_2 Liabilities Fcial interm" xfId="2033"/>
    <cellStyle name="Normal 5 2 2 2 2 5 3" xfId="2034"/>
    <cellStyle name="Normal 5 2 2 2 2 5 4" xfId="2035"/>
    <cellStyle name="Normal 5 2 2 2 2 5_II_7_2 Liabilities Fcial interm" xfId="2036"/>
    <cellStyle name="Normal 5 2 2 2 2 6" xfId="2037"/>
    <cellStyle name="Normal 5 2 2 2 2 6 2" xfId="2038"/>
    <cellStyle name="Normal 5 2 2 2 2 6 3" xfId="2039"/>
    <cellStyle name="Normal 5 2 2 2 2 6 4" xfId="2040"/>
    <cellStyle name="Normal 5 2 2 2 2 6_II_7_2 Liabilities Fcial interm" xfId="2041"/>
    <cellStyle name="Normal 5 2 2 2 2 7" xfId="2042"/>
    <cellStyle name="Normal 5 2 2 2 2 7 2" xfId="2043"/>
    <cellStyle name="Normal 5 2 2 2 2 7 3" xfId="2044"/>
    <cellStyle name="Normal 5 2 2 2 2 7_II_7_2 Liabilities Fcial interm" xfId="2045"/>
    <cellStyle name="Normal 5 2 2 2 2 8" xfId="2046"/>
    <cellStyle name="Normal 5 2 2 2 2 8 2" xfId="2047"/>
    <cellStyle name="Normal 5 2 2 2 2 9" xfId="2048"/>
    <cellStyle name="Normal 5 2 2 2 2_II_7_2 Liabilities Fcial interm" xfId="2049"/>
    <cellStyle name="Normal 5 2 2 2 3" xfId="2050"/>
    <cellStyle name="Normal 5 2 2 2 3 2" xfId="2051"/>
    <cellStyle name="Normal 5 2 2 2 3 2 2" xfId="2052"/>
    <cellStyle name="Normal 5 2 2 2 3 2 2 2" xfId="2053"/>
    <cellStyle name="Normal 5 2 2 2 3 2 2_II_7_2 Liabilities Fcial interm" xfId="2054"/>
    <cellStyle name="Normal 5 2 2 2 3 2 3" xfId="2055"/>
    <cellStyle name="Normal 5 2 2 2 3 2 4" xfId="2056"/>
    <cellStyle name="Normal 5 2 2 2 3 2 5" xfId="2057"/>
    <cellStyle name="Normal 5 2 2 2 3 2_II_7_2 Liabilities Fcial interm" xfId="2058"/>
    <cellStyle name="Normal 5 2 2 2 3 3" xfId="2059"/>
    <cellStyle name="Normal 5 2 2 2 3 3 2" xfId="2060"/>
    <cellStyle name="Normal 5 2 2 2 3 3 3" xfId="2061"/>
    <cellStyle name="Normal 5 2 2 2 3 3 4" xfId="2062"/>
    <cellStyle name="Normal 5 2 2 2 3 3_II_7_2 Liabilities Fcial interm" xfId="2063"/>
    <cellStyle name="Normal 5 2 2 2 3 4" xfId="2064"/>
    <cellStyle name="Normal 5 2 2 2 3 4 2" xfId="2065"/>
    <cellStyle name="Normal 5 2 2 2 3 4 3" xfId="2066"/>
    <cellStyle name="Normal 5 2 2 2 3 4 4" xfId="2067"/>
    <cellStyle name="Normal 5 2 2 2 3 4_II_7_2 Liabilities Fcial interm" xfId="2068"/>
    <cellStyle name="Normal 5 2 2 2 3 5" xfId="2069"/>
    <cellStyle name="Normal 5 2 2 2 3 5 2" xfId="2070"/>
    <cellStyle name="Normal 5 2 2 2 3 5 3" xfId="2071"/>
    <cellStyle name="Normal 5 2 2 2 3 5 4" xfId="2072"/>
    <cellStyle name="Normal 5 2 2 2 3 5_II_7_2 Liabilities Fcial interm" xfId="2073"/>
    <cellStyle name="Normal 5 2 2 2 3 6" xfId="2074"/>
    <cellStyle name="Normal 5 2 2 2 3 6 2" xfId="2075"/>
    <cellStyle name="Normal 5 2 2 2 3 6 3" xfId="2076"/>
    <cellStyle name="Normal 5 2 2 2 3 6 4" xfId="2077"/>
    <cellStyle name="Normal 5 2 2 2 3 6_II_7_2 Liabilities Fcial interm" xfId="2078"/>
    <cellStyle name="Normal 5 2 2 2 3 7" xfId="2079"/>
    <cellStyle name="Normal 5 2 2 2 3 7 2" xfId="2080"/>
    <cellStyle name="Normal 5 2 2 2 3 7 3" xfId="2081"/>
    <cellStyle name="Normal 5 2 2 2 3 7_II_7_2 Liabilities Fcial interm" xfId="2082"/>
    <cellStyle name="Normal 5 2 2 2 3 8" xfId="2083"/>
    <cellStyle name="Normal 5 2 2 2 3 8 2" xfId="2084"/>
    <cellStyle name="Normal 5 2 2 2 3 9" xfId="2085"/>
    <cellStyle name="Normal 5 2 2 2 3_II_7_2 Liabilities Fcial interm" xfId="2086"/>
    <cellStyle name="Normal 5 2 2 2 4" xfId="2087"/>
    <cellStyle name="Normal 5 2 2 2 4 2" xfId="2088"/>
    <cellStyle name="Normal 5 2 2 2 4 2 2" xfId="2089"/>
    <cellStyle name="Normal 5 2 2 2 4 2 2 2" xfId="2090"/>
    <cellStyle name="Normal 5 2 2 2 4 2 2_II_7_2 Liabilities Fcial interm" xfId="2091"/>
    <cellStyle name="Normal 5 2 2 2 4 2 3" xfId="2092"/>
    <cellStyle name="Normal 5 2 2 2 4 2 4" xfId="2093"/>
    <cellStyle name="Normal 5 2 2 2 4 2 5" xfId="2094"/>
    <cellStyle name="Normal 5 2 2 2 4 2_II_7_2 Liabilities Fcial interm" xfId="2095"/>
    <cellStyle name="Normal 5 2 2 2 4 3" xfId="2096"/>
    <cellStyle name="Normal 5 2 2 2 4 3 2" xfId="2097"/>
    <cellStyle name="Normal 5 2 2 2 4 3 3" xfId="2098"/>
    <cellStyle name="Normal 5 2 2 2 4 3 4" xfId="2099"/>
    <cellStyle name="Normal 5 2 2 2 4 3_II_7_2 Liabilities Fcial interm" xfId="2100"/>
    <cellStyle name="Normal 5 2 2 2 4 4" xfId="2101"/>
    <cellStyle name="Normal 5 2 2 2 4 4 2" xfId="2102"/>
    <cellStyle name="Normal 5 2 2 2 4 4 3" xfId="2103"/>
    <cellStyle name="Normal 5 2 2 2 4 4 4" xfId="2104"/>
    <cellStyle name="Normal 5 2 2 2 4 4_II_7_2 Liabilities Fcial interm" xfId="2105"/>
    <cellStyle name="Normal 5 2 2 2 4 5" xfId="2106"/>
    <cellStyle name="Normal 5 2 2 2 4 5 2" xfId="2107"/>
    <cellStyle name="Normal 5 2 2 2 4 5 3" xfId="2108"/>
    <cellStyle name="Normal 5 2 2 2 4 5_II_7_2 Liabilities Fcial interm" xfId="2109"/>
    <cellStyle name="Normal 5 2 2 2 4 6" xfId="2110"/>
    <cellStyle name="Normal 5 2 2 2 4 6 2" xfId="2111"/>
    <cellStyle name="Normal 5 2 2 2 4 7" xfId="2112"/>
    <cellStyle name="Normal 5 2 2 2 4_II_7_2 Liabilities Fcial interm" xfId="2113"/>
    <cellStyle name="Normal 5 2 2 2 5" xfId="2114"/>
    <cellStyle name="Normal 5 2 2 2 5 2" xfId="2115"/>
    <cellStyle name="Normal 5 2 2 2 5 2 2" xfId="2116"/>
    <cellStyle name="Normal 5 2 2 2 5 2 3" xfId="2117"/>
    <cellStyle name="Normal 5 2 2 2 5 2_II_7_2 Liabilities Fcial interm" xfId="2118"/>
    <cellStyle name="Normal 5 2 2 2 5 3" xfId="2119"/>
    <cellStyle name="Normal 5 2 2 2 5 3 2" xfId="2120"/>
    <cellStyle name="Normal 5 2 2 2 5 3_II_7_2 Liabilities Fcial interm" xfId="2121"/>
    <cellStyle name="Normal 5 2 2 2 5 4" xfId="2122"/>
    <cellStyle name="Normal 5 2 2 2 5 5" xfId="2123"/>
    <cellStyle name="Normal 5 2 2 2 5_II_7_2 Liabilities Fcial interm" xfId="2124"/>
    <cellStyle name="Normal 5 2 2 2 6" xfId="2125"/>
    <cellStyle name="Normal 5 2 2 2 6 2" xfId="2126"/>
    <cellStyle name="Normal 5 2 2 2 6 2 2" xfId="2127"/>
    <cellStyle name="Normal 5 2 2 2 6 2_II_7_2 Liabilities Fcial interm" xfId="2128"/>
    <cellStyle name="Normal 5 2 2 2 6 3" xfId="2129"/>
    <cellStyle name="Normal 5 2 2 2 6 4" xfId="2130"/>
    <cellStyle name="Normal 5 2 2 2 6_II_7_2 Liabilities Fcial interm" xfId="2131"/>
    <cellStyle name="Normal 5 2 2 2 7" xfId="2132"/>
    <cellStyle name="Normal 5 2 2 2 7 2" xfId="2133"/>
    <cellStyle name="Normal 5 2 2 2 7 3" xfId="2134"/>
    <cellStyle name="Normal 5 2 2 2 7 4" xfId="2135"/>
    <cellStyle name="Normal 5 2 2 2 7_II_7_2 Liabilities Fcial interm" xfId="2136"/>
    <cellStyle name="Normal 5 2 2 2 8" xfId="2137"/>
    <cellStyle name="Normal 5 2 2 2 8 2" xfId="2138"/>
    <cellStyle name="Normal 5 2 2 2 8 3" xfId="2139"/>
    <cellStyle name="Normal 5 2 2 2 8 4" xfId="2140"/>
    <cellStyle name="Normal 5 2 2 2 8_II_7_2 Liabilities Fcial interm" xfId="2141"/>
    <cellStyle name="Normal 5 2 2 2 9" xfId="2142"/>
    <cellStyle name="Normal 5 2 2 2 9 2" xfId="2143"/>
    <cellStyle name="Normal 5 2 2 2 9 3" xfId="2144"/>
    <cellStyle name="Normal 5 2 2 2 9_II_7_2 Liabilities Fcial interm" xfId="2145"/>
    <cellStyle name="Normal 5 2 2 2_II_7_2 Liabilities Fcial interm" xfId="2146"/>
    <cellStyle name="Normal 5 2 2 3" xfId="2147"/>
    <cellStyle name="Normal 5 2 2 3 10" xfId="2148"/>
    <cellStyle name="Normal 5 2 2 3 10 2" xfId="2149"/>
    <cellStyle name="Normal 5 2 2 3 11" xfId="2150"/>
    <cellStyle name="Normal 5 2 2 3 12" xfId="2151"/>
    <cellStyle name="Normal 5 2 2 3 2" xfId="2152"/>
    <cellStyle name="Normal 5 2 2 3 2 10" xfId="2153"/>
    <cellStyle name="Normal 5 2 2 3 2 2" xfId="2154"/>
    <cellStyle name="Normal 5 2 2 3 2 2 2" xfId="2155"/>
    <cellStyle name="Normal 5 2 2 3 2 2 2 2" xfId="2156"/>
    <cellStyle name="Normal 5 2 2 3 2 2 2 2 2" xfId="2157"/>
    <cellStyle name="Normal 5 2 2 3 2 2 2 2_II_7_2 Liabilities Fcial interm" xfId="2158"/>
    <cellStyle name="Normal 5 2 2 3 2 2 2 3" xfId="2159"/>
    <cellStyle name="Normal 5 2 2 3 2 2 2 4" xfId="2160"/>
    <cellStyle name="Normal 5 2 2 3 2 2 2 5" xfId="2161"/>
    <cellStyle name="Normal 5 2 2 3 2 2 2_II_7_2 Liabilities Fcial interm" xfId="2162"/>
    <cellStyle name="Normal 5 2 2 3 2 2 3" xfId="2163"/>
    <cellStyle name="Normal 5 2 2 3 2 2 3 2" xfId="2164"/>
    <cellStyle name="Normal 5 2 2 3 2 2 3 3" xfId="2165"/>
    <cellStyle name="Normal 5 2 2 3 2 2 3 4" xfId="2166"/>
    <cellStyle name="Normal 5 2 2 3 2 2 3_II_7_2 Liabilities Fcial interm" xfId="2167"/>
    <cellStyle name="Normal 5 2 2 3 2 2 4" xfId="2168"/>
    <cellStyle name="Normal 5 2 2 3 2 2 4 2" xfId="2169"/>
    <cellStyle name="Normal 5 2 2 3 2 2 4 3" xfId="2170"/>
    <cellStyle name="Normal 5 2 2 3 2 2 4 4" xfId="2171"/>
    <cellStyle name="Normal 5 2 2 3 2 2 4_II_7_2 Liabilities Fcial interm" xfId="2172"/>
    <cellStyle name="Normal 5 2 2 3 2 2 5" xfId="2173"/>
    <cellStyle name="Normal 5 2 2 3 2 2 5 2" xfId="2174"/>
    <cellStyle name="Normal 5 2 2 3 2 2 5 3" xfId="2175"/>
    <cellStyle name="Normal 5 2 2 3 2 2 5 4" xfId="2176"/>
    <cellStyle name="Normal 5 2 2 3 2 2 5_II_7_2 Liabilities Fcial interm" xfId="2177"/>
    <cellStyle name="Normal 5 2 2 3 2 2 6" xfId="2178"/>
    <cellStyle name="Normal 5 2 2 3 2 2 6 2" xfId="2179"/>
    <cellStyle name="Normal 5 2 2 3 2 2 6 3" xfId="2180"/>
    <cellStyle name="Normal 5 2 2 3 2 2 6_II_7_2 Liabilities Fcial interm" xfId="2181"/>
    <cellStyle name="Normal 5 2 2 3 2 2 7" xfId="2182"/>
    <cellStyle name="Normal 5 2 2 3 2 2 7 2" xfId="2183"/>
    <cellStyle name="Normal 5 2 2 3 2 2 8" xfId="2184"/>
    <cellStyle name="Normal 5 2 2 3 2 2_II_7_2 Liabilities Fcial interm" xfId="2185"/>
    <cellStyle name="Normal 5 2 2 3 2 3" xfId="2186"/>
    <cellStyle name="Normal 5 2 2 3 2 3 2" xfId="2187"/>
    <cellStyle name="Normal 5 2 2 3 2 3 2 2" xfId="2188"/>
    <cellStyle name="Normal 5 2 2 3 2 3 2 3" xfId="2189"/>
    <cellStyle name="Normal 5 2 2 3 2 3 2 4" xfId="2190"/>
    <cellStyle name="Normal 5 2 2 3 2 3 2_II_7_2 Liabilities Fcial interm" xfId="2191"/>
    <cellStyle name="Normal 5 2 2 3 2 3 3" xfId="2192"/>
    <cellStyle name="Normal 5 2 2 3 2 3 3 2" xfId="2193"/>
    <cellStyle name="Normal 5 2 2 3 2 3 3 3" xfId="2194"/>
    <cellStyle name="Normal 5 2 2 3 2 3 3 4" xfId="2195"/>
    <cellStyle name="Normal 5 2 2 3 2 3 3_II_7_2 Liabilities Fcial interm" xfId="2196"/>
    <cellStyle name="Normal 5 2 2 3 2 3 4" xfId="2197"/>
    <cellStyle name="Normal 5 2 2 3 2 3 4 2" xfId="2198"/>
    <cellStyle name="Normal 5 2 2 3 2 3 4 3" xfId="2199"/>
    <cellStyle name="Normal 5 2 2 3 2 3 4 4" xfId="2200"/>
    <cellStyle name="Normal 5 2 2 3 2 3 4_II_7_2 Liabilities Fcial interm" xfId="2201"/>
    <cellStyle name="Normal 5 2 2 3 2 3 5" xfId="2202"/>
    <cellStyle name="Normal 5 2 2 3 2 3 5 2" xfId="2203"/>
    <cellStyle name="Normal 5 2 2 3 2 3 5 3" xfId="2204"/>
    <cellStyle name="Normal 5 2 2 3 2 3 5_II_7_2 Liabilities Fcial interm" xfId="2205"/>
    <cellStyle name="Normal 5 2 2 3 2 3 6" xfId="2206"/>
    <cellStyle name="Normal 5 2 2 3 2 3 6 2" xfId="2207"/>
    <cellStyle name="Normal 5 2 2 3 2 3 7" xfId="2208"/>
    <cellStyle name="Normal 5 2 2 3 2 3_II_7_2 Liabilities Fcial interm" xfId="2209"/>
    <cellStyle name="Normal 5 2 2 3 2 4" xfId="2210"/>
    <cellStyle name="Normal 5 2 2 3 2 4 2" xfId="2211"/>
    <cellStyle name="Normal 5 2 2 3 2 4 2 2" xfId="2212"/>
    <cellStyle name="Normal 5 2 2 3 2 4 2 3" xfId="2213"/>
    <cellStyle name="Normal 5 2 2 3 2 4 2_II_7_2 Liabilities Fcial interm" xfId="2214"/>
    <cellStyle name="Normal 5 2 2 3 2 4 3" xfId="2215"/>
    <cellStyle name="Normal 5 2 2 3 2 4 3 2" xfId="2216"/>
    <cellStyle name="Normal 5 2 2 3 2 4 4" xfId="2217"/>
    <cellStyle name="Normal 5 2 2 3 2 4_II_7_2 Liabilities Fcial interm" xfId="2218"/>
    <cellStyle name="Normal 5 2 2 3 2 5" xfId="2219"/>
    <cellStyle name="Normal 5 2 2 3 2 5 2" xfId="2220"/>
    <cellStyle name="Normal 5 2 2 3 2 5 2 2" xfId="2221"/>
    <cellStyle name="Normal 5 2 2 3 2 5 2_II_7_2 Liabilities Fcial interm" xfId="2222"/>
    <cellStyle name="Normal 5 2 2 3 2 5 3" xfId="2223"/>
    <cellStyle name="Normal 5 2 2 3 2 5 4" xfId="2224"/>
    <cellStyle name="Normal 5 2 2 3 2 5_II_7_2 Liabilities Fcial interm" xfId="2225"/>
    <cellStyle name="Normal 5 2 2 3 2 6" xfId="2226"/>
    <cellStyle name="Normal 5 2 2 3 2 6 2" xfId="2227"/>
    <cellStyle name="Normal 5 2 2 3 2 6 3" xfId="2228"/>
    <cellStyle name="Normal 5 2 2 3 2 6 4" xfId="2229"/>
    <cellStyle name="Normal 5 2 2 3 2 6_II_7_2 Liabilities Fcial interm" xfId="2230"/>
    <cellStyle name="Normal 5 2 2 3 2 7" xfId="2231"/>
    <cellStyle name="Normal 5 2 2 3 2 7 2" xfId="2232"/>
    <cellStyle name="Normal 5 2 2 3 2 7 3" xfId="2233"/>
    <cellStyle name="Normal 5 2 2 3 2 7_II_7_2 Liabilities Fcial interm" xfId="2234"/>
    <cellStyle name="Normal 5 2 2 3 2 8" xfId="2235"/>
    <cellStyle name="Normal 5 2 2 3 2 8 2" xfId="2236"/>
    <cellStyle name="Normal 5 2 2 3 2 9" xfId="2237"/>
    <cellStyle name="Normal 5 2 2 3 2_II_7_2 Liabilities Fcial interm" xfId="2238"/>
    <cellStyle name="Normal 5 2 2 3 3" xfId="2239"/>
    <cellStyle name="Normal 5 2 2 3 3 2" xfId="2240"/>
    <cellStyle name="Normal 5 2 2 3 3 2 2" xfId="2241"/>
    <cellStyle name="Normal 5 2 2 3 3 2 2 2" xfId="2242"/>
    <cellStyle name="Normal 5 2 2 3 3 2 2_II_7_2 Liabilities Fcial interm" xfId="2243"/>
    <cellStyle name="Normal 5 2 2 3 3 2 3" xfId="2244"/>
    <cellStyle name="Normal 5 2 2 3 3 2 4" xfId="2245"/>
    <cellStyle name="Normal 5 2 2 3 3 2 5" xfId="2246"/>
    <cellStyle name="Normal 5 2 2 3 3 2_II_7_2 Liabilities Fcial interm" xfId="2247"/>
    <cellStyle name="Normal 5 2 2 3 3 3" xfId="2248"/>
    <cellStyle name="Normal 5 2 2 3 3 3 2" xfId="2249"/>
    <cellStyle name="Normal 5 2 2 3 3 3 3" xfId="2250"/>
    <cellStyle name="Normal 5 2 2 3 3 3 4" xfId="2251"/>
    <cellStyle name="Normal 5 2 2 3 3 3_II_7_2 Liabilities Fcial interm" xfId="2252"/>
    <cellStyle name="Normal 5 2 2 3 3 4" xfId="2253"/>
    <cellStyle name="Normal 5 2 2 3 3 4 2" xfId="2254"/>
    <cellStyle name="Normal 5 2 2 3 3 4 3" xfId="2255"/>
    <cellStyle name="Normal 5 2 2 3 3 4 4" xfId="2256"/>
    <cellStyle name="Normal 5 2 2 3 3 4_II_7_2 Liabilities Fcial interm" xfId="2257"/>
    <cellStyle name="Normal 5 2 2 3 3 5" xfId="2258"/>
    <cellStyle name="Normal 5 2 2 3 3 5 2" xfId="2259"/>
    <cellStyle name="Normal 5 2 2 3 3 5 3" xfId="2260"/>
    <cellStyle name="Normal 5 2 2 3 3 5 4" xfId="2261"/>
    <cellStyle name="Normal 5 2 2 3 3 5_II_7_2 Liabilities Fcial interm" xfId="2262"/>
    <cellStyle name="Normal 5 2 2 3 3 6" xfId="2263"/>
    <cellStyle name="Normal 5 2 2 3 3 6 2" xfId="2264"/>
    <cellStyle name="Normal 5 2 2 3 3 6 3" xfId="2265"/>
    <cellStyle name="Normal 5 2 2 3 3 6 4" xfId="2266"/>
    <cellStyle name="Normal 5 2 2 3 3 6_II_7_2 Liabilities Fcial interm" xfId="2267"/>
    <cellStyle name="Normal 5 2 2 3 3 7" xfId="2268"/>
    <cellStyle name="Normal 5 2 2 3 3 7 2" xfId="2269"/>
    <cellStyle name="Normal 5 2 2 3 3 7 3" xfId="2270"/>
    <cellStyle name="Normal 5 2 2 3 3 7_II_7_2 Liabilities Fcial interm" xfId="2271"/>
    <cellStyle name="Normal 5 2 2 3 3 8" xfId="2272"/>
    <cellStyle name="Normal 5 2 2 3 3 8 2" xfId="2273"/>
    <cellStyle name="Normal 5 2 2 3 3 9" xfId="2274"/>
    <cellStyle name="Normal 5 2 2 3 3_II_7_2 Liabilities Fcial interm" xfId="2275"/>
    <cellStyle name="Normal 5 2 2 3 4" xfId="2276"/>
    <cellStyle name="Normal 5 2 2 3 4 2" xfId="2277"/>
    <cellStyle name="Normal 5 2 2 3 4 2 2" xfId="2278"/>
    <cellStyle name="Normal 5 2 2 3 4 2 2 2" xfId="2279"/>
    <cellStyle name="Normal 5 2 2 3 4 2 2_II_7_2 Liabilities Fcial interm" xfId="2280"/>
    <cellStyle name="Normal 5 2 2 3 4 2 3" xfId="2281"/>
    <cellStyle name="Normal 5 2 2 3 4 2 4" xfId="2282"/>
    <cellStyle name="Normal 5 2 2 3 4 2 5" xfId="2283"/>
    <cellStyle name="Normal 5 2 2 3 4 2_II_7_2 Liabilities Fcial interm" xfId="2284"/>
    <cellStyle name="Normal 5 2 2 3 4 3" xfId="2285"/>
    <cellStyle name="Normal 5 2 2 3 4 3 2" xfId="2286"/>
    <cellStyle name="Normal 5 2 2 3 4 3 3" xfId="2287"/>
    <cellStyle name="Normal 5 2 2 3 4 3 4" xfId="2288"/>
    <cellStyle name="Normal 5 2 2 3 4 3_II_7_2 Liabilities Fcial interm" xfId="2289"/>
    <cellStyle name="Normal 5 2 2 3 4 4" xfId="2290"/>
    <cellStyle name="Normal 5 2 2 3 4 4 2" xfId="2291"/>
    <cellStyle name="Normal 5 2 2 3 4 4 3" xfId="2292"/>
    <cellStyle name="Normal 5 2 2 3 4 4 4" xfId="2293"/>
    <cellStyle name="Normal 5 2 2 3 4 4_II_7_2 Liabilities Fcial interm" xfId="2294"/>
    <cellStyle name="Normal 5 2 2 3 4 5" xfId="2295"/>
    <cellStyle name="Normal 5 2 2 3 4 5 2" xfId="2296"/>
    <cellStyle name="Normal 5 2 2 3 4 5 3" xfId="2297"/>
    <cellStyle name="Normal 5 2 2 3 4 5_II_7_2 Liabilities Fcial interm" xfId="2298"/>
    <cellStyle name="Normal 5 2 2 3 4 6" xfId="2299"/>
    <cellStyle name="Normal 5 2 2 3 4 6 2" xfId="2300"/>
    <cellStyle name="Normal 5 2 2 3 4 7" xfId="2301"/>
    <cellStyle name="Normal 5 2 2 3 4_II_7_2 Liabilities Fcial interm" xfId="2302"/>
    <cellStyle name="Normal 5 2 2 3 5" xfId="2303"/>
    <cellStyle name="Normal 5 2 2 3 5 2" xfId="2304"/>
    <cellStyle name="Normal 5 2 2 3 5 2 2" xfId="2305"/>
    <cellStyle name="Normal 5 2 2 3 5 2 3" xfId="2306"/>
    <cellStyle name="Normal 5 2 2 3 5 2_II_7_2 Liabilities Fcial interm" xfId="2307"/>
    <cellStyle name="Normal 5 2 2 3 5 3" xfId="2308"/>
    <cellStyle name="Normal 5 2 2 3 5 3 2" xfId="2309"/>
    <cellStyle name="Normal 5 2 2 3 5 3_II_7_2 Liabilities Fcial interm" xfId="2310"/>
    <cellStyle name="Normal 5 2 2 3 5 4" xfId="2311"/>
    <cellStyle name="Normal 5 2 2 3 5 5" xfId="2312"/>
    <cellStyle name="Normal 5 2 2 3 5_II_7_2 Liabilities Fcial interm" xfId="2313"/>
    <cellStyle name="Normal 5 2 2 3 6" xfId="2314"/>
    <cellStyle name="Normal 5 2 2 3 6 2" xfId="2315"/>
    <cellStyle name="Normal 5 2 2 3 6 2 2" xfId="2316"/>
    <cellStyle name="Normal 5 2 2 3 6 2_II_7_2 Liabilities Fcial interm" xfId="2317"/>
    <cellStyle name="Normal 5 2 2 3 6 3" xfId="2318"/>
    <cellStyle name="Normal 5 2 2 3 6 4" xfId="2319"/>
    <cellStyle name="Normal 5 2 2 3 6_II_7_2 Liabilities Fcial interm" xfId="2320"/>
    <cellStyle name="Normal 5 2 2 3 7" xfId="2321"/>
    <cellStyle name="Normal 5 2 2 3 7 2" xfId="2322"/>
    <cellStyle name="Normal 5 2 2 3 7 3" xfId="2323"/>
    <cellStyle name="Normal 5 2 2 3 7 4" xfId="2324"/>
    <cellStyle name="Normal 5 2 2 3 7_II_7_2 Liabilities Fcial interm" xfId="2325"/>
    <cellStyle name="Normal 5 2 2 3 8" xfId="2326"/>
    <cellStyle name="Normal 5 2 2 3 8 2" xfId="2327"/>
    <cellStyle name="Normal 5 2 2 3 8 3" xfId="2328"/>
    <cellStyle name="Normal 5 2 2 3 8 4" xfId="2329"/>
    <cellStyle name="Normal 5 2 2 3 8_II_7_2 Liabilities Fcial interm" xfId="2330"/>
    <cellStyle name="Normal 5 2 2 3 9" xfId="2331"/>
    <cellStyle name="Normal 5 2 2 3 9 2" xfId="2332"/>
    <cellStyle name="Normal 5 2 2 3 9 3" xfId="2333"/>
    <cellStyle name="Normal 5 2 2 3 9_II_7_2 Liabilities Fcial interm" xfId="2334"/>
    <cellStyle name="Normal 5 2 2 3_II_7_2 Liabilities Fcial interm" xfId="2335"/>
    <cellStyle name="Normal 5 2 3" xfId="2336"/>
    <cellStyle name="Normal 5 2 3 10" xfId="2337"/>
    <cellStyle name="Normal 5 2 3 10 2" xfId="2338"/>
    <cellStyle name="Normal 5 2 3 11" xfId="2339"/>
    <cellStyle name="Normal 5 2 3 12" xfId="2340"/>
    <cellStyle name="Normal 5 2 3 2" xfId="2341"/>
    <cellStyle name="Normal 5 2 3 2 10" xfId="2342"/>
    <cellStyle name="Normal 5 2 3 2 2" xfId="2343"/>
    <cellStyle name="Normal 5 2 3 2 2 2" xfId="2344"/>
    <cellStyle name="Normal 5 2 3 2 2 2 2" xfId="2345"/>
    <cellStyle name="Normal 5 2 3 2 2 2 2 2" xfId="2346"/>
    <cellStyle name="Normal 5 2 3 2 2 2 2_II_7_2 Liabilities Fcial interm" xfId="2347"/>
    <cellStyle name="Normal 5 2 3 2 2 2 3" xfId="2348"/>
    <cellStyle name="Normal 5 2 3 2 2 2 4" xfId="2349"/>
    <cellStyle name="Normal 5 2 3 2 2 2 5" xfId="2350"/>
    <cellStyle name="Normal 5 2 3 2 2 2_II_7_2 Liabilities Fcial interm" xfId="2351"/>
    <cellStyle name="Normal 5 2 3 2 2 3" xfId="2352"/>
    <cellStyle name="Normal 5 2 3 2 2 3 2" xfId="2353"/>
    <cellStyle name="Normal 5 2 3 2 2 3 3" xfId="2354"/>
    <cellStyle name="Normal 5 2 3 2 2 3 4" xfId="2355"/>
    <cellStyle name="Normal 5 2 3 2 2 3_II_7_2 Liabilities Fcial interm" xfId="2356"/>
    <cellStyle name="Normal 5 2 3 2 2 4" xfId="2357"/>
    <cellStyle name="Normal 5 2 3 2 2 4 2" xfId="2358"/>
    <cellStyle name="Normal 5 2 3 2 2 4 3" xfId="2359"/>
    <cellStyle name="Normal 5 2 3 2 2 4 4" xfId="2360"/>
    <cellStyle name="Normal 5 2 3 2 2 4_II_7_2 Liabilities Fcial interm" xfId="2361"/>
    <cellStyle name="Normal 5 2 3 2 2 5" xfId="2362"/>
    <cellStyle name="Normal 5 2 3 2 2 5 2" xfId="2363"/>
    <cellStyle name="Normal 5 2 3 2 2 5 3" xfId="2364"/>
    <cellStyle name="Normal 5 2 3 2 2 5 4" xfId="2365"/>
    <cellStyle name="Normal 5 2 3 2 2 5_II_7_2 Liabilities Fcial interm" xfId="2366"/>
    <cellStyle name="Normal 5 2 3 2 2 6" xfId="2367"/>
    <cellStyle name="Normal 5 2 3 2 2 6 2" xfId="2368"/>
    <cellStyle name="Normal 5 2 3 2 2 6 3" xfId="2369"/>
    <cellStyle name="Normal 5 2 3 2 2 6_II_7_2 Liabilities Fcial interm" xfId="2370"/>
    <cellStyle name="Normal 5 2 3 2 2 7" xfId="2371"/>
    <cellStyle name="Normal 5 2 3 2 2 7 2" xfId="2372"/>
    <cellStyle name="Normal 5 2 3 2 2 8" xfId="2373"/>
    <cellStyle name="Normal 5 2 3 2 2_II_7_2 Liabilities Fcial interm" xfId="2374"/>
    <cellStyle name="Normal 5 2 3 2 3" xfId="2375"/>
    <cellStyle name="Normal 5 2 3 2 3 2" xfId="2376"/>
    <cellStyle name="Normal 5 2 3 2 3 2 2" xfId="2377"/>
    <cellStyle name="Normal 5 2 3 2 3 2 3" xfId="2378"/>
    <cellStyle name="Normal 5 2 3 2 3 2 4" xfId="2379"/>
    <cellStyle name="Normal 5 2 3 2 3 2_II_7_2 Liabilities Fcial interm" xfId="2380"/>
    <cellStyle name="Normal 5 2 3 2 3 3" xfId="2381"/>
    <cellStyle name="Normal 5 2 3 2 3 3 2" xfId="2382"/>
    <cellStyle name="Normal 5 2 3 2 3 3 3" xfId="2383"/>
    <cellStyle name="Normal 5 2 3 2 3 3 4" xfId="2384"/>
    <cellStyle name="Normal 5 2 3 2 3 3_II_7_2 Liabilities Fcial interm" xfId="2385"/>
    <cellStyle name="Normal 5 2 3 2 3 4" xfId="2386"/>
    <cellStyle name="Normal 5 2 3 2 3 4 2" xfId="2387"/>
    <cellStyle name="Normal 5 2 3 2 3 4 3" xfId="2388"/>
    <cellStyle name="Normal 5 2 3 2 3 4 4" xfId="2389"/>
    <cellStyle name="Normal 5 2 3 2 3 4_II_7_2 Liabilities Fcial interm" xfId="2390"/>
    <cellStyle name="Normal 5 2 3 2 3 5" xfId="2391"/>
    <cellStyle name="Normal 5 2 3 2 3 5 2" xfId="2392"/>
    <cellStyle name="Normal 5 2 3 2 3 5 3" xfId="2393"/>
    <cellStyle name="Normal 5 2 3 2 3 5_II_7_2 Liabilities Fcial interm" xfId="2394"/>
    <cellStyle name="Normal 5 2 3 2 3 6" xfId="2395"/>
    <cellStyle name="Normal 5 2 3 2 3 6 2" xfId="2396"/>
    <cellStyle name="Normal 5 2 3 2 3 7" xfId="2397"/>
    <cellStyle name="Normal 5 2 3 2 3_II_7_2 Liabilities Fcial interm" xfId="2398"/>
    <cellStyle name="Normal 5 2 3 2 4" xfId="2399"/>
    <cellStyle name="Normal 5 2 3 2 4 2" xfId="2400"/>
    <cellStyle name="Normal 5 2 3 2 4 2 2" xfId="2401"/>
    <cellStyle name="Normal 5 2 3 2 4 2 3" xfId="2402"/>
    <cellStyle name="Normal 5 2 3 2 4 2_II_7_2 Liabilities Fcial interm" xfId="2403"/>
    <cellStyle name="Normal 5 2 3 2 4 3" xfId="2404"/>
    <cellStyle name="Normal 5 2 3 2 4 3 2" xfId="2405"/>
    <cellStyle name="Normal 5 2 3 2 4 4" xfId="2406"/>
    <cellStyle name="Normal 5 2 3 2 4_II_7_2 Liabilities Fcial interm" xfId="2407"/>
    <cellStyle name="Normal 5 2 3 2 5" xfId="2408"/>
    <cellStyle name="Normal 5 2 3 2 5 2" xfId="2409"/>
    <cellStyle name="Normal 5 2 3 2 5 2 2" xfId="2410"/>
    <cellStyle name="Normal 5 2 3 2 5 2_II_7_2 Liabilities Fcial interm" xfId="2411"/>
    <cellStyle name="Normal 5 2 3 2 5 3" xfId="2412"/>
    <cellStyle name="Normal 5 2 3 2 5 4" xfId="2413"/>
    <cellStyle name="Normal 5 2 3 2 5_II_7_2 Liabilities Fcial interm" xfId="2414"/>
    <cellStyle name="Normal 5 2 3 2 6" xfId="2415"/>
    <cellStyle name="Normal 5 2 3 2 6 2" xfId="2416"/>
    <cellStyle name="Normal 5 2 3 2 6 3" xfId="2417"/>
    <cellStyle name="Normal 5 2 3 2 6 4" xfId="2418"/>
    <cellStyle name="Normal 5 2 3 2 6_II_7_2 Liabilities Fcial interm" xfId="2419"/>
    <cellStyle name="Normal 5 2 3 2 7" xfId="2420"/>
    <cellStyle name="Normal 5 2 3 2 7 2" xfId="2421"/>
    <cellStyle name="Normal 5 2 3 2 7 3" xfId="2422"/>
    <cellStyle name="Normal 5 2 3 2 7_II_7_2 Liabilities Fcial interm" xfId="2423"/>
    <cellStyle name="Normal 5 2 3 2 8" xfId="2424"/>
    <cellStyle name="Normal 5 2 3 2 8 2" xfId="2425"/>
    <cellStyle name="Normal 5 2 3 2 9" xfId="2426"/>
    <cellStyle name="Normal 5 2 3 2_II_7_2 Liabilities Fcial interm" xfId="2427"/>
    <cellStyle name="Normal 5 2 3 3" xfId="2428"/>
    <cellStyle name="Normal 5 2 3 3 2" xfId="2429"/>
    <cellStyle name="Normal 5 2 3 3 2 2" xfId="2430"/>
    <cellStyle name="Normal 5 2 3 3 2 2 2" xfId="2431"/>
    <cellStyle name="Normal 5 2 3 3 2 2_II_7_2 Liabilities Fcial interm" xfId="2432"/>
    <cellStyle name="Normal 5 2 3 3 2 3" xfId="2433"/>
    <cellStyle name="Normal 5 2 3 3 2 4" xfId="2434"/>
    <cellStyle name="Normal 5 2 3 3 2 5" xfId="2435"/>
    <cellStyle name="Normal 5 2 3 3 2_II_7_2 Liabilities Fcial interm" xfId="2436"/>
    <cellStyle name="Normal 5 2 3 3 3" xfId="2437"/>
    <cellStyle name="Normal 5 2 3 3 3 2" xfId="2438"/>
    <cellStyle name="Normal 5 2 3 3 3 3" xfId="2439"/>
    <cellStyle name="Normal 5 2 3 3 3 4" xfId="2440"/>
    <cellStyle name="Normal 5 2 3 3 3_II_7_2 Liabilities Fcial interm" xfId="2441"/>
    <cellStyle name="Normal 5 2 3 3 4" xfId="2442"/>
    <cellStyle name="Normal 5 2 3 3 4 2" xfId="2443"/>
    <cellStyle name="Normal 5 2 3 3 4 3" xfId="2444"/>
    <cellStyle name="Normal 5 2 3 3 4 4" xfId="2445"/>
    <cellStyle name="Normal 5 2 3 3 4_II_7_2 Liabilities Fcial interm" xfId="2446"/>
    <cellStyle name="Normal 5 2 3 3 5" xfId="2447"/>
    <cellStyle name="Normal 5 2 3 3 5 2" xfId="2448"/>
    <cellStyle name="Normal 5 2 3 3 5 3" xfId="2449"/>
    <cellStyle name="Normal 5 2 3 3 5 4" xfId="2450"/>
    <cellStyle name="Normal 5 2 3 3 5_II_7_2 Liabilities Fcial interm" xfId="2451"/>
    <cellStyle name="Normal 5 2 3 3 6" xfId="2452"/>
    <cellStyle name="Normal 5 2 3 3 6 2" xfId="2453"/>
    <cellStyle name="Normal 5 2 3 3 6 3" xfId="2454"/>
    <cellStyle name="Normal 5 2 3 3 6 4" xfId="2455"/>
    <cellStyle name="Normal 5 2 3 3 6_II_7_2 Liabilities Fcial interm" xfId="2456"/>
    <cellStyle name="Normal 5 2 3 3 7" xfId="2457"/>
    <cellStyle name="Normal 5 2 3 3 7 2" xfId="2458"/>
    <cellStyle name="Normal 5 2 3 3 7 3" xfId="2459"/>
    <cellStyle name="Normal 5 2 3 3 7_II_7_2 Liabilities Fcial interm" xfId="2460"/>
    <cellStyle name="Normal 5 2 3 3 8" xfId="2461"/>
    <cellStyle name="Normal 5 2 3 3 8 2" xfId="2462"/>
    <cellStyle name="Normal 5 2 3 3 9" xfId="2463"/>
    <cellStyle name="Normal 5 2 3 3_II_7_2 Liabilities Fcial interm" xfId="2464"/>
    <cellStyle name="Normal 5 2 3 4" xfId="2465"/>
    <cellStyle name="Normal 5 2 3 4 2" xfId="2466"/>
    <cellStyle name="Normal 5 2 3 4 2 2" xfId="2467"/>
    <cellStyle name="Normal 5 2 3 4 2 2 2" xfId="2468"/>
    <cellStyle name="Normal 5 2 3 4 2 2_II_7_2 Liabilities Fcial interm" xfId="2469"/>
    <cellStyle name="Normal 5 2 3 4 2 3" xfId="2470"/>
    <cellStyle name="Normal 5 2 3 4 2 4" xfId="2471"/>
    <cellStyle name="Normal 5 2 3 4 2 5" xfId="2472"/>
    <cellStyle name="Normal 5 2 3 4 2_II_7_2 Liabilities Fcial interm" xfId="2473"/>
    <cellStyle name="Normal 5 2 3 4 3" xfId="2474"/>
    <cellStyle name="Normal 5 2 3 4 3 2" xfId="2475"/>
    <cellStyle name="Normal 5 2 3 4 3 3" xfId="2476"/>
    <cellStyle name="Normal 5 2 3 4 3 4" xfId="2477"/>
    <cellStyle name="Normal 5 2 3 4 3_II_7_2 Liabilities Fcial interm" xfId="2478"/>
    <cellStyle name="Normal 5 2 3 4 4" xfId="2479"/>
    <cellStyle name="Normal 5 2 3 4 4 2" xfId="2480"/>
    <cellStyle name="Normal 5 2 3 4 4 3" xfId="2481"/>
    <cellStyle name="Normal 5 2 3 4 4 4" xfId="2482"/>
    <cellStyle name="Normal 5 2 3 4 4_II_7_2 Liabilities Fcial interm" xfId="2483"/>
    <cellStyle name="Normal 5 2 3 4 5" xfId="2484"/>
    <cellStyle name="Normal 5 2 3 4 5 2" xfId="2485"/>
    <cellStyle name="Normal 5 2 3 4 5 3" xfId="2486"/>
    <cellStyle name="Normal 5 2 3 4 5_II_7_2 Liabilities Fcial interm" xfId="2487"/>
    <cellStyle name="Normal 5 2 3 4 6" xfId="2488"/>
    <cellStyle name="Normal 5 2 3 4 6 2" xfId="2489"/>
    <cellStyle name="Normal 5 2 3 4 7" xfId="2490"/>
    <cellStyle name="Normal 5 2 3 4_II_7_2 Liabilities Fcial interm" xfId="2491"/>
    <cellStyle name="Normal 5 2 3 5" xfId="2492"/>
    <cellStyle name="Normal 5 2 3 5 2" xfId="2493"/>
    <cellStyle name="Normal 5 2 3 5 2 2" xfId="2494"/>
    <cellStyle name="Normal 5 2 3 5 2 3" xfId="2495"/>
    <cellStyle name="Normal 5 2 3 5 2_II_7_2 Liabilities Fcial interm" xfId="2496"/>
    <cellStyle name="Normal 5 2 3 5 3" xfId="2497"/>
    <cellStyle name="Normal 5 2 3 5 3 2" xfId="2498"/>
    <cellStyle name="Normal 5 2 3 5 3_II_7_2 Liabilities Fcial interm" xfId="2499"/>
    <cellStyle name="Normal 5 2 3 5 4" xfId="2500"/>
    <cellStyle name="Normal 5 2 3 5 5" xfId="2501"/>
    <cellStyle name="Normal 5 2 3 5_II_7_2 Liabilities Fcial interm" xfId="2502"/>
    <cellStyle name="Normal 5 2 3 6" xfId="2503"/>
    <cellStyle name="Normal 5 2 3 6 2" xfId="2504"/>
    <cellStyle name="Normal 5 2 3 6 2 2" xfId="2505"/>
    <cellStyle name="Normal 5 2 3 6 2_II_7_2 Liabilities Fcial interm" xfId="2506"/>
    <cellStyle name="Normal 5 2 3 6 3" xfId="2507"/>
    <cellStyle name="Normal 5 2 3 6 4" xfId="2508"/>
    <cellStyle name="Normal 5 2 3 6_II_7_2 Liabilities Fcial interm" xfId="2509"/>
    <cellStyle name="Normal 5 2 3 7" xfId="2510"/>
    <cellStyle name="Normal 5 2 3 7 2" xfId="2511"/>
    <cellStyle name="Normal 5 2 3 7 3" xfId="2512"/>
    <cellStyle name="Normal 5 2 3 7 4" xfId="2513"/>
    <cellStyle name="Normal 5 2 3 7_II_7_2 Liabilities Fcial interm" xfId="2514"/>
    <cellStyle name="Normal 5 2 3 8" xfId="2515"/>
    <cellStyle name="Normal 5 2 3 8 2" xfId="2516"/>
    <cellStyle name="Normal 5 2 3 8 3" xfId="2517"/>
    <cellStyle name="Normal 5 2 3 8 4" xfId="2518"/>
    <cellStyle name="Normal 5 2 3 8_II_7_2 Liabilities Fcial interm" xfId="2519"/>
    <cellStyle name="Normal 5 2 3 9" xfId="2520"/>
    <cellStyle name="Normal 5 2 3 9 2" xfId="2521"/>
    <cellStyle name="Normal 5 2 3 9 3" xfId="2522"/>
    <cellStyle name="Normal 5 2 3 9_II_7_2 Liabilities Fcial interm" xfId="2523"/>
    <cellStyle name="Normal 5 2 3_II_7_2 Liabilities Fcial interm" xfId="2524"/>
    <cellStyle name="Normal 5 2 4" xfId="2525"/>
    <cellStyle name="Normal 5 2 4 10" xfId="2526"/>
    <cellStyle name="Normal 5 2 4 10 2" xfId="2527"/>
    <cellStyle name="Normal 5 2 4 11" xfId="2528"/>
    <cellStyle name="Normal 5 2 4 12" xfId="2529"/>
    <cellStyle name="Normal 5 2 4 2" xfId="2530"/>
    <cellStyle name="Normal 5 2 4 2 10" xfId="2531"/>
    <cellStyle name="Normal 5 2 4 2 2" xfId="2532"/>
    <cellStyle name="Normal 5 2 4 2 2 2" xfId="2533"/>
    <cellStyle name="Normal 5 2 4 2 2 2 2" xfId="2534"/>
    <cellStyle name="Normal 5 2 4 2 2 2 2 2" xfId="2535"/>
    <cellStyle name="Normal 5 2 4 2 2 2 2_II_7_2 Liabilities Fcial interm" xfId="2536"/>
    <cellStyle name="Normal 5 2 4 2 2 2 3" xfId="2537"/>
    <cellStyle name="Normal 5 2 4 2 2 2 4" xfId="2538"/>
    <cellStyle name="Normal 5 2 4 2 2 2 5" xfId="2539"/>
    <cellStyle name="Normal 5 2 4 2 2 2_II_7_2 Liabilities Fcial interm" xfId="2540"/>
    <cellStyle name="Normal 5 2 4 2 2 3" xfId="2541"/>
    <cellStyle name="Normal 5 2 4 2 2 3 2" xfId="2542"/>
    <cellStyle name="Normal 5 2 4 2 2 3 3" xfId="2543"/>
    <cellStyle name="Normal 5 2 4 2 2 3 4" xfId="2544"/>
    <cellStyle name="Normal 5 2 4 2 2 3_II_7_2 Liabilities Fcial interm" xfId="2545"/>
    <cellStyle name="Normal 5 2 4 2 2 4" xfId="2546"/>
    <cellStyle name="Normal 5 2 4 2 2 4 2" xfId="2547"/>
    <cellStyle name="Normal 5 2 4 2 2 4 3" xfId="2548"/>
    <cellStyle name="Normal 5 2 4 2 2 4 4" xfId="2549"/>
    <cellStyle name="Normal 5 2 4 2 2 4_II_7_2 Liabilities Fcial interm" xfId="2550"/>
    <cellStyle name="Normal 5 2 4 2 2 5" xfId="2551"/>
    <cellStyle name="Normal 5 2 4 2 2 5 2" xfId="2552"/>
    <cellStyle name="Normal 5 2 4 2 2 5 3" xfId="2553"/>
    <cellStyle name="Normal 5 2 4 2 2 5 4" xfId="2554"/>
    <cellStyle name="Normal 5 2 4 2 2 5_II_7_2 Liabilities Fcial interm" xfId="2555"/>
    <cellStyle name="Normal 5 2 4 2 2 6" xfId="2556"/>
    <cellStyle name="Normal 5 2 4 2 2 6 2" xfId="2557"/>
    <cellStyle name="Normal 5 2 4 2 2 6 3" xfId="2558"/>
    <cellStyle name="Normal 5 2 4 2 2 6_II_7_2 Liabilities Fcial interm" xfId="2559"/>
    <cellStyle name="Normal 5 2 4 2 2 7" xfId="2560"/>
    <cellStyle name="Normal 5 2 4 2 2 7 2" xfId="2561"/>
    <cellStyle name="Normal 5 2 4 2 2 8" xfId="2562"/>
    <cellStyle name="Normal 5 2 4 2 2_II_7_2 Liabilities Fcial interm" xfId="2563"/>
    <cellStyle name="Normal 5 2 4 2 3" xfId="2564"/>
    <cellStyle name="Normal 5 2 4 2 3 2" xfId="2565"/>
    <cellStyle name="Normal 5 2 4 2 3 2 2" xfId="2566"/>
    <cellStyle name="Normal 5 2 4 2 3 2 3" xfId="2567"/>
    <cellStyle name="Normal 5 2 4 2 3 2 4" xfId="2568"/>
    <cellStyle name="Normal 5 2 4 2 3 2_II_7_2 Liabilities Fcial interm" xfId="2569"/>
    <cellStyle name="Normal 5 2 4 2 3 3" xfId="2570"/>
    <cellStyle name="Normal 5 2 4 2 3 3 2" xfId="2571"/>
    <cellStyle name="Normal 5 2 4 2 3 3 3" xfId="2572"/>
    <cellStyle name="Normal 5 2 4 2 3 3 4" xfId="2573"/>
    <cellStyle name="Normal 5 2 4 2 3 3_II_7_2 Liabilities Fcial interm" xfId="2574"/>
    <cellStyle name="Normal 5 2 4 2 3 4" xfId="2575"/>
    <cellStyle name="Normal 5 2 4 2 3 4 2" xfId="2576"/>
    <cellStyle name="Normal 5 2 4 2 3 4 3" xfId="2577"/>
    <cellStyle name="Normal 5 2 4 2 3 4 4" xfId="2578"/>
    <cellStyle name="Normal 5 2 4 2 3 4_II_7_2 Liabilities Fcial interm" xfId="2579"/>
    <cellStyle name="Normal 5 2 4 2 3 5" xfId="2580"/>
    <cellStyle name="Normal 5 2 4 2 3 5 2" xfId="2581"/>
    <cellStyle name="Normal 5 2 4 2 3 5 3" xfId="2582"/>
    <cellStyle name="Normal 5 2 4 2 3 5_II_7_2 Liabilities Fcial interm" xfId="2583"/>
    <cellStyle name="Normal 5 2 4 2 3 6" xfId="2584"/>
    <cellStyle name="Normal 5 2 4 2 3 6 2" xfId="2585"/>
    <cellStyle name="Normal 5 2 4 2 3 7" xfId="2586"/>
    <cellStyle name="Normal 5 2 4 2 3_II_7_2 Liabilities Fcial interm" xfId="2587"/>
    <cellStyle name="Normal 5 2 4 2 4" xfId="2588"/>
    <cellStyle name="Normal 5 2 4 2 4 2" xfId="2589"/>
    <cellStyle name="Normal 5 2 4 2 4 2 2" xfId="2590"/>
    <cellStyle name="Normal 5 2 4 2 4 2 3" xfId="2591"/>
    <cellStyle name="Normal 5 2 4 2 4 2_II_7_2 Liabilities Fcial interm" xfId="2592"/>
    <cellStyle name="Normal 5 2 4 2 4 3" xfId="2593"/>
    <cellStyle name="Normal 5 2 4 2 4 3 2" xfId="2594"/>
    <cellStyle name="Normal 5 2 4 2 4 4" xfId="2595"/>
    <cellStyle name="Normal 5 2 4 2 4_II_7_2 Liabilities Fcial interm" xfId="2596"/>
    <cellStyle name="Normal 5 2 4 2 5" xfId="2597"/>
    <cellStyle name="Normal 5 2 4 2 5 2" xfId="2598"/>
    <cellStyle name="Normal 5 2 4 2 5 2 2" xfId="2599"/>
    <cellStyle name="Normal 5 2 4 2 5 2_II_7_2 Liabilities Fcial interm" xfId="2600"/>
    <cellStyle name="Normal 5 2 4 2 5 3" xfId="2601"/>
    <cellStyle name="Normal 5 2 4 2 5 4" xfId="2602"/>
    <cellStyle name="Normal 5 2 4 2 5_II_7_2 Liabilities Fcial interm" xfId="2603"/>
    <cellStyle name="Normal 5 2 4 2 6" xfId="2604"/>
    <cellStyle name="Normal 5 2 4 2 6 2" xfId="2605"/>
    <cellStyle name="Normal 5 2 4 2 6 3" xfId="2606"/>
    <cellStyle name="Normal 5 2 4 2 6 4" xfId="2607"/>
    <cellStyle name="Normal 5 2 4 2 6_II_7_2 Liabilities Fcial interm" xfId="2608"/>
    <cellStyle name="Normal 5 2 4 2 7" xfId="2609"/>
    <cellStyle name="Normal 5 2 4 2 7 2" xfId="2610"/>
    <cellStyle name="Normal 5 2 4 2 7 3" xfId="2611"/>
    <cellStyle name="Normal 5 2 4 2 7_II_7_2 Liabilities Fcial interm" xfId="2612"/>
    <cellStyle name="Normal 5 2 4 2 8" xfId="2613"/>
    <cellStyle name="Normal 5 2 4 2 8 2" xfId="2614"/>
    <cellStyle name="Normal 5 2 4 2 9" xfId="2615"/>
    <cellStyle name="Normal 5 2 4 2_II_7_2 Liabilities Fcial interm" xfId="2616"/>
    <cellStyle name="Normal 5 2 4 3" xfId="2617"/>
    <cellStyle name="Normal 5 2 4 3 2" xfId="2618"/>
    <cellStyle name="Normal 5 2 4 3 2 2" xfId="2619"/>
    <cellStyle name="Normal 5 2 4 3 2 2 2" xfId="2620"/>
    <cellStyle name="Normal 5 2 4 3 2 2_II_7_2 Liabilities Fcial interm" xfId="2621"/>
    <cellStyle name="Normal 5 2 4 3 2 3" xfId="2622"/>
    <cellStyle name="Normal 5 2 4 3 2 4" xfId="2623"/>
    <cellStyle name="Normal 5 2 4 3 2 5" xfId="2624"/>
    <cellStyle name="Normal 5 2 4 3 2_II_7_2 Liabilities Fcial interm" xfId="2625"/>
    <cellStyle name="Normal 5 2 4 3 3" xfId="2626"/>
    <cellStyle name="Normal 5 2 4 3 3 2" xfId="2627"/>
    <cellStyle name="Normal 5 2 4 3 3 3" xfId="2628"/>
    <cellStyle name="Normal 5 2 4 3 3 4" xfId="2629"/>
    <cellStyle name="Normal 5 2 4 3 3_II_7_2 Liabilities Fcial interm" xfId="2630"/>
    <cellStyle name="Normal 5 2 4 3 4" xfId="2631"/>
    <cellStyle name="Normal 5 2 4 3 4 2" xfId="2632"/>
    <cellStyle name="Normal 5 2 4 3 4 3" xfId="2633"/>
    <cellStyle name="Normal 5 2 4 3 4 4" xfId="2634"/>
    <cellStyle name="Normal 5 2 4 3 4_II_7_2 Liabilities Fcial interm" xfId="2635"/>
    <cellStyle name="Normal 5 2 4 3 5" xfId="2636"/>
    <cellStyle name="Normal 5 2 4 3 5 2" xfId="2637"/>
    <cellStyle name="Normal 5 2 4 3 5 3" xfId="2638"/>
    <cellStyle name="Normal 5 2 4 3 5 4" xfId="2639"/>
    <cellStyle name="Normal 5 2 4 3 5_II_7_2 Liabilities Fcial interm" xfId="2640"/>
    <cellStyle name="Normal 5 2 4 3 6" xfId="2641"/>
    <cellStyle name="Normal 5 2 4 3 6 2" xfId="2642"/>
    <cellStyle name="Normal 5 2 4 3 6 3" xfId="2643"/>
    <cellStyle name="Normal 5 2 4 3 6 4" xfId="2644"/>
    <cellStyle name="Normal 5 2 4 3 6_II_7_2 Liabilities Fcial interm" xfId="2645"/>
    <cellStyle name="Normal 5 2 4 3 7" xfId="2646"/>
    <cellStyle name="Normal 5 2 4 3 7 2" xfId="2647"/>
    <cellStyle name="Normal 5 2 4 3 7 3" xfId="2648"/>
    <cellStyle name="Normal 5 2 4 3 7_II_7_2 Liabilities Fcial interm" xfId="2649"/>
    <cellStyle name="Normal 5 2 4 3 8" xfId="2650"/>
    <cellStyle name="Normal 5 2 4 3 8 2" xfId="2651"/>
    <cellStyle name="Normal 5 2 4 3 9" xfId="2652"/>
    <cellStyle name="Normal 5 2 4 3_II_7_2 Liabilities Fcial interm" xfId="2653"/>
    <cellStyle name="Normal 5 2 4 4" xfId="2654"/>
    <cellStyle name="Normal 5 2 4 4 2" xfId="2655"/>
    <cellStyle name="Normal 5 2 4 4 2 2" xfId="2656"/>
    <cellStyle name="Normal 5 2 4 4 2 2 2" xfId="2657"/>
    <cellStyle name="Normal 5 2 4 4 2 2_II_7_2 Liabilities Fcial interm" xfId="2658"/>
    <cellStyle name="Normal 5 2 4 4 2 3" xfId="2659"/>
    <cellStyle name="Normal 5 2 4 4 2 4" xfId="2660"/>
    <cellStyle name="Normal 5 2 4 4 2 5" xfId="2661"/>
    <cellStyle name="Normal 5 2 4 4 2_II_7_2 Liabilities Fcial interm" xfId="2662"/>
    <cellStyle name="Normal 5 2 4 4 3" xfId="2663"/>
    <cellStyle name="Normal 5 2 4 4 3 2" xfId="2664"/>
    <cellStyle name="Normal 5 2 4 4 3 3" xfId="2665"/>
    <cellStyle name="Normal 5 2 4 4 3 4" xfId="2666"/>
    <cellStyle name="Normal 5 2 4 4 3_II_7_2 Liabilities Fcial interm" xfId="2667"/>
    <cellStyle name="Normal 5 2 4 4 4" xfId="2668"/>
    <cellStyle name="Normal 5 2 4 4 4 2" xfId="2669"/>
    <cellStyle name="Normal 5 2 4 4 4 3" xfId="2670"/>
    <cellStyle name="Normal 5 2 4 4 4 4" xfId="2671"/>
    <cellStyle name="Normal 5 2 4 4 4_II_7_2 Liabilities Fcial interm" xfId="2672"/>
    <cellStyle name="Normal 5 2 4 4 5" xfId="2673"/>
    <cellStyle name="Normal 5 2 4 4 5 2" xfId="2674"/>
    <cellStyle name="Normal 5 2 4 4 5 3" xfId="2675"/>
    <cellStyle name="Normal 5 2 4 4 5_II_7_2 Liabilities Fcial interm" xfId="2676"/>
    <cellStyle name="Normal 5 2 4 4 6" xfId="2677"/>
    <cellStyle name="Normal 5 2 4 4 6 2" xfId="2678"/>
    <cellStyle name="Normal 5 2 4 4 7" xfId="2679"/>
    <cellStyle name="Normal 5 2 4 4_II_7_2 Liabilities Fcial interm" xfId="2680"/>
    <cellStyle name="Normal 5 2 4 5" xfId="2681"/>
    <cellStyle name="Normal 5 2 4 5 2" xfId="2682"/>
    <cellStyle name="Normal 5 2 4 5 2 2" xfId="2683"/>
    <cellStyle name="Normal 5 2 4 5 2 3" xfId="2684"/>
    <cellStyle name="Normal 5 2 4 5 2_II_7_2 Liabilities Fcial interm" xfId="2685"/>
    <cellStyle name="Normal 5 2 4 5 3" xfId="2686"/>
    <cellStyle name="Normal 5 2 4 5 3 2" xfId="2687"/>
    <cellStyle name="Normal 5 2 4 5 3_II_7_2 Liabilities Fcial interm" xfId="2688"/>
    <cellStyle name="Normal 5 2 4 5 4" xfId="2689"/>
    <cellStyle name="Normal 5 2 4 5 5" xfId="2690"/>
    <cellStyle name="Normal 5 2 4 5_II_7_2 Liabilities Fcial interm" xfId="2691"/>
    <cellStyle name="Normal 5 2 4 6" xfId="2692"/>
    <cellStyle name="Normal 5 2 4 6 2" xfId="2693"/>
    <cellStyle name="Normal 5 2 4 6 2 2" xfId="2694"/>
    <cellStyle name="Normal 5 2 4 6 2_II_7_2 Liabilities Fcial interm" xfId="2695"/>
    <cellStyle name="Normal 5 2 4 6 3" xfId="2696"/>
    <cellStyle name="Normal 5 2 4 6 4" xfId="2697"/>
    <cellStyle name="Normal 5 2 4 6_II_7_2 Liabilities Fcial interm" xfId="2698"/>
    <cellStyle name="Normal 5 2 4 7" xfId="2699"/>
    <cellStyle name="Normal 5 2 4 7 2" xfId="2700"/>
    <cellStyle name="Normal 5 2 4 7 3" xfId="2701"/>
    <cellStyle name="Normal 5 2 4 7 4" xfId="2702"/>
    <cellStyle name="Normal 5 2 4 7_II_7_2 Liabilities Fcial interm" xfId="2703"/>
    <cellStyle name="Normal 5 2 4 8" xfId="2704"/>
    <cellStyle name="Normal 5 2 4 8 2" xfId="2705"/>
    <cellStyle name="Normal 5 2 4 8 3" xfId="2706"/>
    <cellStyle name="Normal 5 2 4 8 4" xfId="2707"/>
    <cellStyle name="Normal 5 2 4 8_II_7_2 Liabilities Fcial interm" xfId="2708"/>
    <cellStyle name="Normal 5 2 4 9" xfId="2709"/>
    <cellStyle name="Normal 5 2 4 9 2" xfId="2710"/>
    <cellStyle name="Normal 5 2 4 9 3" xfId="2711"/>
    <cellStyle name="Normal 5 2 4 9_II_7_2 Liabilities Fcial interm" xfId="2712"/>
    <cellStyle name="Normal 5 2 4_II_7_2 Liabilities Fcial interm" xfId="2713"/>
    <cellStyle name="Normal 5 3" xfId="2714"/>
    <cellStyle name="Normal 5 3 2" xfId="2715"/>
    <cellStyle name="Normal 5 3 2 10" xfId="2716"/>
    <cellStyle name="Normal 5 3 2 10 2" xfId="2717"/>
    <cellStyle name="Normal 5 3 2 10 3" xfId="2718"/>
    <cellStyle name="Normal 5 3 2 10_II_7_2 Liabilities Fcial interm" xfId="2719"/>
    <cellStyle name="Normal 5 3 2 11" xfId="2720"/>
    <cellStyle name="Normal 5 3 2 11 2" xfId="2721"/>
    <cellStyle name="Normal 5 3 2 12" xfId="2722"/>
    <cellStyle name="Normal 5 3 2 13" xfId="2723"/>
    <cellStyle name="Normal 5 3 2 2" xfId="2724"/>
    <cellStyle name="Normal 5 3 2 2 10" xfId="2725"/>
    <cellStyle name="Normal 5 3 2 2 10 2" xfId="2726"/>
    <cellStyle name="Normal 5 3 2 2 11" xfId="2727"/>
    <cellStyle name="Normal 5 3 2 2 12" xfId="2728"/>
    <cellStyle name="Normal 5 3 2 2 2" xfId="2729"/>
    <cellStyle name="Normal 5 3 2 2 2 10" xfId="2730"/>
    <cellStyle name="Normal 5 3 2 2 2 2" xfId="2731"/>
    <cellStyle name="Normal 5 3 2 2 2 2 2" xfId="2732"/>
    <cellStyle name="Normal 5 3 2 2 2 2 2 2" xfId="2733"/>
    <cellStyle name="Normal 5 3 2 2 2 2 2 2 2" xfId="2734"/>
    <cellStyle name="Normal 5 3 2 2 2 2 2 2_II_7_2 Liabilities Fcial interm" xfId="2735"/>
    <cellStyle name="Normal 5 3 2 2 2 2 2 3" xfId="2736"/>
    <cellStyle name="Normal 5 3 2 2 2 2 2 4" xfId="2737"/>
    <cellStyle name="Normal 5 3 2 2 2 2 2 5" xfId="2738"/>
    <cellStyle name="Normal 5 3 2 2 2 2 2_II_7_2 Liabilities Fcial interm" xfId="2739"/>
    <cellStyle name="Normal 5 3 2 2 2 2 3" xfId="2740"/>
    <cellStyle name="Normal 5 3 2 2 2 2 3 2" xfId="2741"/>
    <cellStyle name="Normal 5 3 2 2 2 2 3 3" xfId="2742"/>
    <cellStyle name="Normal 5 3 2 2 2 2 3 4" xfId="2743"/>
    <cellStyle name="Normal 5 3 2 2 2 2 3_II_7_2 Liabilities Fcial interm" xfId="2744"/>
    <cellStyle name="Normal 5 3 2 2 2 2 4" xfId="2745"/>
    <cellStyle name="Normal 5 3 2 2 2 2 4 2" xfId="2746"/>
    <cellStyle name="Normal 5 3 2 2 2 2 4 3" xfId="2747"/>
    <cellStyle name="Normal 5 3 2 2 2 2 4 4" xfId="2748"/>
    <cellStyle name="Normal 5 3 2 2 2 2 4_II_7_2 Liabilities Fcial interm" xfId="2749"/>
    <cellStyle name="Normal 5 3 2 2 2 2 5" xfId="2750"/>
    <cellStyle name="Normal 5 3 2 2 2 2 5 2" xfId="2751"/>
    <cellStyle name="Normal 5 3 2 2 2 2 5 3" xfId="2752"/>
    <cellStyle name="Normal 5 3 2 2 2 2 5 4" xfId="2753"/>
    <cellStyle name="Normal 5 3 2 2 2 2 5_II_7_2 Liabilities Fcial interm" xfId="2754"/>
    <cellStyle name="Normal 5 3 2 2 2 2 6" xfId="2755"/>
    <cellStyle name="Normal 5 3 2 2 2 2 6 2" xfId="2756"/>
    <cellStyle name="Normal 5 3 2 2 2 2 6 3" xfId="2757"/>
    <cellStyle name="Normal 5 3 2 2 2 2 6_II_7_2 Liabilities Fcial interm" xfId="2758"/>
    <cellStyle name="Normal 5 3 2 2 2 2 7" xfId="2759"/>
    <cellStyle name="Normal 5 3 2 2 2 2 7 2" xfId="2760"/>
    <cellStyle name="Normal 5 3 2 2 2 2 8" xfId="2761"/>
    <cellStyle name="Normal 5 3 2 2 2 2_II_7_2 Liabilities Fcial interm" xfId="2762"/>
    <cellStyle name="Normal 5 3 2 2 2 3" xfId="2763"/>
    <cellStyle name="Normal 5 3 2 2 2 3 2" xfId="2764"/>
    <cellStyle name="Normal 5 3 2 2 2 3 2 2" xfId="2765"/>
    <cellStyle name="Normal 5 3 2 2 2 3 2 3" xfId="2766"/>
    <cellStyle name="Normal 5 3 2 2 2 3 2 4" xfId="2767"/>
    <cellStyle name="Normal 5 3 2 2 2 3 2_II_7_2 Liabilities Fcial interm" xfId="2768"/>
    <cellStyle name="Normal 5 3 2 2 2 3 3" xfId="2769"/>
    <cellStyle name="Normal 5 3 2 2 2 3 3 2" xfId="2770"/>
    <cellStyle name="Normal 5 3 2 2 2 3 3 3" xfId="2771"/>
    <cellStyle name="Normal 5 3 2 2 2 3 3 4" xfId="2772"/>
    <cellStyle name="Normal 5 3 2 2 2 3 3_II_7_2 Liabilities Fcial interm" xfId="2773"/>
    <cellStyle name="Normal 5 3 2 2 2 3 4" xfId="2774"/>
    <cellStyle name="Normal 5 3 2 2 2 3 4 2" xfId="2775"/>
    <cellStyle name="Normal 5 3 2 2 2 3 4 3" xfId="2776"/>
    <cellStyle name="Normal 5 3 2 2 2 3 4 4" xfId="2777"/>
    <cellStyle name="Normal 5 3 2 2 2 3 4_II_7_2 Liabilities Fcial interm" xfId="2778"/>
    <cellStyle name="Normal 5 3 2 2 2 3 5" xfId="2779"/>
    <cellStyle name="Normal 5 3 2 2 2 3 5 2" xfId="2780"/>
    <cellStyle name="Normal 5 3 2 2 2 3 5 3" xfId="2781"/>
    <cellStyle name="Normal 5 3 2 2 2 3 5_II_7_2 Liabilities Fcial interm" xfId="2782"/>
    <cellStyle name="Normal 5 3 2 2 2 3 6" xfId="2783"/>
    <cellStyle name="Normal 5 3 2 2 2 3 6 2" xfId="2784"/>
    <cellStyle name="Normal 5 3 2 2 2 3 7" xfId="2785"/>
    <cellStyle name="Normal 5 3 2 2 2 3_II_7_2 Liabilities Fcial interm" xfId="2786"/>
    <cellStyle name="Normal 5 3 2 2 2 4" xfId="2787"/>
    <cellStyle name="Normal 5 3 2 2 2 4 2" xfId="2788"/>
    <cellStyle name="Normal 5 3 2 2 2 4 2 2" xfId="2789"/>
    <cellStyle name="Normal 5 3 2 2 2 4 2 3" xfId="2790"/>
    <cellStyle name="Normal 5 3 2 2 2 4 2_II_7_2 Liabilities Fcial interm" xfId="2791"/>
    <cellStyle name="Normal 5 3 2 2 2 4 3" xfId="2792"/>
    <cellStyle name="Normal 5 3 2 2 2 4 3 2" xfId="2793"/>
    <cellStyle name="Normal 5 3 2 2 2 4 4" xfId="2794"/>
    <cellStyle name="Normal 5 3 2 2 2 4_II_7_2 Liabilities Fcial interm" xfId="2795"/>
    <cellStyle name="Normal 5 3 2 2 2 5" xfId="2796"/>
    <cellStyle name="Normal 5 3 2 2 2 5 2" xfId="2797"/>
    <cellStyle name="Normal 5 3 2 2 2 5 2 2" xfId="2798"/>
    <cellStyle name="Normal 5 3 2 2 2 5 2_II_7_2 Liabilities Fcial interm" xfId="2799"/>
    <cellStyle name="Normal 5 3 2 2 2 5 3" xfId="2800"/>
    <cellStyle name="Normal 5 3 2 2 2 5 4" xfId="2801"/>
    <cellStyle name="Normal 5 3 2 2 2 5_II_7_2 Liabilities Fcial interm" xfId="2802"/>
    <cellStyle name="Normal 5 3 2 2 2 6" xfId="2803"/>
    <cellStyle name="Normal 5 3 2 2 2 6 2" xfId="2804"/>
    <cellStyle name="Normal 5 3 2 2 2 6 3" xfId="2805"/>
    <cellStyle name="Normal 5 3 2 2 2 6 4" xfId="2806"/>
    <cellStyle name="Normal 5 3 2 2 2 6_II_7_2 Liabilities Fcial interm" xfId="2807"/>
    <cellStyle name="Normal 5 3 2 2 2 7" xfId="2808"/>
    <cellStyle name="Normal 5 3 2 2 2 7 2" xfId="2809"/>
    <cellStyle name="Normal 5 3 2 2 2 7 3" xfId="2810"/>
    <cellStyle name="Normal 5 3 2 2 2 7_II_7_2 Liabilities Fcial interm" xfId="2811"/>
    <cellStyle name="Normal 5 3 2 2 2 8" xfId="2812"/>
    <cellStyle name="Normal 5 3 2 2 2 8 2" xfId="2813"/>
    <cellStyle name="Normal 5 3 2 2 2 9" xfId="2814"/>
    <cellStyle name="Normal 5 3 2 2 2_II_7_2 Liabilities Fcial interm" xfId="2815"/>
    <cellStyle name="Normal 5 3 2 2 3" xfId="2816"/>
    <cellStyle name="Normal 5 3 2 2 3 2" xfId="2817"/>
    <cellStyle name="Normal 5 3 2 2 3 2 2" xfId="2818"/>
    <cellStyle name="Normal 5 3 2 2 3 2 2 2" xfId="2819"/>
    <cellStyle name="Normal 5 3 2 2 3 2 2_II_7_2 Liabilities Fcial interm" xfId="2820"/>
    <cellStyle name="Normal 5 3 2 2 3 2 3" xfId="2821"/>
    <cellStyle name="Normal 5 3 2 2 3 2 4" xfId="2822"/>
    <cellStyle name="Normal 5 3 2 2 3 2 5" xfId="2823"/>
    <cellStyle name="Normal 5 3 2 2 3 2_II_7_2 Liabilities Fcial interm" xfId="2824"/>
    <cellStyle name="Normal 5 3 2 2 3 3" xfId="2825"/>
    <cellStyle name="Normal 5 3 2 2 3 3 2" xfId="2826"/>
    <cellStyle name="Normal 5 3 2 2 3 3 3" xfId="2827"/>
    <cellStyle name="Normal 5 3 2 2 3 3 4" xfId="2828"/>
    <cellStyle name="Normal 5 3 2 2 3 3_II_7_2 Liabilities Fcial interm" xfId="2829"/>
    <cellStyle name="Normal 5 3 2 2 3 4" xfId="2830"/>
    <cellStyle name="Normal 5 3 2 2 3 4 2" xfId="2831"/>
    <cellStyle name="Normal 5 3 2 2 3 4 3" xfId="2832"/>
    <cellStyle name="Normal 5 3 2 2 3 4 4" xfId="2833"/>
    <cellStyle name="Normal 5 3 2 2 3 4_II_7_2 Liabilities Fcial interm" xfId="2834"/>
    <cellStyle name="Normal 5 3 2 2 3 5" xfId="2835"/>
    <cellStyle name="Normal 5 3 2 2 3 5 2" xfId="2836"/>
    <cellStyle name="Normal 5 3 2 2 3 5 3" xfId="2837"/>
    <cellStyle name="Normal 5 3 2 2 3 5 4" xfId="2838"/>
    <cellStyle name="Normal 5 3 2 2 3 5_II_7_2 Liabilities Fcial interm" xfId="2839"/>
    <cellStyle name="Normal 5 3 2 2 3 6" xfId="2840"/>
    <cellStyle name="Normal 5 3 2 2 3 6 2" xfId="2841"/>
    <cellStyle name="Normal 5 3 2 2 3 6 3" xfId="2842"/>
    <cellStyle name="Normal 5 3 2 2 3 6 4" xfId="2843"/>
    <cellStyle name="Normal 5 3 2 2 3 6_II_7_2 Liabilities Fcial interm" xfId="2844"/>
    <cellStyle name="Normal 5 3 2 2 3 7" xfId="2845"/>
    <cellStyle name="Normal 5 3 2 2 3 7 2" xfId="2846"/>
    <cellStyle name="Normal 5 3 2 2 3 7 3" xfId="2847"/>
    <cellStyle name="Normal 5 3 2 2 3 7_II_7_2 Liabilities Fcial interm" xfId="2848"/>
    <cellStyle name="Normal 5 3 2 2 3 8" xfId="2849"/>
    <cellStyle name="Normal 5 3 2 2 3 8 2" xfId="2850"/>
    <cellStyle name="Normal 5 3 2 2 3 9" xfId="2851"/>
    <cellStyle name="Normal 5 3 2 2 3_II_7_2 Liabilities Fcial interm" xfId="2852"/>
    <cellStyle name="Normal 5 3 2 2 4" xfId="2853"/>
    <cellStyle name="Normal 5 3 2 2 4 2" xfId="2854"/>
    <cellStyle name="Normal 5 3 2 2 4 2 2" xfId="2855"/>
    <cellStyle name="Normal 5 3 2 2 4 2 2 2" xfId="2856"/>
    <cellStyle name="Normal 5 3 2 2 4 2 2_II_7_2 Liabilities Fcial interm" xfId="2857"/>
    <cellStyle name="Normal 5 3 2 2 4 2 3" xfId="2858"/>
    <cellStyle name="Normal 5 3 2 2 4 2 4" xfId="2859"/>
    <cellStyle name="Normal 5 3 2 2 4 2 5" xfId="2860"/>
    <cellStyle name="Normal 5 3 2 2 4 2_II_7_2 Liabilities Fcial interm" xfId="2861"/>
    <cellStyle name="Normal 5 3 2 2 4 3" xfId="2862"/>
    <cellStyle name="Normal 5 3 2 2 4 3 2" xfId="2863"/>
    <cellStyle name="Normal 5 3 2 2 4 3 3" xfId="2864"/>
    <cellStyle name="Normal 5 3 2 2 4 3 4" xfId="2865"/>
    <cellStyle name="Normal 5 3 2 2 4 3_II_7_2 Liabilities Fcial interm" xfId="2866"/>
    <cellStyle name="Normal 5 3 2 2 4 4" xfId="2867"/>
    <cellStyle name="Normal 5 3 2 2 4 4 2" xfId="2868"/>
    <cellStyle name="Normal 5 3 2 2 4 4 3" xfId="2869"/>
    <cellStyle name="Normal 5 3 2 2 4 4 4" xfId="2870"/>
    <cellStyle name="Normal 5 3 2 2 4 4_II_7_2 Liabilities Fcial interm" xfId="2871"/>
    <cellStyle name="Normal 5 3 2 2 4 5" xfId="2872"/>
    <cellStyle name="Normal 5 3 2 2 4 5 2" xfId="2873"/>
    <cellStyle name="Normal 5 3 2 2 4 5 3" xfId="2874"/>
    <cellStyle name="Normal 5 3 2 2 4 5_II_7_2 Liabilities Fcial interm" xfId="2875"/>
    <cellStyle name="Normal 5 3 2 2 4 6" xfId="2876"/>
    <cellStyle name="Normal 5 3 2 2 4 6 2" xfId="2877"/>
    <cellStyle name="Normal 5 3 2 2 4 7" xfId="2878"/>
    <cellStyle name="Normal 5 3 2 2 4_II_7_2 Liabilities Fcial interm" xfId="2879"/>
    <cellStyle name="Normal 5 3 2 2 5" xfId="2880"/>
    <cellStyle name="Normal 5 3 2 2 5 2" xfId="2881"/>
    <cellStyle name="Normal 5 3 2 2 5 2 2" xfId="2882"/>
    <cellStyle name="Normal 5 3 2 2 5 2 3" xfId="2883"/>
    <cellStyle name="Normal 5 3 2 2 5 2_II_7_2 Liabilities Fcial interm" xfId="2884"/>
    <cellStyle name="Normal 5 3 2 2 5 3" xfId="2885"/>
    <cellStyle name="Normal 5 3 2 2 5 3 2" xfId="2886"/>
    <cellStyle name="Normal 5 3 2 2 5 3_II_7_2 Liabilities Fcial interm" xfId="2887"/>
    <cellStyle name="Normal 5 3 2 2 5 4" xfId="2888"/>
    <cellStyle name="Normal 5 3 2 2 5 5" xfId="2889"/>
    <cellStyle name="Normal 5 3 2 2 5_II_7_2 Liabilities Fcial interm" xfId="2890"/>
    <cellStyle name="Normal 5 3 2 2 6" xfId="2891"/>
    <cellStyle name="Normal 5 3 2 2 6 2" xfId="2892"/>
    <cellStyle name="Normal 5 3 2 2 6 2 2" xfId="2893"/>
    <cellStyle name="Normal 5 3 2 2 6 2_II_7_2 Liabilities Fcial interm" xfId="2894"/>
    <cellStyle name="Normal 5 3 2 2 6 3" xfId="2895"/>
    <cellStyle name="Normal 5 3 2 2 6 4" xfId="2896"/>
    <cellStyle name="Normal 5 3 2 2 6_II_7_2 Liabilities Fcial interm" xfId="2897"/>
    <cellStyle name="Normal 5 3 2 2 7" xfId="2898"/>
    <cellStyle name="Normal 5 3 2 2 7 2" xfId="2899"/>
    <cellStyle name="Normal 5 3 2 2 7 3" xfId="2900"/>
    <cellStyle name="Normal 5 3 2 2 7 4" xfId="2901"/>
    <cellStyle name="Normal 5 3 2 2 7_II_7_2 Liabilities Fcial interm" xfId="2902"/>
    <cellStyle name="Normal 5 3 2 2 8" xfId="2903"/>
    <cellStyle name="Normal 5 3 2 2 8 2" xfId="2904"/>
    <cellStyle name="Normal 5 3 2 2 8 3" xfId="2905"/>
    <cellStyle name="Normal 5 3 2 2 8 4" xfId="2906"/>
    <cellStyle name="Normal 5 3 2 2 8_II_7_2 Liabilities Fcial interm" xfId="2907"/>
    <cellStyle name="Normal 5 3 2 2 9" xfId="2908"/>
    <cellStyle name="Normal 5 3 2 2 9 2" xfId="2909"/>
    <cellStyle name="Normal 5 3 2 2 9 3" xfId="2910"/>
    <cellStyle name="Normal 5 3 2 2 9_II_7_2 Liabilities Fcial interm" xfId="2911"/>
    <cellStyle name="Normal 5 3 2 2_II_7_2 Liabilities Fcial interm" xfId="2912"/>
    <cellStyle name="Normal 5 3 2 3" xfId="2913"/>
    <cellStyle name="Normal 5 3 2 3 10" xfId="2914"/>
    <cellStyle name="Normal 5 3 2 3 2" xfId="2915"/>
    <cellStyle name="Normal 5 3 2 3 2 2" xfId="2916"/>
    <cellStyle name="Normal 5 3 2 3 2 2 2" xfId="2917"/>
    <cellStyle name="Normal 5 3 2 3 2 2 2 2" xfId="2918"/>
    <cellStyle name="Normal 5 3 2 3 2 2 2_II_7_2 Liabilities Fcial interm" xfId="2919"/>
    <cellStyle name="Normal 5 3 2 3 2 2 3" xfId="2920"/>
    <cellStyle name="Normal 5 3 2 3 2 2 4" xfId="2921"/>
    <cellStyle name="Normal 5 3 2 3 2 2 5" xfId="2922"/>
    <cellStyle name="Normal 5 3 2 3 2 2_II_7_2 Liabilities Fcial interm" xfId="2923"/>
    <cellStyle name="Normal 5 3 2 3 2 3" xfId="2924"/>
    <cellStyle name="Normal 5 3 2 3 2 3 2" xfId="2925"/>
    <cellStyle name="Normal 5 3 2 3 2 3 3" xfId="2926"/>
    <cellStyle name="Normal 5 3 2 3 2 3 4" xfId="2927"/>
    <cellStyle name="Normal 5 3 2 3 2 3_II_7_2 Liabilities Fcial interm" xfId="2928"/>
    <cellStyle name="Normal 5 3 2 3 2 4" xfId="2929"/>
    <cellStyle name="Normal 5 3 2 3 2 4 2" xfId="2930"/>
    <cellStyle name="Normal 5 3 2 3 2 4 3" xfId="2931"/>
    <cellStyle name="Normal 5 3 2 3 2 4 4" xfId="2932"/>
    <cellStyle name="Normal 5 3 2 3 2 4_II_7_2 Liabilities Fcial interm" xfId="2933"/>
    <cellStyle name="Normal 5 3 2 3 2 5" xfId="2934"/>
    <cellStyle name="Normal 5 3 2 3 2 5 2" xfId="2935"/>
    <cellStyle name="Normal 5 3 2 3 2 5 3" xfId="2936"/>
    <cellStyle name="Normal 5 3 2 3 2 5 4" xfId="2937"/>
    <cellStyle name="Normal 5 3 2 3 2 5_II_7_2 Liabilities Fcial interm" xfId="2938"/>
    <cellStyle name="Normal 5 3 2 3 2 6" xfId="2939"/>
    <cellStyle name="Normal 5 3 2 3 2 6 2" xfId="2940"/>
    <cellStyle name="Normal 5 3 2 3 2 6 3" xfId="2941"/>
    <cellStyle name="Normal 5 3 2 3 2 6_II_7_2 Liabilities Fcial interm" xfId="2942"/>
    <cellStyle name="Normal 5 3 2 3 2 7" xfId="2943"/>
    <cellStyle name="Normal 5 3 2 3 2 7 2" xfId="2944"/>
    <cellStyle name="Normal 5 3 2 3 2 8" xfId="2945"/>
    <cellStyle name="Normal 5 3 2 3 2_II_7_2 Liabilities Fcial interm" xfId="2946"/>
    <cellStyle name="Normal 5 3 2 3 3" xfId="2947"/>
    <cellStyle name="Normal 5 3 2 3 3 2" xfId="2948"/>
    <cellStyle name="Normal 5 3 2 3 3 2 2" xfId="2949"/>
    <cellStyle name="Normal 5 3 2 3 3 2 3" xfId="2950"/>
    <cellStyle name="Normal 5 3 2 3 3 2 4" xfId="2951"/>
    <cellStyle name="Normal 5 3 2 3 3 2_II_7_2 Liabilities Fcial interm" xfId="2952"/>
    <cellStyle name="Normal 5 3 2 3 3 3" xfId="2953"/>
    <cellStyle name="Normal 5 3 2 3 3 3 2" xfId="2954"/>
    <cellStyle name="Normal 5 3 2 3 3 3 3" xfId="2955"/>
    <cellStyle name="Normal 5 3 2 3 3 3 4" xfId="2956"/>
    <cellStyle name="Normal 5 3 2 3 3 3_II_7_2 Liabilities Fcial interm" xfId="2957"/>
    <cellStyle name="Normal 5 3 2 3 3 4" xfId="2958"/>
    <cellStyle name="Normal 5 3 2 3 3 4 2" xfId="2959"/>
    <cellStyle name="Normal 5 3 2 3 3 4 3" xfId="2960"/>
    <cellStyle name="Normal 5 3 2 3 3 4 4" xfId="2961"/>
    <cellStyle name="Normal 5 3 2 3 3 4_II_7_2 Liabilities Fcial interm" xfId="2962"/>
    <cellStyle name="Normal 5 3 2 3 3 5" xfId="2963"/>
    <cellStyle name="Normal 5 3 2 3 3 5 2" xfId="2964"/>
    <cellStyle name="Normal 5 3 2 3 3 5 3" xfId="2965"/>
    <cellStyle name="Normal 5 3 2 3 3 5_II_7_2 Liabilities Fcial interm" xfId="2966"/>
    <cellStyle name="Normal 5 3 2 3 3 6" xfId="2967"/>
    <cellStyle name="Normal 5 3 2 3 3 6 2" xfId="2968"/>
    <cellStyle name="Normal 5 3 2 3 3 7" xfId="2969"/>
    <cellStyle name="Normal 5 3 2 3 3_II_7_2 Liabilities Fcial interm" xfId="2970"/>
    <cellStyle name="Normal 5 3 2 3 4" xfId="2971"/>
    <cellStyle name="Normal 5 3 2 3 4 2" xfId="2972"/>
    <cellStyle name="Normal 5 3 2 3 4 2 2" xfId="2973"/>
    <cellStyle name="Normal 5 3 2 3 4 2 3" xfId="2974"/>
    <cellStyle name="Normal 5 3 2 3 4 2_II_7_2 Liabilities Fcial interm" xfId="2975"/>
    <cellStyle name="Normal 5 3 2 3 4 3" xfId="2976"/>
    <cellStyle name="Normal 5 3 2 3 4 3 2" xfId="2977"/>
    <cellStyle name="Normal 5 3 2 3 4 4" xfId="2978"/>
    <cellStyle name="Normal 5 3 2 3 4_II_7_2 Liabilities Fcial interm" xfId="2979"/>
    <cellStyle name="Normal 5 3 2 3 5" xfId="2980"/>
    <cellStyle name="Normal 5 3 2 3 5 2" xfId="2981"/>
    <cellStyle name="Normal 5 3 2 3 5 2 2" xfId="2982"/>
    <cellStyle name="Normal 5 3 2 3 5 2_II_7_2 Liabilities Fcial interm" xfId="2983"/>
    <cellStyle name="Normal 5 3 2 3 5 3" xfId="2984"/>
    <cellStyle name="Normal 5 3 2 3 5 4" xfId="2985"/>
    <cellStyle name="Normal 5 3 2 3 5_II_7_2 Liabilities Fcial interm" xfId="2986"/>
    <cellStyle name="Normal 5 3 2 3 6" xfId="2987"/>
    <cellStyle name="Normal 5 3 2 3 6 2" xfId="2988"/>
    <cellStyle name="Normal 5 3 2 3 6 3" xfId="2989"/>
    <cellStyle name="Normal 5 3 2 3 6 4" xfId="2990"/>
    <cellStyle name="Normal 5 3 2 3 6_II_7_2 Liabilities Fcial interm" xfId="2991"/>
    <cellStyle name="Normal 5 3 2 3 7" xfId="2992"/>
    <cellStyle name="Normal 5 3 2 3 7 2" xfId="2993"/>
    <cellStyle name="Normal 5 3 2 3 7 3" xfId="2994"/>
    <cellStyle name="Normal 5 3 2 3 7_II_7_2 Liabilities Fcial interm" xfId="2995"/>
    <cellStyle name="Normal 5 3 2 3 8" xfId="2996"/>
    <cellStyle name="Normal 5 3 2 3 8 2" xfId="2997"/>
    <cellStyle name="Normal 5 3 2 3 9" xfId="2998"/>
    <cellStyle name="Normal 5 3 2 3_II_7_2 Liabilities Fcial interm" xfId="2999"/>
    <cellStyle name="Normal 5 3 2 4" xfId="3000"/>
    <cellStyle name="Normal 5 3 2 4 2" xfId="3001"/>
    <cellStyle name="Normal 5 3 2 4 2 2" xfId="3002"/>
    <cellStyle name="Normal 5 3 2 4 2 2 2" xfId="3003"/>
    <cellStyle name="Normal 5 3 2 4 2 2_II_7_2 Liabilities Fcial interm" xfId="3004"/>
    <cellStyle name="Normal 5 3 2 4 2 3" xfId="3005"/>
    <cellStyle name="Normal 5 3 2 4 2 4" xfId="3006"/>
    <cellStyle name="Normal 5 3 2 4 2 5" xfId="3007"/>
    <cellStyle name="Normal 5 3 2 4 2_II_7_2 Liabilities Fcial interm" xfId="3008"/>
    <cellStyle name="Normal 5 3 2 4 3" xfId="3009"/>
    <cellStyle name="Normal 5 3 2 4 3 2" xfId="3010"/>
    <cellStyle name="Normal 5 3 2 4 3 3" xfId="3011"/>
    <cellStyle name="Normal 5 3 2 4 3 4" xfId="3012"/>
    <cellStyle name="Normal 5 3 2 4 3_II_7_2 Liabilities Fcial interm" xfId="3013"/>
    <cellStyle name="Normal 5 3 2 4 4" xfId="3014"/>
    <cellStyle name="Normal 5 3 2 4 4 2" xfId="3015"/>
    <cellStyle name="Normal 5 3 2 4 4 3" xfId="3016"/>
    <cellStyle name="Normal 5 3 2 4 4 4" xfId="3017"/>
    <cellStyle name="Normal 5 3 2 4 4_II_7_2 Liabilities Fcial interm" xfId="3018"/>
    <cellStyle name="Normal 5 3 2 4 5" xfId="3019"/>
    <cellStyle name="Normal 5 3 2 4 5 2" xfId="3020"/>
    <cellStyle name="Normal 5 3 2 4 5 3" xfId="3021"/>
    <cellStyle name="Normal 5 3 2 4 5 4" xfId="3022"/>
    <cellStyle name="Normal 5 3 2 4 5_II_7_2 Liabilities Fcial interm" xfId="3023"/>
    <cellStyle name="Normal 5 3 2 4 6" xfId="3024"/>
    <cellStyle name="Normal 5 3 2 4 6 2" xfId="3025"/>
    <cellStyle name="Normal 5 3 2 4 6 3" xfId="3026"/>
    <cellStyle name="Normal 5 3 2 4 6 4" xfId="3027"/>
    <cellStyle name="Normal 5 3 2 4 6_II_7_2 Liabilities Fcial interm" xfId="3028"/>
    <cellStyle name="Normal 5 3 2 4 7" xfId="3029"/>
    <cellStyle name="Normal 5 3 2 4 7 2" xfId="3030"/>
    <cellStyle name="Normal 5 3 2 4 7 3" xfId="3031"/>
    <cellStyle name="Normal 5 3 2 4 7_II_7_2 Liabilities Fcial interm" xfId="3032"/>
    <cellStyle name="Normal 5 3 2 4 8" xfId="3033"/>
    <cellStyle name="Normal 5 3 2 4 8 2" xfId="3034"/>
    <cellStyle name="Normal 5 3 2 4 9" xfId="3035"/>
    <cellStyle name="Normal 5 3 2 4_II_7_2 Liabilities Fcial interm" xfId="3036"/>
    <cellStyle name="Normal 5 3 2 5" xfId="3037"/>
    <cellStyle name="Normal 5 3 2 5 2" xfId="3038"/>
    <cellStyle name="Normal 5 3 2 5 2 2" xfId="3039"/>
    <cellStyle name="Normal 5 3 2 5 2 2 2" xfId="3040"/>
    <cellStyle name="Normal 5 3 2 5 2 2_II_7_2 Liabilities Fcial interm" xfId="3041"/>
    <cellStyle name="Normal 5 3 2 5 2 3" xfId="3042"/>
    <cellStyle name="Normal 5 3 2 5 2 4" xfId="3043"/>
    <cellStyle name="Normal 5 3 2 5 2 5" xfId="3044"/>
    <cellStyle name="Normal 5 3 2 5 2_II_7_2 Liabilities Fcial interm" xfId="3045"/>
    <cellStyle name="Normal 5 3 2 5 3" xfId="3046"/>
    <cellStyle name="Normal 5 3 2 5 3 2" xfId="3047"/>
    <cellStyle name="Normal 5 3 2 5 3 3" xfId="3048"/>
    <cellStyle name="Normal 5 3 2 5 3 4" xfId="3049"/>
    <cellStyle name="Normal 5 3 2 5 3_II_7_2 Liabilities Fcial interm" xfId="3050"/>
    <cellStyle name="Normal 5 3 2 5 4" xfId="3051"/>
    <cellStyle name="Normal 5 3 2 5 4 2" xfId="3052"/>
    <cellStyle name="Normal 5 3 2 5 4 3" xfId="3053"/>
    <cellStyle name="Normal 5 3 2 5 4 4" xfId="3054"/>
    <cellStyle name="Normal 5 3 2 5 4_II_7_2 Liabilities Fcial interm" xfId="3055"/>
    <cellStyle name="Normal 5 3 2 5 5" xfId="3056"/>
    <cellStyle name="Normal 5 3 2 5 5 2" xfId="3057"/>
    <cellStyle name="Normal 5 3 2 5 5 3" xfId="3058"/>
    <cellStyle name="Normal 5 3 2 5 5_II_7_2 Liabilities Fcial interm" xfId="3059"/>
    <cellStyle name="Normal 5 3 2 5 6" xfId="3060"/>
    <cellStyle name="Normal 5 3 2 5 6 2" xfId="3061"/>
    <cellStyle name="Normal 5 3 2 5 7" xfId="3062"/>
    <cellStyle name="Normal 5 3 2 5_II_7_2 Liabilities Fcial interm" xfId="3063"/>
    <cellStyle name="Normal 5 3 2 6" xfId="3064"/>
    <cellStyle name="Normal 5 3 2 6 2" xfId="3065"/>
    <cellStyle name="Normal 5 3 2 6 2 2" xfId="3066"/>
    <cellStyle name="Normal 5 3 2 6 2 3" xfId="3067"/>
    <cellStyle name="Normal 5 3 2 6 2_II_7_2 Liabilities Fcial interm" xfId="3068"/>
    <cellStyle name="Normal 5 3 2 6 3" xfId="3069"/>
    <cellStyle name="Normal 5 3 2 6 3 2" xfId="3070"/>
    <cellStyle name="Normal 5 3 2 6 3_II_7_2 Liabilities Fcial interm" xfId="3071"/>
    <cellStyle name="Normal 5 3 2 6 4" xfId="3072"/>
    <cellStyle name="Normal 5 3 2 6 5" xfId="3073"/>
    <cellStyle name="Normal 5 3 2 6_II_7_2 Liabilities Fcial interm" xfId="3074"/>
    <cellStyle name="Normal 5 3 2 7" xfId="3075"/>
    <cellStyle name="Normal 5 3 2 7 2" xfId="3076"/>
    <cellStyle name="Normal 5 3 2 7 2 2" xfId="3077"/>
    <cellStyle name="Normal 5 3 2 7 2_II_7_2 Liabilities Fcial interm" xfId="3078"/>
    <cellStyle name="Normal 5 3 2 7 3" xfId="3079"/>
    <cellStyle name="Normal 5 3 2 7 4" xfId="3080"/>
    <cellStyle name="Normal 5 3 2 7_II_7_2 Liabilities Fcial interm" xfId="3081"/>
    <cellStyle name="Normal 5 3 2 8" xfId="3082"/>
    <cellStyle name="Normal 5 3 2 8 2" xfId="3083"/>
    <cellStyle name="Normal 5 3 2 8 3" xfId="3084"/>
    <cellStyle name="Normal 5 3 2 8 4" xfId="3085"/>
    <cellStyle name="Normal 5 3 2 8_II_7_2 Liabilities Fcial interm" xfId="3086"/>
    <cellStyle name="Normal 5 3 2 9" xfId="3087"/>
    <cellStyle name="Normal 5 3 2 9 2" xfId="3088"/>
    <cellStyle name="Normal 5 3 2 9 3" xfId="3089"/>
    <cellStyle name="Normal 5 3 2 9 4" xfId="3090"/>
    <cellStyle name="Normal 5 3 2 9_II_7_2 Liabilities Fcial interm" xfId="3091"/>
    <cellStyle name="Normal 5 3 2_II_7_2 Liabilities Fcial interm" xfId="3092"/>
    <cellStyle name="Normal 5 3 3" xfId="3093"/>
    <cellStyle name="Normal 5 3 3 10" xfId="3094"/>
    <cellStyle name="Normal 5 3 3 10 2" xfId="3095"/>
    <cellStyle name="Normal 5 3 3 11" xfId="3096"/>
    <cellStyle name="Normal 5 3 3 12" xfId="3097"/>
    <cellStyle name="Normal 5 3 3 2" xfId="3098"/>
    <cellStyle name="Normal 5 3 3 2 10" xfId="3099"/>
    <cellStyle name="Normal 5 3 3 2 2" xfId="3100"/>
    <cellStyle name="Normal 5 3 3 2 2 2" xfId="3101"/>
    <cellStyle name="Normal 5 3 3 2 2 2 2" xfId="3102"/>
    <cellStyle name="Normal 5 3 3 2 2 2 2 2" xfId="3103"/>
    <cellStyle name="Normal 5 3 3 2 2 2 2_II_7_2 Liabilities Fcial interm" xfId="3104"/>
    <cellStyle name="Normal 5 3 3 2 2 2 3" xfId="3105"/>
    <cellStyle name="Normal 5 3 3 2 2 2 4" xfId="3106"/>
    <cellStyle name="Normal 5 3 3 2 2 2 5" xfId="3107"/>
    <cellStyle name="Normal 5 3 3 2 2 2_II_7_2 Liabilities Fcial interm" xfId="3108"/>
    <cellStyle name="Normal 5 3 3 2 2 3" xfId="3109"/>
    <cellStyle name="Normal 5 3 3 2 2 3 2" xfId="3110"/>
    <cellStyle name="Normal 5 3 3 2 2 3 3" xfId="3111"/>
    <cellStyle name="Normal 5 3 3 2 2 3 4" xfId="3112"/>
    <cellStyle name="Normal 5 3 3 2 2 3_II_7_2 Liabilities Fcial interm" xfId="3113"/>
    <cellStyle name="Normal 5 3 3 2 2 4" xfId="3114"/>
    <cellStyle name="Normal 5 3 3 2 2 4 2" xfId="3115"/>
    <cellStyle name="Normal 5 3 3 2 2 4 3" xfId="3116"/>
    <cellStyle name="Normal 5 3 3 2 2 4 4" xfId="3117"/>
    <cellStyle name="Normal 5 3 3 2 2 4_II_7_2 Liabilities Fcial interm" xfId="3118"/>
    <cellStyle name="Normal 5 3 3 2 2 5" xfId="3119"/>
    <cellStyle name="Normal 5 3 3 2 2 5 2" xfId="3120"/>
    <cellStyle name="Normal 5 3 3 2 2 5 3" xfId="3121"/>
    <cellStyle name="Normal 5 3 3 2 2 5 4" xfId="3122"/>
    <cellStyle name="Normal 5 3 3 2 2 5_II_7_2 Liabilities Fcial interm" xfId="3123"/>
    <cellStyle name="Normal 5 3 3 2 2 6" xfId="3124"/>
    <cellStyle name="Normal 5 3 3 2 2 6 2" xfId="3125"/>
    <cellStyle name="Normal 5 3 3 2 2 6 3" xfId="3126"/>
    <cellStyle name="Normal 5 3 3 2 2 6_II_7_2 Liabilities Fcial interm" xfId="3127"/>
    <cellStyle name="Normal 5 3 3 2 2 7" xfId="3128"/>
    <cellStyle name="Normal 5 3 3 2 2 7 2" xfId="3129"/>
    <cellStyle name="Normal 5 3 3 2 2 8" xfId="3130"/>
    <cellStyle name="Normal 5 3 3 2 2_II_7_2 Liabilities Fcial interm" xfId="3131"/>
    <cellStyle name="Normal 5 3 3 2 3" xfId="3132"/>
    <cellStyle name="Normal 5 3 3 2 3 2" xfId="3133"/>
    <cellStyle name="Normal 5 3 3 2 3 2 2" xfId="3134"/>
    <cellStyle name="Normal 5 3 3 2 3 2 3" xfId="3135"/>
    <cellStyle name="Normal 5 3 3 2 3 2 4" xfId="3136"/>
    <cellStyle name="Normal 5 3 3 2 3 2_II_7_2 Liabilities Fcial interm" xfId="3137"/>
    <cellStyle name="Normal 5 3 3 2 3 3" xfId="3138"/>
    <cellStyle name="Normal 5 3 3 2 3 3 2" xfId="3139"/>
    <cellStyle name="Normal 5 3 3 2 3 3 3" xfId="3140"/>
    <cellStyle name="Normal 5 3 3 2 3 3 4" xfId="3141"/>
    <cellStyle name="Normal 5 3 3 2 3 3_II_7_2 Liabilities Fcial interm" xfId="3142"/>
    <cellStyle name="Normal 5 3 3 2 3 4" xfId="3143"/>
    <cellStyle name="Normal 5 3 3 2 3 4 2" xfId="3144"/>
    <cellStyle name="Normal 5 3 3 2 3 4 3" xfId="3145"/>
    <cellStyle name="Normal 5 3 3 2 3 4 4" xfId="3146"/>
    <cellStyle name="Normal 5 3 3 2 3 4_II_7_2 Liabilities Fcial interm" xfId="3147"/>
    <cellStyle name="Normal 5 3 3 2 3 5" xfId="3148"/>
    <cellStyle name="Normal 5 3 3 2 3 5 2" xfId="3149"/>
    <cellStyle name="Normal 5 3 3 2 3 5 3" xfId="3150"/>
    <cellStyle name="Normal 5 3 3 2 3 5_II_7_2 Liabilities Fcial interm" xfId="3151"/>
    <cellStyle name="Normal 5 3 3 2 3 6" xfId="3152"/>
    <cellStyle name="Normal 5 3 3 2 3 6 2" xfId="3153"/>
    <cellStyle name="Normal 5 3 3 2 3 7" xfId="3154"/>
    <cellStyle name="Normal 5 3 3 2 3_II_7_2 Liabilities Fcial interm" xfId="3155"/>
    <cellStyle name="Normal 5 3 3 2 4" xfId="3156"/>
    <cellStyle name="Normal 5 3 3 2 4 2" xfId="3157"/>
    <cellStyle name="Normal 5 3 3 2 4 2 2" xfId="3158"/>
    <cellStyle name="Normal 5 3 3 2 4 2 3" xfId="3159"/>
    <cellStyle name="Normal 5 3 3 2 4 2_II_7_2 Liabilities Fcial interm" xfId="3160"/>
    <cellStyle name="Normal 5 3 3 2 4 3" xfId="3161"/>
    <cellStyle name="Normal 5 3 3 2 4 3 2" xfId="3162"/>
    <cellStyle name="Normal 5 3 3 2 4 4" xfId="3163"/>
    <cellStyle name="Normal 5 3 3 2 4_II_7_2 Liabilities Fcial interm" xfId="3164"/>
    <cellStyle name="Normal 5 3 3 2 5" xfId="3165"/>
    <cellStyle name="Normal 5 3 3 2 5 2" xfId="3166"/>
    <cellStyle name="Normal 5 3 3 2 5 2 2" xfId="3167"/>
    <cellStyle name="Normal 5 3 3 2 5 2_II_7_2 Liabilities Fcial interm" xfId="3168"/>
    <cellStyle name="Normal 5 3 3 2 5 3" xfId="3169"/>
    <cellStyle name="Normal 5 3 3 2 5 4" xfId="3170"/>
    <cellStyle name="Normal 5 3 3 2 5_II_7_2 Liabilities Fcial interm" xfId="3171"/>
    <cellStyle name="Normal 5 3 3 2 6" xfId="3172"/>
    <cellStyle name="Normal 5 3 3 2 6 2" xfId="3173"/>
    <cellStyle name="Normal 5 3 3 2 6 3" xfId="3174"/>
    <cellStyle name="Normal 5 3 3 2 6 4" xfId="3175"/>
    <cellStyle name="Normal 5 3 3 2 6_II_7_2 Liabilities Fcial interm" xfId="3176"/>
    <cellStyle name="Normal 5 3 3 2 7" xfId="3177"/>
    <cellStyle name="Normal 5 3 3 2 7 2" xfId="3178"/>
    <cellStyle name="Normal 5 3 3 2 7 3" xfId="3179"/>
    <cellStyle name="Normal 5 3 3 2 7_II_7_2 Liabilities Fcial interm" xfId="3180"/>
    <cellStyle name="Normal 5 3 3 2 8" xfId="3181"/>
    <cellStyle name="Normal 5 3 3 2 8 2" xfId="3182"/>
    <cellStyle name="Normal 5 3 3 2 9" xfId="3183"/>
    <cellStyle name="Normal 5 3 3 2_II_7_2 Liabilities Fcial interm" xfId="3184"/>
    <cellStyle name="Normal 5 3 3 3" xfId="3185"/>
    <cellStyle name="Normal 5 3 3 3 2" xfId="3186"/>
    <cellStyle name="Normal 5 3 3 3 2 2" xfId="3187"/>
    <cellStyle name="Normal 5 3 3 3 2 2 2" xfId="3188"/>
    <cellStyle name="Normal 5 3 3 3 2 2_II_7_2 Liabilities Fcial interm" xfId="3189"/>
    <cellStyle name="Normal 5 3 3 3 2 3" xfId="3190"/>
    <cellStyle name="Normal 5 3 3 3 2 4" xfId="3191"/>
    <cellStyle name="Normal 5 3 3 3 2 5" xfId="3192"/>
    <cellStyle name="Normal 5 3 3 3 2_II_7_2 Liabilities Fcial interm" xfId="3193"/>
    <cellStyle name="Normal 5 3 3 3 3" xfId="3194"/>
    <cellStyle name="Normal 5 3 3 3 3 2" xfId="3195"/>
    <cellStyle name="Normal 5 3 3 3 3 3" xfId="3196"/>
    <cellStyle name="Normal 5 3 3 3 3 4" xfId="3197"/>
    <cellStyle name="Normal 5 3 3 3 3_II_7_2 Liabilities Fcial interm" xfId="3198"/>
    <cellStyle name="Normal 5 3 3 3 4" xfId="3199"/>
    <cellStyle name="Normal 5 3 3 3 4 2" xfId="3200"/>
    <cellStyle name="Normal 5 3 3 3 4 3" xfId="3201"/>
    <cellStyle name="Normal 5 3 3 3 4 4" xfId="3202"/>
    <cellStyle name="Normal 5 3 3 3 4_II_7_2 Liabilities Fcial interm" xfId="3203"/>
    <cellStyle name="Normal 5 3 3 3 5" xfId="3204"/>
    <cellStyle name="Normal 5 3 3 3 5 2" xfId="3205"/>
    <cellStyle name="Normal 5 3 3 3 5 3" xfId="3206"/>
    <cellStyle name="Normal 5 3 3 3 5 4" xfId="3207"/>
    <cellStyle name="Normal 5 3 3 3 5_II_7_2 Liabilities Fcial interm" xfId="3208"/>
    <cellStyle name="Normal 5 3 3 3 6" xfId="3209"/>
    <cellStyle name="Normal 5 3 3 3 6 2" xfId="3210"/>
    <cellStyle name="Normal 5 3 3 3 6 3" xfId="3211"/>
    <cellStyle name="Normal 5 3 3 3 6 4" xfId="3212"/>
    <cellStyle name="Normal 5 3 3 3 6_II_7_2 Liabilities Fcial interm" xfId="3213"/>
    <cellStyle name="Normal 5 3 3 3 7" xfId="3214"/>
    <cellStyle name="Normal 5 3 3 3 7 2" xfId="3215"/>
    <cellStyle name="Normal 5 3 3 3 7 3" xfId="3216"/>
    <cellStyle name="Normal 5 3 3 3 7_II_7_2 Liabilities Fcial interm" xfId="3217"/>
    <cellStyle name="Normal 5 3 3 3 8" xfId="3218"/>
    <cellStyle name="Normal 5 3 3 3 8 2" xfId="3219"/>
    <cellStyle name="Normal 5 3 3 3 9" xfId="3220"/>
    <cellStyle name="Normal 5 3 3 3_II_7_2 Liabilities Fcial interm" xfId="3221"/>
    <cellStyle name="Normal 5 3 3 4" xfId="3222"/>
    <cellStyle name="Normal 5 3 3 4 2" xfId="3223"/>
    <cellStyle name="Normal 5 3 3 4 2 2" xfId="3224"/>
    <cellStyle name="Normal 5 3 3 4 2 2 2" xfId="3225"/>
    <cellStyle name="Normal 5 3 3 4 2 2_II_7_2 Liabilities Fcial interm" xfId="3226"/>
    <cellStyle name="Normal 5 3 3 4 2 3" xfId="3227"/>
    <cellStyle name="Normal 5 3 3 4 2 4" xfId="3228"/>
    <cellStyle name="Normal 5 3 3 4 2 5" xfId="3229"/>
    <cellStyle name="Normal 5 3 3 4 2_II_7_2 Liabilities Fcial interm" xfId="3230"/>
    <cellStyle name="Normal 5 3 3 4 3" xfId="3231"/>
    <cellStyle name="Normal 5 3 3 4 3 2" xfId="3232"/>
    <cellStyle name="Normal 5 3 3 4 3 3" xfId="3233"/>
    <cellStyle name="Normal 5 3 3 4 3 4" xfId="3234"/>
    <cellStyle name="Normal 5 3 3 4 3_II_7_2 Liabilities Fcial interm" xfId="3235"/>
    <cellStyle name="Normal 5 3 3 4 4" xfId="3236"/>
    <cellStyle name="Normal 5 3 3 4 4 2" xfId="3237"/>
    <cellStyle name="Normal 5 3 3 4 4 3" xfId="3238"/>
    <cellStyle name="Normal 5 3 3 4 4 4" xfId="3239"/>
    <cellStyle name="Normal 5 3 3 4 4_II_7_2 Liabilities Fcial interm" xfId="3240"/>
    <cellStyle name="Normal 5 3 3 4 5" xfId="3241"/>
    <cellStyle name="Normal 5 3 3 4 5 2" xfId="3242"/>
    <cellStyle name="Normal 5 3 3 4 5 3" xfId="3243"/>
    <cellStyle name="Normal 5 3 3 4 5_II_7_2 Liabilities Fcial interm" xfId="3244"/>
    <cellStyle name="Normal 5 3 3 4 6" xfId="3245"/>
    <cellStyle name="Normal 5 3 3 4 6 2" xfId="3246"/>
    <cellStyle name="Normal 5 3 3 4 7" xfId="3247"/>
    <cellStyle name="Normal 5 3 3 4_II_7_2 Liabilities Fcial interm" xfId="3248"/>
    <cellStyle name="Normal 5 3 3 5" xfId="3249"/>
    <cellStyle name="Normal 5 3 3 5 2" xfId="3250"/>
    <cellStyle name="Normal 5 3 3 5 2 2" xfId="3251"/>
    <cellStyle name="Normal 5 3 3 5 2 3" xfId="3252"/>
    <cellStyle name="Normal 5 3 3 5 2_II_7_2 Liabilities Fcial interm" xfId="3253"/>
    <cellStyle name="Normal 5 3 3 5 3" xfId="3254"/>
    <cellStyle name="Normal 5 3 3 5 3 2" xfId="3255"/>
    <cellStyle name="Normal 5 3 3 5 3_II_7_2 Liabilities Fcial interm" xfId="3256"/>
    <cellStyle name="Normal 5 3 3 5 4" xfId="3257"/>
    <cellStyle name="Normal 5 3 3 5 5" xfId="3258"/>
    <cellStyle name="Normal 5 3 3 5_II_7_2 Liabilities Fcial interm" xfId="3259"/>
    <cellStyle name="Normal 5 3 3 6" xfId="3260"/>
    <cellStyle name="Normal 5 3 3 6 2" xfId="3261"/>
    <cellStyle name="Normal 5 3 3 6 2 2" xfId="3262"/>
    <cellStyle name="Normal 5 3 3 6 2_II_7_2 Liabilities Fcial interm" xfId="3263"/>
    <cellStyle name="Normal 5 3 3 6 3" xfId="3264"/>
    <cellStyle name="Normal 5 3 3 6 4" xfId="3265"/>
    <cellStyle name="Normal 5 3 3 6_II_7_2 Liabilities Fcial interm" xfId="3266"/>
    <cellStyle name="Normal 5 3 3 7" xfId="3267"/>
    <cellStyle name="Normal 5 3 3 7 2" xfId="3268"/>
    <cellStyle name="Normal 5 3 3 7 3" xfId="3269"/>
    <cellStyle name="Normal 5 3 3 7 4" xfId="3270"/>
    <cellStyle name="Normal 5 3 3 7_II_7_2 Liabilities Fcial interm" xfId="3271"/>
    <cellStyle name="Normal 5 3 3 8" xfId="3272"/>
    <cellStyle name="Normal 5 3 3 8 2" xfId="3273"/>
    <cellStyle name="Normal 5 3 3 8 3" xfId="3274"/>
    <cellStyle name="Normal 5 3 3 8 4" xfId="3275"/>
    <cellStyle name="Normal 5 3 3 8_II_7_2 Liabilities Fcial interm" xfId="3276"/>
    <cellStyle name="Normal 5 3 3 9" xfId="3277"/>
    <cellStyle name="Normal 5 3 3 9 2" xfId="3278"/>
    <cellStyle name="Normal 5 3 3 9 3" xfId="3279"/>
    <cellStyle name="Normal 5 3 3 9_II_7_2 Liabilities Fcial interm" xfId="3280"/>
    <cellStyle name="Normal 5 3 3_II_7_2 Liabilities Fcial interm" xfId="3281"/>
    <cellStyle name="Normal 5 3 4" xfId="3282"/>
    <cellStyle name="Normal 5 3 4 10" xfId="3283"/>
    <cellStyle name="Normal 5 3 4 10 2" xfId="3284"/>
    <cellStyle name="Normal 5 3 4 11" xfId="3285"/>
    <cellStyle name="Normal 5 3 4 12" xfId="3286"/>
    <cellStyle name="Normal 5 3 4 2" xfId="3287"/>
    <cellStyle name="Normal 5 3 4 2 10" xfId="3288"/>
    <cellStyle name="Normal 5 3 4 2 2" xfId="3289"/>
    <cellStyle name="Normal 5 3 4 2 2 2" xfId="3290"/>
    <cellStyle name="Normal 5 3 4 2 2 2 2" xfId="3291"/>
    <cellStyle name="Normal 5 3 4 2 2 2 2 2" xfId="3292"/>
    <cellStyle name="Normal 5 3 4 2 2 2 2_II_7_2 Liabilities Fcial interm" xfId="3293"/>
    <cellStyle name="Normal 5 3 4 2 2 2 3" xfId="3294"/>
    <cellStyle name="Normal 5 3 4 2 2 2 4" xfId="3295"/>
    <cellStyle name="Normal 5 3 4 2 2 2 5" xfId="3296"/>
    <cellStyle name="Normal 5 3 4 2 2 2_II_7_2 Liabilities Fcial interm" xfId="3297"/>
    <cellStyle name="Normal 5 3 4 2 2 3" xfId="3298"/>
    <cellStyle name="Normal 5 3 4 2 2 3 2" xfId="3299"/>
    <cellStyle name="Normal 5 3 4 2 2 3 3" xfId="3300"/>
    <cellStyle name="Normal 5 3 4 2 2 3 4" xfId="3301"/>
    <cellStyle name="Normal 5 3 4 2 2 3_II_7_2 Liabilities Fcial interm" xfId="3302"/>
    <cellStyle name="Normal 5 3 4 2 2 4" xfId="3303"/>
    <cellStyle name="Normal 5 3 4 2 2 4 2" xfId="3304"/>
    <cellStyle name="Normal 5 3 4 2 2 4 3" xfId="3305"/>
    <cellStyle name="Normal 5 3 4 2 2 4 4" xfId="3306"/>
    <cellStyle name="Normal 5 3 4 2 2 4_II_7_2 Liabilities Fcial interm" xfId="3307"/>
    <cellStyle name="Normal 5 3 4 2 2 5" xfId="3308"/>
    <cellStyle name="Normal 5 3 4 2 2 5 2" xfId="3309"/>
    <cellStyle name="Normal 5 3 4 2 2 5 3" xfId="3310"/>
    <cellStyle name="Normal 5 3 4 2 2 5 4" xfId="3311"/>
    <cellStyle name="Normal 5 3 4 2 2 5_II_7_2 Liabilities Fcial interm" xfId="3312"/>
    <cellStyle name="Normal 5 3 4 2 2 6" xfId="3313"/>
    <cellStyle name="Normal 5 3 4 2 2 6 2" xfId="3314"/>
    <cellStyle name="Normal 5 3 4 2 2 6 3" xfId="3315"/>
    <cellStyle name="Normal 5 3 4 2 2 6_II_7_2 Liabilities Fcial interm" xfId="3316"/>
    <cellStyle name="Normal 5 3 4 2 2 7" xfId="3317"/>
    <cellStyle name="Normal 5 3 4 2 2 7 2" xfId="3318"/>
    <cellStyle name="Normal 5 3 4 2 2 8" xfId="3319"/>
    <cellStyle name="Normal 5 3 4 2 2_II_7_2 Liabilities Fcial interm" xfId="3320"/>
    <cellStyle name="Normal 5 3 4 2 3" xfId="3321"/>
    <cellStyle name="Normal 5 3 4 2 3 2" xfId="3322"/>
    <cellStyle name="Normal 5 3 4 2 3 2 2" xfId="3323"/>
    <cellStyle name="Normal 5 3 4 2 3 2 3" xfId="3324"/>
    <cellStyle name="Normal 5 3 4 2 3 2 4" xfId="3325"/>
    <cellStyle name="Normal 5 3 4 2 3 2_II_7_2 Liabilities Fcial interm" xfId="3326"/>
    <cellStyle name="Normal 5 3 4 2 3 3" xfId="3327"/>
    <cellStyle name="Normal 5 3 4 2 3 3 2" xfId="3328"/>
    <cellStyle name="Normal 5 3 4 2 3 3 3" xfId="3329"/>
    <cellStyle name="Normal 5 3 4 2 3 3 4" xfId="3330"/>
    <cellStyle name="Normal 5 3 4 2 3 3_II_7_2 Liabilities Fcial interm" xfId="3331"/>
    <cellStyle name="Normal 5 3 4 2 3 4" xfId="3332"/>
    <cellStyle name="Normal 5 3 4 2 3 4 2" xfId="3333"/>
    <cellStyle name="Normal 5 3 4 2 3 4 3" xfId="3334"/>
    <cellStyle name="Normal 5 3 4 2 3 4 4" xfId="3335"/>
    <cellStyle name="Normal 5 3 4 2 3 4_II_7_2 Liabilities Fcial interm" xfId="3336"/>
    <cellStyle name="Normal 5 3 4 2 3 5" xfId="3337"/>
    <cellStyle name="Normal 5 3 4 2 3 5 2" xfId="3338"/>
    <cellStyle name="Normal 5 3 4 2 3 5 3" xfId="3339"/>
    <cellStyle name="Normal 5 3 4 2 3 5_II_7_2 Liabilities Fcial interm" xfId="3340"/>
    <cellStyle name="Normal 5 3 4 2 3 6" xfId="3341"/>
    <cellStyle name="Normal 5 3 4 2 3 6 2" xfId="3342"/>
    <cellStyle name="Normal 5 3 4 2 3 7" xfId="3343"/>
    <cellStyle name="Normal 5 3 4 2 3_II_7_2 Liabilities Fcial interm" xfId="3344"/>
    <cellStyle name="Normal 5 3 4 2 4" xfId="3345"/>
    <cellStyle name="Normal 5 3 4 2 4 2" xfId="3346"/>
    <cellStyle name="Normal 5 3 4 2 4 2 2" xfId="3347"/>
    <cellStyle name="Normal 5 3 4 2 4 2 3" xfId="3348"/>
    <cellStyle name="Normal 5 3 4 2 4 2_II_7_2 Liabilities Fcial interm" xfId="3349"/>
    <cellStyle name="Normal 5 3 4 2 4 3" xfId="3350"/>
    <cellStyle name="Normal 5 3 4 2 4 3 2" xfId="3351"/>
    <cellStyle name="Normal 5 3 4 2 4 4" xfId="3352"/>
    <cellStyle name="Normal 5 3 4 2 4_II_7_2 Liabilities Fcial interm" xfId="3353"/>
    <cellStyle name="Normal 5 3 4 2 5" xfId="3354"/>
    <cellStyle name="Normal 5 3 4 2 5 2" xfId="3355"/>
    <cellStyle name="Normal 5 3 4 2 5 2 2" xfId="3356"/>
    <cellStyle name="Normal 5 3 4 2 5 2_II_7_2 Liabilities Fcial interm" xfId="3357"/>
    <cellStyle name="Normal 5 3 4 2 5 3" xfId="3358"/>
    <cellStyle name="Normal 5 3 4 2 5 4" xfId="3359"/>
    <cellStyle name="Normal 5 3 4 2 5_II_7_2 Liabilities Fcial interm" xfId="3360"/>
    <cellStyle name="Normal 5 3 4 2 6" xfId="3361"/>
    <cellStyle name="Normal 5 3 4 2 6 2" xfId="3362"/>
    <cellStyle name="Normal 5 3 4 2 6 3" xfId="3363"/>
    <cellStyle name="Normal 5 3 4 2 6 4" xfId="3364"/>
    <cellStyle name="Normal 5 3 4 2 6_II_7_2 Liabilities Fcial interm" xfId="3365"/>
    <cellStyle name="Normal 5 3 4 2 7" xfId="3366"/>
    <cellStyle name="Normal 5 3 4 2 7 2" xfId="3367"/>
    <cellStyle name="Normal 5 3 4 2 7 3" xfId="3368"/>
    <cellStyle name="Normal 5 3 4 2 7_II_7_2 Liabilities Fcial interm" xfId="3369"/>
    <cellStyle name="Normal 5 3 4 2 8" xfId="3370"/>
    <cellStyle name="Normal 5 3 4 2 8 2" xfId="3371"/>
    <cellStyle name="Normal 5 3 4 2 9" xfId="3372"/>
    <cellStyle name="Normal 5 3 4 2_II_7_2 Liabilities Fcial interm" xfId="3373"/>
    <cellStyle name="Normal 5 3 4 3" xfId="3374"/>
    <cellStyle name="Normal 5 3 4 3 2" xfId="3375"/>
    <cellStyle name="Normal 5 3 4 3 2 2" xfId="3376"/>
    <cellStyle name="Normal 5 3 4 3 2 2 2" xfId="3377"/>
    <cellStyle name="Normal 5 3 4 3 2 2_II_7_2 Liabilities Fcial interm" xfId="3378"/>
    <cellStyle name="Normal 5 3 4 3 2 3" xfId="3379"/>
    <cellStyle name="Normal 5 3 4 3 2 4" xfId="3380"/>
    <cellStyle name="Normal 5 3 4 3 2 5" xfId="3381"/>
    <cellStyle name="Normal 5 3 4 3 2_II_7_2 Liabilities Fcial interm" xfId="3382"/>
    <cellStyle name="Normal 5 3 4 3 3" xfId="3383"/>
    <cellStyle name="Normal 5 3 4 3 3 2" xfId="3384"/>
    <cellStyle name="Normal 5 3 4 3 3 3" xfId="3385"/>
    <cellStyle name="Normal 5 3 4 3 3 4" xfId="3386"/>
    <cellStyle name="Normal 5 3 4 3 3_II_7_2 Liabilities Fcial interm" xfId="3387"/>
    <cellStyle name="Normal 5 3 4 3 4" xfId="3388"/>
    <cellStyle name="Normal 5 3 4 3 4 2" xfId="3389"/>
    <cellStyle name="Normal 5 3 4 3 4 3" xfId="3390"/>
    <cellStyle name="Normal 5 3 4 3 4 4" xfId="3391"/>
    <cellStyle name="Normal 5 3 4 3 4_II_7_2 Liabilities Fcial interm" xfId="3392"/>
    <cellStyle name="Normal 5 3 4 3 5" xfId="3393"/>
    <cellStyle name="Normal 5 3 4 3 5 2" xfId="3394"/>
    <cellStyle name="Normal 5 3 4 3 5 3" xfId="3395"/>
    <cellStyle name="Normal 5 3 4 3 5 4" xfId="3396"/>
    <cellStyle name="Normal 5 3 4 3 5_II_7_2 Liabilities Fcial interm" xfId="3397"/>
    <cellStyle name="Normal 5 3 4 3 6" xfId="3398"/>
    <cellStyle name="Normal 5 3 4 3 6 2" xfId="3399"/>
    <cellStyle name="Normal 5 3 4 3 6 3" xfId="3400"/>
    <cellStyle name="Normal 5 3 4 3 6 4" xfId="3401"/>
    <cellStyle name="Normal 5 3 4 3 6_II_7_2 Liabilities Fcial interm" xfId="3402"/>
    <cellStyle name="Normal 5 3 4 3 7" xfId="3403"/>
    <cellStyle name="Normal 5 3 4 3 7 2" xfId="3404"/>
    <cellStyle name="Normal 5 3 4 3 7 3" xfId="3405"/>
    <cellStyle name="Normal 5 3 4 3 7_II_7_2 Liabilities Fcial interm" xfId="3406"/>
    <cellStyle name="Normal 5 3 4 3 8" xfId="3407"/>
    <cellStyle name="Normal 5 3 4 3 8 2" xfId="3408"/>
    <cellStyle name="Normal 5 3 4 3 9" xfId="3409"/>
    <cellStyle name="Normal 5 3 4 3_II_7_2 Liabilities Fcial interm" xfId="3410"/>
    <cellStyle name="Normal 5 3 4 4" xfId="3411"/>
    <cellStyle name="Normal 5 3 4 4 2" xfId="3412"/>
    <cellStyle name="Normal 5 3 4 4 2 2" xfId="3413"/>
    <cellStyle name="Normal 5 3 4 4 2 2 2" xfId="3414"/>
    <cellStyle name="Normal 5 3 4 4 2 2_II_7_2 Liabilities Fcial interm" xfId="3415"/>
    <cellStyle name="Normal 5 3 4 4 2 3" xfId="3416"/>
    <cellStyle name="Normal 5 3 4 4 2 4" xfId="3417"/>
    <cellStyle name="Normal 5 3 4 4 2 5" xfId="3418"/>
    <cellStyle name="Normal 5 3 4 4 2_II_7_2 Liabilities Fcial interm" xfId="3419"/>
    <cellStyle name="Normal 5 3 4 4 3" xfId="3420"/>
    <cellStyle name="Normal 5 3 4 4 3 2" xfId="3421"/>
    <cellStyle name="Normal 5 3 4 4 3 3" xfId="3422"/>
    <cellStyle name="Normal 5 3 4 4 3 4" xfId="3423"/>
    <cellStyle name="Normal 5 3 4 4 3_II_7_2 Liabilities Fcial interm" xfId="3424"/>
    <cellStyle name="Normal 5 3 4 4 4" xfId="3425"/>
    <cellStyle name="Normal 5 3 4 4 4 2" xfId="3426"/>
    <cellStyle name="Normal 5 3 4 4 4 3" xfId="3427"/>
    <cellStyle name="Normal 5 3 4 4 4 4" xfId="3428"/>
    <cellStyle name="Normal 5 3 4 4 4_II_7_2 Liabilities Fcial interm" xfId="3429"/>
    <cellStyle name="Normal 5 3 4 4 5" xfId="3430"/>
    <cellStyle name="Normal 5 3 4 4 5 2" xfId="3431"/>
    <cellStyle name="Normal 5 3 4 4 5 3" xfId="3432"/>
    <cellStyle name="Normal 5 3 4 4 5_II_7_2 Liabilities Fcial interm" xfId="3433"/>
    <cellStyle name="Normal 5 3 4 4 6" xfId="3434"/>
    <cellStyle name="Normal 5 3 4 4 6 2" xfId="3435"/>
    <cellStyle name="Normal 5 3 4 4 7" xfId="3436"/>
    <cellStyle name="Normal 5 3 4 4_II_7_2 Liabilities Fcial interm" xfId="3437"/>
    <cellStyle name="Normal 5 3 4 5" xfId="3438"/>
    <cellStyle name="Normal 5 3 4 5 2" xfId="3439"/>
    <cellStyle name="Normal 5 3 4 5 2 2" xfId="3440"/>
    <cellStyle name="Normal 5 3 4 5 2 3" xfId="3441"/>
    <cellStyle name="Normal 5 3 4 5 2_II_7_2 Liabilities Fcial interm" xfId="3442"/>
    <cellStyle name="Normal 5 3 4 5 3" xfId="3443"/>
    <cellStyle name="Normal 5 3 4 5 3 2" xfId="3444"/>
    <cellStyle name="Normal 5 3 4 5 3_II_7_2 Liabilities Fcial interm" xfId="3445"/>
    <cellStyle name="Normal 5 3 4 5 4" xfId="3446"/>
    <cellStyle name="Normal 5 3 4 5 5" xfId="3447"/>
    <cellStyle name="Normal 5 3 4 5_II_7_2 Liabilities Fcial interm" xfId="3448"/>
    <cellStyle name="Normal 5 3 4 6" xfId="3449"/>
    <cellStyle name="Normal 5 3 4 6 2" xfId="3450"/>
    <cellStyle name="Normal 5 3 4 6 2 2" xfId="3451"/>
    <cellStyle name="Normal 5 3 4 6 2_II_7_2 Liabilities Fcial interm" xfId="3452"/>
    <cellStyle name="Normal 5 3 4 6 3" xfId="3453"/>
    <cellStyle name="Normal 5 3 4 6 4" xfId="3454"/>
    <cellStyle name="Normal 5 3 4 6_II_7_2 Liabilities Fcial interm" xfId="3455"/>
    <cellStyle name="Normal 5 3 4 7" xfId="3456"/>
    <cellStyle name="Normal 5 3 4 7 2" xfId="3457"/>
    <cellStyle name="Normal 5 3 4 7 3" xfId="3458"/>
    <cellStyle name="Normal 5 3 4 7 4" xfId="3459"/>
    <cellStyle name="Normal 5 3 4 7_II_7_2 Liabilities Fcial interm" xfId="3460"/>
    <cellStyle name="Normal 5 3 4 8" xfId="3461"/>
    <cellStyle name="Normal 5 3 4 8 2" xfId="3462"/>
    <cellStyle name="Normal 5 3 4 8 3" xfId="3463"/>
    <cellStyle name="Normal 5 3 4 8 4" xfId="3464"/>
    <cellStyle name="Normal 5 3 4 8_II_7_2 Liabilities Fcial interm" xfId="3465"/>
    <cellStyle name="Normal 5 3 4 9" xfId="3466"/>
    <cellStyle name="Normal 5 3 4 9 2" xfId="3467"/>
    <cellStyle name="Normal 5 3 4 9 3" xfId="3468"/>
    <cellStyle name="Normal 5 3 4 9_II_7_2 Liabilities Fcial interm" xfId="3469"/>
    <cellStyle name="Normal 5 3 4_II_7_2 Liabilities Fcial interm" xfId="3470"/>
    <cellStyle name="Normal 5 4" xfId="3471"/>
    <cellStyle name="Normal 5 4 2" xfId="3472"/>
    <cellStyle name="Normal 5 4 2 10" xfId="3473"/>
    <cellStyle name="Normal 5 4 2 10 2" xfId="3474"/>
    <cellStyle name="Normal 5 4 2 11" xfId="3475"/>
    <cellStyle name="Normal 5 4 2 12" xfId="3476"/>
    <cellStyle name="Normal 5 4 2 2" xfId="3477"/>
    <cellStyle name="Normal 5 4 2 2 10" xfId="3478"/>
    <cellStyle name="Normal 5 4 2 2 2" xfId="3479"/>
    <cellStyle name="Normal 5 4 2 2 2 2" xfId="3480"/>
    <cellStyle name="Normal 5 4 2 2 2 2 2" xfId="3481"/>
    <cellStyle name="Normal 5 4 2 2 2 2 2 2" xfId="3482"/>
    <cellStyle name="Normal 5 4 2 2 2 2 2_II_7_2 Liabilities Fcial interm" xfId="3483"/>
    <cellStyle name="Normal 5 4 2 2 2 2 3" xfId="3484"/>
    <cellStyle name="Normal 5 4 2 2 2 2 4" xfId="3485"/>
    <cellStyle name="Normal 5 4 2 2 2 2 5" xfId="3486"/>
    <cellStyle name="Normal 5 4 2 2 2 2_II_7_2 Liabilities Fcial interm" xfId="3487"/>
    <cellStyle name="Normal 5 4 2 2 2 3" xfId="3488"/>
    <cellStyle name="Normal 5 4 2 2 2 3 2" xfId="3489"/>
    <cellStyle name="Normal 5 4 2 2 2 3 3" xfId="3490"/>
    <cellStyle name="Normal 5 4 2 2 2 3 4" xfId="3491"/>
    <cellStyle name="Normal 5 4 2 2 2 3_II_7_2 Liabilities Fcial interm" xfId="3492"/>
    <cellStyle name="Normal 5 4 2 2 2 4" xfId="3493"/>
    <cellStyle name="Normal 5 4 2 2 2 4 2" xfId="3494"/>
    <cellStyle name="Normal 5 4 2 2 2 4 3" xfId="3495"/>
    <cellStyle name="Normal 5 4 2 2 2 4 4" xfId="3496"/>
    <cellStyle name="Normal 5 4 2 2 2 4_II_7_2 Liabilities Fcial interm" xfId="3497"/>
    <cellStyle name="Normal 5 4 2 2 2 5" xfId="3498"/>
    <cellStyle name="Normal 5 4 2 2 2 5 2" xfId="3499"/>
    <cellStyle name="Normal 5 4 2 2 2 5 3" xfId="3500"/>
    <cellStyle name="Normal 5 4 2 2 2 5 4" xfId="3501"/>
    <cellStyle name="Normal 5 4 2 2 2 5_II_7_2 Liabilities Fcial interm" xfId="3502"/>
    <cellStyle name="Normal 5 4 2 2 2 6" xfId="3503"/>
    <cellStyle name="Normal 5 4 2 2 2 6 2" xfId="3504"/>
    <cellStyle name="Normal 5 4 2 2 2 6 3" xfId="3505"/>
    <cellStyle name="Normal 5 4 2 2 2 6_II_7_2 Liabilities Fcial interm" xfId="3506"/>
    <cellStyle name="Normal 5 4 2 2 2 7" xfId="3507"/>
    <cellStyle name="Normal 5 4 2 2 2 7 2" xfId="3508"/>
    <cellStyle name="Normal 5 4 2 2 2 8" xfId="3509"/>
    <cellStyle name="Normal 5 4 2 2 2_II_7_2 Liabilities Fcial interm" xfId="3510"/>
    <cellStyle name="Normal 5 4 2 2 3" xfId="3511"/>
    <cellStyle name="Normal 5 4 2 2 3 2" xfId="3512"/>
    <cellStyle name="Normal 5 4 2 2 3 2 2" xfId="3513"/>
    <cellStyle name="Normal 5 4 2 2 3 2 3" xfId="3514"/>
    <cellStyle name="Normal 5 4 2 2 3 2 4" xfId="3515"/>
    <cellStyle name="Normal 5 4 2 2 3 2_II_7_2 Liabilities Fcial interm" xfId="3516"/>
    <cellStyle name="Normal 5 4 2 2 3 3" xfId="3517"/>
    <cellStyle name="Normal 5 4 2 2 3 3 2" xfId="3518"/>
    <cellStyle name="Normal 5 4 2 2 3 3 3" xfId="3519"/>
    <cellStyle name="Normal 5 4 2 2 3 3 4" xfId="3520"/>
    <cellStyle name="Normal 5 4 2 2 3 3_II_7_2 Liabilities Fcial interm" xfId="3521"/>
    <cellStyle name="Normal 5 4 2 2 3 4" xfId="3522"/>
    <cellStyle name="Normal 5 4 2 2 3 4 2" xfId="3523"/>
    <cellStyle name="Normal 5 4 2 2 3 4 3" xfId="3524"/>
    <cellStyle name="Normal 5 4 2 2 3 4 4" xfId="3525"/>
    <cellStyle name="Normal 5 4 2 2 3 4_II_7_2 Liabilities Fcial interm" xfId="3526"/>
    <cellStyle name="Normal 5 4 2 2 3 5" xfId="3527"/>
    <cellStyle name="Normal 5 4 2 2 3 5 2" xfId="3528"/>
    <cellStyle name="Normal 5 4 2 2 3 5 3" xfId="3529"/>
    <cellStyle name="Normal 5 4 2 2 3 5_II_7_2 Liabilities Fcial interm" xfId="3530"/>
    <cellStyle name="Normal 5 4 2 2 3 6" xfId="3531"/>
    <cellStyle name="Normal 5 4 2 2 3 6 2" xfId="3532"/>
    <cellStyle name="Normal 5 4 2 2 3 7" xfId="3533"/>
    <cellStyle name="Normal 5 4 2 2 3_II_7_2 Liabilities Fcial interm" xfId="3534"/>
    <cellStyle name="Normal 5 4 2 2 4" xfId="3535"/>
    <cellStyle name="Normal 5 4 2 2 4 2" xfId="3536"/>
    <cellStyle name="Normal 5 4 2 2 4 2 2" xfId="3537"/>
    <cellStyle name="Normal 5 4 2 2 4 2 3" xfId="3538"/>
    <cellStyle name="Normal 5 4 2 2 4 2_II_7_2 Liabilities Fcial interm" xfId="3539"/>
    <cellStyle name="Normal 5 4 2 2 4 3" xfId="3540"/>
    <cellStyle name="Normal 5 4 2 2 4 3 2" xfId="3541"/>
    <cellStyle name="Normal 5 4 2 2 4 4" xfId="3542"/>
    <cellStyle name="Normal 5 4 2 2 4_II_7_2 Liabilities Fcial interm" xfId="3543"/>
    <cellStyle name="Normal 5 4 2 2 5" xfId="3544"/>
    <cellStyle name="Normal 5 4 2 2 5 2" xfId="3545"/>
    <cellStyle name="Normal 5 4 2 2 5 2 2" xfId="3546"/>
    <cellStyle name="Normal 5 4 2 2 5 2_II_7_2 Liabilities Fcial interm" xfId="3547"/>
    <cellStyle name="Normal 5 4 2 2 5 3" xfId="3548"/>
    <cellStyle name="Normal 5 4 2 2 5 4" xfId="3549"/>
    <cellStyle name="Normal 5 4 2 2 5_II_7_2 Liabilities Fcial interm" xfId="3550"/>
    <cellStyle name="Normal 5 4 2 2 6" xfId="3551"/>
    <cellStyle name="Normal 5 4 2 2 6 2" xfId="3552"/>
    <cellStyle name="Normal 5 4 2 2 6 3" xfId="3553"/>
    <cellStyle name="Normal 5 4 2 2 6 4" xfId="3554"/>
    <cellStyle name="Normal 5 4 2 2 6_II_7_2 Liabilities Fcial interm" xfId="3555"/>
    <cellStyle name="Normal 5 4 2 2 7" xfId="3556"/>
    <cellStyle name="Normal 5 4 2 2 7 2" xfId="3557"/>
    <cellStyle name="Normal 5 4 2 2 7 3" xfId="3558"/>
    <cellStyle name="Normal 5 4 2 2 7_II_7_2 Liabilities Fcial interm" xfId="3559"/>
    <cellStyle name="Normal 5 4 2 2 8" xfId="3560"/>
    <cellStyle name="Normal 5 4 2 2 8 2" xfId="3561"/>
    <cellStyle name="Normal 5 4 2 2 9" xfId="3562"/>
    <cellStyle name="Normal 5 4 2 2_II_7_2 Liabilities Fcial interm" xfId="3563"/>
    <cellStyle name="Normal 5 4 2 3" xfId="3564"/>
    <cellStyle name="Normal 5 4 2 3 2" xfId="3565"/>
    <cellStyle name="Normal 5 4 2 3 2 2" xfId="3566"/>
    <cellStyle name="Normal 5 4 2 3 2 2 2" xfId="3567"/>
    <cellStyle name="Normal 5 4 2 3 2 2_II_7_2 Liabilities Fcial interm" xfId="3568"/>
    <cellStyle name="Normal 5 4 2 3 2 3" xfId="3569"/>
    <cellStyle name="Normal 5 4 2 3 2 4" xfId="3570"/>
    <cellStyle name="Normal 5 4 2 3 2 5" xfId="3571"/>
    <cellStyle name="Normal 5 4 2 3 2_II_7_2 Liabilities Fcial interm" xfId="3572"/>
    <cellStyle name="Normal 5 4 2 3 3" xfId="3573"/>
    <cellStyle name="Normal 5 4 2 3 3 2" xfId="3574"/>
    <cellStyle name="Normal 5 4 2 3 3 3" xfId="3575"/>
    <cellStyle name="Normal 5 4 2 3 3 4" xfId="3576"/>
    <cellStyle name="Normal 5 4 2 3 3_II_7_2 Liabilities Fcial interm" xfId="3577"/>
    <cellStyle name="Normal 5 4 2 3 4" xfId="3578"/>
    <cellStyle name="Normal 5 4 2 3 4 2" xfId="3579"/>
    <cellStyle name="Normal 5 4 2 3 4 3" xfId="3580"/>
    <cellStyle name="Normal 5 4 2 3 4 4" xfId="3581"/>
    <cellStyle name="Normal 5 4 2 3 4_II_7_2 Liabilities Fcial interm" xfId="3582"/>
    <cellStyle name="Normal 5 4 2 3 5" xfId="3583"/>
    <cellStyle name="Normal 5 4 2 3 5 2" xfId="3584"/>
    <cellStyle name="Normal 5 4 2 3 5 3" xfId="3585"/>
    <cellStyle name="Normal 5 4 2 3 5 4" xfId="3586"/>
    <cellStyle name="Normal 5 4 2 3 5_II_7_2 Liabilities Fcial interm" xfId="3587"/>
    <cellStyle name="Normal 5 4 2 3 6" xfId="3588"/>
    <cellStyle name="Normal 5 4 2 3 6 2" xfId="3589"/>
    <cellStyle name="Normal 5 4 2 3 6 3" xfId="3590"/>
    <cellStyle name="Normal 5 4 2 3 6 4" xfId="3591"/>
    <cellStyle name="Normal 5 4 2 3 6_II_7_2 Liabilities Fcial interm" xfId="3592"/>
    <cellStyle name="Normal 5 4 2 3 7" xfId="3593"/>
    <cellStyle name="Normal 5 4 2 3 7 2" xfId="3594"/>
    <cellStyle name="Normal 5 4 2 3 7 3" xfId="3595"/>
    <cellStyle name="Normal 5 4 2 3 7_II_7_2 Liabilities Fcial interm" xfId="3596"/>
    <cellStyle name="Normal 5 4 2 3 8" xfId="3597"/>
    <cellStyle name="Normal 5 4 2 3 8 2" xfId="3598"/>
    <cellStyle name="Normal 5 4 2 3 9" xfId="3599"/>
    <cellStyle name="Normal 5 4 2 3_II_7_2 Liabilities Fcial interm" xfId="3600"/>
    <cellStyle name="Normal 5 4 2 4" xfId="3601"/>
    <cellStyle name="Normal 5 4 2 4 2" xfId="3602"/>
    <cellStyle name="Normal 5 4 2 4 2 2" xfId="3603"/>
    <cellStyle name="Normal 5 4 2 4 2 2 2" xfId="3604"/>
    <cellStyle name="Normal 5 4 2 4 2 2_II_7_2 Liabilities Fcial interm" xfId="3605"/>
    <cellStyle name="Normal 5 4 2 4 2 3" xfId="3606"/>
    <cellStyle name="Normal 5 4 2 4 2 4" xfId="3607"/>
    <cellStyle name="Normal 5 4 2 4 2 5" xfId="3608"/>
    <cellStyle name="Normal 5 4 2 4 2_II_7_2 Liabilities Fcial interm" xfId="3609"/>
    <cellStyle name="Normal 5 4 2 4 3" xfId="3610"/>
    <cellStyle name="Normal 5 4 2 4 3 2" xfId="3611"/>
    <cellStyle name="Normal 5 4 2 4 3 3" xfId="3612"/>
    <cellStyle name="Normal 5 4 2 4 3 4" xfId="3613"/>
    <cellStyle name="Normal 5 4 2 4 3_II_7_2 Liabilities Fcial interm" xfId="3614"/>
    <cellStyle name="Normal 5 4 2 4 4" xfId="3615"/>
    <cellStyle name="Normal 5 4 2 4 4 2" xfId="3616"/>
    <cellStyle name="Normal 5 4 2 4 4 3" xfId="3617"/>
    <cellStyle name="Normal 5 4 2 4 4 4" xfId="3618"/>
    <cellStyle name="Normal 5 4 2 4 4_II_7_2 Liabilities Fcial interm" xfId="3619"/>
    <cellStyle name="Normal 5 4 2 4 5" xfId="3620"/>
    <cellStyle name="Normal 5 4 2 4 5 2" xfId="3621"/>
    <cellStyle name="Normal 5 4 2 4 5 3" xfId="3622"/>
    <cellStyle name="Normal 5 4 2 4 5_II_7_2 Liabilities Fcial interm" xfId="3623"/>
    <cellStyle name="Normal 5 4 2 4 6" xfId="3624"/>
    <cellStyle name="Normal 5 4 2 4 6 2" xfId="3625"/>
    <cellStyle name="Normal 5 4 2 4 7" xfId="3626"/>
    <cellStyle name="Normal 5 4 2 4_II_7_2 Liabilities Fcial interm" xfId="3627"/>
    <cellStyle name="Normal 5 4 2 5" xfId="3628"/>
    <cellStyle name="Normal 5 4 2 5 2" xfId="3629"/>
    <cellStyle name="Normal 5 4 2 5 2 2" xfId="3630"/>
    <cellStyle name="Normal 5 4 2 5 2 3" xfId="3631"/>
    <cellStyle name="Normal 5 4 2 5 2_II_7_2 Liabilities Fcial interm" xfId="3632"/>
    <cellStyle name="Normal 5 4 2 5 3" xfId="3633"/>
    <cellStyle name="Normal 5 4 2 5 3 2" xfId="3634"/>
    <cellStyle name="Normal 5 4 2 5 3_II_7_2 Liabilities Fcial interm" xfId="3635"/>
    <cellStyle name="Normal 5 4 2 5 4" xfId="3636"/>
    <cellStyle name="Normal 5 4 2 5 5" xfId="3637"/>
    <cellStyle name="Normal 5 4 2 5_II_7_2 Liabilities Fcial interm" xfId="3638"/>
    <cellStyle name="Normal 5 4 2 6" xfId="3639"/>
    <cellStyle name="Normal 5 4 2 6 2" xfId="3640"/>
    <cellStyle name="Normal 5 4 2 6 2 2" xfId="3641"/>
    <cellStyle name="Normal 5 4 2 6 2_II_7_2 Liabilities Fcial interm" xfId="3642"/>
    <cellStyle name="Normal 5 4 2 6 3" xfId="3643"/>
    <cellStyle name="Normal 5 4 2 6 4" xfId="3644"/>
    <cellStyle name="Normal 5 4 2 6_II_7_2 Liabilities Fcial interm" xfId="3645"/>
    <cellStyle name="Normal 5 4 2 7" xfId="3646"/>
    <cellStyle name="Normal 5 4 2 7 2" xfId="3647"/>
    <cellStyle name="Normal 5 4 2 7 3" xfId="3648"/>
    <cellStyle name="Normal 5 4 2 7 4" xfId="3649"/>
    <cellStyle name="Normal 5 4 2 7_II_7_2 Liabilities Fcial interm" xfId="3650"/>
    <cellStyle name="Normal 5 4 2 8" xfId="3651"/>
    <cellStyle name="Normal 5 4 2 8 2" xfId="3652"/>
    <cellStyle name="Normal 5 4 2 8 3" xfId="3653"/>
    <cellStyle name="Normal 5 4 2 8 4" xfId="3654"/>
    <cellStyle name="Normal 5 4 2 8_II_7_2 Liabilities Fcial interm" xfId="3655"/>
    <cellStyle name="Normal 5 4 2 9" xfId="3656"/>
    <cellStyle name="Normal 5 4 2 9 2" xfId="3657"/>
    <cellStyle name="Normal 5 4 2 9 3" xfId="3658"/>
    <cellStyle name="Normal 5 4 2 9_II_7_2 Liabilities Fcial interm" xfId="3659"/>
    <cellStyle name="Normal 5 4 2_II_7_2 Liabilities Fcial interm" xfId="3660"/>
    <cellStyle name="Normal 5 4 3" xfId="3661"/>
    <cellStyle name="Normal 5 4 3 10" xfId="3662"/>
    <cellStyle name="Normal 5 4 3 10 2" xfId="3663"/>
    <cellStyle name="Normal 5 4 3 11" xfId="3664"/>
    <cellStyle name="Normal 5 4 3 12" xfId="3665"/>
    <cellStyle name="Normal 5 4 3 2" xfId="3666"/>
    <cellStyle name="Normal 5 4 3 2 10" xfId="3667"/>
    <cellStyle name="Normal 5 4 3 2 2" xfId="3668"/>
    <cellStyle name="Normal 5 4 3 2 2 2" xfId="3669"/>
    <cellStyle name="Normal 5 4 3 2 2 2 2" xfId="3670"/>
    <cellStyle name="Normal 5 4 3 2 2 2 2 2" xfId="3671"/>
    <cellStyle name="Normal 5 4 3 2 2 2 2_II_7_2 Liabilities Fcial interm" xfId="3672"/>
    <cellStyle name="Normal 5 4 3 2 2 2 3" xfId="3673"/>
    <cellStyle name="Normal 5 4 3 2 2 2 4" xfId="3674"/>
    <cellStyle name="Normal 5 4 3 2 2 2 5" xfId="3675"/>
    <cellStyle name="Normal 5 4 3 2 2 2_II_7_2 Liabilities Fcial interm" xfId="3676"/>
    <cellStyle name="Normal 5 4 3 2 2 3" xfId="3677"/>
    <cellStyle name="Normal 5 4 3 2 2 3 2" xfId="3678"/>
    <cellStyle name="Normal 5 4 3 2 2 3 3" xfId="3679"/>
    <cellStyle name="Normal 5 4 3 2 2 3 4" xfId="3680"/>
    <cellStyle name="Normal 5 4 3 2 2 3_II_7_2 Liabilities Fcial interm" xfId="3681"/>
    <cellStyle name="Normal 5 4 3 2 2 4" xfId="3682"/>
    <cellStyle name="Normal 5 4 3 2 2 4 2" xfId="3683"/>
    <cellStyle name="Normal 5 4 3 2 2 4 3" xfId="3684"/>
    <cellStyle name="Normal 5 4 3 2 2 4 4" xfId="3685"/>
    <cellStyle name="Normal 5 4 3 2 2 4_II_7_2 Liabilities Fcial interm" xfId="3686"/>
    <cellStyle name="Normal 5 4 3 2 2 5" xfId="3687"/>
    <cellStyle name="Normal 5 4 3 2 2 5 2" xfId="3688"/>
    <cellStyle name="Normal 5 4 3 2 2 5 3" xfId="3689"/>
    <cellStyle name="Normal 5 4 3 2 2 5 4" xfId="3690"/>
    <cellStyle name="Normal 5 4 3 2 2 5_II_7_2 Liabilities Fcial interm" xfId="3691"/>
    <cellStyle name="Normal 5 4 3 2 2 6" xfId="3692"/>
    <cellStyle name="Normal 5 4 3 2 2 6 2" xfId="3693"/>
    <cellStyle name="Normal 5 4 3 2 2 6 3" xfId="3694"/>
    <cellStyle name="Normal 5 4 3 2 2 6_II_7_2 Liabilities Fcial interm" xfId="3695"/>
    <cellStyle name="Normal 5 4 3 2 2 7" xfId="3696"/>
    <cellStyle name="Normal 5 4 3 2 2 7 2" xfId="3697"/>
    <cellStyle name="Normal 5 4 3 2 2 8" xfId="3698"/>
    <cellStyle name="Normal 5 4 3 2 2_II_7_2 Liabilities Fcial interm" xfId="3699"/>
    <cellStyle name="Normal 5 4 3 2 3" xfId="3700"/>
    <cellStyle name="Normal 5 4 3 2 3 2" xfId="3701"/>
    <cellStyle name="Normal 5 4 3 2 3 2 2" xfId="3702"/>
    <cellStyle name="Normal 5 4 3 2 3 2 3" xfId="3703"/>
    <cellStyle name="Normal 5 4 3 2 3 2 4" xfId="3704"/>
    <cellStyle name="Normal 5 4 3 2 3 2_II_7_2 Liabilities Fcial interm" xfId="3705"/>
    <cellStyle name="Normal 5 4 3 2 3 3" xfId="3706"/>
    <cellStyle name="Normal 5 4 3 2 3 3 2" xfId="3707"/>
    <cellStyle name="Normal 5 4 3 2 3 3 3" xfId="3708"/>
    <cellStyle name="Normal 5 4 3 2 3 3 4" xfId="3709"/>
    <cellStyle name="Normal 5 4 3 2 3 3_II_7_2 Liabilities Fcial interm" xfId="3710"/>
    <cellStyle name="Normal 5 4 3 2 3 4" xfId="3711"/>
    <cellStyle name="Normal 5 4 3 2 3 4 2" xfId="3712"/>
    <cellStyle name="Normal 5 4 3 2 3 4 3" xfId="3713"/>
    <cellStyle name="Normal 5 4 3 2 3 4 4" xfId="3714"/>
    <cellStyle name="Normal 5 4 3 2 3 4_II_7_2 Liabilities Fcial interm" xfId="3715"/>
    <cellStyle name="Normal 5 4 3 2 3 5" xfId="3716"/>
    <cellStyle name="Normal 5 4 3 2 3 5 2" xfId="3717"/>
    <cellStyle name="Normal 5 4 3 2 3 5 3" xfId="3718"/>
    <cellStyle name="Normal 5 4 3 2 3 5_II_7_2 Liabilities Fcial interm" xfId="3719"/>
    <cellStyle name="Normal 5 4 3 2 3 6" xfId="3720"/>
    <cellStyle name="Normal 5 4 3 2 3 6 2" xfId="3721"/>
    <cellStyle name="Normal 5 4 3 2 3 7" xfId="3722"/>
    <cellStyle name="Normal 5 4 3 2 3_II_7_2 Liabilities Fcial interm" xfId="3723"/>
    <cellStyle name="Normal 5 4 3 2 4" xfId="3724"/>
    <cellStyle name="Normal 5 4 3 2 4 2" xfId="3725"/>
    <cellStyle name="Normal 5 4 3 2 4 2 2" xfId="3726"/>
    <cellStyle name="Normal 5 4 3 2 4 2 3" xfId="3727"/>
    <cellStyle name="Normal 5 4 3 2 4 2_II_7_2 Liabilities Fcial interm" xfId="3728"/>
    <cellStyle name="Normal 5 4 3 2 4 3" xfId="3729"/>
    <cellStyle name="Normal 5 4 3 2 4 3 2" xfId="3730"/>
    <cellStyle name="Normal 5 4 3 2 4 4" xfId="3731"/>
    <cellStyle name="Normal 5 4 3 2 4_II_7_2 Liabilities Fcial interm" xfId="3732"/>
    <cellStyle name="Normal 5 4 3 2 5" xfId="3733"/>
    <cellStyle name="Normal 5 4 3 2 5 2" xfId="3734"/>
    <cellStyle name="Normal 5 4 3 2 5 2 2" xfId="3735"/>
    <cellStyle name="Normal 5 4 3 2 5 2_II_7_2 Liabilities Fcial interm" xfId="3736"/>
    <cellStyle name="Normal 5 4 3 2 5 3" xfId="3737"/>
    <cellStyle name="Normal 5 4 3 2 5 4" xfId="3738"/>
    <cellStyle name="Normal 5 4 3 2 5_II_7_2 Liabilities Fcial interm" xfId="3739"/>
    <cellStyle name="Normal 5 4 3 2 6" xfId="3740"/>
    <cellStyle name="Normal 5 4 3 2 6 2" xfId="3741"/>
    <cellStyle name="Normal 5 4 3 2 6 3" xfId="3742"/>
    <cellStyle name="Normal 5 4 3 2 6 4" xfId="3743"/>
    <cellStyle name="Normal 5 4 3 2 6_II_7_2 Liabilities Fcial interm" xfId="3744"/>
    <cellStyle name="Normal 5 4 3 2 7" xfId="3745"/>
    <cellStyle name="Normal 5 4 3 2 7 2" xfId="3746"/>
    <cellStyle name="Normal 5 4 3 2 7 3" xfId="3747"/>
    <cellStyle name="Normal 5 4 3 2 7_II_7_2 Liabilities Fcial interm" xfId="3748"/>
    <cellStyle name="Normal 5 4 3 2 8" xfId="3749"/>
    <cellStyle name="Normal 5 4 3 2 8 2" xfId="3750"/>
    <cellStyle name="Normal 5 4 3 2 9" xfId="3751"/>
    <cellStyle name="Normal 5 4 3 2_II_7_2 Liabilities Fcial interm" xfId="3752"/>
    <cellStyle name="Normal 5 4 3 3" xfId="3753"/>
    <cellStyle name="Normal 5 4 3 3 2" xfId="3754"/>
    <cellStyle name="Normal 5 4 3 3 2 2" xfId="3755"/>
    <cellStyle name="Normal 5 4 3 3 2 2 2" xfId="3756"/>
    <cellStyle name="Normal 5 4 3 3 2 2_II_7_2 Liabilities Fcial interm" xfId="3757"/>
    <cellStyle name="Normal 5 4 3 3 2 3" xfId="3758"/>
    <cellStyle name="Normal 5 4 3 3 2 4" xfId="3759"/>
    <cellStyle name="Normal 5 4 3 3 2 5" xfId="3760"/>
    <cellStyle name="Normal 5 4 3 3 2_II_7_2 Liabilities Fcial interm" xfId="3761"/>
    <cellStyle name="Normal 5 4 3 3 3" xfId="3762"/>
    <cellStyle name="Normal 5 4 3 3 3 2" xfId="3763"/>
    <cellStyle name="Normal 5 4 3 3 3 3" xfId="3764"/>
    <cellStyle name="Normal 5 4 3 3 3 4" xfId="3765"/>
    <cellStyle name="Normal 5 4 3 3 3_II_7_2 Liabilities Fcial interm" xfId="3766"/>
    <cellStyle name="Normal 5 4 3 3 4" xfId="3767"/>
    <cellStyle name="Normal 5 4 3 3 4 2" xfId="3768"/>
    <cellStyle name="Normal 5 4 3 3 4 3" xfId="3769"/>
    <cellStyle name="Normal 5 4 3 3 4 4" xfId="3770"/>
    <cellStyle name="Normal 5 4 3 3 4_II_7_2 Liabilities Fcial interm" xfId="3771"/>
    <cellStyle name="Normal 5 4 3 3 5" xfId="3772"/>
    <cellStyle name="Normal 5 4 3 3 5 2" xfId="3773"/>
    <cellStyle name="Normal 5 4 3 3 5 3" xfId="3774"/>
    <cellStyle name="Normal 5 4 3 3 5 4" xfId="3775"/>
    <cellStyle name="Normal 5 4 3 3 5_II_7_2 Liabilities Fcial interm" xfId="3776"/>
    <cellStyle name="Normal 5 4 3 3 6" xfId="3777"/>
    <cellStyle name="Normal 5 4 3 3 6 2" xfId="3778"/>
    <cellStyle name="Normal 5 4 3 3 6 3" xfId="3779"/>
    <cellStyle name="Normal 5 4 3 3 6 4" xfId="3780"/>
    <cellStyle name="Normal 5 4 3 3 6_II_7_2 Liabilities Fcial interm" xfId="3781"/>
    <cellStyle name="Normal 5 4 3 3 7" xfId="3782"/>
    <cellStyle name="Normal 5 4 3 3 7 2" xfId="3783"/>
    <cellStyle name="Normal 5 4 3 3 7 3" xfId="3784"/>
    <cellStyle name="Normal 5 4 3 3 7_II_7_2 Liabilities Fcial interm" xfId="3785"/>
    <cellStyle name="Normal 5 4 3 3 8" xfId="3786"/>
    <cellStyle name="Normal 5 4 3 3 8 2" xfId="3787"/>
    <cellStyle name="Normal 5 4 3 3 9" xfId="3788"/>
    <cellStyle name="Normal 5 4 3 3_II_7_2 Liabilities Fcial interm" xfId="3789"/>
    <cellStyle name="Normal 5 4 3 4" xfId="3790"/>
    <cellStyle name="Normal 5 4 3 4 2" xfId="3791"/>
    <cellStyle name="Normal 5 4 3 4 2 2" xfId="3792"/>
    <cellStyle name="Normal 5 4 3 4 2 2 2" xfId="3793"/>
    <cellStyle name="Normal 5 4 3 4 2 2_II_7_2 Liabilities Fcial interm" xfId="3794"/>
    <cellStyle name="Normal 5 4 3 4 2 3" xfId="3795"/>
    <cellStyle name="Normal 5 4 3 4 2 4" xfId="3796"/>
    <cellStyle name="Normal 5 4 3 4 2 5" xfId="3797"/>
    <cellStyle name="Normal 5 4 3 4 2_II_7_2 Liabilities Fcial interm" xfId="3798"/>
    <cellStyle name="Normal 5 4 3 4 3" xfId="3799"/>
    <cellStyle name="Normal 5 4 3 4 3 2" xfId="3800"/>
    <cellStyle name="Normal 5 4 3 4 3 3" xfId="3801"/>
    <cellStyle name="Normal 5 4 3 4 3 4" xfId="3802"/>
    <cellStyle name="Normal 5 4 3 4 3_II_7_2 Liabilities Fcial interm" xfId="3803"/>
    <cellStyle name="Normal 5 4 3 4 4" xfId="3804"/>
    <cellStyle name="Normal 5 4 3 4 4 2" xfId="3805"/>
    <cellStyle name="Normal 5 4 3 4 4 3" xfId="3806"/>
    <cellStyle name="Normal 5 4 3 4 4 4" xfId="3807"/>
    <cellStyle name="Normal 5 4 3 4 4_II_7_2 Liabilities Fcial interm" xfId="3808"/>
    <cellStyle name="Normal 5 4 3 4 5" xfId="3809"/>
    <cellStyle name="Normal 5 4 3 4 5 2" xfId="3810"/>
    <cellStyle name="Normal 5 4 3 4 5 3" xfId="3811"/>
    <cellStyle name="Normal 5 4 3 4 5_II_7_2 Liabilities Fcial interm" xfId="3812"/>
    <cellStyle name="Normal 5 4 3 4 6" xfId="3813"/>
    <cellStyle name="Normal 5 4 3 4 6 2" xfId="3814"/>
    <cellStyle name="Normal 5 4 3 4 7" xfId="3815"/>
    <cellStyle name="Normal 5 4 3 4_II_7_2 Liabilities Fcial interm" xfId="3816"/>
    <cellStyle name="Normal 5 4 3 5" xfId="3817"/>
    <cellStyle name="Normal 5 4 3 5 2" xfId="3818"/>
    <cellStyle name="Normal 5 4 3 5 2 2" xfId="3819"/>
    <cellStyle name="Normal 5 4 3 5 2 3" xfId="3820"/>
    <cellStyle name="Normal 5 4 3 5 2_II_7_2 Liabilities Fcial interm" xfId="3821"/>
    <cellStyle name="Normal 5 4 3 5 3" xfId="3822"/>
    <cellStyle name="Normal 5 4 3 5 3 2" xfId="3823"/>
    <cellStyle name="Normal 5 4 3 5 3_II_7_2 Liabilities Fcial interm" xfId="3824"/>
    <cellStyle name="Normal 5 4 3 5 4" xfId="3825"/>
    <cellStyle name="Normal 5 4 3 5 5" xfId="3826"/>
    <cellStyle name="Normal 5 4 3 5_II_7_2 Liabilities Fcial interm" xfId="3827"/>
    <cellStyle name="Normal 5 4 3 6" xfId="3828"/>
    <cellStyle name="Normal 5 4 3 6 2" xfId="3829"/>
    <cellStyle name="Normal 5 4 3 6 2 2" xfId="3830"/>
    <cellStyle name="Normal 5 4 3 6 2_II_7_2 Liabilities Fcial interm" xfId="3831"/>
    <cellStyle name="Normal 5 4 3 6 3" xfId="3832"/>
    <cellStyle name="Normal 5 4 3 6 4" xfId="3833"/>
    <cellStyle name="Normal 5 4 3 6_II_7_2 Liabilities Fcial interm" xfId="3834"/>
    <cellStyle name="Normal 5 4 3 7" xfId="3835"/>
    <cellStyle name="Normal 5 4 3 7 2" xfId="3836"/>
    <cellStyle name="Normal 5 4 3 7 3" xfId="3837"/>
    <cellStyle name="Normal 5 4 3 7 4" xfId="3838"/>
    <cellStyle name="Normal 5 4 3 7_II_7_2 Liabilities Fcial interm" xfId="3839"/>
    <cellStyle name="Normal 5 4 3 8" xfId="3840"/>
    <cellStyle name="Normal 5 4 3 8 2" xfId="3841"/>
    <cellStyle name="Normal 5 4 3 8 3" xfId="3842"/>
    <cellStyle name="Normal 5 4 3 8 4" xfId="3843"/>
    <cellStyle name="Normal 5 4 3 8_II_7_2 Liabilities Fcial interm" xfId="3844"/>
    <cellStyle name="Normal 5 4 3 9" xfId="3845"/>
    <cellStyle name="Normal 5 4 3 9 2" xfId="3846"/>
    <cellStyle name="Normal 5 4 3 9 3" xfId="3847"/>
    <cellStyle name="Normal 5 4 3 9_II_7_2 Liabilities Fcial interm" xfId="3848"/>
    <cellStyle name="Normal 5 4 3_II_7_2 Liabilities Fcial interm" xfId="3849"/>
    <cellStyle name="Normal 5 5" xfId="3850"/>
    <cellStyle name="Normal 5 5 2" xfId="3851"/>
    <cellStyle name="Normal 5 5 2 10" xfId="3852"/>
    <cellStyle name="Normal 5 5 2 10 2" xfId="3853"/>
    <cellStyle name="Normal 5 5 2 11" xfId="3854"/>
    <cellStyle name="Normal 5 5 2 12" xfId="3855"/>
    <cellStyle name="Normal 5 5 2 2" xfId="3856"/>
    <cellStyle name="Normal 5 5 2 2 10" xfId="3857"/>
    <cellStyle name="Normal 5 5 2 2 2" xfId="3858"/>
    <cellStyle name="Normal 5 5 2 2 2 2" xfId="3859"/>
    <cellStyle name="Normal 5 5 2 2 2 2 2" xfId="3860"/>
    <cellStyle name="Normal 5 5 2 2 2 2 2 2" xfId="3861"/>
    <cellStyle name="Normal 5 5 2 2 2 2 2_II_7_2 Liabilities Fcial interm" xfId="3862"/>
    <cellStyle name="Normal 5 5 2 2 2 2 3" xfId="3863"/>
    <cellStyle name="Normal 5 5 2 2 2 2 4" xfId="3864"/>
    <cellStyle name="Normal 5 5 2 2 2 2 5" xfId="3865"/>
    <cellStyle name="Normal 5 5 2 2 2 2_II_7_2 Liabilities Fcial interm" xfId="3866"/>
    <cellStyle name="Normal 5 5 2 2 2 3" xfId="3867"/>
    <cellStyle name="Normal 5 5 2 2 2 3 2" xfId="3868"/>
    <cellStyle name="Normal 5 5 2 2 2 3 3" xfId="3869"/>
    <cellStyle name="Normal 5 5 2 2 2 3 4" xfId="3870"/>
    <cellStyle name="Normal 5 5 2 2 2 3_II_7_2 Liabilities Fcial interm" xfId="3871"/>
    <cellStyle name="Normal 5 5 2 2 2 4" xfId="3872"/>
    <cellStyle name="Normal 5 5 2 2 2 4 2" xfId="3873"/>
    <cellStyle name="Normal 5 5 2 2 2 4 3" xfId="3874"/>
    <cellStyle name="Normal 5 5 2 2 2 4 4" xfId="3875"/>
    <cellStyle name="Normal 5 5 2 2 2 4_II_7_2 Liabilities Fcial interm" xfId="3876"/>
    <cellStyle name="Normal 5 5 2 2 2 5" xfId="3877"/>
    <cellStyle name="Normal 5 5 2 2 2 5 2" xfId="3878"/>
    <cellStyle name="Normal 5 5 2 2 2 5 3" xfId="3879"/>
    <cellStyle name="Normal 5 5 2 2 2 5 4" xfId="3880"/>
    <cellStyle name="Normal 5 5 2 2 2 5_II_7_2 Liabilities Fcial interm" xfId="3881"/>
    <cellStyle name="Normal 5 5 2 2 2 6" xfId="3882"/>
    <cellStyle name="Normal 5 5 2 2 2 6 2" xfId="3883"/>
    <cellStyle name="Normal 5 5 2 2 2 6 3" xfId="3884"/>
    <cellStyle name="Normal 5 5 2 2 2 6_II_7_2 Liabilities Fcial interm" xfId="3885"/>
    <cellStyle name="Normal 5 5 2 2 2 7" xfId="3886"/>
    <cellStyle name="Normal 5 5 2 2 2 7 2" xfId="3887"/>
    <cellStyle name="Normal 5 5 2 2 2 8" xfId="3888"/>
    <cellStyle name="Normal 5 5 2 2 2_II_7_2 Liabilities Fcial interm" xfId="3889"/>
    <cellStyle name="Normal 5 5 2 2 3" xfId="3890"/>
    <cellStyle name="Normal 5 5 2 2 3 2" xfId="3891"/>
    <cellStyle name="Normal 5 5 2 2 3 2 2" xfId="3892"/>
    <cellStyle name="Normal 5 5 2 2 3 2 3" xfId="3893"/>
    <cellStyle name="Normal 5 5 2 2 3 2 4" xfId="3894"/>
    <cellStyle name="Normal 5 5 2 2 3 2_II_7_2 Liabilities Fcial interm" xfId="3895"/>
    <cellStyle name="Normal 5 5 2 2 3 3" xfId="3896"/>
    <cellStyle name="Normal 5 5 2 2 3 3 2" xfId="3897"/>
    <cellStyle name="Normal 5 5 2 2 3 3 3" xfId="3898"/>
    <cellStyle name="Normal 5 5 2 2 3 3 4" xfId="3899"/>
    <cellStyle name="Normal 5 5 2 2 3 3_II_7_2 Liabilities Fcial interm" xfId="3900"/>
    <cellStyle name="Normal 5 5 2 2 3 4" xfId="3901"/>
    <cellStyle name="Normal 5 5 2 2 3 4 2" xfId="3902"/>
    <cellStyle name="Normal 5 5 2 2 3 4 3" xfId="3903"/>
    <cellStyle name="Normal 5 5 2 2 3 4 4" xfId="3904"/>
    <cellStyle name="Normal 5 5 2 2 3 4_II_7_2 Liabilities Fcial interm" xfId="3905"/>
    <cellStyle name="Normal 5 5 2 2 3 5" xfId="3906"/>
    <cellStyle name="Normal 5 5 2 2 3 5 2" xfId="3907"/>
    <cellStyle name="Normal 5 5 2 2 3 5 3" xfId="3908"/>
    <cellStyle name="Normal 5 5 2 2 3 5_II_7_2 Liabilities Fcial interm" xfId="3909"/>
    <cellStyle name="Normal 5 5 2 2 3 6" xfId="3910"/>
    <cellStyle name="Normal 5 5 2 2 3 6 2" xfId="3911"/>
    <cellStyle name="Normal 5 5 2 2 3 7" xfId="3912"/>
    <cellStyle name="Normal 5 5 2 2 3_II_7_2 Liabilities Fcial interm" xfId="3913"/>
    <cellStyle name="Normal 5 5 2 2 4" xfId="3914"/>
    <cellStyle name="Normal 5 5 2 2 4 2" xfId="3915"/>
    <cellStyle name="Normal 5 5 2 2 4 2 2" xfId="3916"/>
    <cellStyle name="Normal 5 5 2 2 4 2 3" xfId="3917"/>
    <cellStyle name="Normal 5 5 2 2 4 2_II_7_2 Liabilities Fcial interm" xfId="3918"/>
    <cellStyle name="Normal 5 5 2 2 4 3" xfId="3919"/>
    <cellStyle name="Normal 5 5 2 2 4 3 2" xfId="3920"/>
    <cellStyle name="Normal 5 5 2 2 4 4" xfId="3921"/>
    <cellStyle name="Normal 5 5 2 2 4_II_7_2 Liabilities Fcial interm" xfId="3922"/>
    <cellStyle name="Normal 5 5 2 2 5" xfId="3923"/>
    <cellStyle name="Normal 5 5 2 2 5 2" xfId="3924"/>
    <cellStyle name="Normal 5 5 2 2 5 2 2" xfId="3925"/>
    <cellStyle name="Normal 5 5 2 2 5 2_II_7_2 Liabilities Fcial interm" xfId="3926"/>
    <cellStyle name="Normal 5 5 2 2 5 3" xfId="3927"/>
    <cellStyle name="Normal 5 5 2 2 5 4" xfId="3928"/>
    <cellStyle name="Normal 5 5 2 2 5_II_7_2 Liabilities Fcial interm" xfId="3929"/>
    <cellStyle name="Normal 5 5 2 2 6" xfId="3930"/>
    <cellStyle name="Normal 5 5 2 2 6 2" xfId="3931"/>
    <cellStyle name="Normal 5 5 2 2 6 3" xfId="3932"/>
    <cellStyle name="Normal 5 5 2 2 6 4" xfId="3933"/>
    <cellStyle name="Normal 5 5 2 2 6_II_7_2 Liabilities Fcial interm" xfId="3934"/>
    <cellStyle name="Normal 5 5 2 2 7" xfId="3935"/>
    <cellStyle name="Normal 5 5 2 2 7 2" xfId="3936"/>
    <cellStyle name="Normal 5 5 2 2 7 3" xfId="3937"/>
    <cellStyle name="Normal 5 5 2 2 7_II_7_2 Liabilities Fcial interm" xfId="3938"/>
    <cellStyle name="Normal 5 5 2 2 8" xfId="3939"/>
    <cellStyle name="Normal 5 5 2 2 8 2" xfId="3940"/>
    <cellStyle name="Normal 5 5 2 2 9" xfId="3941"/>
    <cellStyle name="Normal 5 5 2 2_II_7_2 Liabilities Fcial interm" xfId="3942"/>
    <cellStyle name="Normal 5 5 2 3" xfId="3943"/>
    <cellStyle name="Normal 5 5 2 3 2" xfId="3944"/>
    <cellStyle name="Normal 5 5 2 3 2 2" xfId="3945"/>
    <cellStyle name="Normal 5 5 2 3 2 2 2" xfId="3946"/>
    <cellStyle name="Normal 5 5 2 3 2 2_II_7_2 Liabilities Fcial interm" xfId="3947"/>
    <cellStyle name="Normal 5 5 2 3 2 3" xfId="3948"/>
    <cellStyle name="Normal 5 5 2 3 2 4" xfId="3949"/>
    <cellStyle name="Normal 5 5 2 3 2 5" xfId="3950"/>
    <cellStyle name="Normal 5 5 2 3 2_II_7_2 Liabilities Fcial interm" xfId="3951"/>
    <cellStyle name="Normal 5 5 2 3 3" xfId="3952"/>
    <cellStyle name="Normal 5 5 2 3 3 2" xfId="3953"/>
    <cellStyle name="Normal 5 5 2 3 3 3" xfId="3954"/>
    <cellStyle name="Normal 5 5 2 3 3 4" xfId="3955"/>
    <cellStyle name="Normal 5 5 2 3 3_II_7_2 Liabilities Fcial interm" xfId="3956"/>
    <cellStyle name="Normal 5 5 2 3 4" xfId="3957"/>
    <cellStyle name="Normal 5 5 2 3 4 2" xfId="3958"/>
    <cellStyle name="Normal 5 5 2 3 4 3" xfId="3959"/>
    <cellStyle name="Normal 5 5 2 3 4 4" xfId="3960"/>
    <cellStyle name="Normal 5 5 2 3 4_II_7_2 Liabilities Fcial interm" xfId="3961"/>
    <cellStyle name="Normal 5 5 2 3 5" xfId="3962"/>
    <cellStyle name="Normal 5 5 2 3 5 2" xfId="3963"/>
    <cellStyle name="Normal 5 5 2 3 5 3" xfId="3964"/>
    <cellStyle name="Normal 5 5 2 3 5 4" xfId="3965"/>
    <cellStyle name="Normal 5 5 2 3 5_II_7_2 Liabilities Fcial interm" xfId="3966"/>
    <cellStyle name="Normal 5 5 2 3 6" xfId="3967"/>
    <cellStyle name="Normal 5 5 2 3 6 2" xfId="3968"/>
    <cellStyle name="Normal 5 5 2 3 6 3" xfId="3969"/>
    <cellStyle name="Normal 5 5 2 3 6 4" xfId="3970"/>
    <cellStyle name="Normal 5 5 2 3 6_II_7_2 Liabilities Fcial interm" xfId="3971"/>
    <cellStyle name="Normal 5 5 2 3 7" xfId="3972"/>
    <cellStyle name="Normal 5 5 2 3 7 2" xfId="3973"/>
    <cellStyle name="Normal 5 5 2 3 7 3" xfId="3974"/>
    <cellStyle name="Normal 5 5 2 3 7_II_7_2 Liabilities Fcial interm" xfId="3975"/>
    <cellStyle name="Normal 5 5 2 3 8" xfId="3976"/>
    <cellStyle name="Normal 5 5 2 3 8 2" xfId="3977"/>
    <cellStyle name="Normal 5 5 2 3 9" xfId="3978"/>
    <cellStyle name="Normal 5 5 2 3_II_7_2 Liabilities Fcial interm" xfId="3979"/>
    <cellStyle name="Normal 5 5 2 4" xfId="3980"/>
    <cellStyle name="Normal 5 5 2 4 2" xfId="3981"/>
    <cellStyle name="Normal 5 5 2 4 2 2" xfId="3982"/>
    <cellStyle name="Normal 5 5 2 4 2 2 2" xfId="3983"/>
    <cellStyle name="Normal 5 5 2 4 2 2_II_7_2 Liabilities Fcial interm" xfId="3984"/>
    <cellStyle name="Normal 5 5 2 4 2 3" xfId="3985"/>
    <cellStyle name="Normal 5 5 2 4 2 4" xfId="3986"/>
    <cellStyle name="Normal 5 5 2 4 2 5" xfId="3987"/>
    <cellStyle name="Normal 5 5 2 4 2_II_7_2 Liabilities Fcial interm" xfId="3988"/>
    <cellStyle name="Normal 5 5 2 4 3" xfId="3989"/>
    <cellStyle name="Normal 5 5 2 4 3 2" xfId="3990"/>
    <cellStyle name="Normal 5 5 2 4 3 3" xfId="3991"/>
    <cellStyle name="Normal 5 5 2 4 3 4" xfId="3992"/>
    <cellStyle name="Normal 5 5 2 4 3_II_7_2 Liabilities Fcial interm" xfId="3993"/>
    <cellStyle name="Normal 5 5 2 4 4" xfId="3994"/>
    <cellStyle name="Normal 5 5 2 4 4 2" xfId="3995"/>
    <cellStyle name="Normal 5 5 2 4 4 3" xfId="3996"/>
    <cellStyle name="Normal 5 5 2 4 4 4" xfId="3997"/>
    <cellStyle name="Normal 5 5 2 4 4_II_7_2 Liabilities Fcial interm" xfId="3998"/>
    <cellStyle name="Normal 5 5 2 4 5" xfId="3999"/>
    <cellStyle name="Normal 5 5 2 4 5 2" xfId="4000"/>
    <cellStyle name="Normal 5 5 2 4 5 3" xfId="4001"/>
    <cellStyle name="Normal 5 5 2 4 5_II_7_2 Liabilities Fcial interm" xfId="4002"/>
    <cellStyle name="Normal 5 5 2 4 6" xfId="4003"/>
    <cellStyle name="Normal 5 5 2 4 6 2" xfId="4004"/>
    <cellStyle name="Normal 5 5 2 4 7" xfId="4005"/>
    <cellStyle name="Normal 5 5 2 4_II_7_2 Liabilities Fcial interm" xfId="4006"/>
    <cellStyle name="Normal 5 5 2 5" xfId="4007"/>
    <cellStyle name="Normal 5 5 2 5 2" xfId="4008"/>
    <cellStyle name="Normal 5 5 2 5 2 2" xfId="4009"/>
    <cellStyle name="Normal 5 5 2 5 2 3" xfId="4010"/>
    <cellStyle name="Normal 5 5 2 5 2_II_7_2 Liabilities Fcial interm" xfId="4011"/>
    <cellStyle name="Normal 5 5 2 5 3" xfId="4012"/>
    <cellStyle name="Normal 5 5 2 5 3 2" xfId="4013"/>
    <cellStyle name="Normal 5 5 2 5 3_II_7_2 Liabilities Fcial interm" xfId="4014"/>
    <cellStyle name="Normal 5 5 2 5 4" xfId="4015"/>
    <cellStyle name="Normal 5 5 2 5 5" xfId="4016"/>
    <cellStyle name="Normal 5 5 2 5_II_7_2 Liabilities Fcial interm" xfId="4017"/>
    <cellStyle name="Normal 5 5 2 6" xfId="4018"/>
    <cellStyle name="Normal 5 5 2 6 2" xfId="4019"/>
    <cellStyle name="Normal 5 5 2 6 2 2" xfId="4020"/>
    <cellStyle name="Normal 5 5 2 6 2_II_7_2 Liabilities Fcial interm" xfId="4021"/>
    <cellStyle name="Normal 5 5 2 6 3" xfId="4022"/>
    <cellStyle name="Normal 5 5 2 6 4" xfId="4023"/>
    <cellStyle name="Normal 5 5 2 6_II_7_2 Liabilities Fcial interm" xfId="4024"/>
    <cellStyle name="Normal 5 5 2 7" xfId="4025"/>
    <cellStyle name="Normal 5 5 2 7 2" xfId="4026"/>
    <cellStyle name="Normal 5 5 2 7 3" xfId="4027"/>
    <cellStyle name="Normal 5 5 2 7 4" xfId="4028"/>
    <cellStyle name="Normal 5 5 2 7_II_7_2 Liabilities Fcial interm" xfId="4029"/>
    <cellStyle name="Normal 5 5 2 8" xfId="4030"/>
    <cellStyle name="Normal 5 5 2 8 2" xfId="4031"/>
    <cellStyle name="Normal 5 5 2 8 3" xfId="4032"/>
    <cellStyle name="Normal 5 5 2 8 4" xfId="4033"/>
    <cellStyle name="Normal 5 5 2 8_II_7_2 Liabilities Fcial interm" xfId="4034"/>
    <cellStyle name="Normal 5 5 2 9" xfId="4035"/>
    <cellStyle name="Normal 5 5 2 9 2" xfId="4036"/>
    <cellStyle name="Normal 5 5 2 9 3" xfId="4037"/>
    <cellStyle name="Normal 5 5 2 9_II_7_2 Liabilities Fcial interm" xfId="4038"/>
    <cellStyle name="Normal 5 5 2_II_7_2 Liabilities Fcial interm" xfId="4039"/>
    <cellStyle name="Normal 5 6" xfId="4040"/>
    <cellStyle name="Normal 5 7" xfId="4041"/>
    <cellStyle name="Normal 5 8" xfId="4042"/>
    <cellStyle name="Normal 5 9" xfId="4043"/>
    <cellStyle name="Normal 50" xfId="4044"/>
    <cellStyle name="Normal 50 2" xfId="4045"/>
    <cellStyle name="Normal 50 2 2" xfId="4046"/>
    <cellStyle name="Normal 50 2 3" xfId="4047"/>
    <cellStyle name="Normal 50 3" xfId="4048"/>
    <cellStyle name="Normal 51" xfId="4049"/>
    <cellStyle name="Normal 51 2" xfId="4050"/>
    <cellStyle name="Normal 51 2 2" xfId="4051"/>
    <cellStyle name="Normal 51 2 3" xfId="4052"/>
    <cellStyle name="Normal 51 3" xfId="4053"/>
    <cellStyle name="Normal 52" xfId="4054"/>
    <cellStyle name="Normal 52 2" xfId="4055"/>
    <cellStyle name="Normal 52 2 2" xfId="4056"/>
    <cellStyle name="Normal 52 2 3" xfId="4057"/>
    <cellStyle name="Normal 52 3" xfId="4058"/>
    <cellStyle name="Normal 53" xfId="4059"/>
    <cellStyle name="Normal 54" xfId="4060"/>
    <cellStyle name="Normal 55" xfId="4061"/>
    <cellStyle name="Normal 55 2" xfId="4062"/>
    <cellStyle name="Normal 55 3" xfId="4063"/>
    <cellStyle name="Normal 56" xfId="4064"/>
    <cellStyle name="Normal 57" xfId="4065"/>
    <cellStyle name="Normal 58" xfId="4066"/>
    <cellStyle name="Normal 59" xfId="4067"/>
    <cellStyle name="Normal 6" xfId="4068"/>
    <cellStyle name="Normal 6 2" xfId="4069"/>
    <cellStyle name="Normal 6 2 2" xfId="4070"/>
    <cellStyle name="Normal 6 3" xfId="4071"/>
    <cellStyle name="Normal 6 4" xfId="4072"/>
    <cellStyle name="Normal 6 4 2" xfId="4073"/>
    <cellStyle name="Normal 6 4_ACT FPHU NR" xfId="4074"/>
    <cellStyle name="Normal 6 5" xfId="4075"/>
    <cellStyle name="Normal 6 5 2" xfId="4076"/>
    <cellStyle name="Normal 6 5_ACT FPHU NR" xfId="4077"/>
    <cellStyle name="Normal 6_ACT BNDE NR" xfId="4078"/>
    <cellStyle name="Normal 60" xfId="4079"/>
    <cellStyle name="Normal 61" xfId="4080"/>
    <cellStyle name="Normal 62" xfId="4081"/>
    <cellStyle name="Normal 63" xfId="4082"/>
    <cellStyle name="Normal 64" xfId="4083"/>
    <cellStyle name="Normal 65" xfId="4084"/>
    <cellStyle name="Normal 66" xfId="4085"/>
    <cellStyle name="Normal 67" xfId="4086"/>
    <cellStyle name="Normal 68" xfId="4087"/>
    <cellStyle name="Normal 69" xfId="4088"/>
    <cellStyle name="Normal 7" xfId="4089"/>
    <cellStyle name="Normal 7 2" xfId="4090"/>
    <cellStyle name="Normal 7 2 2" xfId="4091"/>
    <cellStyle name="Normal 7 2_ACT BNDE NR" xfId="4092"/>
    <cellStyle name="Normal 7 3" xfId="4093"/>
    <cellStyle name="Normal 7 4" xfId="4094"/>
    <cellStyle name="Normal 7 5" xfId="4095"/>
    <cellStyle name="Normal 70" xfId="4096"/>
    <cellStyle name="Normal 71" xfId="4097"/>
    <cellStyle name="Normal 71 2" xfId="4098"/>
    <cellStyle name="Normal 72" xfId="4099"/>
    <cellStyle name="Normal 73" xfId="4100"/>
    <cellStyle name="Normal 73 2" xfId="4101"/>
    <cellStyle name="Normal 74" xfId="4102"/>
    <cellStyle name="Normal 74 2" xfId="4103"/>
    <cellStyle name="Normal 75" xfId="4104"/>
    <cellStyle name="Normal 75 2" xfId="4105"/>
    <cellStyle name="Normal 76" xfId="4106"/>
    <cellStyle name="Normal 77" xfId="4107"/>
    <cellStyle name="Normal 78" xfId="4108"/>
    <cellStyle name="Normal 79" xfId="4109"/>
    <cellStyle name="Normal 79 2" xfId="4110"/>
    <cellStyle name="Normal 8" xfId="4111"/>
    <cellStyle name="Normal 8 2" xfId="4112"/>
    <cellStyle name="Normal 8 3" xfId="4113"/>
    <cellStyle name="Normal 8 4" xfId="4114"/>
    <cellStyle name="Normal 8 4 2" xfId="4115"/>
    <cellStyle name="Normal 8 4_ACT FPHU NR" xfId="4116"/>
    <cellStyle name="Normal 8 5" xfId="4117"/>
    <cellStyle name="Normal 8_ACT BNDE NR" xfId="4118"/>
    <cellStyle name="Normal 80" xfId="4119"/>
    <cellStyle name="Normal 81" xfId="4120"/>
    <cellStyle name="Normal 82" xfId="4121"/>
    <cellStyle name="Normal 83" xfId="4122"/>
    <cellStyle name="Normal 83 2" xfId="4123"/>
    <cellStyle name="Normal 84" xfId="4124"/>
    <cellStyle name="Normal 84 2" xfId="4125"/>
    <cellStyle name="Normal 85" xfId="4126"/>
    <cellStyle name="Normal 86" xfId="4127"/>
    <cellStyle name="Normal 87" xfId="4128"/>
    <cellStyle name="Normal 88" xfId="4129"/>
    <cellStyle name="Normal 89" xfId="4130"/>
    <cellStyle name="Normal 9" xfId="4131"/>
    <cellStyle name="Normal 9 10" xfId="4132"/>
    <cellStyle name="Normal 9 11" xfId="4133"/>
    <cellStyle name="Normal 9 12" xfId="4134"/>
    <cellStyle name="Normal 9 13" xfId="4135"/>
    <cellStyle name="Normal 9 14" xfId="4136"/>
    <cellStyle name="Normal 9 15" xfId="4137"/>
    <cellStyle name="Normal 9 16" xfId="4138"/>
    <cellStyle name="Normal 9 2" xfId="4139"/>
    <cellStyle name="Normal 9 3" xfId="4140"/>
    <cellStyle name="Normal 9 4" xfId="4141"/>
    <cellStyle name="Normal 9 5" xfId="4142"/>
    <cellStyle name="Normal 9 6" xfId="4143"/>
    <cellStyle name="Normal 9 7" xfId="4144"/>
    <cellStyle name="Normal 9 8" xfId="4145"/>
    <cellStyle name="Normal 9 9" xfId="4146"/>
    <cellStyle name="Normal 9_ACT BNDE NR" xfId="4147"/>
    <cellStyle name="Normal 90" xfId="4148"/>
    <cellStyle name="Normal 90 2" xfId="4149"/>
    <cellStyle name="Normal 91" xfId="4150"/>
    <cellStyle name="Normal 92" xfId="4151"/>
    <cellStyle name="Normal 93" xfId="4152"/>
    <cellStyle name="Normal 94" xfId="4153"/>
    <cellStyle name="Normal 95" xfId="4154"/>
    <cellStyle name="Normal 96" xfId="4155"/>
    <cellStyle name="Normal 96 2" xfId="4156"/>
    <cellStyle name="Normal 97" xfId="4157"/>
    <cellStyle name="Normal 98" xfId="4158"/>
    <cellStyle name="Normal 99" xfId="4159"/>
    <cellStyle name="Normal Table" xfId="4160"/>
    <cellStyle name="Normal, Of which" xfId="4161"/>
    <cellStyle name="Of which" xfId="4162"/>
    <cellStyle name="Percent [2]" xfId="4163"/>
    <cellStyle name="Percent [2] 10" xfId="4164"/>
    <cellStyle name="Percent [2] 2" xfId="4165"/>
    <cellStyle name="Percent [2] 3" xfId="4166"/>
    <cellStyle name="Percent [2] 4" xfId="4167"/>
    <cellStyle name="Percent [2] 5" xfId="4168"/>
    <cellStyle name="Percent [2] 6" xfId="4169"/>
    <cellStyle name="Percent [2] 7" xfId="4170"/>
    <cellStyle name="Percent [2] 8" xfId="4171"/>
    <cellStyle name="Percent [2] 9" xfId="4172"/>
    <cellStyle name="Percent 2" xfId="4173"/>
    <cellStyle name="Percent 3" xfId="4174"/>
    <cellStyle name="Percent 4" xfId="4182"/>
    <cellStyle name="Percent 5" xfId="4361"/>
    <cellStyle name="percentage difference" xfId="4175"/>
    <cellStyle name="percentage difference one decimal" xfId="4176"/>
    <cellStyle name="percentage difference zero decimal" xfId="4177"/>
    <cellStyle name="Percentual" xfId="4178"/>
    <cellStyle name="Ponto" xfId="4179"/>
    <cellStyle name="Porcentagem_SEP1196" xfId="4180"/>
    <cellStyle name="Porcentaje" xfId="4181"/>
    <cellStyle name="Pourcentage 2" xfId="4183"/>
    <cellStyle name="Pourcentage 2 10" xfId="4184"/>
    <cellStyle name="Pourcentage 2 11" xfId="4185"/>
    <cellStyle name="Pourcentage 2 12" xfId="4186"/>
    <cellStyle name="Pourcentage 2 13" xfId="4187"/>
    <cellStyle name="Pourcentage 2 14" xfId="4188"/>
    <cellStyle name="Pourcentage 2 15" xfId="4189"/>
    <cellStyle name="Pourcentage 2 16" xfId="4190"/>
    <cellStyle name="Pourcentage 2 17" xfId="4191"/>
    <cellStyle name="Pourcentage 2 18" xfId="4192"/>
    <cellStyle name="Pourcentage 2 19" xfId="4193"/>
    <cellStyle name="Pourcentage 2 2" xfId="4194"/>
    <cellStyle name="Pourcentage 2 2 2" xfId="4195"/>
    <cellStyle name="Pourcentage 2 2 3" xfId="4196"/>
    <cellStyle name="Pourcentage 2 2 4" xfId="4197"/>
    <cellStyle name="Pourcentage 2 2 5" xfId="4198"/>
    <cellStyle name="Pourcentage 2 20" xfId="4199"/>
    <cellStyle name="Pourcentage 2 21" xfId="4200"/>
    <cellStyle name="Pourcentage 2 22" xfId="4201"/>
    <cellStyle name="Pourcentage 2 23" xfId="4202"/>
    <cellStyle name="Pourcentage 2 24" xfId="4203"/>
    <cellStyle name="Pourcentage 2 3" xfId="4204"/>
    <cellStyle name="Pourcentage 2 3 2" xfId="4205"/>
    <cellStyle name="Pourcentage 2 3 3" xfId="4206"/>
    <cellStyle name="Pourcentage 2 3 4" xfId="4207"/>
    <cellStyle name="Pourcentage 2 3 5" xfId="4208"/>
    <cellStyle name="Pourcentage 2 4" xfId="4209"/>
    <cellStyle name="Pourcentage 2 5" xfId="4210"/>
    <cellStyle name="Pourcentage 2 6" xfId="4211"/>
    <cellStyle name="Pourcentage 2 7" xfId="4212"/>
    <cellStyle name="Pourcentage 2 8" xfId="4213"/>
    <cellStyle name="Pourcentage 2 9" xfId="4214"/>
    <cellStyle name="Pourcentage 3" xfId="4215"/>
    <cellStyle name="Pourcentage 3 2" xfId="4216"/>
    <cellStyle name="Pourcentage 3 2 2" xfId="4217"/>
    <cellStyle name="Pourcentage 3 2 3" xfId="4218"/>
    <cellStyle name="Pourcentage 3 2 4" xfId="4219"/>
    <cellStyle name="Pourcentage 3 2 5" xfId="4220"/>
    <cellStyle name="Pourcentage 3 2 6" xfId="4221"/>
    <cellStyle name="Pourcentage 3 3" xfId="4222"/>
    <cellStyle name="Pourcentage 3 3 2" xfId="4223"/>
    <cellStyle name="Pourcentage 3 3 3" xfId="4224"/>
    <cellStyle name="Pourcentage 3 3 4" xfId="4225"/>
    <cellStyle name="Pourcentage 3 3 5" xfId="4226"/>
    <cellStyle name="Pourcentage 3 4" xfId="4227"/>
    <cellStyle name="Pourcentage 3 5" xfId="4228"/>
    <cellStyle name="Pourcentage 3 6" xfId="4229"/>
    <cellStyle name="Pourcentage 3 7" xfId="4230"/>
    <cellStyle name="Pourcentage 3 8" xfId="4344"/>
    <cellStyle name="Pourcentage 4" xfId="4231"/>
    <cellStyle name="Pourcentage 4 2" xfId="4232"/>
    <cellStyle name="Pourcentage 4 3" xfId="4233"/>
    <cellStyle name="Pourcentage 4 4" xfId="4234"/>
    <cellStyle name="Pourcentage 4 5" xfId="4235"/>
    <cellStyle name="Pourcentage 5" xfId="4236"/>
    <cellStyle name="Pourcentage 6" xfId="4343"/>
    <cellStyle name="Presentation" xfId="4237"/>
    <cellStyle name="Publication" xfId="4238"/>
    <cellStyle name="Punto" xfId="4239"/>
    <cellStyle name="Punto0" xfId="4240"/>
    <cellStyle name="Red Text" xfId="4241"/>
    <cellStyle name="SAPBEXaggData" xfId="4242"/>
    <cellStyle name="SAPBEXaggDataEmph" xfId="4243"/>
    <cellStyle name="SAPBEXaggItem" xfId="4244"/>
    <cellStyle name="SAPBEXchaText" xfId="4245"/>
    <cellStyle name="SAPBEXexcBad" xfId="4246"/>
    <cellStyle name="SAPBEXexcCritical" xfId="4247"/>
    <cellStyle name="SAPBEXexcGood" xfId="4248"/>
    <cellStyle name="SAPBEXexcVeryBad" xfId="4249"/>
    <cellStyle name="SAPBEXfilterDrill" xfId="4250"/>
    <cellStyle name="SAPBEXfilterItem" xfId="4251"/>
    <cellStyle name="SAPBEXfilterText" xfId="4252"/>
    <cellStyle name="SAPBEXformats" xfId="4253"/>
    <cellStyle name="SAPBEXheaderData" xfId="4254"/>
    <cellStyle name="SAPBEXheaderItem" xfId="4255"/>
    <cellStyle name="SAPBEXheaderText" xfId="4256"/>
    <cellStyle name="SAPBEXresData" xfId="4257"/>
    <cellStyle name="SAPBEXresDataEmph" xfId="4258"/>
    <cellStyle name="SAPBEXresItem" xfId="4259"/>
    <cellStyle name="SAPBEXstdData" xfId="4260"/>
    <cellStyle name="SAPBEXstdDataEmph" xfId="4261"/>
    <cellStyle name="SAPBEXstdItem" xfId="4262"/>
    <cellStyle name="SAPBEXstdItem 2" xfId="4263"/>
    <cellStyle name="SAPBEXsubData" xfId="4264"/>
    <cellStyle name="SAPBEXsubDataEmph" xfId="4265"/>
    <cellStyle name="SAPBEXsubItem" xfId="4266"/>
    <cellStyle name="SAPBEXtitle" xfId="4267"/>
    <cellStyle name="SAPBEXundefined" xfId="4268"/>
    <cellStyle name="Sep. milhar [2]" xfId="4269"/>
    <cellStyle name="Separador de m" xfId="4270"/>
    <cellStyle name="Separador de m 10" xfId="4271"/>
    <cellStyle name="Separador de m 2" xfId="4272"/>
    <cellStyle name="Separador de m 3" xfId="4273"/>
    <cellStyle name="Separador de m 4" xfId="4274"/>
    <cellStyle name="Separador de m 5" xfId="4275"/>
    <cellStyle name="Separador de m 6" xfId="4276"/>
    <cellStyle name="Separador de m 7" xfId="4277"/>
    <cellStyle name="Separador de m 8" xfId="4278"/>
    <cellStyle name="Separador de m 9" xfId="4279"/>
    <cellStyle name="Separador de milhares [0]_A" xfId="4280"/>
    <cellStyle name="Separador de milhares_A" xfId="4281"/>
    <cellStyle name="Sheet Title" xfId="4282"/>
    <cellStyle name="Style1" xfId="4283"/>
    <cellStyle name="Text" xfId="4284"/>
    <cellStyle name="Text 10" xfId="4285"/>
    <cellStyle name="Text 2" xfId="4286"/>
    <cellStyle name="Text 3" xfId="4287"/>
    <cellStyle name="Text 4" xfId="4288"/>
    <cellStyle name="Text 5" xfId="4289"/>
    <cellStyle name="Text 6" xfId="4290"/>
    <cellStyle name="Text 7" xfId="4291"/>
    <cellStyle name="Text 8" xfId="4292"/>
    <cellStyle name="Text 9" xfId="4293"/>
    <cellStyle name="þ_x001d_ð‡_x000c_éþ÷_x000c_âþU_x0001__x001f__x000f_&quot;_x0007__x0001__x0001_" xfId="4294"/>
    <cellStyle name="þ_x001d_ð‡_x000c_éþ÷_x000c_âþU_x0001__x001f__x000f_&quot;_x000f__x0001__x0001_" xfId="4295"/>
    <cellStyle name="Titulo1" xfId="4296"/>
    <cellStyle name="Titulo2" xfId="4297"/>
    <cellStyle name="TopGrey" xfId="4298"/>
    <cellStyle name="V¡rgula" xfId="4299"/>
    <cellStyle name="V¡rgula0" xfId="4300"/>
    <cellStyle name="vaca" xfId="4301"/>
    <cellStyle name="Vírgula" xfId="4302"/>
    <cellStyle name="Vírgula 10" xfId="4303"/>
    <cellStyle name="Vírgula 2" xfId="4304"/>
    <cellStyle name="Vírgula 3" xfId="4305"/>
    <cellStyle name="Vírgula 4" xfId="4306"/>
    <cellStyle name="Vírgula 5" xfId="4307"/>
    <cellStyle name="Vírgula 6" xfId="4308"/>
    <cellStyle name="Vírgula 7" xfId="4309"/>
    <cellStyle name="Vírgula 8" xfId="4310"/>
    <cellStyle name="Vírgula 9" xfId="4311"/>
    <cellStyle name="WebAnchor1" xfId="4312"/>
    <cellStyle name="WebAnchor2" xfId="4313"/>
    <cellStyle name="WebAnchor3" xfId="4314"/>
    <cellStyle name="WebAnchor4" xfId="4315"/>
    <cellStyle name="WebAnchor5" xfId="4316"/>
    <cellStyle name="WebAnchor6" xfId="4317"/>
    <cellStyle name="WebAnchor7" xfId="4318"/>
    <cellStyle name="Webexclude" xfId="4319"/>
    <cellStyle name="WebFN" xfId="4320"/>
    <cellStyle name="WebFN1" xfId="4321"/>
    <cellStyle name="WebFN2" xfId="4322"/>
    <cellStyle name="WebFN3" xfId="4323"/>
    <cellStyle name="WebFN4" xfId="4324"/>
    <cellStyle name="WebHR" xfId="4325"/>
    <cellStyle name="WebIndent1" xfId="4326"/>
    <cellStyle name="WebIndent1wFN3" xfId="4327"/>
    <cellStyle name="WebIndent2" xfId="4328"/>
    <cellStyle name="WebNoBR" xfId="4329"/>
    <cellStyle name="ДАТА" xfId="4330"/>
    <cellStyle name="ДЕНЕЖНЫЙ_BOPENGC" xfId="4331"/>
    <cellStyle name="ЗАГОЛОВОК1" xfId="4332"/>
    <cellStyle name="ЗАГОЛОВОК2" xfId="4333"/>
    <cellStyle name="ИТОГОВЫЙ" xfId="4334"/>
    <cellStyle name="Обычный_BOPENGC" xfId="4335"/>
    <cellStyle name="ПРОЦЕНТНЫЙ_BOPENGC" xfId="4336"/>
    <cellStyle name="ТЕКСТ" xfId="4337"/>
    <cellStyle name="ФИКСИРОВАННЫЙ" xfId="4338"/>
    <cellStyle name="ФИНАНСОВЫЙ_BOPENGC" xfId="43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showGridLines="0" topLeftCell="C1" workbookViewId="0">
      <selection activeCell="E13" sqref="E13"/>
    </sheetView>
  </sheetViews>
  <sheetFormatPr baseColWidth="10" defaultColWidth="8.88671875" defaultRowHeight="15.75"/>
  <cols>
    <col min="1" max="1" width="4.21875" style="4" customWidth="1"/>
    <col min="2" max="2" width="68.6640625" style="4" bestFit="1" customWidth="1"/>
    <col min="3" max="3" width="39.88671875" style="4" bestFit="1" customWidth="1"/>
    <col min="4" max="4" width="17.109375" style="4" bestFit="1" customWidth="1"/>
    <col min="5" max="5" width="15.88671875" style="4" customWidth="1"/>
    <col min="6" max="256" width="8.88671875" style="4"/>
    <col min="257" max="257" width="4.21875" style="4" customWidth="1"/>
    <col min="258" max="258" width="25.44140625" style="4" bestFit="1" customWidth="1"/>
    <col min="259" max="259" width="39.88671875" style="4" bestFit="1" customWidth="1"/>
    <col min="260" max="260" width="17.109375" style="4" bestFit="1" customWidth="1"/>
    <col min="261" max="261" width="15.88671875" style="4" customWidth="1"/>
    <col min="262" max="512" width="8.88671875" style="4"/>
    <col min="513" max="513" width="4.21875" style="4" customWidth="1"/>
    <col min="514" max="514" width="25.44140625" style="4" bestFit="1" customWidth="1"/>
    <col min="515" max="515" width="39.88671875" style="4" bestFit="1" customWidth="1"/>
    <col min="516" max="516" width="17.109375" style="4" bestFit="1" customWidth="1"/>
    <col min="517" max="517" width="15.88671875" style="4" customWidth="1"/>
    <col min="518" max="768" width="8.88671875" style="4"/>
    <col min="769" max="769" width="4.21875" style="4" customWidth="1"/>
    <col min="770" max="770" width="25.44140625" style="4" bestFit="1" customWidth="1"/>
    <col min="771" max="771" width="39.88671875" style="4" bestFit="1" customWidth="1"/>
    <col min="772" max="772" width="17.109375" style="4" bestFit="1" customWidth="1"/>
    <col min="773" max="773" width="15.88671875" style="4" customWidth="1"/>
    <col min="774" max="1024" width="8.88671875" style="4"/>
    <col min="1025" max="1025" width="4.21875" style="4" customWidth="1"/>
    <col min="1026" max="1026" width="25.44140625" style="4" bestFit="1" customWidth="1"/>
    <col min="1027" max="1027" width="39.88671875" style="4" bestFit="1" customWidth="1"/>
    <col min="1028" max="1028" width="17.109375" style="4" bestFit="1" customWidth="1"/>
    <col min="1029" max="1029" width="15.88671875" style="4" customWidth="1"/>
    <col min="1030" max="1280" width="8.88671875" style="4"/>
    <col min="1281" max="1281" width="4.21875" style="4" customWidth="1"/>
    <col min="1282" max="1282" width="25.44140625" style="4" bestFit="1" customWidth="1"/>
    <col min="1283" max="1283" width="39.88671875" style="4" bestFit="1" customWidth="1"/>
    <col min="1284" max="1284" width="17.109375" style="4" bestFit="1" customWidth="1"/>
    <col min="1285" max="1285" width="15.88671875" style="4" customWidth="1"/>
    <col min="1286" max="1536" width="8.88671875" style="4"/>
    <col min="1537" max="1537" width="4.21875" style="4" customWidth="1"/>
    <col min="1538" max="1538" width="25.44140625" style="4" bestFit="1" customWidth="1"/>
    <col min="1539" max="1539" width="39.88671875" style="4" bestFit="1" customWidth="1"/>
    <col min="1540" max="1540" width="17.109375" style="4" bestFit="1" customWidth="1"/>
    <col min="1541" max="1541" width="15.88671875" style="4" customWidth="1"/>
    <col min="1542" max="1792" width="8.88671875" style="4"/>
    <col min="1793" max="1793" width="4.21875" style="4" customWidth="1"/>
    <col min="1794" max="1794" width="25.44140625" style="4" bestFit="1" customWidth="1"/>
    <col min="1795" max="1795" width="39.88671875" style="4" bestFit="1" customWidth="1"/>
    <col min="1796" max="1796" width="17.109375" style="4" bestFit="1" customWidth="1"/>
    <col min="1797" max="1797" width="15.88671875" style="4" customWidth="1"/>
    <col min="1798" max="2048" width="8.88671875" style="4"/>
    <col min="2049" max="2049" width="4.21875" style="4" customWidth="1"/>
    <col min="2050" max="2050" width="25.44140625" style="4" bestFit="1" customWidth="1"/>
    <col min="2051" max="2051" width="39.88671875" style="4" bestFit="1" customWidth="1"/>
    <col min="2052" max="2052" width="17.109375" style="4" bestFit="1" customWidth="1"/>
    <col min="2053" max="2053" width="15.88671875" style="4" customWidth="1"/>
    <col min="2054" max="2304" width="8.88671875" style="4"/>
    <col min="2305" max="2305" width="4.21875" style="4" customWidth="1"/>
    <col min="2306" max="2306" width="25.44140625" style="4" bestFit="1" customWidth="1"/>
    <col min="2307" max="2307" width="39.88671875" style="4" bestFit="1" customWidth="1"/>
    <col min="2308" max="2308" width="17.109375" style="4" bestFit="1" customWidth="1"/>
    <col min="2309" max="2309" width="15.88671875" style="4" customWidth="1"/>
    <col min="2310" max="2560" width="8.88671875" style="4"/>
    <col min="2561" max="2561" width="4.21875" style="4" customWidth="1"/>
    <col min="2562" max="2562" width="25.44140625" style="4" bestFit="1" customWidth="1"/>
    <col min="2563" max="2563" width="39.88671875" style="4" bestFit="1" customWidth="1"/>
    <col min="2564" max="2564" width="17.109375" style="4" bestFit="1" customWidth="1"/>
    <col min="2565" max="2565" width="15.88671875" style="4" customWidth="1"/>
    <col min="2566" max="2816" width="8.88671875" style="4"/>
    <col min="2817" max="2817" width="4.21875" style="4" customWidth="1"/>
    <col min="2818" max="2818" width="25.44140625" style="4" bestFit="1" customWidth="1"/>
    <col min="2819" max="2819" width="39.88671875" style="4" bestFit="1" customWidth="1"/>
    <col min="2820" max="2820" width="17.109375" style="4" bestFit="1" customWidth="1"/>
    <col min="2821" max="2821" width="15.88671875" style="4" customWidth="1"/>
    <col min="2822" max="3072" width="8.88671875" style="4"/>
    <col min="3073" max="3073" width="4.21875" style="4" customWidth="1"/>
    <col min="3074" max="3074" width="25.44140625" style="4" bestFit="1" customWidth="1"/>
    <col min="3075" max="3075" width="39.88671875" style="4" bestFit="1" customWidth="1"/>
    <col min="3076" max="3076" width="17.109375" style="4" bestFit="1" customWidth="1"/>
    <col min="3077" max="3077" width="15.88671875" style="4" customWidth="1"/>
    <col min="3078" max="3328" width="8.88671875" style="4"/>
    <col min="3329" max="3329" width="4.21875" style="4" customWidth="1"/>
    <col min="3330" max="3330" width="25.44140625" style="4" bestFit="1" customWidth="1"/>
    <col min="3331" max="3331" width="39.88671875" style="4" bestFit="1" customWidth="1"/>
    <col min="3332" max="3332" width="17.109375" style="4" bestFit="1" customWidth="1"/>
    <col min="3333" max="3333" width="15.88671875" style="4" customWidth="1"/>
    <col min="3334" max="3584" width="8.88671875" style="4"/>
    <col min="3585" max="3585" width="4.21875" style="4" customWidth="1"/>
    <col min="3586" max="3586" width="25.44140625" style="4" bestFit="1" customWidth="1"/>
    <col min="3587" max="3587" width="39.88671875" style="4" bestFit="1" customWidth="1"/>
    <col min="3588" max="3588" width="17.109375" style="4" bestFit="1" customWidth="1"/>
    <col min="3589" max="3589" width="15.88671875" style="4" customWidth="1"/>
    <col min="3590" max="3840" width="8.88671875" style="4"/>
    <col min="3841" max="3841" width="4.21875" style="4" customWidth="1"/>
    <col min="3842" max="3842" width="25.44140625" style="4" bestFit="1" customWidth="1"/>
    <col min="3843" max="3843" width="39.88671875" style="4" bestFit="1" customWidth="1"/>
    <col min="3844" max="3844" width="17.109375" style="4" bestFit="1" customWidth="1"/>
    <col min="3845" max="3845" width="15.88671875" style="4" customWidth="1"/>
    <col min="3846" max="4096" width="8.88671875" style="4"/>
    <col min="4097" max="4097" width="4.21875" style="4" customWidth="1"/>
    <col min="4098" max="4098" width="25.44140625" style="4" bestFit="1" customWidth="1"/>
    <col min="4099" max="4099" width="39.88671875" style="4" bestFit="1" customWidth="1"/>
    <col min="4100" max="4100" width="17.109375" style="4" bestFit="1" customWidth="1"/>
    <col min="4101" max="4101" width="15.88671875" style="4" customWidth="1"/>
    <col min="4102" max="4352" width="8.88671875" style="4"/>
    <col min="4353" max="4353" width="4.21875" style="4" customWidth="1"/>
    <col min="4354" max="4354" width="25.44140625" style="4" bestFit="1" customWidth="1"/>
    <col min="4355" max="4355" width="39.88671875" style="4" bestFit="1" customWidth="1"/>
    <col min="4356" max="4356" width="17.109375" style="4" bestFit="1" customWidth="1"/>
    <col min="4357" max="4357" width="15.88671875" style="4" customWidth="1"/>
    <col min="4358" max="4608" width="8.88671875" style="4"/>
    <col min="4609" max="4609" width="4.21875" style="4" customWidth="1"/>
    <col min="4610" max="4610" width="25.44140625" style="4" bestFit="1" customWidth="1"/>
    <col min="4611" max="4611" width="39.88671875" style="4" bestFit="1" customWidth="1"/>
    <col min="4612" max="4612" width="17.109375" style="4" bestFit="1" customWidth="1"/>
    <col min="4613" max="4613" width="15.88671875" style="4" customWidth="1"/>
    <col min="4614" max="4864" width="8.88671875" style="4"/>
    <col min="4865" max="4865" width="4.21875" style="4" customWidth="1"/>
    <col min="4866" max="4866" width="25.44140625" style="4" bestFit="1" customWidth="1"/>
    <col min="4867" max="4867" width="39.88671875" style="4" bestFit="1" customWidth="1"/>
    <col min="4868" max="4868" width="17.109375" style="4" bestFit="1" customWidth="1"/>
    <col min="4869" max="4869" width="15.88671875" style="4" customWidth="1"/>
    <col min="4870" max="5120" width="8.88671875" style="4"/>
    <col min="5121" max="5121" width="4.21875" style="4" customWidth="1"/>
    <col min="5122" max="5122" width="25.44140625" style="4" bestFit="1" customWidth="1"/>
    <col min="5123" max="5123" width="39.88671875" style="4" bestFit="1" customWidth="1"/>
    <col min="5124" max="5124" width="17.109375" style="4" bestFit="1" customWidth="1"/>
    <col min="5125" max="5125" width="15.88671875" style="4" customWidth="1"/>
    <col min="5126" max="5376" width="8.88671875" style="4"/>
    <col min="5377" max="5377" width="4.21875" style="4" customWidth="1"/>
    <col min="5378" max="5378" width="25.44140625" style="4" bestFit="1" customWidth="1"/>
    <col min="5379" max="5379" width="39.88671875" style="4" bestFit="1" customWidth="1"/>
    <col min="5380" max="5380" width="17.109375" style="4" bestFit="1" customWidth="1"/>
    <col min="5381" max="5381" width="15.88671875" style="4" customWidth="1"/>
    <col min="5382" max="5632" width="8.88671875" style="4"/>
    <col min="5633" max="5633" width="4.21875" style="4" customWidth="1"/>
    <col min="5634" max="5634" width="25.44140625" style="4" bestFit="1" customWidth="1"/>
    <col min="5635" max="5635" width="39.88671875" style="4" bestFit="1" customWidth="1"/>
    <col min="5636" max="5636" width="17.109375" style="4" bestFit="1" customWidth="1"/>
    <col min="5637" max="5637" width="15.88671875" style="4" customWidth="1"/>
    <col min="5638" max="5888" width="8.88671875" style="4"/>
    <col min="5889" max="5889" width="4.21875" style="4" customWidth="1"/>
    <col min="5890" max="5890" width="25.44140625" style="4" bestFit="1" customWidth="1"/>
    <col min="5891" max="5891" width="39.88671875" style="4" bestFit="1" customWidth="1"/>
    <col min="5892" max="5892" width="17.109375" style="4" bestFit="1" customWidth="1"/>
    <col min="5893" max="5893" width="15.88671875" style="4" customWidth="1"/>
    <col min="5894" max="6144" width="8.88671875" style="4"/>
    <col min="6145" max="6145" width="4.21875" style="4" customWidth="1"/>
    <col min="6146" max="6146" width="25.44140625" style="4" bestFit="1" customWidth="1"/>
    <col min="6147" max="6147" width="39.88671875" style="4" bestFit="1" customWidth="1"/>
    <col min="6148" max="6148" width="17.109375" style="4" bestFit="1" customWidth="1"/>
    <col min="6149" max="6149" width="15.88671875" style="4" customWidth="1"/>
    <col min="6150" max="6400" width="8.88671875" style="4"/>
    <col min="6401" max="6401" width="4.21875" style="4" customWidth="1"/>
    <col min="6402" max="6402" width="25.44140625" style="4" bestFit="1" customWidth="1"/>
    <col min="6403" max="6403" width="39.88671875" style="4" bestFit="1" customWidth="1"/>
    <col min="6404" max="6404" width="17.109375" style="4" bestFit="1" customWidth="1"/>
    <col min="6405" max="6405" width="15.88671875" style="4" customWidth="1"/>
    <col min="6406" max="6656" width="8.88671875" style="4"/>
    <col min="6657" max="6657" width="4.21875" style="4" customWidth="1"/>
    <col min="6658" max="6658" width="25.44140625" style="4" bestFit="1" customWidth="1"/>
    <col min="6659" max="6659" width="39.88671875" style="4" bestFit="1" customWidth="1"/>
    <col min="6660" max="6660" width="17.109375" style="4" bestFit="1" customWidth="1"/>
    <col min="6661" max="6661" width="15.88671875" style="4" customWidth="1"/>
    <col min="6662" max="6912" width="8.88671875" style="4"/>
    <col min="6913" max="6913" width="4.21875" style="4" customWidth="1"/>
    <col min="6914" max="6914" width="25.44140625" style="4" bestFit="1" customWidth="1"/>
    <col min="6915" max="6915" width="39.88671875" style="4" bestFit="1" customWidth="1"/>
    <col min="6916" max="6916" width="17.109375" style="4" bestFit="1" customWidth="1"/>
    <col min="6917" max="6917" width="15.88671875" style="4" customWidth="1"/>
    <col min="6918" max="7168" width="8.88671875" style="4"/>
    <col min="7169" max="7169" width="4.21875" style="4" customWidth="1"/>
    <col min="7170" max="7170" width="25.44140625" style="4" bestFit="1" customWidth="1"/>
    <col min="7171" max="7171" width="39.88671875" style="4" bestFit="1" customWidth="1"/>
    <col min="7172" max="7172" width="17.109375" style="4" bestFit="1" customWidth="1"/>
    <col min="7173" max="7173" width="15.88671875" style="4" customWidth="1"/>
    <col min="7174" max="7424" width="8.88671875" style="4"/>
    <col min="7425" max="7425" width="4.21875" style="4" customWidth="1"/>
    <col min="7426" max="7426" width="25.44140625" style="4" bestFit="1" customWidth="1"/>
    <col min="7427" max="7427" width="39.88671875" style="4" bestFit="1" customWidth="1"/>
    <col min="7428" max="7428" width="17.109375" style="4" bestFit="1" customWidth="1"/>
    <col min="7429" max="7429" width="15.88671875" style="4" customWidth="1"/>
    <col min="7430" max="7680" width="8.88671875" style="4"/>
    <col min="7681" max="7681" width="4.21875" style="4" customWidth="1"/>
    <col min="7682" max="7682" width="25.44140625" style="4" bestFit="1" customWidth="1"/>
    <col min="7683" max="7683" width="39.88671875" style="4" bestFit="1" customWidth="1"/>
    <col min="7684" max="7684" width="17.109375" style="4" bestFit="1" customWidth="1"/>
    <col min="7685" max="7685" width="15.88671875" style="4" customWidth="1"/>
    <col min="7686" max="7936" width="8.88671875" style="4"/>
    <col min="7937" max="7937" width="4.21875" style="4" customWidth="1"/>
    <col min="7938" max="7938" width="25.44140625" style="4" bestFit="1" customWidth="1"/>
    <col min="7939" max="7939" width="39.88671875" style="4" bestFit="1" customWidth="1"/>
    <col min="7940" max="7940" width="17.109375" style="4" bestFit="1" customWidth="1"/>
    <col min="7941" max="7941" width="15.88671875" style="4" customWidth="1"/>
    <col min="7942" max="8192" width="8.88671875" style="4"/>
    <col min="8193" max="8193" width="4.21875" style="4" customWidth="1"/>
    <col min="8194" max="8194" width="25.44140625" style="4" bestFit="1" customWidth="1"/>
    <col min="8195" max="8195" width="39.88671875" style="4" bestFit="1" customWidth="1"/>
    <col min="8196" max="8196" width="17.109375" style="4" bestFit="1" customWidth="1"/>
    <col min="8197" max="8197" width="15.88671875" style="4" customWidth="1"/>
    <col min="8198" max="8448" width="8.88671875" style="4"/>
    <col min="8449" max="8449" width="4.21875" style="4" customWidth="1"/>
    <col min="8450" max="8450" width="25.44140625" style="4" bestFit="1" customWidth="1"/>
    <col min="8451" max="8451" width="39.88671875" style="4" bestFit="1" customWidth="1"/>
    <col min="8452" max="8452" width="17.109375" style="4" bestFit="1" customWidth="1"/>
    <col min="8453" max="8453" width="15.88671875" style="4" customWidth="1"/>
    <col min="8454" max="8704" width="8.88671875" style="4"/>
    <col min="8705" max="8705" width="4.21875" style="4" customWidth="1"/>
    <col min="8706" max="8706" width="25.44140625" style="4" bestFit="1" customWidth="1"/>
    <col min="8707" max="8707" width="39.88671875" style="4" bestFit="1" customWidth="1"/>
    <col min="8708" max="8708" width="17.109375" style="4" bestFit="1" customWidth="1"/>
    <col min="8709" max="8709" width="15.88671875" style="4" customWidth="1"/>
    <col min="8710" max="8960" width="8.88671875" style="4"/>
    <col min="8961" max="8961" width="4.21875" style="4" customWidth="1"/>
    <col min="8962" max="8962" width="25.44140625" style="4" bestFit="1" customWidth="1"/>
    <col min="8963" max="8963" width="39.88671875" style="4" bestFit="1" customWidth="1"/>
    <col min="8964" max="8964" width="17.109375" style="4" bestFit="1" customWidth="1"/>
    <col min="8965" max="8965" width="15.88671875" style="4" customWidth="1"/>
    <col min="8966" max="9216" width="8.88671875" style="4"/>
    <col min="9217" max="9217" width="4.21875" style="4" customWidth="1"/>
    <col min="9218" max="9218" width="25.44140625" style="4" bestFit="1" customWidth="1"/>
    <col min="9219" max="9219" width="39.88671875" style="4" bestFit="1" customWidth="1"/>
    <col min="9220" max="9220" width="17.109375" style="4" bestFit="1" customWidth="1"/>
    <col min="9221" max="9221" width="15.88671875" style="4" customWidth="1"/>
    <col min="9222" max="9472" width="8.88671875" style="4"/>
    <col min="9473" max="9473" width="4.21875" style="4" customWidth="1"/>
    <col min="9474" max="9474" width="25.44140625" style="4" bestFit="1" customWidth="1"/>
    <col min="9475" max="9475" width="39.88671875" style="4" bestFit="1" customWidth="1"/>
    <col min="9476" max="9476" width="17.109375" style="4" bestFit="1" customWidth="1"/>
    <col min="9477" max="9477" width="15.88671875" style="4" customWidth="1"/>
    <col min="9478" max="9728" width="8.88671875" style="4"/>
    <col min="9729" max="9729" width="4.21875" style="4" customWidth="1"/>
    <col min="9730" max="9730" width="25.44140625" style="4" bestFit="1" customWidth="1"/>
    <col min="9731" max="9731" width="39.88671875" style="4" bestFit="1" customWidth="1"/>
    <col min="9732" max="9732" width="17.109375" style="4" bestFit="1" customWidth="1"/>
    <col min="9733" max="9733" width="15.88671875" style="4" customWidth="1"/>
    <col min="9734" max="9984" width="8.88671875" style="4"/>
    <col min="9985" max="9985" width="4.21875" style="4" customWidth="1"/>
    <col min="9986" max="9986" width="25.44140625" style="4" bestFit="1" customWidth="1"/>
    <col min="9987" max="9987" width="39.88671875" style="4" bestFit="1" customWidth="1"/>
    <col min="9988" max="9988" width="17.109375" style="4" bestFit="1" customWidth="1"/>
    <col min="9989" max="9989" width="15.88671875" style="4" customWidth="1"/>
    <col min="9990" max="10240" width="8.88671875" style="4"/>
    <col min="10241" max="10241" width="4.21875" style="4" customWidth="1"/>
    <col min="10242" max="10242" width="25.44140625" style="4" bestFit="1" customWidth="1"/>
    <col min="10243" max="10243" width="39.88671875" style="4" bestFit="1" customWidth="1"/>
    <col min="10244" max="10244" width="17.109375" style="4" bestFit="1" customWidth="1"/>
    <col min="10245" max="10245" width="15.88671875" style="4" customWidth="1"/>
    <col min="10246" max="10496" width="8.88671875" style="4"/>
    <col min="10497" max="10497" width="4.21875" style="4" customWidth="1"/>
    <col min="10498" max="10498" width="25.44140625" style="4" bestFit="1" customWidth="1"/>
    <col min="10499" max="10499" width="39.88671875" style="4" bestFit="1" customWidth="1"/>
    <col min="10500" max="10500" width="17.109375" style="4" bestFit="1" customWidth="1"/>
    <col min="10501" max="10501" width="15.88671875" style="4" customWidth="1"/>
    <col min="10502" max="10752" width="8.88671875" style="4"/>
    <col min="10753" max="10753" width="4.21875" style="4" customWidth="1"/>
    <col min="10754" max="10754" width="25.44140625" style="4" bestFit="1" customWidth="1"/>
    <col min="10755" max="10755" width="39.88671875" style="4" bestFit="1" customWidth="1"/>
    <col min="10756" max="10756" width="17.109375" style="4" bestFit="1" customWidth="1"/>
    <col min="10757" max="10757" width="15.88671875" style="4" customWidth="1"/>
    <col min="10758" max="11008" width="8.88671875" style="4"/>
    <col min="11009" max="11009" width="4.21875" style="4" customWidth="1"/>
    <col min="11010" max="11010" width="25.44140625" style="4" bestFit="1" customWidth="1"/>
    <col min="11011" max="11011" width="39.88671875" style="4" bestFit="1" customWidth="1"/>
    <col min="11012" max="11012" width="17.109375" style="4" bestFit="1" customWidth="1"/>
    <col min="11013" max="11013" width="15.88671875" style="4" customWidth="1"/>
    <col min="11014" max="11264" width="8.88671875" style="4"/>
    <col min="11265" max="11265" width="4.21875" style="4" customWidth="1"/>
    <col min="11266" max="11266" width="25.44140625" style="4" bestFit="1" customWidth="1"/>
    <col min="11267" max="11267" width="39.88671875" style="4" bestFit="1" customWidth="1"/>
    <col min="11268" max="11268" width="17.109375" style="4" bestFit="1" customWidth="1"/>
    <col min="11269" max="11269" width="15.88671875" style="4" customWidth="1"/>
    <col min="11270" max="11520" width="8.88671875" style="4"/>
    <col min="11521" max="11521" width="4.21875" style="4" customWidth="1"/>
    <col min="11522" max="11522" width="25.44140625" style="4" bestFit="1" customWidth="1"/>
    <col min="11523" max="11523" width="39.88671875" style="4" bestFit="1" customWidth="1"/>
    <col min="11524" max="11524" width="17.109375" style="4" bestFit="1" customWidth="1"/>
    <col min="11525" max="11525" width="15.88671875" style="4" customWidth="1"/>
    <col min="11526" max="11776" width="8.88671875" style="4"/>
    <col min="11777" max="11777" width="4.21875" style="4" customWidth="1"/>
    <col min="11778" max="11778" width="25.44140625" style="4" bestFit="1" customWidth="1"/>
    <col min="11779" max="11779" width="39.88671875" style="4" bestFit="1" customWidth="1"/>
    <col min="11780" max="11780" width="17.109375" style="4" bestFit="1" customWidth="1"/>
    <col min="11781" max="11781" width="15.88671875" style="4" customWidth="1"/>
    <col min="11782" max="12032" width="8.88671875" style="4"/>
    <col min="12033" max="12033" width="4.21875" style="4" customWidth="1"/>
    <col min="12034" max="12034" width="25.44140625" style="4" bestFit="1" customWidth="1"/>
    <col min="12035" max="12035" width="39.88671875" style="4" bestFit="1" customWidth="1"/>
    <col min="12036" max="12036" width="17.109375" style="4" bestFit="1" customWidth="1"/>
    <col min="12037" max="12037" width="15.88671875" style="4" customWidth="1"/>
    <col min="12038" max="12288" width="8.88671875" style="4"/>
    <col min="12289" max="12289" width="4.21875" style="4" customWidth="1"/>
    <col min="12290" max="12290" width="25.44140625" style="4" bestFit="1" customWidth="1"/>
    <col min="12291" max="12291" width="39.88671875" style="4" bestFit="1" customWidth="1"/>
    <col min="12292" max="12292" width="17.109375" style="4" bestFit="1" customWidth="1"/>
    <col min="12293" max="12293" width="15.88671875" style="4" customWidth="1"/>
    <col min="12294" max="12544" width="8.88671875" style="4"/>
    <col min="12545" max="12545" width="4.21875" style="4" customWidth="1"/>
    <col min="12546" max="12546" width="25.44140625" style="4" bestFit="1" customWidth="1"/>
    <col min="12547" max="12547" width="39.88671875" style="4" bestFit="1" customWidth="1"/>
    <col min="12548" max="12548" width="17.109375" style="4" bestFit="1" customWidth="1"/>
    <col min="12549" max="12549" width="15.88671875" style="4" customWidth="1"/>
    <col min="12550" max="12800" width="8.88671875" style="4"/>
    <col min="12801" max="12801" width="4.21875" style="4" customWidth="1"/>
    <col min="12802" max="12802" width="25.44140625" style="4" bestFit="1" customWidth="1"/>
    <col min="12803" max="12803" width="39.88671875" style="4" bestFit="1" customWidth="1"/>
    <col min="12804" max="12804" width="17.109375" style="4" bestFit="1" customWidth="1"/>
    <col min="12805" max="12805" width="15.88671875" style="4" customWidth="1"/>
    <col min="12806" max="13056" width="8.88671875" style="4"/>
    <col min="13057" max="13057" width="4.21875" style="4" customWidth="1"/>
    <col min="13058" max="13058" width="25.44140625" style="4" bestFit="1" customWidth="1"/>
    <col min="13059" max="13059" width="39.88671875" style="4" bestFit="1" customWidth="1"/>
    <col min="13060" max="13060" width="17.109375" style="4" bestFit="1" customWidth="1"/>
    <col min="13061" max="13061" width="15.88671875" style="4" customWidth="1"/>
    <col min="13062" max="13312" width="8.88671875" style="4"/>
    <col min="13313" max="13313" width="4.21875" style="4" customWidth="1"/>
    <col min="13314" max="13314" width="25.44140625" style="4" bestFit="1" customWidth="1"/>
    <col min="13315" max="13315" width="39.88671875" style="4" bestFit="1" customWidth="1"/>
    <col min="13316" max="13316" width="17.109375" style="4" bestFit="1" customWidth="1"/>
    <col min="13317" max="13317" width="15.88671875" style="4" customWidth="1"/>
    <col min="13318" max="13568" width="8.88671875" style="4"/>
    <col min="13569" max="13569" width="4.21875" style="4" customWidth="1"/>
    <col min="13570" max="13570" width="25.44140625" style="4" bestFit="1" customWidth="1"/>
    <col min="13571" max="13571" width="39.88671875" style="4" bestFit="1" customWidth="1"/>
    <col min="13572" max="13572" width="17.109375" style="4" bestFit="1" customWidth="1"/>
    <col min="13573" max="13573" width="15.88671875" style="4" customWidth="1"/>
    <col min="13574" max="13824" width="8.88671875" style="4"/>
    <col min="13825" max="13825" width="4.21875" style="4" customWidth="1"/>
    <col min="13826" max="13826" width="25.44140625" style="4" bestFit="1" customWidth="1"/>
    <col min="13827" max="13827" width="39.88671875" style="4" bestFit="1" customWidth="1"/>
    <col min="13828" max="13828" width="17.109375" style="4" bestFit="1" customWidth="1"/>
    <col min="13829" max="13829" width="15.88671875" style="4" customWidth="1"/>
    <col min="13830" max="14080" width="8.88671875" style="4"/>
    <col min="14081" max="14081" width="4.21875" style="4" customWidth="1"/>
    <col min="14082" max="14082" width="25.44140625" style="4" bestFit="1" customWidth="1"/>
    <col min="14083" max="14083" width="39.88671875" style="4" bestFit="1" customWidth="1"/>
    <col min="14084" max="14084" width="17.109375" style="4" bestFit="1" customWidth="1"/>
    <col min="14085" max="14085" width="15.88671875" style="4" customWidth="1"/>
    <col min="14086" max="14336" width="8.88671875" style="4"/>
    <col min="14337" max="14337" width="4.21875" style="4" customWidth="1"/>
    <col min="14338" max="14338" width="25.44140625" style="4" bestFit="1" customWidth="1"/>
    <col min="14339" max="14339" width="39.88671875" style="4" bestFit="1" customWidth="1"/>
    <col min="14340" max="14340" width="17.109375" style="4" bestFit="1" customWidth="1"/>
    <col min="14341" max="14341" width="15.88671875" style="4" customWidth="1"/>
    <col min="14342" max="14592" width="8.88671875" style="4"/>
    <col min="14593" max="14593" width="4.21875" style="4" customWidth="1"/>
    <col min="14594" max="14594" width="25.44140625" style="4" bestFit="1" customWidth="1"/>
    <col min="14595" max="14595" width="39.88671875" style="4" bestFit="1" customWidth="1"/>
    <col min="14596" max="14596" width="17.109375" style="4" bestFit="1" customWidth="1"/>
    <col min="14597" max="14597" width="15.88671875" style="4" customWidth="1"/>
    <col min="14598" max="14848" width="8.88671875" style="4"/>
    <col min="14849" max="14849" width="4.21875" style="4" customWidth="1"/>
    <col min="14850" max="14850" width="25.44140625" style="4" bestFit="1" customWidth="1"/>
    <col min="14851" max="14851" width="39.88671875" style="4" bestFit="1" customWidth="1"/>
    <col min="14852" max="14852" width="17.109375" style="4" bestFit="1" customWidth="1"/>
    <col min="14853" max="14853" width="15.88671875" style="4" customWidth="1"/>
    <col min="14854" max="15104" width="8.88671875" style="4"/>
    <col min="15105" max="15105" width="4.21875" style="4" customWidth="1"/>
    <col min="15106" max="15106" width="25.44140625" style="4" bestFit="1" customWidth="1"/>
    <col min="15107" max="15107" width="39.88671875" style="4" bestFit="1" customWidth="1"/>
    <col min="15108" max="15108" width="17.109375" style="4" bestFit="1" customWidth="1"/>
    <col min="15109" max="15109" width="15.88671875" style="4" customWidth="1"/>
    <col min="15110" max="15360" width="8.88671875" style="4"/>
    <col min="15361" max="15361" width="4.21875" style="4" customWidth="1"/>
    <col min="15362" max="15362" width="25.44140625" style="4" bestFit="1" customWidth="1"/>
    <col min="15363" max="15363" width="39.88671875" style="4" bestFit="1" customWidth="1"/>
    <col min="15364" max="15364" width="17.109375" style="4" bestFit="1" customWidth="1"/>
    <col min="15365" max="15365" width="15.88671875" style="4" customWidth="1"/>
    <col min="15366" max="15616" width="8.88671875" style="4"/>
    <col min="15617" max="15617" width="4.21875" style="4" customWidth="1"/>
    <col min="15618" max="15618" width="25.44140625" style="4" bestFit="1" customWidth="1"/>
    <col min="15619" max="15619" width="39.88671875" style="4" bestFit="1" customWidth="1"/>
    <col min="15620" max="15620" width="17.109375" style="4" bestFit="1" customWidth="1"/>
    <col min="15621" max="15621" width="15.88671875" style="4" customWidth="1"/>
    <col min="15622" max="15872" width="8.88671875" style="4"/>
    <col min="15873" max="15873" width="4.21875" style="4" customWidth="1"/>
    <col min="15874" max="15874" width="25.44140625" style="4" bestFit="1" customWidth="1"/>
    <col min="15875" max="15875" width="39.88671875" style="4" bestFit="1" customWidth="1"/>
    <col min="15876" max="15876" width="17.109375" style="4" bestFit="1" customWidth="1"/>
    <col min="15877" max="15877" width="15.88671875" style="4" customWidth="1"/>
    <col min="15878" max="16128" width="8.88671875" style="4"/>
    <col min="16129" max="16129" width="4.21875" style="4" customWidth="1"/>
    <col min="16130" max="16130" width="25.44140625" style="4" bestFit="1" customWidth="1"/>
    <col min="16131" max="16131" width="39.88671875" style="4" bestFit="1" customWidth="1"/>
    <col min="16132" max="16132" width="17.109375" style="4" bestFit="1" customWidth="1"/>
    <col min="16133" max="16133" width="15.88671875" style="4" customWidth="1"/>
    <col min="16134" max="16384" width="8.88671875" style="4"/>
  </cols>
  <sheetData>
    <row r="2" spans="2:5">
      <c r="B2" s="20" t="s">
        <v>41</v>
      </c>
    </row>
    <row r="3" spans="2:5">
      <c r="B3" s="20" t="s">
        <v>42</v>
      </c>
      <c r="C3"/>
    </row>
    <row r="4" spans="2:5">
      <c r="B4" s="20" t="s">
        <v>43</v>
      </c>
    </row>
    <row r="5" spans="2:5">
      <c r="B5" s="20" t="s">
        <v>44</v>
      </c>
    </row>
    <row r="7" spans="2:5" ht="18.75">
      <c r="B7" s="3" t="s">
        <v>24</v>
      </c>
    </row>
    <row r="8" spans="2:5" ht="18.75">
      <c r="B8" s="5" t="s">
        <v>25</v>
      </c>
    </row>
    <row r="10" spans="2:5">
      <c r="B10" s="4" t="s">
        <v>26</v>
      </c>
    </row>
    <row r="11" spans="2:5" ht="16.5" thickBot="1">
      <c r="B11" s="6" t="s">
        <v>27</v>
      </c>
      <c r="C11" s="6" t="s">
        <v>28</v>
      </c>
      <c r="D11" s="6" t="s">
        <v>29</v>
      </c>
      <c r="E11" s="6" t="s">
        <v>40</v>
      </c>
    </row>
    <row r="12" spans="2:5">
      <c r="B12" s="7" t="s">
        <v>30</v>
      </c>
      <c r="C12" s="8" t="s">
        <v>59</v>
      </c>
      <c r="D12" s="8" t="s">
        <v>30</v>
      </c>
      <c r="E12" s="41">
        <v>46113</v>
      </c>
    </row>
    <row r="13" spans="2:5">
      <c r="B13" s="7" t="s">
        <v>31</v>
      </c>
      <c r="C13" s="8" t="s">
        <v>60</v>
      </c>
      <c r="D13" s="8" t="s">
        <v>31</v>
      </c>
      <c r="E13" s="10" t="s">
        <v>68</v>
      </c>
    </row>
    <row r="14" spans="2:5">
      <c r="B14" s="7" t="s">
        <v>32</v>
      </c>
      <c r="C14" s="8" t="s">
        <v>38</v>
      </c>
      <c r="D14" s="8" t="s">
        <v>32</v>
      </c>
      <c r="E14" s="9" t="s">
        <v>67</v>
      </c>
    </row>
    <row r="15" spans="2:5" ht="16.5" thickBot="1">
      <c r="B15" s="11"/>
      <c r="C15" s="12"/>
      <c r="D15" s="12"/>
      <c r="E15" s="12"/>
    </row>
    <row r="17" spans="2:3">
      <c r="B17" s="4" t="s">
        <v>33</v>
      </c>
      <c r="C17" s="13"/>
    </row>
    <row r="18" spans="2:3">
      <c r="B18" s="4" t="s">
        <v>34</v>
      </c>
      <c r="C18" s="13"/>
    </row>
    <row r="20" spans="2:3">
      <c r="B20" s="4" t="s">
        <v>35</v>
      </c>
      <c r="C20" s="4" t="s">
        <v>39</v>
      </c>
    </row>
    <row r="21" spans="2:3">
      <c r="B21" s="4" t="s">
        <v>36</v>
      </c>
      <c r="C21" s="14" t="s">
        <v>37</v>
      </c>
    </row>
    <row r="24" spans="2:3" ht="31.5">
      <c r="B24" s="38" t="s">
        <v>61</v>
      </c>
    </row>
    <row r="25" spans="2:3" ht="15.75" customHeight="1">
      <c r="B25" s="17" t="s">
        <v>18</v>
      </c>
    </row>
    <row r="26" spans="2:3" ht="15.75" customHeight="1">
      <c r="B26" s="18" t="s">
        <v>17</v>
      </c>
    </row>
    <row r="27" spans="2:3" ht="15.75" customHeight="1">
      <c r="B27" s="19" t="s">
        <v>5</v>
      </c>
    </row>
    <row r="28" spans="2:3">
      <c r="B28" s="19" t="s">
        <v>1</v>
      </c>
    </row>
    <row r="29" spans="2:3">
      <c r="B29" s="19" t="s">
        <v>10</v>
      </c>
    </row>
    <row r="30" spans="2:3">
      <c r="B30" s="19" t="s">
        <v>11</v>
      </c>
    </row>
    <row r="31" spans="2:3">
      <c r="B31" s="19" t="s">
        <v>12</v>
      </c>
    </row>
    <row r="32" spans="2:3">
      <c r="B32" s="19" t="s">
        <v>13</v>
      </c>
    </row>
    <row r="33" spans="2:2">
      <c r="B33" s="19" t="s">
        <v>14</v>
      </c>
    </row>
    <row r="34" spans="2:2">
      <c r="B34" s="19" t="s">
        <v>15</v>
      </c>
    </row>
    <row r="35" spans="2:2">
      <c r="B35" s="19" t="s">
        <v>19</v>
      </c>
    </row>
    <row r="36" spans="2:2">
      <c r="B36" s="19" t="s">
        <v>20</v>
      </c>
    </row>
    <row r="37" spans="2:2">
      <c r="B37" s="19" t="s">
        <v>6</v>
      </c>
    </row>
    <row r="38" spans="2:2">
      <c r="B38" s="19" t="s">
        <v>58</v>
      </c>
    </row>
    <row r="39" spans="2:2">
      <c r="B39" s="19" t="s">
        <v>56</v>
      </c>
    </row>
    <row r="40" spans="2:2">
      <c r="B40" s="19" t="s">
        <v>54</v>
      </c>
    </row>
    <row r="41" spans="2:2">
      <c r="B41" s="19" t="s">
        <v>7</v>
      </c>
    </row>
    <row r="42" spans="2:2">
      <c r="B42" s="19" t="s">
        <v>8</v>
      </c>
    </row>
    <row r="43" spans="2:2">
      <c r="B43" s="19" t="s">
        <v>9</v>
      </c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28"/>
  <sheetViews>
    <sheetView tabSelected="1" zoomScale="80" zoomScaleNormal="80" workbookViewId="0">
      <pane xSplit="1" ySplit="6" topLeftCell="T205" activePane="bottomRight" state="frozen"/>
      <selection pane="topRight" activeCell="B1" sqref="B1"/>
      <selection pane="bottomLeft" activeCell="A7" sqref="A7"/>
      <selection pane="bottomRight" activeCell="A226" sqref="A226:XFD226"/>
    </sheetView>
  </sheetViews>
  <sheetFormatPr baseColWidth="10" defaultColWidth="11.5546875" defaultRowHeight="18.75"/>
  <cols>
    <col min="1" max="1" width="32.6640625" style="2" customWidth="1"/>
    <col min="2" max="2" width="11.6640625" style="2" bestFit="1" customWidth="1"/>
    <col min="3" max="3" width="15.5546875" style="2" customWidth="1"/>
    <col min="4" max="4" width="16.88671875" style="2" customWidth="1"/>
    <col min="5" max="5" width="10.6640625" style="2" customWidth="1"/>
    <col min="6" max="6" width="10.77734375" style="2" customWidth="1"/>
    <col min="7" max="7" width="21.5546875" style="2" bestFit="1" customWidth="1"/>
    <col min="8" max="8" width="12.109375" style="2" customWidth="1"/>
    <col min="9" max="10" width="11.6640625" style="2" bestFit="1" customWidth="1"/>
    <col min="11" max="11" width="16.6640625" style="2" customWidth="1"/>
    <col min="12" max="12" width="13.77734375" style="2" bestFit="1" customWidth="1"/>
    <col min="13" max="13" width="24.21875" style="2" customWidth="1"/>
    <col min="14" max="14" width="22.109375" style="2" customWidth="1"/>
    <col min="15" max="15" width="13.33203125" style="2" customWidth="1"/>
    <col min="16" max="16" width="22.21875" style="2" customWidth="1"/>
    <col min="17" max="17" width="11.6640625" style="2" bestFit="1" customWidth="1"/>
    <col min="18" max="18" width="20.6640625" style="2" customWidth="1"/>
    <col min="19" max="20" width="11.6640625" style="2" bestFit="1" customWidth="1"/>
    <col min="21" max="21" width="14.33203125" style="21" customWidth="1"/>
    <col min="22" max="16384" width="11.5546875" style="2"/>
  </cols>
  <sheetData>
    <row r="1" spans="1:21">
      <c r="A1" s="15" t="s">
        <v>23</v>
      </c>
      <c r="U1" s="21" t="s">
        <v>62</v>
      </c>
    </row>
    <row r="2" spans="1:21">
      <c r="F2" s="42" t="s">
        <v>55</v>
      </c>
      <c r="G2" s="42"/>
      <c r="H2" s="42"/>
    </row>
    <row r="3" spans="1:21" ht="21" customHeight="1"/>
    <row r="4" spans="1:21" s="23" customFormat="1" ht="15.75" customHeight="1">
      <c r="A4" s="63" t="s">
        <v>46</v>
      </c>
      <c r="B4" s="57" t="s">
        <v>3</v>
      </c>
      <c r="C4" s="58"/>
      <c r="D4" s="58"/>
      <c r="E4" s="59"/>
      <c r="F4" s="43" t="s">
        <v>4</v>
      </c>
      <c r="G4" s="44"/>
      <c r="H4" s="44"/>
      <c r="I4" s="44"/>
      <c r="J4" s="44"/>
      <c r="K4" s="44"/>
      <c r="L4" s="44"/>
      <c r="M4" s="44"/>
      <c r="N4" s="44"/>
      <c r="O4" s="45"/>
      <c r="P4" s="43"/>
      <c r="Q4" s="44"/>
      <c r="R4" s="44"/>
      <c r="S4" s="44"/>
      <c r="T4" s="44"/>
      <c r="U4" s="54" t="s">
        <v>21</v>
      </c>
    </row>
    <row r="5" spans="1:21" s="23" customFormat="1" ht="18">
      <c r="A5" s="64"/>
      <c r="B5" s="60"/>
      <c r="C5" s="61"/>
      <c r="D5" s="61"/>
      <c r="E5" s="62"/>
      <c r="F5" s="43" t="s">
        <v>22</v>
      </c>
      <c r="G5" s="44"/>
      <c r="H5" s="44"/>
      <c r="I5" s="44"/>
      <c r="J5" s="44"/>
      <c r="K5" s="44"/>
      <c r="L5" s="44"/>
      <c r="M5" s="44"/>
      <c r="N5" s="44"/>
      <c r="O5" s="45"/>
      <c r="P5" s="43" t="s">
        <v>7</v>
      </c>
      <c r="Q5" s="44"/>
      <c r="R5" s="44"/>
      <c r="S5" s="44"/>
      <c r="T5" s="52" t="s">
        <v>0</v>
      </c>
      <c r="U5" s="55"/>
    </row>
    <row r="6" spans="1:21" s="23" customFormat="1" ht="90">
      <c r="A6" s="65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53"/>
      <c r="U6" s="56"/>
    </row>
    <row r="7" spans="1:21" s="35" customFormat="1" ht="15.75">
      <c r="A7" s="40">
        <v>39478</v>
      </c>
      <c r="B7" s="29">
        <v>71000.099999999977</v>
      </c>
      <c r="C7" s="29">
        <v>72524.799999999988</v>
      </c>
      <c r="D7" s="29"/>
      <c r="E7" s="29">
        <f>SUM(B7:D7)</f>
        <v>143524.89999999997</v>
      </c>
      <c r="F7" s="29">
        <v>158139.70000000001</v>
      </c>
      <c r="G7" s="29">
        <v>40422.300000000003</v>
      </c>
      <c r="H7" s="29"/>
      <c r="I7" s="29">
        <v>5365.5</v>
      </c>
      <c r="J7" s="30"/>
      <c r="K7" s="30"/>
      <c r="L7" s="31">
        <f t="shared" ref="L7:L70" si="0">SUM(F7:K7)</f>
        <v>203927.5</v>
      </c>
      <c r="M7" s="32">
        <v>80610.600000000006</v>
      </c>
      <c r="N7" s="29">
        <v>9941.8999999999978</v>
      </c>
      <c r="O7" s="31">
        <f t="shared" ref="O7:O70" si="1">L7-M7-N7</f>
        <v>113375</v>
      </c>
      <c r="P7" s="29">
        <v>9503.2000000000007</v>
      </c>
      <c r="Q7" s="29">
        <v>218676.50000000003</v>
      </c>
      <c r="R7" s="31">
        <v>77.900000000000006</v>
      </c>
      <c r="S7" s="29">
        <f>SUM(P7:R7)</f>
        <v>228257.60000000003</v>
      </c>
      <c r="T7" s="33">
        <f t="shared" ref="T7:T38" si="2">S7+O7</f>
        <v>341632.60000000003</v>
      </c>
      <c r="U7" s="29">
        <f t="shared" ref="U7:U38" si="3">T7+E7</f>
        <v>485157.5</v>
      </c>
    </row>
    <row r="8" spans="1:21" s="35" customFormat="1" ht="15.75">
      <c r="A8" s="40">
        <v>39507</v>
      </c>
      <c r="B8" s="29">
        <v>62812.299999999988</v>
      </c>
      <c r="C8" s="29">
        <v>81461.900000000009</v>
      </c>
      <c r="D8" s="29"/>
      <c r="E8" s="29">
        <f t="shared" ref="E8:E71" si="4">SUM(B8:D8)</f>
        <v>144274.20000000001</v>
      </c>
      <c r="F8" s="29">
        <v>163802</v>
      </c>
      <c r="G8" s="29">
        <v>45396.9</v>
      </c>
      <c r="H8" s="29" t="s">
        <v>2</v>
      </c>
      <c r="I8" s="29">
        <v>6283.7000000000007</v>
      </c>
      <c r="J8" s="30" t="s">
        <v>2</v>
      </c>
      <c r="K8" s="30" t="s">
        <v>2</v>
      </c>
      <c r="L8" s="31">
        <f t="shared" si="0"/>
        <v>215482.6</v>
      </c>
      <c r="M8" s="32">
        <v>76125.5</v>
      </c>
      <c r="N8" s="29">
        <v>9334.5</v>
      </c>
      <c r="O8" s="31">
        <f t="shared" si="1"/>
        <v>130022.6</v>
      </c>
      <c r="P8" s="29">
        <v>9111.2000000000007</v>
      </c>
      <c r="Q8" s="29">
        <v>217278.00000000003</v>
      </c>
      <c r="R8" s="31">
        <v>106.1</v>
      </c>
      <c r="S8" s="29">
        <f t="shared" ref="S8:S71" si="5">SUM(P8:R8)</f>
        <v>226495.30000000005</v>
      </c>
      <c r="T8" s="33">
        <f t="shared" si="2"/>
        <v>356517.9</v>
      </c>
      <c r="U8" s="29">
        <f t="shared" si="3"/>
        <v>500792.10000000003</v>
      </c>
    </row>
    <row r="9" spans="1:21" s="35" customFormat="1" ht="15.75">
      <c r="A9" s="40">
        <v>39538</v>
      </c>
      <c r="B9" s="29">
        <v>60403.499999999942</v>
      </c>
      <c r="C9" s="29">
        <v>88180.9</v>
      </c>
      <c r="D9" s="29"/>
      <c r="E9" s="29">
        <f t="shared" si="4"/>
        <v>148584.39999999994</v>
      </c>
      <c r="F9" s="29">
        <v>173616.9</v>
      </c>
      <c r="G9" s="29">
        <v>45326.400000000001</v>
      </c>
      <c r="H9" s="29" t="s">
        <v>2</v>
      </c>
      <c r="I9" s="29">
        <v>6220.2999999999993</v>
      </c>
      <c r="J9" s="30" t="s">
        <v>2</v>
      </c>
      <c r="K9" s="30" t="s">
        <v>2</v>
      </c>
      <c r="L9" s="31">
        <f t="shared" si="0"/>
        <v>225163.59999999998</v>
      </c>
      <c r="M9" s="32">
        <v>80768</v>
      </c>
      <c r="N9" s="29">
        <v>11101.600000000002</v>
      </c>
      <c r="O9" s="31">
        <f t="shared" si="1"/>
        <v>133293.99999999997</v>
      </c>
      <c r="P9" s="29">
        <v>9802.6999999999989</v>
      </c>
      <c r="Q9" s="29">
        <v>220978.30000000005</v>
      </c>
      <c r="R9" s="31">
        <v>105.1</v>
      </c>
      <c r="S9" s="29">
        <f t="shared" si="5"/>
        <v>230886.10000000006</v>
      </c>
      <c r="T9" s="33">
        <f t="shared" si="2"/>
        <v>364180.10000000003</v>
      </c>
      <c r="U9" s="29">
        <f t="shared" si="3"/>
        <v>512764.5</v>
      </c>
    </row>
    <row r="10" spans="1:21" s="35" customFormat="1" ht="15.75">
      <c r="A10" s="40">
        <v>39568</v>
      </c>
      <c r="B10" s="29">
        <v>65629.399999999994</v>
      </c>
      <c r="C10" s="29">
        <v>84707.599999999977</v>
      </c>
      <c r="D10" s="29"/>
      <c r="E10" s="29">
        <f t="shared" si="4"/>
        <v>150336.99999999997</v>
      </c>
      <c r="F10" s="29">
        <v>179672.1</v>
      </c>
      <c r="G10" s="29">
        <v>44626.400000000001</v>
      </c>
      <c r="H10" s="29" t="s">
        <v>2</v>
      </c>
      <c r="I10" s="29">
        <v>8569.1</v>
      </c>
      <c r="J10" s="30" t="s">
        <v>2</v>
      </c>
      <c r="K10" s="30" t="s">
        <v>2</v>
      </c>
      <c r="L10" s="31">
        <f t="shared" si="0"/>
        <v>232867.6</v>
      </c>
      <c r="M10" s="32">
        <v>91380.599999999991</v>
      </c>
      <c r="N10" s="29">
        <v>11534.699999999999</v>
      </c>
      <c r="O10" s="31">
        <f t="shared" si="1"/>
        <v>129952.3</v>
      </c>
      <c r="P10" s="29">
        <v>9230.9999999999982</v>
      </c>
      <c r="Q10" s="29">
        <v>223510</v>
      </c>
      <c r="R10" s="31">
        <v>104.3</v>
      </c>
      <c r="S10" s="29">
        <f t="shared" si="5"/>
        <v>232845.3</v>
      </c>
      <c r="T10" s="33">
        <f t="shared" si="2"/>
        <v>362797.6</v>
      </c>
      <c r="U10" s="29">
        <f t="shared" si="3"/>
        <v>513134.6</v>
      </c>
    </row>
    <row r="11" spans="1:21" s="35" customFormat="1" ht="15.75">
      <c r="A11" s="40">
        <v>39599</v>
      </c>
      <c r="B11" s="29">
        <v>61488</v>
      </c>
      <c r="C11" s="29">
        <v>79298.499999999985</v>
      </c>
      <c r="D11" s="29"/>
      <c r="E11" s="29">
        <f t="shared" si="4"/>
        <v>140786.5</v>
      </c>
      <c r="F11" s="29">
        <v>182582.3</v>
      </c>
      <c r="G11" s="29">
        <v>40822.200000000004</v>
      </c>
      <c r="H11" s="29" t="s">
        <v>2</v>
      </c>
      <c r="I11" s="29">
        <v>5414</v>
      </c>
      <c r="J11" s="30" t="s">
        <v>2</v>
      </c>
      <c r="K11" s="30" t="s">
        <v>2</v>
      </c>
      <c r="L11" s="31">
        <f t="shared" si="0"/>
        <v>228818.5</v>
      </c>
      <c r="M11" s="32">
        <v>89184.723000000013</v>
      </c>
      <c r="N11" s="29">
        <v>10026.699999999999</v>
      </c>
      <c r="O11" s="31">
        <f t="shared" si="1"/>
        <v>129607.077</v>
      </c>
      <c r="P11" s="29">
        <v>9642.4</v>
      </c>
      <c r="Q11" s="29">
        <v>225959.4</v>
      </c>
      <c r="R11" s="31">
        <v>104.4</v>
      </c>
      <c r="S11" s="29">
        <f t="shared" si="5"/>
        <v>235706.19999999998</v>
      </c>
      <c r="T11" s="33">
        <f t="shared" si="2"/>
        <v>365313.277</v>
      </c>
      <c r="U11" s="29">
        <f t="shared" si="3"/>
        <v>506099.777</v>
      </c>
    </row>
    <row r="12" spans="1:21" s="35" customFormat="1" ht="15.75">
      <c r="A12" s="40">
        <v>39629</v>
      </c>
      <c r="B12" s="29">
        <v>56309.5</v>
      </c>
      <c r="C12" s="29">
        <v>82636.399999999994</v>
      </c>
      <c r="D12" s="29"/>
      <c r="E12" s="29">
        <f t="shared" si="4"/>
        <v>138945.9</v>
      </c>
      <c r="F12" s="29">
        <v>185113.8</v>
      </c>
      <c r="G12" s="29">
        <v>41022.200000000004</v>
      </c>
      <c r="H12" s="29" t="s">
        <v>2</v>
      </c>
      <c r="I12" s="29">
        <v>8052.4</v>
      </c>
      <c r="J12" s="30" t="s">
        <v>2</v>
      </c>
      <c r="K12" s="30" t="s">
        <v>2</v>
      </c>
      <c r="L12" s="31">
        <f t="shared" si="0"/>
        <v>234188.4</v>
      </c>
      <c r="M12" s="32">
        <v>82103</v>
      </c>
      <c r="N12" s="29">
        <v>10096.199999999999</v>
      </c>
      <c r="O12" s="31">
        <f t="shared" si="1"/>
        <v>141989.19999999998</v>
      </c>
      <c r="P12" s="29">
        <v>12850.8</v>
      </c>
      <c r="Q12" s="29">
        <v>237857.6</v>
      </c>
      <c r="R12" s="31">
        <v>101.8</v>
      </c>
      <c r="S12" s="29">
        <f t="shared" si="5"/>
        <v>250810.19999999998</v>
      </c>
      <c r="T12" s="33">
        <f t="shared" si="2"/>
        <v>392799.39999999997</v>
      </c>
      <c r="U12" s="29">
        <f t="shared" si="3"/>
        <v>531745.29999999993</v>
      </c>
    </row>
    <row r="13" spans="1:21" s="35" customFormat="1" ht="15.75">
      <c r="A13" s="40">
        <v>39660</v>
      </c>
      <c r="B13" s="29">
        <v>70144.199999999953</v>
      </c>
      <c r="C13" s="29">
        <v>74558.799999999988</v>
      </c>
      <c r="D13" s="29"/>
      <c r="E13" s="29">
        <f t="shared" si="4"/>
        <v>144702.99999999994</v>
      </c>
      <c r="F13" s="29">
        <v>177924.3</v>
      </c>
      <c r="G13" s="29">
        <v>36154.800000000003</v>
      </c>
      <c r="H13" s="29" t="s">
        <v>2</v>
      </c>
      <c r="I13" s="29">
        <v>7102.2999999999993</v>
      </c>
      <c r="J13" s="30" t="s">
        <v>2</v>
      </c>
      <c r="K13" s="30" t="s">
        <v>2</v>
      </c>
      <c r="L13" s="31">
        <f t="shared" si="0"/>
        <v>221181.39999999997</v>
      </c>
      <c r="M13" s="32">
        <v>79078.900000000009</v>
      </c>
      <c r="N13" s="29">
        <v>9264.6999999999989</v>
      </c>
      <c r="O13" s="31">
        <f t="shared" si="1"/>
        <v>132837.79999999993</v>
      </c>
      <c r="P13" s="29">
        <v>23911.999999999996</v>
      </c>
      <c r="Q13" s="29">
        <v>245655.30000000002</v>
      </c>
      <c r="R13" s="31">
        <v>102.39999999999999</v>
      </c>
      <c r="S13" s="29">
        <f t="shared" si="5"/>
        <v>269669.7</v>
      </c>
      <c r="T13" s="33">
        <f t="shared" si="2"/>
        <v>402507.49999999994</v>
      </c>
      <c r="U13" s="29">
        <f t="shared" si="3"/>
        <v>547210.49999999988</v>
      </c>
    </row>
    <row r="14" spans="1:21" s="35" customFormat="1" ht="15.75">
      <c r="A14" s="40">
        <v>39691</v>
      </c>
      <c r="B14" s="29">
        <v>79117.500000000029</v>
      </c>
      <c r="C14" s="29">
        <v>86599.4</v>
      </c>
      <c r="D14" s="29"/>
      <c r="E14" s="29">
        <f t="shared" si="4"/>
        <v>165716.90000000002</v>
      </c>
      <c r="F14" s="29">
        <v>181494.5</v>
      </c>
      <c r="G14" s="29">
        <v>35951.5</v>
      </c>
      <c r="H14" s="29" t="s">
        <v>2</v>
      </c>
      <c r="I14" s="29">
        <v>6763.1</v>
      </c>
      <c r="J14" s="30" t="s">
        <v>2</v>
      </c>
      <c r="K14" s="30" t="s">
        <v>2</v>
      </c>
      <c r="L14" s="31">
        <f t="shared" si="0"/>
        <v>224209.1</v>
      </c>
      <c r="M14" s="32">
        <v>100261.9</v>
      </c>
      <c r="N14" s="29">
        <v>9613.6999999999989</v>
      </c>
      <c r="O14" s="31">
        <f t="shared" si="1"/>
        <v>114333.50000000001</v>
      </c>
      <c r="P14" s="29">
        <v>30283.5</v>
      </c>
      <c r="Q14" s="29">
        <v>249193.1</v>
      </c>
      <c r="R14" s="31">
        <v>90.899999999999991</v>
      </c>
      <c r="S14" s="29">
        <f t="shared" si="5"/>
        <v>279567.5</v>
      </c>
      <c r="T14" s="33">
        <f t="shared" si="2"/>
        <v>393901</v>
      </c>
      <c r="U14" s="29">
        <f t="shared" si="3"/>
        <v>559617.9</v>
      </c>
    </row>
    <row r="15" spans="1:21" s="35" customFormat="1" ht="15.75">
      <c r="A15" s="40">
        <v>39721</v>
      </c>
      <c r="B15" s="29">
        <v>75833.299999999959</v>
      </c>
      <c r="C15" s="29">
        <v>106593.50000000003</v>
      </c>
      <c r="D15" s="29"/>
      <c r="E15" s="29">
        <f t="shared" si="4"/>
        <v>182426.8</v>
      </c>
      <c r="F15" s="29">
        <v>167686.39999999999</v>
      </c>
      <c r="G15" s="29">
        <v>44061</v>
      </c>
      <c r="H15" s="29" t="s">
        <v>2</v>
      </c>
      <c r="I15" s="29">
        <v>7787.3</v>
      </c>
      <c r="J15" s="30" t="s">
        <v>2</v>
      </c>
      <c r="K15" s="30" t="s">
        <v>2</v>
      </c>
      <c r="L15" s="31">
        <f t="shared" si="0"/>
        <v>219534.69999999998</v>
      </c>
      <c r="M15" s="32">
        <v>100053.9</v>
      </c>
      <c r="N15" s="29">
        <v>9456.2000000000007</v>
      </c>
      <c r="O15" s="31">
        <f t="shared" si="1"/>
        <v>110024.59999999999</v>
      </c>
      <c r="P15" s="29">
        <v>31552.799999999999</v>
      </c>
      <c r="Q15" s="29">
        <v>254099.09999999998</v>
      </c>
      <c r="R15" s="31">
        <v>93</v>
      </c>
      <c r="S15" s="29">
        <f t="shared" si="5"/>
        <v>285744.89999999997</v>
      </c>
      <c r="T15" s="33">
        <f t="shared" si="2"/>
        <v>395769.49999999994</v>
      </c>
      <c r="U15" s="29">
        <f t="shared" si="3"/>
        <v>578196.29999999993</v>
      </c>
    </row>
    <row r="16" spans="1:21" s="35" customFormat="1" ht="15.75">
      <c r="A16" s="40">
        <v>39752</v>
      </c>
      <c r="B16" s="29">
        <v>95303.6</v>
      </c>
      <c r="C16" s="29">
        <v>96499.799999999988</v>
      </c>
      <c r="D16" s="29"/>
      <c r="E16" s="29">
        <f t="shared" si="4"/>
        <v>191803.4</v>
      </c>
      <c r="F16" s="29">
        <v>161646.39999999999</v>
      </c>
      <c r="G16" s="29">
        <v>43061</v>
      </c>
      <c r="H16" s="29" t="s">
        <v>2</v>
      </c>
      <c r="I16" s="29">
        <v>7537.4000000000005</v>
      </c>
      <c r="J16" s="30" t="s">
        <v>2</v>
      </c>
      <c r="K16" s="30" t="s">
        <v>2</v>
      </c>
      <c r="L16" s="31">
        <f t="shared" si="0"/>
        <v>212244.8</v>
      </c>
      <c r="M16" s="32">
        <v>101928.7</v>
      </c>
      <c r="N16" s="29">
        <v>11011.5</v>
      </c>
      <c r="O16" s="31">
        <f t="shared" si="1"/>
        <v>99304.599999999991</v>
      </c>
      <c r="P16" s="29">
        <v>27717.1</v>
      </c>
      <c r="Q16" s="29">
        <v>268878.59999999998</v>
      </c>
      <c r="R16" s="31">
        <v>129.9</v>
      </c>
      <c r="S16" s="29">
        <f t="shared" si="5"/>
        <v>296725.59999999998</v>
      </c>
      <c r="T16" s="33">
        <f t="shared" si="2"/>
        <v>396030.19999999995</v>
      </c>
      <c r="U16" s="29">
        <f t="shared" si="3"/>
        <v>587833.59999999998</v>
      </c>
    </row>
    <row r="17" spans="1:21" s="35" customFormat="1" ht="15.75">
      <c r="A17" s="40">
        <v>39782</v>
      </c>
      <c r="B17" s="29">
        <v>107336.39999999994</v>
      </c>
      <c r="C17" s="29">
        <v>99747.400000000023</v>
      </c>
      <c r="D17" s="29"/>
      <c r="E17" s="29">
        <f t="shared" si="4"/>
        <v>207083.79999999996</v>
      </c>
      <c r="F17" s="29">
        <v>146839.90000000002</v>
      </c>
      <c r="G17" s="29">
        <v>49561</v>
      </c>
      <c r="H17" s="29" t="s">
        <v>2</v>
      </c>
      <c r="I17" s="29">
        <v>7407</v>
      </c>
      <c r="J17" s="30" t="s">
        <v>2</v>
      </c>
      <c r="K17" s="30" t="s">
        <v>2</v>
      </c>
      <c r="L17" s="31">
        <f t="shared" si="0"/>
        <v>203807.90000000002</v>
      </c>
      <c r="M17" s="32">
        <v>100314.5</v>
      </c>
      <c r="N17" s="29">
        <v>9960.7000000000007</v>
      </c>
      <c r="O17" s="31">
        <f t="shared" si="1"/>
        <v>93532.700000000026</v>
      </c>
      <c r="P17" s="29">
        <v>24662.6</v>
      </c>
      <c r="Q17" s="29">
        <v>267453.30000000005</v>
      </c>
      <c r="R17" s="31">
        <v>126.60000000000001</v>
      </c>
      <c r="S17" s="29">
        <f t="shared" si="5"/>
        <v>292242.5</v>
      </c>
      <c r="T17" s="33">
        <f t="shared" si="2"/>
        <v>385775.2</v>
      </c>
      <c r="U17" s="29">
        <f t="shared" si="3"/>
        <v>592859</v>
      </c>
    </row>
    <row r="18" spans="1:21" s="35" customFormat="1" ht="15.75">
      <c r="A18" s="40">
        <v>39813</v>
      </c>
      <c r="B18" s="29">
        <v>159092.20000000007</v>
      </c>
      <c r="C18" s="29">
        <v>95759.5</v>
      </c>
      <c r="D18" s="29"/>
      <c r="E18" s="29">
        <f t="shared" si="4"/>
        <v>254851.70000000007</v>
      </c>
      <c r="F18" s="29">
        <v>170798.9</v>
      </c>
      <c r="G18" s="29">
        <v>58561</v>
      </c>
      <c r="H18" s="29" t="s">
        <v>2</v>
      </c>
      <c r="I18" s="29">
        <v>9544.5</v>
      </c>
      <c r="J18" s="30" t="s">
        <v>2</v>
      </c>
      <c r="K18" s="30" t="s">
        <v>2</v>
      </c>
      <c r="L18" s="31">
        <f t="shared" si="0"/>
        <v>238904.4</v>
      </c>
      <c r="M18" s="32">
        <v>125831.59999999999</v>
      </c>
      <c r="N18" s="29">
        <v>11736.2</v>
      </c>
      <c r="O18" s="31">
        <f t="shared" si="1"/>
        <v>101336.6</v>
      </c>
      <c r="P18" s="29">
        <v>21927.199999999997</v>
      </c>
      <c r="Q18" s="29">
        <v>261749.50000000003</v>
      </c>
      <c r="R18" s="31">
        <v>120.8</v>
      </c>
      <c r="S18" s="29">
        <f t="shared" si="5"/>
        <v>283797.5</v>
      </c>
      <c r="T18" s="33">
        <f t="shared" si="2"/>
        <v>385134.1</v>
      </c>
      <c r="U18" s="29">
        <f t="shared" si="3"/>
        <v>639985.80000000005</v>
      </c>
    </row>
    <row r="19" spans="1:21" s="35" customFormat="1" ht="15.75">
      <c r="A19" s="40">
        <v>39844</v>
      </c>
      <c r="B19" s="29">
        <v>141369.9</v>
      </c>
      <c r="C19" s="29">
        <v>88477.799999999988</v>
      </c>
      <c r="D19" s="29"/>
      <c r="E19" s="29">
        <f t="shared" si="4"/>
        <v>229847.69999999998</v>
      </c>
      <c r="F19" s="29">
        <v>148190.5</v>
      </c>
      <c r="G19" s="29">
        <v>55061</v>
      </c>
      <c r="H19" s="29" t="s">
        <v>2</v>
      </c>
      <c r="I19" s="29">
        <v>7472.2</v>
      </c>
      <c r="J19" s="30" t="s">
        <v>2</v>
      </c>
      <c r="K19" s="30" t="s">
        <v>2</v>
      </c>
      <c r="L19" s="31">
        <f t="shared" si="0"/>
        <v>210723.7</v>
      </c>
      <c r="M19" s="32">
        <v>107241.29999999999</v>
      </c>
      <c r="N19" s="29">
        <v>11146.4</v>
      </c>
      <c r="O19" s="31">
        <f t="shared" si="1"/>
        <v>92336.000000000029</v>
      </c>
      <c r="P19" s="29">
        <v>19781.399999999998</v>
      </c>
      <c r="Q19" s="29">
        <v>262133.40000000002</v>
      </c>
      <c r="R19" s="31">
        <v>116.7</v>
      </c>
      <c r="S19" s="29">
        <f t="shared" si="5"/>
        <v>282031.50000000006</v>
      </c>
      <c r="T19" s="33">
        <f t="shared" si="2"/>
        <v>374367.50000000012</v>
      </c>
      <c r="U19" s="29">
        <f t="shared" si="3"/>
        <v>604215.20000000007</v>
      </c>
    </row>
    <row r="20" spans="1:21" s="35" customFormat="1" ht="15.75">
      <c r="A20" s="40">
        <v>39872</v>
      </c>
      <c r="B20" s="29">
        <v>125265.90000000002</v>
      </c>
      <c r="C20" s="29">
        <v>89948.099999999977</v>
      </c>
      <c r="D20" s="29"/>
      <c r="E20" s="29">
        <f t="shared" si="4"/>
        <v>215214</v>
      </c>
      <c r="F20" s="29">
        <v>154147.90000000002</v>
      </c>
      <c r="G20" s="29">
        <v>62061</v>
      </c>
      <c r="H20" s="29" t="s">
        <v>2</v>
      </c>
      <c r="I20" s="29">
        <v>7189.7</v>
      </c>
      <c r="J20" s="30" t="s">
        <v>2</v>
      </c>
      <c r="K20" s="30" t="s">
        <v>2</v>
      </c>
      <c r="L20" s="31">
        <f t="shared" si="0"/>
        <v>223398.60000000003</v>
      </c>
      <c r="M20" s="32">
        <v>104477.63200000001</v>
      </c>
      <c r="N20" s="29">
        <v>13227.599999999999</v>
      </c>
      <c r="O20" s="31">
        <f t="shared" si="1"/>
        <v>105693.36800000002</v>
      </c>
      <c r="P20" s="29">
        <v>15991.599999999999</v>
      </c>
      <c r="Q20" s="29">
        <v>265166.90000000002</v>
      </c>
      <c r="R20" s="31">
        <v>130.70000000000002</v>
      </c>
      <c r="S20" s="29">
        <f t="shared" si="5"/>
        <v>281289.2</v>
      </c>
      <c r="T20" s="33">
        <f t="shared" si="2"/>
        <v>386982.56800000003</v>
      </c>
      <c r="U20" s="29">
        <f t="shared" si="3"/>
        <v>602196.56799999997</v>
      </c>
    </row>
    <row r="21" spans="1:21" s="35" customFormat="1" ht="15.75">
      <c r="A21" s="40">
        <v>39903</v>
      </c>
      <c r="B21" s="29">
        <v>105784.50000000003</v>
      </c>
      <c r="C21" s="29">
        <v>92328.9</v>
      </c>
      <c r="D21" s="29"/>
      <c r="E21" s="29">
        <f t="shared" si="4"/>
        <v>198113.40000000002</v>
      </c>
      <c r="F21" s="29">
        <v>157525.1</v>
      </c>
      <c r="G21" s="29">
        <v>66253.7</v>
      </c>
      <c r="H21" s="29" t="s">
        <v>2</v>
      </c>
      <c r="I21" s="29">
        <v>6953.7</v>
      </c>
      <c r="J21" s="30" t="s">
        <v>2</v>
      </c>
      <c r="K21" s="30" t="s">
        <v>2</v>
      </c>
      <c r="L21" s="31">
        <f t="shared" si="0"/>
        <v>230732.5</v>
      </c>
      <c r="M21" s="32">
        <v>101779.5</v>
      </c>
      <c r="N21" s="29">
        <v>10745.9</v>
      </c>
      <c r="O21" s="31">
        <f t="shared" si="1"/>
        <v>118207.1</v>
      </c>
      <c r="P21" s="29">
        <v>12695.3</v>
      </c>
      <c r="Q21" s="29">
        <v>273015.60000000003</v>
      </c>
      <c r="R21" s="31">
        <v>126.7</v>
      </c>
      <c r="S21" s="29">
        <f t="shared" si="5"/>
        <v>285837.60000000003</v>
      </c>
      <c r="T21" s="33">
        <f t="shared" si="2"/>
        <v>404044.70000000007</v>
      </c>
      <c r="U21" s="29">
        <f t="shared" si="3"/>
        <v>602158.10000000009</v>
      </c>
    </row>
    <row r="22" spans="1:21" s="35" customFormat="1" ht="15.75">
      <c r="A22" s="40">
        <v>39933</v>
      </c>
      <c r="B22" s="29">
        <v>90877.500000000029</v>
      </c>
      <c r="C22" s="29">
        <v>89777.400000000023</v>
      </c>
      <c r="D22" s="29"/>
      <c r="E22" s="29">
        <f t="shared" si="4"/>
        <v>180654.90000000005</v>
      </c>
      <c r="F22" s="29">
        <v>163693.70000000001</v>
      </c>
      <c r="G22" s="29">
        <v>66353.7</v>
      </c>
      <c r="H22" s="29" t="s">
        <v>2</v>
      </c>
      <c r="I22" s="29">
        <v>9039.1</v>
      </c>
      <c r="J22" s="30" t="s">
        <v>2</v>
      </c>
      <c r="K22" s="30" t="s">
        <v>2</v>
      </c>
      <c r="L22" s="31">
        <f t="shared" si="0"/>
        <v>239086.50000000003</v>
      </c>
      <c r="M22" s="32">
        <v>93895.6</v>
      </c>
      <c r="N22" s="29">
        <v>11639.400000000003</v>
      </c>
      <c r="O22" s="31">
        <f t="shared" si="1"/>
        <v>133551.50000000003</v>
      </c>
      <c r="P22" s="29">
        <v>11258.4</v>
      </c>
      <c r="Q22" s="29">
        <v>275860</v>
      </c>
      <c r="R22" s="31">
        <v>152.1</v>
      </c>
      <c r="S22" s="29">
        <f t="shared" si="5"/>
        <v>287270.5</v>
      </c>
      <c r="T22" s="33">
        <f t="shared" si="2"/>
        <v>420822</v>
      </c>
      <c r="U22" s="29">
        <f t="shared" si="3"/>
        <v>601476.9</v>
      </c>
    </row>
    <row r="23" spans="1:21" s="35" customFormat="1" ht="15.75">
      <c r="A23" s="40">
        <v>39964</v>
      </c>
      <c r="B23" s="29">
        <v>154336.40000000008</v>
      </c>
      <c r="C23" s="29">
        <v>89065.299999999988</v>
      </c>
      <c r="D23" s="29"/>
      <c r="E23" s="29">
        <f t="shared" si="4"/>
        <v>243401.70000000007</v>
      </c>
      <c r="F23" s="29">
        <v>131037.20000000001</v>
      </c>
      <c r="G23" s="29">
        <v>103194.9</v>
      </c>
      <c r="H23" s="29" t="s">
        <v>2</v>
      </c>
      <c r="I23" s="29">
        <v>6620.5999999999995</v>
      </c>
      <c r="J23" s="30" t="s">
        <v>2</v>
      </c>
      <c r="K23" s="30" t="s">
        <v>2</v>
      </c>
      <c r="L23" s="31">
        <f t="shared" si="0"/>
        <v>240852.7</v>
      </c>
      <c r="M23" s="32">
        <v>127178.00000000001</v>
      </c>
      <c r="N23" s="29">
        <v>10597.9</v>
      </c>
      <c r="O23" s="31">
        <f t="shared" si="1"/>
        <v>103076.8</v>
      </c>
      <c r="P23" s="29">
        <v>10002.6</v>
      </c>
      <c r="Q23" s="29">
        <v>280752.8</v>
      </c>
      <c r="R23" s="31">
        <v>146.30000000000001</v>
      </c>
      <c r="S23" s="29">
        <f t="shared" si="5"/>
        <v>290901.69999999995</v>
      </c>
      <c r="T23" s="33">
        <f t="shared" si="2"/>
        <v>393978.49999999994</v>
      </c>
      <c r="U23" s="29">
        <f t="shared" si="3"/>
        <v>637380.19999999995</v>
      </c>
    </row>
    <row r="24" spans="1:21" s="35" customFormat="1" ht="15.75">
      <c r="A24" s="40">
        <v>39994</v>
      </c>
      <c r="B24" s="29">
        <v>148241.89999999997</v>
      </c>
      <c r="C24" s="29">
        <v>88724.5</v>
      </c>
      <c r="D24" s="29"/>
      <c r="E24" s="29">
        <f t="shared" si="4"/>
        <v>236966.39999999997</v>
      </c>
      <c r="F24" s="29">
        <v>153145.30000000002</v>
      </c>
      <c r="G24" s="29">
        <v>100670</v>
      </c>
      <c r="H24" s="29" t="s">
        <v>2</v>
      </c>
      <c r="I24" s="29">
        <v>9624.6</v>
      </c>
      <c r="J24" s="30" t="s">
        <v>2</v>
      </c>
      <c r="K24" s="30" t="s">
        <v>2</v>
      </c>
      <c r="L24" s="31">
        <f t="shared" si="0"/>
        <v>263439.90000000002</v>
      </c>
      <c r="M24" s="32">
        <v>125026.4</v>
      </c>
      <c r="N24" s="29">
        <v>13685.099999999999</v>
      </c>
      <c r="O24" s="31">
        <f t="shared" si="1"/>
        <v>124728.40000000002</v>
      </c>
      <c r="P24" s="29">
        <v>10443.4</v>
      </c>
      <c r="Q24" s="29">
        <v>285914.39999999997</v>
      </c>
      <c r="R24" s="31">
        <v>142.10000000000002</v>
      </c>
      <c r="S24" s="29">
        <f t="shared" si="5"/>
        <v>296499.89999999997</v>
      </c>
      <c r="T24" s="33">
        <f t="shared" si="2"/>
        <v>421228.3</v>
      </c>
      <c r="U24" s="29">
        <f t="shared" si="3"/>
        <v>658194.69999999995</v>
      </c>
    </row>
    <row r="25" spans="1:21" s="35" customFormat="1" ht="15.75">
      <c r="A25" s="40">
        <v>40025</v>
      </c>
      <c r="B25" s="29">
        <v>132152.60000000003</v>
      </c>
      <c r="C25" s="29">
        <v>87512.499999999985</v>
      </c>
      <c r="D25" s="29"/>
      <c r="E25" s="29">
        <f t="shared" si="4"/>
        <v>219665.10000000003</v>
      </c>
      <c r="F25" s="29">
        <v>147058</v>
      </c>
      <c r="G25" s="29">
        <v>106002.2</v>
      </c>
      <c r="H25" s="29" t="s">
        <v>2</v>
      </c>
      <c r="I25" s="29">
        <v>6644.5</v>
      </c>
      <c r="J25" s="30" t="s">
        <v>2</v>
      </c>
      <c r="K25" s="30" t="s">
        <v>2</v>
      </c>
      <c r="L25" s="31">
        <f t="shared" si="0"/>
        <v>259704.7</v>
      </c>
      <c r="M25" s="32">
        <v>115641</v>
      </c>
      <c r="N25" s="29">
        <v>12756.2</v>
      </c>
      <c r="O25" s="31">
        <f t="shared" si="1"/>
        <v>131307.5</v>
      </c>
      <c r="P25" s="29">
        <v>14183.899999999998</v>
      </c>
      <c r="Q25" s="29">
        <v>290106.40000000002</v>
      </c>
      <c r="R25" s="31">
        <v>429.20000000000005</v>
      </c>
      <c r="S25" s="29">
        <f t="shared" si="5"/>
        <v>304719.50000000006</v>
      </c>
      <c r="T25" s="33">
        <f t="shared" si="2"/>
        <v>436027.00000000006</v>
      </c>
      <c r="U25" s="29">
        <f t="shared" si="3"/>
        <v>655692.10000000009</v>
      </c>
    </row>
    <row r="26" spans="1:21" s="35" customFormat="1" ht="15.75">
      <c r="A26" s="40">
        <v>40056</v>
      </c>
      <c r="B26" s="29">
        <v>115750.00000000003</v>
      </c>
      <c r="C26" s="29">
        <v>92033.199999999983</v>
      </c>
      <c r="D26" s="29"/>
      <c r="E26" s="29">
        <f t="shared" si="4"/>
        <v>207783.2</v>
      </c>
      <c r="F26" s="29">
        <v>156341.6</v>
      </c>
      <c r="G26" s="29">
        <v>105584.9</v>
      </c>
      <c r="H26" s="29" t="s">
        <v>2</v>
      </c>
      <c r="I26" s="29">
        <v>6352.8</v>
      </c>
      <c r="J26" s="30" t="s">
        <v>2</v>
      </c>
      <c r="K26" s="30" t="s">
        <v>2</v>
      </c>
      <c r="L26" s="31">
        <f t="shared" si="0"/>
        <v>268279.3</v>
      </c>
      <c r="M26" s="32">
        <v>110373.8</v>
      </c>
      <c r="N26" s="29">
        <v>11905</v>
      </c>
      <c r="O26" s="31">
        <f t="shared" si="1"/>
        <v>146000.5</v>
      </c>
      <c r="P26" s="29">
        <v>16355.099999999999</v>
      </c>
      <c r="Q26" s="29">
        <v>291438.90000000002</v>
      </c>
      <c r="R26" s="31">
        <v>405.20000000000005</v>
      </c>
      <c r="S26" s="29">
        <f t="shared" si="5"/>
        <v>308199.2</v>
      </c>
      <c r="T26" s="33">
        <f t="shared" si="2"/>
        <v>454199.7</v>
      </c>
      <c r="U26" s="29">
        <f t="shared" si="3"/>
        <v>661982.9</v>
      </c>
    </row>
    <row r="27" spans="1:21" s="35" customFormat="1" ht="15.75">
      <c r="A27" s="40">
        <v>40086</v>
      </c>
      <c r="B27" s="29">
        <v>133943.70000000004</v>
      </c>
      <c r="C27" s="29">
        <v>88222.400000000009</v>
      </c>
      <c r="D27" s="29"/>
      <c r="E27" s="29">
        <f t="shared" si="4"/>
        <v>222166.10000000003</v>
      </c>
      <c r="F27" s="29">
        <v>138074.1</v>
      </c>
      <c r="G27" s="29">
        <v>111702.90000000001</v>
      </c>
      <c r="H27" s="29" t="s">
        <v>2</v>
      </c>
      <c r="I27" s="29">
        <v>6331.8</v>
      </c>
      <c r="J27" s="30" t="s">
        <v>2</v>
      </c>
      <c r="K27" s="30" t="s">
        <v>2</v>
      </c>
      <c r="L27" s="31">
        <f t="shared" si="0"/>
        <v>256108.79999999999</v>
      </c>
      <c r="M27" s="32">
        <v>103935.40000000001</v>
      </c>
      <c r="N27" s="29">
        <v>13697.7</v>
      </c>
      <c r="O27" s="31">
        <f t="shared" si="1"/>
        <v>138475.69999999995</v>
      </c>
      <c r="P27" s="29">
        <v>13712.800000000001</v>
      </c>
      <c r="Q27" s="29">
        <v>303197.90000000002</v>
      </c>
      <c r="R27" s="31">
        <v>396.70000000000005</v>
      </c>
      <c r="S27" s="29">
        <f t="shared" si="5"/>
        <v>317307.40000000002</v>
      </c>
      <c r="T27" s="33">
        <f t="shared" si="2"/>
        <v>455783.1</v>
      </c>
      <c r="U27" s="29">
        <f t="shared" si="3"/>
        <v>677949.2</v>
      </c>
    </row>
    <row r="28" spans="1:21" s="35" customFormat="1" ht="15.75">
      <c r="A28" s="40">
        <v>40117</v>
      </c>
      <c r="B28" s="29">
        <v>129014.59999999998</v>
      </c>
      <c r="C28" s="29">
        <v>87002.4</v>
      </c>
      <c r="D28" s="29"/>
      <c r="E28" s="29">
        <f t="shared" si="4"/>
        <v>216016.99999999997</v>
      </c>
      <c r="F28" s="29">
        <v>148531</v>
      </c>
      <c r="G28" s="29">
        <v>113360.5</v>
      </c>
      <c r="H28" s="29" t="s">
        <v>2</v>
      </c>
      <c r="I28" s="29">
        <v>6576.2</v>
      </c>
      <c r="J28" s="30" t="s">
        <v>2</v>
      </c>
      <c r="K28" s="30" t="s">
        <v>2</v>
      </c>
      <c r="L28" s="31">
        <f t="shared" si="0"/>
        <v>268467.7</v>
      </c>
      <c r="M28" s="32">
        <v>104063.5</v>
      </c>
      <c r="N28" s="29">
        <v>15167.399999999998</v>
      </c>
      <c r="O28" s="31">
        <f t="shared" si="1"/>
        <v>149236.80000000002</v>
      </c>
      <c r="P28" s="29">
        <v>12242.300000000001</v>
      </c>
      <c r="Q28" s="29">
        <v>310656.40000000008</v>
      </c>
      <c r="R28" s="31">
        <v>295.3</v>
      </c>
      <c r="S28" s="29">
        <f t="shared" si="5"/>
        <v>323194.00000000006</v>
      </c>
      <c r="T28" s="33">
        <f t="shared" si="2"/>
        <v>472430.80000000005</v>
      </c>
      <c r="U28" s="29">
        <f t="shared" si="3"/>
        <v>688447.8</v>
      </c>
    </row>
    <row r="29" spans="1:21" s="35" customFormat="1" ht="15.75">
      <c r="A29" s="40">
        <v>40147</v>
      </c>
      <c r="B29" s="29">
        <v>120358.70000000001</v>
      </c>
      <c r="C29" s="29">
        <v>92642.1</v>
      </c>
      <c r="D29" s="29"/>
      <c r="E29" s="29">
        <f t="shared" si="4"/>
        <v>213000.80000000002</v>
      </c>
      <c r="F29" s="29">
        <v>174575.8</v>
      </c>
      <c r="G29" s="29">
        <v>101650.3</v>
      </c>
      <c r="H29" s="29" t="s">
        <v>2</v>
      </c>
      <c r="I29" s="29">
        <v>6466</v>
      </c>
      <c r="J29" s="30" t="s">
        <v>2</v>
      </c>
      <c r="K29" s="30" t="s">
        <v>2</v>
      </c>
      <c r="L29" s="31">
        <f t="shared" si="0"/>
        <v>282692.09999999998</v>
      </c>
      <c r="M29" s="32">
        <v>123845.3</v>
      </c>
      <c r="N29" s="29">
        <v>15123.200000000003</v>
      </c>
      <c r="O29" s="31">
        <f t="shared" si="1"/>
        <v>143723.59999999998</v>
      </c>
      <c r="P29" s="29">
        <v>9760.8999999999978</v>
      </c>
      <c r="Q29" s="29">
        <v>323284.70000000007</v>
      </c>
      <c r="R29" s="31">
        <v>277</v>
      </c>
      <c r="S29" s="29">
        <f t="shared" si="5"/>
        <v>333322.60000000009</v>
      </c>
      <c r="T29" s="33">
        <f t="shared" si="2"/>
        <v>477046.20000000007</v>
      </c>
      <c r="U29" s="29">
        <f t="shared" si="3"/>
        <v>690047.00000000012</v>
      </c>
    </row>
    <row r="30" spans="1:21" s="35" customFormat="1" ht="15.75">
      <c r="A30" s="40">
        <v>40178</v>
      </c>
      <c r="B30" s="29">
        <v>144966.20000000007</v>
      </c>
      <c r="C30" s="29">
        <v>119531.40000000002</v>
      </c>
      <c r="D30" s="29"/>
      <c r="E30" s="29">
        <f t="shared" si="4"/>
        <v>264497.60000000009</v>
      </c>
      <c r="F30" s="29">
        <v>215622.30000000002</v>
      </c>
      <c r="G30" s="29">
        <v>100072.8</v>
      </c>
      <c r="H30" s="29" t="s">
        <v>2</v>
      </c>
      <c r="I30" s="29">
        <v>11255.3</v>
      </c>
      <c r="J30" s="30" t="s">
        <v>2</v>
      </c>
      <c r="K30" s="30" t="s">
        <v>2</v>
      </c>
      <c r="L30" s="31">
        <f t="shared" si="0"/>
        <v>326950.40000000002</v>
      </c>
      <c r="M30" s="32">
        <v>133925.09999999998</v>
      </c>
      <c r="N30" s="29">
        <v>14842.5</v>
      </c>
      <c r="O30" s="31">
        <f t="shared" si="1"/>
        <v>178182.80000000005</v>
      </c>
      <c r="P30" s="29">
        <v>8440.7000000000007</v>
      </c>
      <c r="Q30" s="29">
        <v>321233.5</v>
      </c>
      <c r="R30" s="31">
        <v>497.1</v>
      </c>
      <c r="S30" s="29">
        <f t="shared" si="5"/>
        <v>330171.3</v>
      </c>
      <c r="T30" s="33">
        <f t="shared" si="2"/>
        <v>508354.10000000003</v>
      </c>
      <c r="U30" s="29">
        <f t="shared" si="3"/>
        <v>772851.70000000019</v>
      </c>
    </row>
    <row r="31" spans="1:21" s="35" customFormat="1" ht="15.75">
      <c r="A31" s="40">
        <v>40209</v>
      </c>
      <c r="B31" s="29">
        <v>153042.50000000006</v>
      </c>
      <c r="C31" s="29">
        <v>117804.09999999999</v>
      </c>
      <c r="D31" s="29"/>
      <c r="E31" s="29">
        <f t="shared" si="4"/>
        <v>270846.60000000003</v>
      </c>
      <c r="F31" s="29">
        <v>161824.1</v>
      </c>
      <c r="G31" s="29">
        <v>99123.8</v>
      </c>
      <c r="H31" s="29" t="s">
        <v>2</v>
      </c>
      <c r="I31" s="29">
        <v>9359.6999999999989</v>
      </c>
      <c r="J31" s="29">
        <v>6525</v>
      </c>
      <c r="K31" s="29" t="s">
        <v>2</v>
      </c>
      <c r="L31" s="31">
        <f t="shared" si="0"/>
        <v>276832.60000000003</v>
      </c>
      <c r="M31" s="32">
        <v>135087.70000000001</v>
      </c>
      <c r="N31" s="29">
        <v>12646.6</v>
      </c>
      <c r="O31" s="31">
        <f t="shared" si="1"/>
        <v>129098.30000000002</v>
      </c>
      <c r="P31" s="29">
        <v>6768.0999999999995</v>
      </c>
      <c r="Q31" s="29">
        <v>323617.89999999997</v>
      </c>
      <c r="R31" s="31">
        <v>363.6</v>
      </c>
      <c r="S31" s="29">
        <f t="shared" si="5"/>
        <v>330749.59999999992</v>
      </c>
      <c r="T31" s="33">
        <f t="shared" si="2"/>
        <v>459847.89999999991</v>
      </c>
      <c r="U31" s="29">
        <f t="shared" si="3"/>
        <v>730694.5</v>
      </c>
    </row>
    <row r="32" spans="1:21" s="35" customFormat="1" ht="15.75">
      <c r="A32" s="40">
        <v>40237</v>
      </c>
      <c r="B32" s="29">
        <v>150227.50000000003</v>
      </c>
      <c r="C32" s="29">
        <v>122034.5</v>
      </c>
      <c r="D32" s="29"/>
      <c r="E32" s="29">
        <f t="shared" si="4"/>
        <v>272262</v>
      </c>
      <c r="F32" s="29">
        <v>171434.6</v>
      </c>
      <c r="G32" s="29">
        <v>99350.599999999991</v>
      </c>
      <c r="H32" s="29" t="s">
        <v>2</v>
      </c>
      <c r="I32" s="29">
        <v>9111</v>
      </c>
      <c r="J32" s="29">
        <v>6525</v>
      </c>
      <c r="K32" s="29" t="s">
        <v>2</v>
      </c>
      <c r="L32" s="31">
        <f t="shared" si="0"/>
        <v>286421.2</v>
      </c>
      <c r="M32" s="32">
        <v>145525.6</v>
      </c>
      <c r="N32" s="29">
        <v>14153.599999999999</v>
      </c>
      <c r="O32" s="31">
        <f t="shared" si="1"/>
        <v>126742</v>
      </c>
      <c r="P32" s="29">
        <v>6538.1</v>
      </c>
      <c r="Q32" s="29">
        <v>334217.7</v>
      </c>
      <c r="R32" s="31">
        <v>457.29999999999995</v>
      </c>
      <c r="S32" s="29">
        <f t="shared" si="5"/>
        <v>341213.1</v>
      </c>
      <c r="T32" s="33">
        <f t="shared" si="2"/>
        <v>467955.1</v>
      </c>
      <c r="U32" s="29">
        <f t="shared" si="3"/>
        <v>740217.1</v>
      </c>
    </row>
    <row r="33" spans="1:21" s="35" customFormat="1" ht="15.75">
      <c r="A33" s="40">
        <v>40268</v>
      </c>
      <c r="B33" s="29">
        <v>136213.69999999992</v>
      </c>
      <c r="C33" s="29">
        <v>122176.10000000003</v>
      </c>
      <c r="D33" s="29"/>
      <c r="E33" s="29">
        <f t="shared" si="4"/>
        <v>258389.79999999996</v>
      </c>
      <c r="F33" s="29">
        <v>154941.59999999998</v>
      </c>
      <c r="G33" s="29">
        <v>114821.4</v>
      </c>
      <c r="H33" s="29" t="s">
        <v>2</v>
      </c>
      <c r="I33" s="29">
        <v>8598.3000000000011</v>
      </c>
      <c r="J33" s="29">
        <v>18525</v>
      </c>
      <c r="K33" s="29" t="s">
        <v>2</v>
      </c>
      <c r="L33" s="31">
        <f t="shared" si="0"/>
        <v>296886.3</v>
      </c>
      <c r="M33" s="32">
        <v>137174.40000000002</v>
      </c>
      <c r="N33" s="29">
        <v>15411</v>
      </c>
      <c r="O33" s="31">
        <f t="shared" si="1"/>
        <v>144300.89999999997</v>
      </c>
      <c r="P33" s="29">
        <v>6418.5000000000009</v>
      </c>
      <c r="Q33" s="29">
        <v>342239.60000000003</v>
      </c>
      <c r="R33" s="31">
        <v>462.8</v>
      </c>
      <c r="S33" s="29">
        <f t="shared" si="5"/>
        <v>349120.9</v>
      </c>
      <c r="T33" s="33">
        <f t="shared" si="2"/>
        <v>493421.8</v>
      </c>
      <c r="U33" s="29">
        <f t="shared" si="3"/>
        <v>751811.6</v>
      </c>
    </row>
    <row r="34" spans="1:21" s="35" customFormat="1" ht="15.75">
      <c r="A34" s="40">
        <v>40298</v>
      </c>
      <c r="B34" s="29">
        <v>124940.20000000007</v>
      </c>
      <c r="C34" s="29">
        <v>108840.40000000002</v>
      </c>
      <c r="D34" s="29"/>
      <c r="E34" s="29">
        <f t="shared" si="4"/>
        <v>233780.60000000009</v>
      </c>
      <c r="F34" s="29">
        <v>45521.4</v>
      </c>
      <c r="G34" s="29">
        <v>73152.899999999994</v>
      </c>
      <c r="H34" s="29" t="s">
        <v>2</v>
      </c>
      <c r="I34" s="29">
        <v>8719.1</v>
      </c>
      <c r="J34" s="29">
        <v>18525</v>
      </c>
      <c r="K34" s="29">
        <v>147596</v>
      </c>
      <c r="L34" s="31">
        <f t="shared" si="0"/>
        <v>293514.40000000002</v>
      </c>
      <c r="M34" s="32">
        <v>121214.40000000002</v>
      </c>
      <c r="N34" s="29">
        <v>15187.500000000004</v>
      </c>
      <c r="O34" s="31">
        <f t="shared" si="1"/>
        <v>157112.5</v>
      </c>
      <c r="P34" s="29">
        <v>6268.5</v>
      </c>
      <c r="Q34" s="29">
        <v>349366.80000000005</v>
      </c>
      <c r="R34" s="31">
        <v>429.1</v>
      </c>
      <c r="S34" s="29">
        <f t="shared" si="5"/>
        <v>356064.4</v>
      </c>
      <c r="T34" s="33">
        <f t="shared" si="2"/>
        <v>513176.9</v>
      </c>
      <c r="U34" s="29">
        <f t="shared" si="3"/>
        <v>746957.50000000012</v>
      </c>
    </row>
    <row r="35" spans="1:21" s="35" customFormat="1" ht="15.75">
      <c r="A35" s="40">
        <v>40329</v>
      </c>
      <c r="B35" s="29">
        <v>110538.00000000006</v>
      </c>
      <c r="C35" s="29">
        <v>100611.79999999999</v>
      </c>
      <c r="D35" s="29"/>
      <c r="E35" s="29">
        <f t="shared" si="4"/>
        <v>211149.80000000005</v>
      </c>
      <c r="F35" s="29">
        <v>24665.8</v>
      </c>
      <c r="G35" s="29">
        <v>86658.5</v>
      </c>
      <c r="H35" s="29" t="s">
        <v>2</v>
      </c>
      <c r="I35" s="29">
        <v>7955.0999999999995</v>
      </c>
      <c r="J35" s="29">
        <v>18525</v>
      </c>
      <c r="K35" s="29">
        <v>147287.9</v>
      </c>
      <c r="L35" s="31">
        <f t="shared" si="0"/>
        <v>285092.30000000005</v>
      </c>
      <c r="M35" s="32">
        <v>109438.09999999999</v>
      </c>
      <c r="N35" s="29">
        <v>14048.7</v>
      </c>
      <c r="O35" s="31">
        <f t="shared" si="1"/>
        <v>161605.50000000006</v>
      </c>
      <c r="P35" s="29">
        <v>8259.9</v>
      </c>
      <c r="Q35" s="29">
        <v>354485.49999999994</v>
      </c>
      <c r="R35" s="31">
        <v>595.79999999999995</v>
      </c>
      <c r="S35" s="29">
        <f t="shared" si="5"/>
        <v>363341.19999999995</v>
      </c>
      <c r="T35" s="33">
        <f t="shared" si="2"/>
        <v>524946.69999999995</v>
      </c>
      <c r="U35" s="29">
        <f t="shared" si="3"/>
        <v>736096.5</v>
      </c>
    </row>
    <row r="36" spans="1:21" s="35" customFormat="1" ht="15.75">
      <c r="A36" s="40">
        <v>40359</v>
      </c>
      <c r="B36" s="29">
        <v>94137.999999999971</v>
      </c>
      <c r="C36" s="29">
        <v>102210.99999999997</v>
      </c>
      <c r="D36" s="29"/>
      <c r="E36" s="29">
        <f t="shared" si="4"/>
        <v>196348.99999999994</v>
      </c>
      <c r="F36" s="29">
        <v>33331.199999999997</v>
      </c>
      <c r="G36" s="29">
        <v>79001.5</v>
      </c>
      <c r="H36" s="29" t="s">
        <v>2</v>
      </c>
      <c r="I36" s="29">
        <v>9787.6999999999989</v>
      </c>
      <c r="J36" s="29">
        <v>40525</v>
      </c>
      <c r="K36" s="29">
        <v>146979.70000000001</v>
      </c>
      <c r="L36" s="31">
        <f t="shared" si="0"/>
        <v>309625.09999999998</v>
      </c>
      <c r="M36" s="32">
        <v>114248.4</v>
      </c>
      <c r="N36" s="29">
        <v>15094.000000000002</v>
      </c>
      <c r="O36" s="31">
        <f t="shared" si="1"/>
        <v>180282.69999999998</v>
      </c>
      <c r="P36" s="29">
        <v>9789</v>
      </c>
      <c r="Q36" s="29">
        <v>378377.39999999997</v>
      </c>
      <c r="R36" s="31">
        <v>512.09999999999991</v>
      </c>
      <c r="S36" s="29">
        <f t="shared" si="5"/>
        <v>388678.49999999994</v>
      </c>
      <c r="T36" s="33">
        <f t="shared" si="2"/>
        <v>568961.19999999995</v>
      </c>
      <c r="U36" s="29">
        <f t="shared" si="3"/>
        <v>765310.2</v>
      </c>
    </row>
    <row r="37" spans="1:21" s="35" customFormat="1" ht="15.75">
      <c r="A37" s="40">
        <v>40390</v>
      </c>
      <c r="B37" s="29">
        <v>91739.900000000023</v>
      </c>
      <c r="C37" s="29">
        <v>109495.9</v>
      </c>
      <c r="D37" s="29"/>
      <c r="E37" s="29">
        <f t="shared" si="4"/>
        <v>201235.80000000002</v>
      </c>
      <c r="F37" s="29">
        <v>30261.7</v>
      </c>
      <c r="G37" s="29">
        <v>76878.5</v>
      </c>
      <c r="H37" s="29" t="s">
        <v>2</v>
      </c>
      <c r="I37" s="29">
        <v>11007.6</v>
      </c>
      <c r="J37" s="29">
        <v>50525</v>
      </c>
      <c r="K37" s="29">
        <v>146671.6</v>
      </c>
      <c r="L37" s="31">
        <f t="shared" si="0"/>
        <v>315344.40000000002</v>
      </c>
      <c r="M37" s="32">
        <v>104308.1</v>
      </c>
      <c r="N37" s="29">
        <v>17832.2</v>
      </c>
      <c r="O37" s="31">
        <f t="shared" si="1"/>
        <v>193204.1</v>
      </c>
      <c r="P37" s="29">
        <v>24237.7</v>
      </c>
      <c r="Q37" s="29">
        <v>380861.39999999997</v>
      </c>
      <c r="R37" s="31">
        <v>677.2</v>
      </c>
      <c r="S37" s="29">
        <f t="shared" si="5"/>
        <v>405776.3</v>
      </c>
      <c r="T37" s="33">
        <f t="shared" si="2"/>
        <v>598980.4</v>
      </c>
      <c r="U37" s="29">
        <f t="shared" si="3"/>
        <v>800216.20000000007</v>
      </c>
    </row>
    <row r="38" spans="1:21" s="35" customFormat="1" ht="15.75">
      <c r="A38" s="40">
        <v>40421</v>
      </c>
      <c r="B38" s="29">
        <v>83653</v>
      </c>
      <c r="C38" s="29">
        <v>101473.7</v>
      </c>
      <c r="D38" s="29"/>
      <c r="E38" s="29">
        <f t="shared" si="4"/>
        <v>185126.7</v>
      </c>
      <c r="F38" s="29">
        <v>37841.9</v>
      </c>
      <c r="G38" s="29">
        <v>87243</v>
      </c>
      <c r="H38" s="29" t="s">
        <v>2</v>
      </c>
      <c r="I38" s="29">
        <v>10351.299999999999</v>
      </c>
      <c r="J38" s="29">
        <v>50525</v>
      </c>
      <c r="K38" s="29">
        <v>146363.5</v>
      </c>
      <c r="L38" s="31">
        <f t="shared" si="0"/>
        <v>332324.69999999995</v>
      </c>
      <c r="M38" s="32">
        <v>116344.12</v>
      </c>
      <c r="N38" s="29">
        <v>14284.900000000001</v>
      </c>
      <c r="O38" s="31">
        <f t="shared" si="1"/>
        <v>201695.67999999996</v>
      </c>
      <c r="P38" s="29">
        <v>24172.199999999997</v>
      </c>
      <c r="Q38" s="29">
        <v>392829.59999999992</v>
      </c>
      <c r="R38" s="31">
        <v>678.59999999999991</v>
      </c>
      <c r="S38" s="29">
        <f t="shared" si="5"/>
        <v>417680.39999999991</v>
      </c>
      <c r="T38" s="33">
        <f t="shared" si="2"/>
        <v>619376.07999999984</v>
      </c>
      <c r="U38" s="29">
        <f t="shared" si="3"/>
        <v>804502.7799999998</v>
      </c>
    </row>
    <row r="39" spans="1:21" s="35" customFormat="1" ht="15.75">
      <c r="A39" s="40">
        <v>40451</v>
      </c>
      <c r="B39" s="29">
        <v>69547.100000000035</v>
      </c>
      <c r="C39" s="29">
        <v>98149.299999999988</v>
      </c>
      <c r="D39" s="29"/>
      <c r="E39" s="29">
        <f t="shared" si="4"/>
        <v>167696.40000000002</v>
      </c>
      <c r="F39" s="29">
        <v>37014.199999999997</v>
      </c>
      <c r="G39" s="29">
        <v>97609.1</v>
      </c>
      <c r="H39" s="29" t="s">
        <v>2</v>
      </c>
      <c r="I39" s="29">
        <v>9655.2999999999993</v>
      </c>
      <c r="J39" s="29">
        <v>50525</v>
      </c>
      <c r="K39" s="29">
        <v>146055.29999999999</v>
      </c>
      <c r="L39" s="31">
        <f t="shared" si="0"/>
        <v>340858.89999999997</v>
      </c>
      <c r="M39" s="32">
        <v>108989</v>
      </c>
      <c r="N39" s="29">
        <v>13247.7</v>
      </c>
      <c r="O39" s="31">
        <f t="shared" si="1"/>
        <v>218622.19999999995</v>
      </c>
      <c r="P39" s="29">
        <v>21154.600000000002</v>
      </c>
      <c r="Q39" s="29">
        <v>401374.89999999997</v>
      </c>
      <c r="R39" s="31">
        <v>647.79999999999995</v>
      </c>
      <c r="S39" s="29">
        <f t="shared" si="5"/>
        <v>423177.29999999993</v>
      </c>
      <c r="T39" s="33">
        <f t="shared" ref="T39:T93" si="6">S39+O39</f>
        <v>641799.49999999988</v>
      </c>
      <c r="U39" s="29">
        <f t="shared" ref="U39:U70" si="7">T39+E39</f>
        <v>809495.89999999991</v>
      </c>
    </row>
    <row r="40" spans="1:21" s="35" customFormat="1" ht="15.75">
      <c r="A40" s="40">
        <v>40482</v>
      </c>
      <c r="B40" s="29">
        <v>66483.800000000047</v>
      </c>
      <c r="C40" s="29">
        <v>108069.90000000001</v>
      </c>
      <c r="D40" s="29"/>
      <c r="E40" s="29">
        <f t="shared" si="4"/>
        <v>174553.70000000007</v>
      </c>
      <c r="F40" s="29">
        <v>25932</v>
      </c>
      <c r="G40" s="29">
        <v>108265.2</v>
      </c>
      <c r="H40" s="29" t="s">
        <v>2</v>
      </c>
      <c r="I40" s="29">
        <v>9619.8000000000011</v>
      </c>
      <c r="J40" s="29">
        <v>50525</v>
      </c>
      <c r="K40" s="29">
        <v>145747.20000000001</v>
      </c>
      <c r="L40" s="31">
        <f t="shared" si="0"/>
        <v>340089.2</v>
      </c>
      <c r="M40" s="32">
        <v>122944.1</v>
      </c>
      <c r="N40" s="29">
        <v>12589.2</v>
      </c>
      <c r="O40" s="31">
        <f t="shared" si="1"/>
        <v>204555.9</v>
      </c>
      <c r="P40" s="29">
        <v>17146</v>
      </c>
      <c r="Q40" s="29">
        <v>410459.6</v>
      </c>
      <c r="R40" s="31">
        <v>656.2</v>
      </c>
      <c r="S40" s="29">
        <f t="shared" si="5"/>
        <v>428261.8</v>
      </c>
      <c r="T40" s="33">
        <f t="shared" si="6"/>
        <v>632817.69999999995</v>
      </c>
      <c r="U40" s="29">
        <f t="shared" si="7"/>
        <v>807371.4</v>
      </c>
    </row>
    <row r="41" spans="1:21" s="35" customFormat="1" ht="15.75">
      <c r="A41" s="40">
        <v>40512</v>
      </c>
      <c r="B41" s="29">
        <v>74650.300000000047</v>
      </c>
      <c r="C41" s="29">
        <v>103346.49999999997</v>
      </c>
      <c r="D41" s="29"/>
      <c r="E41" s="29">
        <f t="shared" si="4"/>
        <v>177996.80000000002</v>
      </c>
      <c r="F41" s="29">
        <v>35424.1</v>
      </c>
      <c r="G41" s="29">
        <v>107157.2</v>
      </c>
      <c r="H41" s="29" t="s">
        <v>2</v>
      </c>
      <c r="I41" s="29">
        <v>10363.699999999999</v>
      </c>
      <c r="J41" s="29">
        <v>50525</v>
      </c>
      <c r="K41" s="29">
        <v>145439.1</v>
      </c>
      <c r="L41" s="31">
        <f t="shared" si="0"/>
        <v>348909.1</v>
      </c>
      <c r="M41" s="32">
        <v>112932.1</v>
      </c>
      <c r="N41" s="29">
        <v>12494.599999999999</v>
      </c>
      <c r="O41" s="31">
        <f t="shared" si="1"/>
        <v>223482.39999999997</v>
      </c>
      <c r="P41" s="29">
        <v>12787.9</v>
      </c>
      <c r="Q41" s="29">
        <v>412702.2</v>
      </c>
      <c r="R41" s="31">
        <v>620.79999999999995</v>
      </c>
      <c r="S41" s="29">
        <f t="shared" si="5"/>
        <v>426110.9</v>
      </c>
      <c r="T41" s="33">
        <f t="shared" si="6"/>
        <v>649593.30000000005</v>
      </c>
      <c r="U41" s="29">
        <f t="shared" si="7"/>
        <v>827590.10000000009</v>
      </c>
    </row>
    <row r="42" spans="1:21" s="35" customFormat="1" ht="15.75">
      <c r="A42" s="40">
        <v>40543</v>
      </c>
      <c r="B42" s="29">
        <v>141613.59999999998</v>
      </c>
      <c r="C42" s="29">
        <v>112437.40000000001</v>
      </c>
      <c r="D42" s="29"/>
      <c r="E42" s="29">
        <f t="shared" si="4"/>
        <v>254051</v>
      </c>
      <c r="F42" s="29">
        <v>19134.2</v>
      </c>
      <c r="G42" s="29">
        <v>109104.5</v>
      </c>
      <c r="H42" s="29" t="s">
        <v>2</v>
      </c>
      <c r="I42" s="29">
        <v>14177.3</v>
      </c>
      <c r="J42" s="29">
        <v>88925</v>
      </c>
      <c r="K42" s="29">
        <v>145130.9</v>
      </c>
      <c r="L42" s="31">
        <f t="shared" si="0"/>
        <v>376471.9</v>
      </c>
      <c r="M42" s="32">
        <v>154442.40000000002</v>
      </c>
      <c r="N42" s="29">
        <v>11748.2</v>
      </c>
      <c r="O42" s="31">
        <f t="shared" si="1"/>
        <v>210281.3</v>
      </c>
      <c r="P42" s="29">
        <v>8682.2000000000007</v>
      </c>
      <c r="Q42" s="29">
        <v>460562.3</v>
      </c>
      <c r="R42" s="31">
        <v>599.4</v>
      </c>
      <c r="S42" s="29">
        <f t="shared" si="5"/>
        <v>469843.9</v>
      </c>
      <c r="T42" s="33">
        <f t="shared" si="6"/>
        <v>680125.2</v>
      </c>
      <c r="U42" s="29">
        <f t="shared" si="7"/>
        <v>934176.2</v>
      </c>
    </row>
    <row r="43" spans="1:21" s="35" customFormat="1" ht="15.75">
      <c r="A43" s="40">
        <v>40574</v>
      </c>
      <c r="B43" s="29">
        <v>131446.90000000002</v>
      </c>
      <c r="C43" s="29">
        <v>108031.50000000003</v>
      </c>
      <c r="D43" s="29"/>
      <c r="E43" s="29">
        <f t="shared" si="4"/>
        <v>239478.40000000005</v>
      </c>
      <c r="F43" s="29" t="s">
        <v>2</v>
      </c>
      <c r="G43" s="29">
        <v>120122</v>
      </c>
      <c r="H43" s="29" t="s">
        <v>2</v>
      </c>
      <c r="I43" s="29">
        <v>11301.6</v>
      </c>
      <c r="J43" s="29">
        <v>88925</v>
      </c>
      <c r="K43" s="29">
        <v>144822.79999999999</v>
      </c>
      <c r="L43" s="31">
        <f t="shared" si="0"/>
        <v>365171.4</v>
      </c>
      <c r="M43" s="32">
        <v>178191.98333333334</v>
      </c>
      <c r="N43" s="29">
        <v>9081.1</v>
      </c>
      <c r="O43" s="31">
        <f t="shared" si="1"/>
        <v>177898.31666666668</v>
      </c>
      <c r="P43" s="29">
        <v>7606.4000000000005</v>
      </c>
      <c r="Q43" s="29">
        <v>467155.83333333326</v>
      </c>
      <c r="R43" s="31">
        <v>588.79999999999995</v>
      </c>
      <c r="S43" s="29">
        <f t="shared" si="5"/>
        <v>475351.03333333327</v>
      </c>
      <c r="T43" s="33">
        <f t="shared" si="6"/>
        <v>653249.35</v>
      </c>
      <c r="U43" s="29">
        <f t="shared" si="7"/>
        <v>892727.75</v>
      </c>
    </row>
    <row r="44" spans="1:21" s="35" customFormat="1" ht="15.75">
      <c r="A44" s="40">
        <v>40602</v>
      </c>
      <c r="B44" s="29">
        <v>156264.40000000002</v>
      </c>
      <c r="C44" s="29">
        <v>100573.6</v>
      </c>
      <c r="D44" s="29"/>
      <c r="E44" s="29">
        <f t="shared" si="4"/>
        <v>256838.00000000003</v>
      </c>
      <c r="F44" s="29" t="s">
        <v>2</v>
      </c>
      <c r="G44" s="29">
        <v>130026.7</v>
      </c>
      <c r="H44" s="29" t="s">
        <v>2</v>
      </c>
      <c r="I44" s="29">
        <v>10764.699999999999</v>
      </c>
      <c r="J44" s="29">
        <v>88925</v>
      </c>
      <c r="K44" s="29">
        <v>144514.70000000001</v>
      </c>
      <c r="L44" s="31">
        <f t="shared" si="0"/>
        <v>374231.1</v>
      </c>
      <c r="M44" s="32">
        <v>211563.76666666666</v>
      </c>
      <c r="N44" s="29">
        <v>11244.5</v>
      </c>
      <c r="O44" s="31">
        <f t="shared" si="1"/>
        <v>151422.83333333331</v>
      </c>
      <c r="P44" s="29">
        <v>7244.9000000000005</v>
      </c>
      <c r="Q44" s="29">
        <v>483273.76666666666</v>
      </c>
      <c r="R44" s="31">
        <v>508.4</v>
      </c>
      <c r="S44" s="29">
        <f t="shared" si="5"/>
        <v>491027.06666666671</v>
      </c>
      <c r="T44" s="33">
        <f t="shared" si="6"/>
        <v>642449.9</v>
      </c>
      <c r="U44" s="29">
        <f t="shared" si="7"/>
        <v>899287.9</v>
      </c>
    </row>
    <row r="45" spans="1:21" s="35" customFormat="1" ht="15.75">
      <c r="A45" s="40">
        <v>40633</v>
      </c>
      <c r="B45" s="29">
        <v>143339.09999999998</v>
      </c>
      <c r="C45" s="29">
        <v>104483.19999999995</v>
      </c>
      <c r="D45" s="29"/>
      <c r="E45" s="29">
        <f t="shared" si="4"/>
        <v>247822.29999999993</v>
      </c>
      <c r="F45" s="29">
        <v>2480.5</v>
      </c>
      <c r="G45" s="29">
        <v>119566.29999999999</v>
      </c>
      <c r="H45" s="29" t="s">
        <v>2</v>
      </c>
      <c r="I45" s="29">
        <v>12695.1</v>
      </c>
      <c r="J45" s="29">
        <v>74325</v>
      </c>
      <c r="K45" s="29">
        <v>144206.6</v>
      </c>
      <c r="L45" s="31">
        <f t="shared" si="0"/>
        <v>353273.5</v>
      </c>
      <c r="M45" s="32">
        <v>168004.45</v>
      </c>
      <c r="N45" s="29">
        <v>9395.7999999999993</v>
      </c>
      <c r="O45" s="31">
        <f t="shared" si="1"/>
        <v>175873.25</v>
      </c>
      <c r="P45" s="29">
        <v>6471.0000000000009</v>
      </c>
      <c r="Q45" s="29">
        <v>493087.8</v>
      </c>
      <c r="R45" s="31">
        <v>599</v>
      </c>
      <c r="S45" s="29">
        <f t="shared" si="5"/>
        <v>500157.8</v>
      </c>
      <c r="T45" s="33">
        <f t="shared" si="6"/>
        <v>676031.05</v>
      </c>
      <c r="U45" s="29">
        <f t="shared" si="7"/>
        <v>923853.35</v>
      </c>
    </row>
    <row r="46" spans="1:21" s="35" customFormat="1" ht="15.75">
      <c r="A46" s="40">
        <v>40663</v>
      </c>
      <c r="B46" s="29">
        <v>151581.59999999998</v>
      </c>
      <c r="C46" s="29">
        <v>98502.399999999994</v>
      </c>
      <c r="D46" s="29"/>
      <c r="E46" s="29">
        <f t="shared" si="4"/>
        <v>250083.99999999997</v>
      </c>
      <c r="F46" s="29" t="s">
        <v>2</v>
      </c>
      <c r="G46" s="29">
        <v>121966.1</v>
      </c>
      <c r="H46" s="29" t="s">
        <v>2</v>
      </c>
      <c r="I46" s="29">
        <v>15459.300000000001</v>
      </c>
      <c r="J46" s="29">
        <v>74325</v>
      </c>
      <c r="K46" s="29">
        <v>143898.4</v>
      </c>
      <c r="L46" s="31">
        <f t="shared" si="0"/>
        <v>355648.8</v>
      </c>
      <c r="M46" s="32">
        <v>173148.33333333331</v>
      </c>
      <c r="N46" s="29">
        <v>11236.499999999998</v>
      </c>
      <c r="O46" s="31">
        <f t="shared" si="1"/>
        <v>171263.96666666667</v>
      </c>
      <c r="P46" s="29">
        <v>5060.1000000000013</v>
      </c>
      <c r="Q46" s="29">
        <v>501672.03333333333</v>
      </c>
      <c r="R46" s="31">
        <v>583.6</v>
      </c>
      <c r="S46" s="29">
        <f t="shared" si="5"/>
        <v>507315.73333333328</v>
      </c>
      <c r="T46" s="33">
        <f t="shared" si="6"/>
        <v>678579.7</v>
      </c>
      <c r="U46" s="29">
        <f t="shared" si="7"/>
        <v>928663.7</v>
      </c>
    </row>
    <row r="47" spans="1:21" s="35" customFormat="1" ht="15.75">
      <c r="A47" s="40">
        <v>40694</v>
      </c>
      <c r="B47" s="29">
        <v>145435.50000000006</v>
      </c>
      <c r="C47" s="29">
        <v>94834.900000000038</v>
      </c>
      <c r="D47" s="29"/>
      <c r="E47" s="29">
        <f t="shared" si="4"/>
        <v>240270.40000000008</v>
      </c>
      <c r="F47" s="29">
        <v>12986.3</v>
      </c>
      <c r="G47" s="29">
        <v>124240.19999999998</v>
      </c>
      <c r="H47" s="29" t="s">
        <v>2</v>
      </c>
      <c r="I47" s="29">
        <v>19313.400000000001</v>
      </c>
      <c r="J47" s="29">
        <v>74325</v>
      </c>
      <c r="K47" s="29">
        <v>143590.29999999999</v>
      </c>
      <c r="L47" s="31">
        <f t="shared" si="0"/>
        <v>374455.19999999995</v>
      </c>
      <c r="M47" s="32">
        <v>190756.71666666667</v>
      </c>
      <c r="N47" s="29">
        <v>10405.5</v>
      </c>
      <c r="O47" s="31">
        <f t="shared" si="1"/>
        <v>173292.98333333328</v>
      </c>
      <c r="P47" s="29">
        <v>4973.6000000000013</v>
      </c>
      <c r="Q47" s="29">
        <v>521741.36666666664</v>
      </c>
      <c r="R47" s="31">
        <v>631.5</v>
      </c>
      <c r="S47" s="29">
        <f t="shared" si="5"/>
        <v>527346.46666666667</v>
      </c>
      <c r="T47" s="33">
        <f t="shared" si="6"/>
        <v>700639.45</v>
      </c>
      <c r="U47" s="29">
        <f t="shared" si="7"/>
        <v>940909.85000000009</v>
      </c>
    </row>
    <row r="48" spans="1:21" s="35" customFormat="1" ht="15.75">
      <c r="A48" s="40">
        <v>40724</v>
      </c>
      <c r="B48" s="29">
        <v>133383.10000000003</v>
      </c>
      <c r="C48" s="29">
        <v>90655.799999999988</v>
      </c>
      <c r="D48" s="29"/>
      <c r="E48" s="29">
        <f t="shared" si="4"/>
        <v>224038.90000000002</v>
      </c>
      <c r="F48" s="29">
        <v>24462.799999999999</v>
      </c>
      <c r="G48" s="29">
        <v>117440.9</v>
      </c>
      <c r="H48" s="29" t="s">
        <v>2</v>
      </c>
      <c r="I48" s="29">
        <v>17897.8</v>
      </c>
      <c r="J48" s="29">
        <v>74325</v>
      </c>
      <c r="K48" s="29">
        <v>143282.1</v>
      </c>
      <c r="L48" s="31">
        <f t="shared" si="0"/>
        <v>377408.6</v>
      </c>
      <c r="M48" s="32">
        <v>178132.2</v>
      </c>
      <c r="N48" s="29">
        <v>12941</v>
      </c>
      <c r="O48" s="31">
        <f t="shared" si="1"/>
        <v>186335.39999999997</v>
      </c>
      <c r="P48" s="29">
        <v>5148.5000000000009</v>
      </c>
      <c r="Q48" s="29">
        <v>552170.20000000007</v>
      </c>
      <c r="R48" s="31">
        <v>597.5</v>
      </c>
      <c r="S48" s="29">
        <f t="shared" si="5"/>
        <v>557916.20000000007</v>
      </c>
      <c r="T48" s="33">
        <f t="shared" si="6"/>
        <v>744251.60000000009</v>
      </c>
      <c r="U48" s="29">
        <f t="shared" si="7"/>
        <v>968290.50000000012</v>
      </c>
    </row>
    <row r="49" spans="1:21" s="35" customFormat="1" ht="15.75">
      <c r="A49" s="40">
        <v>40755</v>
      </c>
      <c r="B49" s="29">
        <v>119995.09999999998</v>
      </c>
      <c r="C49" s="29">
        <v>94244.900000000023</v>
      </c>
      <c r="D49" s="29"/>
      <c r="E49" s="29">
        <f t="shared" si="4"/>
        <v>214240</v>
      </c>
      <c r="F49" s="29">
        <v>31447.8</v>
      </c>
      <c r="G49" s="29">
        <v>119540.9</v>
      </c>
      <c r="H49" s="29" t="s">
        <v>2</v>
      </c>
      <c r="I49" s="29">
        <v>16240.1</v>
      </c>
      <c r="J49" s="29">
        <v>74325</v>
      </c>
      <c r="K49" s="29">
        <v>142974</v>
      </c>
      <c r="L49" s="31">
        <f t="shared" si="0"/>
        <v>384527.8</v>
      </c>
      <c r="M49" s="32">
        <v>159211.65</v>
      </c>
      <c r="N49" s="29">
        <v>12144.3</v>
      </c>
      <c r="O49" s="31">
        <f t="shared" si="1"/>
        <v>213171.85</v>
      </c>
      <c r="P49" s="29">
        <v>8163.5</v>
      </c>
      <c r="Q49" s="29">
        <v>567671.01666666672</v>
      </c>
      <c r="R49" s="31">
        <v>600</v>
      </c>
      <c r="S49" s="29">
        <f t="shared" si="5"/>
        <v>576434.51666666672</v>
      </c>
      <c r="T49" s="33">
        <f t="shared" si="6"/>
        <v>789606.3666666667</v>
      </c>
      <c r="U49" s="29">
        <f t="shared" si="7"/>
        <v>1003846.3666666667</v>
      </c>
    </row>
    <row r="50" spans="1:21" s="35" customFormat="1" ht="15.75">
      <c r="A50" s="40">
        <v>40786</v>
      </c>
      <c r="B50" s="29">
        <v>101092.90000000002</v>
      </c>
      <c r="C50" s="29">
        <v>95644.100000000035</v>
      </c>
      <c r="D50" s="29"/>
      <c r="E50" s="29">
        <f t="shared" si="4"/>
        <v>196737.00000000006</v>
      </c>
      <c r="F50" s="29">
        <v>35035.800000000003</v>
      </c>
      <c r="G50" s="29">
        <v>104184.4</v>
      </c>
      <c r="H50" s="29" t="s">
        <v>2</v>
      </c>
      <c r="I50" s="29">
        <v>13778.1</v>
      </c>
      <c r="J50" s="29">
        <v>74325</v>
      </c>
      <c r="K50" s="29">
        <v>142665.9</v>
      </c>
      <c r="L50" s="31">
        <f t="shared" si="0"/>
        <v>369989.2</v>
      </c>
      <c r="M50" s="32">
        <v>157183.1</v>
      </c>
      <c r="N50" s="29">
        <v>13843.4</v>
      </c>
      <c r="O50" s="31">
        <f t="shared" si="1"/>
        <v>198962.7</v>
      </c>
      <c r="P50" s="29">
        <v>10457.799999999999</v>
      </c>
      <c r="Q50" s="29">
        <v>584936.33333333337</v>
      </c>
      <c r="R50" s="31">
        <v>573.40000000000009</v>
      </c>
      <c r="S50" s="29">
        <f t="shared" si="5"/>
        <v>595967.53333333344</v>
      </c>
      <c r="T50" s="33">
        <f t="shared" si="6"/>
        <v>794930.2333333334</v>
      </c>
      <c r="U50" s="29">
        <f t="shared" si="7"/>
        <v>991667.2333333334</v>
      </c>
    </row>
    <row r="51" spans="1:21" s="35" customFormat="1" ht="15.75">
      <c r="A51" s="40">
        <v>40816</v>
      </c>
      <c r="B51" s="29">
        <v>81241.400000000023</v>
      </c>
      <c r="C51" s="29">
        <v>88234.400000000023</v>
      </c>
      <c r="D51" s="29"/>
      <c r="E51" s="29">
        <f t="shared" si="4"/>
        <v>169475.80000000005</v>
      </c>
      <c r="F51" s="29">
        <v>29256.3</v>
      </c>
      <c r="G51" s="29">
        <v>106984.4</v>
      </c>
      <c r="H51" s="29" t="s">
        <v>2</v>
      </c>
      <c r="I51" s="29">
        <v>12911.2</v>
      </c>
      <c r="J51" s="29">
        <v>74325</v>
      </c>
      <c r="K51" s="29">
        <v>142357.70000000001</v>
      </c>
      <c r="L51" s="31">
        <f t="shared" si="0"/>
        <v>365834.6</v>
      </c>
      <c r="M51" s="32">
        <v>152796.54999999999</v>
      </c>
      <c r="N51" s="29">
        <v>13503.9</v>
      </c>
      <c r="O51" s="31">
        <f t="shared" si="1"/>
        <v>199534.15</v>
      </c>
      <c r="P51" s="29">
        <v>8482.0999999999985</v>
      </c>
      <c r="Q51" s="29">
        <v>592674.85</v>
      </c>
      <c r="R51" s="31">
        <v>1019.5999999999999</v>
      </c>
      <c r="S51" s="29">
        <f t="shared" si="5"/>
        <v>602176.54999999993</v>
      </c>
      <c r="T51" s="33">
        <f t="shared" si="6"/>
        <v>801710.7</v>
      </c>
      <c r="U51" s="29">
        <f t="shared" si="7"/>
        <v>971186.5</v>
      </c>
    </row>
    <row r="52" spans="1:21" s="35" customFormat="1" ht="15.75">
      <c r="A52" s="40">
        <v>40847</v>
      </c>
      <c r="B52" s="29">
        <v>61605.000000000058</v>
      </c>
      <c r="C52" s="29">
        <v>91985.2</v>
      </c>
      <c r="D52" s="29"/>
      <c r="E52" s="29">
        <f t="shared" si="4"/>
        <v>153590.20000000007</v>
      </c>
      <c r="F52" s="29">
        <v>29858.9</v>
      </c>
      <c r="G52" s="29">
        <v>105384.4</v>
      </c>
      <c r="H52" s="29" t="s">
        <v>2</v>
      </c>
      <c r="I52" s="29">
        <v>13872.2</v>
      </c>
      <c r="J52" s="29">
        <v>94325</v>
      </c>
      <c r="K52" s="29">
        <v>142049.60000000001</v>
      </c>
      <c r="L52" s="31">
        <f t="shared" si="0"/>
        <v>385490.1</v>
      </c>
      <c r="M52" s="32">
        <v>161133.20000000001</v>
      </c>
      <c r="N52" s="29">
        <v>14274.7</v>
      </c>
      <c r="O52" s="31">
        <f t="shared" si="1"/>
        <v>210082.19999999995</v>
      </c>
      <c r="P52" s="29">
        <v>4975.6000000000013</v>
      </c>
      <c r="Q52" s="29">
        <v>612731.76666666649</v>
      </c>
      <c r="R52" s="31">
        <v>994.09999999999991</v>
      </c>
      <c r="S52" s="29">
        <f t="shared" si="5"/>
        <v>618701.46666666644</v>
      </c>
      <c r="T52" s="33">
        <f t="shared" si="6"/>
        <v>828783.6666666664</v>
      </c>
      <c r="U52" s="29">
        <f t="shared" si="7"/>
        <v>982373.86666666646</v>
      </c>
    </row>
    <row r="53" spans="1:21" s="35" customFormat="1" ht="15.75">
      <c r="A53" s="40">
        <v>40877</v>
      </c>
      <c r="B53" s="29">
        <v>59710.299999999988</v>
      </c>
      <c r="C53" s="29">
        <v>101477.99999999999</v>
      </c>
      <c r="D53" s="29"/>
      <c r="E53" s="29">
        <f t="shared" si="4"/>
        <v>161188.29999999999</v>
      </c>
      <c r="F53" s="29">
        <v>13631.5</v>
      </c>
      <c r="G53" s="29">
        <v>94884.4</v>
      </c>
      <c r="H53" s="29" t="s">
        <v>2</v>
      </c>
      <c r="I53" s="29">
        <v>14068.5</v>
      </c>
      <c r="J53" s="29">
        <v>94325</v>
      </c>
      <c r="K53" s="29">
        <v>142049.60000000001</v>
      </c>
      <c r="L53" s="31">
        <f t="shared" si="0"/>
        <v>358959</v>
      </c>
      <c r="M53" s="32">
        <v>164059.25</v>
      </c>
      <c r="N53" s="29">
        <v>14823.400000000001</v>
      </c>
      <c r="O53" s="31">
        <f t="shared" si="1"/>
        <v>180076.35</v>
      </c>
      <c r="P53" s="29">
        <v>6924.0000000000009</v>
      </c>
      <c r="Q53" s="29">
        <v>620487.28333333333</v>
      </c>
      <c r="R53" s="31">
        <v>1003.0999999999999</v>
      </c>
      <c r="S53" s="29">
        <f t="shared" si="5"/>
        <v>628414.3833333333</v>
      </c>
      <c r="T53" s="33">
        <f t="shared" si="6"/>
        <v>808490.73333333328</v>
      </c>
      <c r="U53" s="29">
        <f t="shared" si="7"/>
        <v>969679.03333333321</v>
      </c>
    </row>
    <row r="54" spans="1:21" s="35" customFormat="1" ht="15.75">
      <c r="A54" s="40">
        <v>40908</v>
      </c>
      <c r="B54" s="29">
        <v>82293.999999999942</v>
      </c>
      <c r="C54" s="29">
        <v>123231.6</v>
      </c>
      <c r="D54" s="29"/>
      <c r="E54" s="29">
        <f t="shared" si="4"/>
        <v>205525.59999999995</v>
      </c>
      <c r="F54" s="29">
        <v>86260.6</v>
      </c>
      <c r="G54" s="29">
        <v>84484.4</v>
      </c>
      <c r="H54" s="29" t="s">
        <v>2</v>
      </c>
      <c r="I54" s="29">
        <v>14746.9</v>
      </c>
      <c r="J54" s="29">
        <v>94325</v>
      </c>
      <c r="K54" s="29">
        <v>141433.29999999999</v>
      </c>
      <c r="L54" s="31">
        <f t="shared" si="0"/>
        <v>421250.2</v>
      </c>
      <c r="M54" s="32">
        <v>175708.5</v>
      </c>
      <c r="N54" s="29">
        <v>14154.1</v>
      </c>
      <c r="O54" s="31">
        <f t="shared" si="1"/>
        <v>231387.6</v>
      </c>
      <c r="P54" s="29">
        <v>4009.9000000000005</v>
      </c>
      <c r="Q54" s="29">
        <v>612267</v>
      </c>
      <c r="R54" s="31">
        <v>1021.9000000000001</v>
      </c>
      <c r="S54" s="29">
        <f t="shared" si="5"/>
        <v>617298.80000000005</v>
      </c>
      <c r="T54" s="33">
        <f t="shared" si="6"/>
        <v>848686.4</v>
      </c>
      <c r="U54" s="29">
        <f t="shared" si="7"/>
        <v>1054212</v>
      </c>
    </row>
    <row r="55" spans="1:21" s="35" customFormat="1" ht="15.75">
      <c r="A55" s="40">
        <v>40939</v>
      </c>
      <c r="B55" s="29">
        <v>112890.80000000016</v>
      </c>
      <c r="C55" s="29">
        <v>125509.49999999997</v>
      </c>
      <c r="D55" s="29"/>
      <c r="E55" s="29">
        <f t="shared" si="4"/>
        <v>238400.30000000013</v>
      </c>
      <c r="F55" s="29">
        <v>23225.200000000001</v>
      </c>
      <c r="G55" s="29">
        <v>85407.4</v>
      </c>
      <c r="H55" s="29" t="s">
        <v>2</v>
      </c>
      <c r="I55" s="29">
        <v>15311.9</v>
      </c>
      <c r="J55" s="29">
        <v>94325</v>
      </c>
      <c r="K55" s="29">
        <v>141125.20000000001</v>
      </c>
      <c r="L55" s="31">
        <f t="shared" si="0"/>
        <v>359394.7</v>
      </c>
      <c r="M55" s="32">
        <v>187619.55000000002</v>
      </c>
      <c r="N55" s="29">
        <v>16320.800000000001</v>
      </c>
      <c r="O55" s="31">
        <f t="shared" si="1"/>
        <v>155454.35</v>
      </c>
      <c r="P55" s="29">
        <v>5315.2</v>
      </c>
      <c r="Q55" s="29">
        <v>615659.6</v>
      </c>
      <c r="R55" s="31">
        <v>1011.8</v>
      </c>
      <c r="S55" s="29">
        <f t="shared" si="5"/>
        <v>621986.6</v>
      </c>
      <c r="T55" s="33">
        <f t="shared" si="6"/>
        <v>777440.95</v>
      </c>
      <c r="U55" s="29">
        <f t="shared" si="7"/>
        <v>1015841.2500000001</v>
      </c>
    </row>
    <row r="56" spans="1:21" s="35" customFormat="1" ht="15.75">
      <c r="A56" s="40">
        <v>40968</v>
      </c>
      <c r="B56" s="29">
        <v>98423.899999999965</v>
      </c>
      <c r="C56" s="29">
        <v>123068.90000000004</v>
      </c>
      <c r="D56" s="29"/>
      <c r="E56" s="29">
        <f t="shared" si="4"/>
        <v>221492.8</v>
      </c>
      <c r="F56" s="29">
        <v>19733.599999999999</v>
      </c>
      <c r="G56" s="29">
        <v>81551.099999999991</v>
      </c>
      <c r="H56" s="29" t="s">
        <v>2</v>
      </c>
      <c r="I56" s="29">
        <v>15168.9</v>
      </c>
      <c r="J56" s="29">
        <v>94325</v>
      </c>
      <c r="K56" s="29">
        <v>140817.1</v>
      </c>
      <c r="L56" s="31">
        <f t="shared" si="0"/>
        <v>351595.69999999995</v>
      </c>
      <c r="M56" s="32">
        <v>173429.90000000002</v>
      </c>
      <c r="N56" s="29">
        <v>17114.3</v>
      </c>
      <c r="O56" s="31">
        <f t="shared" si="1"/>
        <v>161051.49999999994</v>
      </c>
      <c r="P56" s="29">
        <v>10997.099999999999</v>
      </c>
      <c r="Q56" s="29">
        <v>616794.9</v>
      </c>
      <c r="R56" s="31">
        <v>953.59999999999991</v>
      </c>
      <c r="S56" s="29">
        <f t="shared" si="5"/>
        <v>628745.6</v>
      </c>
      <c r="T56" s="33">
        <f t="shared" si="6"/>
        <v>789797.09999999986</v>
      </c>
      <c r="U56" s="29">
        <f t="shared" si="7"/>
        <v>1011289.8999999999</v>
      </c>
    </row>
    <row r="57" spans="1:21" s="35" customFormat="1" ht="15.75">
      <c r="A57" s="40">
        <v>40999</v>
      </c>
      <c r="B57" s="29">
        <v>67729.100000000093</v>
      </c>
      <c r="C57" s="29">
        <v>118491.8</v>
      </c>
      <c r="D57" s="29"/>
      <c r="E57" s="29">
        <f t="shared" si="4"/>
        <v>186220.90000000008</v>
      </c>
      <c r="F57" s="29">
        <v>41361.199999999997</v>
      </c>
      <c r="G57" s="29">
        <v>72751.099999999991</v>
      </c>
      <c r="H57" s="29" t="s">
        <v>2</v>
      </c>
      <c r="I57" s="29">
        <v>16271.5</v>
      </c>
      <c r="J57" s="29">
        <v>94325</v>
      </c>
      <c r="K57" s="29">
        <v>140508.9</v>
      </c>
      <c r="L57" s="31">
        <f t="shared" si="0"/>
        <v>365217.69999999995</v>
      </c>
      <c r="M57" s="32">
        <v>189874.75</v>
      </c>
      <c r="N57" s="29">
        <v>16840.8</v>
      </c>
      <c r="O57" s="31">
        <f t="shared" si="1"/>
        <v>158502.14999999997</v>
      </c>
      <c r="P57" s="29">
        <v>11397</v>
      </c>
      <c r="Q57" s="29">
        <v>625626.10000000009</v>
      </c>
      <c r="R57" s="31">
        <v>943.4</v>
      </c>
      <c r="S57" s="29">
        <f t="shared" si="5"/>
        <v>637966.50000000012</v>
      </c>
      <c r="T57" s="33">
        <f t="shared" si="6"/>
        <v>796468.65000000014</v>
      </c>
      <c r="U57" s="29">
        <f t="shared" si="7"/>
        <v>982689.55000000028</v>
      </c>
    </row>
    <row r="58" spans="1:21" s="35" customFormat="1" ht="15.75">
      <c r="A58" s="40">
        <v>41029</v>
      </c>
      <c r="B58" s="29">
        <v>57855.800000000047</v>
      </c>
      <c r="C58" s="29">
        <v>106035.70000000001</v>
      </c>
      <c r="D58" s="29"/>
      <c r="E58" s="29">
        <f t="shared" si="4"/>
        <v>163891.50000000006</v>
      </c>
      <c r="F58" s="29">
        <v>51796.5</v>
      </c>
      <c r="G58" s="29">
        <v>68244.899999999994</v>
      </c>
      <c r="H58" s="29" t="s">
        <v>2</v>
      </c>
      <c r="I58" s="29">
        <v>17528.8</v>
      </c>
      <c r="J58" s="29">
        <v>94325</v>
      </c>
      <c r="K58" s="29">
        <v>140200.79999999999</v>
      </c>
      <c r="L58" s="31">
        <f t="shared" si="0"/>
        <v>372096</v>
      </c>
      <c r="M58" s="32">
        <v>167768.29999999999</v>
      </c>
      <c r="N58" s="29">
        <v>19564.399999999994</v>
      </c>
      <c r="O58" s="31">
        <f t="shared" si="1"/>
        <v>184763.30000000002</v>
      </c>
      <c r="P58" s="29">
        <v>13397.199999999999</v>
      </c>
      <c r="Q58" s="29">
        <v>630867.39999999991</v>
      </c>
      <c r="R58" s="31">
        <v>916.8</v>
      </c>
      <c r="S58" s="29">
        <f t="shared" si="5"/>
        <v>645181.39999999991</v>
      </c>
      <c r="T58" s="33">
        <f t="shared" si="6"/>
        <v>829944.7</v>
      </c>
      <c r="U58" s="29">
        <f t="shared" si="7"/>
        <v>993836.2</v>
      </c>
    </row>
    <row r="59" spans="1:21" s="35" customFormat="1" ht="15.75">
      <c r="A59" s="40">
        <v>41060</v>
      </c>
      <c r="B59" s="29">
        <v>60535.400000000081</v>
      </c>
      <c r="C59" s="29">
        <v>83366.000000000015</v>
      </c>
      <c r="D59" s="29"/>
      <c r="E59" s="29">
        <f t="shared" si="4"/>
        <v>143901.40000000008</v>
      </c>
      <c r="F59" s="29">
        <v>32561.9</v>
      </c>
      <c r="G59" s="29">
        <v>66801.100000000006</v>
      </c>
      <c r="H59" s="29" t="s">
        <v>2</v>
      </c>
      <c r="I59" s="29">
        <v>15899.2</v>
      </c>
      <c r="J59" s="29">
        <v>94325</v>
      </c>
      <c r="K59" s="29">
        <v>140200.79999999999</v>
      </c>
      <c r="L59" s="31">
        <f t="shared" si="0"/>
        <v>349788</v>
      </c>
      <c r="M59" s="32">
        <v>152755.05000000002</v>
      </c>
      <c r="N59" s="29">
        <v>13236.300000000001</v>
      </c>
      <c r="O59" s="31">
        <f t="shared" si="1"/>
        <v>183796.65</v>
      </c>
      <c r="P59" s="29">
        <v>14556.999999999998</v>
      </c>
      <c r="Q59" s="29">
        <v>659531.89999999991</v>
      </c>
      <c r="R59" s="31">
        <v>992.09999999999991</v>
      </c>
      <c r="S59" s="29">
        <f t="shared" si="5"/>
        <v>675080.99999999988</v>
      </c>
      <c r="T59" s="33">
        <f t="shared" si="6"/>
        <v>858877.64999999991</v>
      </c>
      <c r="U59" s="29">
        <f t="shared" si="7"/>
        <v>1002779.05</v>
      </c>
    </row>
    <row r="60" spans="1:21" s="35" customFormat="1" ht="15.75">
      <c r="A60" s="40">
        <v>41090</v>
      </c>
      <c r="B60" s="29">
        <v>49308</v>
      </c>
      <c r="C60" s="29">
        <v>78556.900000000023</v>
      </c>
      <c r="D60" s="29"/>
      <c r="E60" s="29">
        <f t="shared" si="4"/>
        <v>127864.90000000002</v>
      </c>
      <c r="F60" s="29">
        <v>49375</v>
      </c>
      <c r="G60" s="29">
        <v>63101.1</v>
      </c>
      <c r="H60" s="29" t="s">
        <v>2</v>
      </c>
      <c r="I60" s="29">
        <v>18502.399999999998</v>
      </c>
      <c r="J60" s="29">
        <v>94325</v>
      </c>
      <c r="K60" s="29">
        <v>139584.5</v>
      </c>
      <c r="L60" s="31">
        <f t="shared" si="0"/>
        <v>364888</v>
      </c>
      <c r="M60" s="32">
        <v>146789.10000000003</v>
      </c>
      <c r="N60" s="29">
        <v>13565.2</v>
      </c>
      <c r="O60" s="31">
        <f t="shared" si="1"/>
        <v>204533.69999999995</v>
      </c>
      <c r="P60" s="29">
        <v>16232.4</v>
      </c>
      <c r="Q60" s="29">
        <v>681196.70000000007</v>
      </c>
      <c r="R60" s="31">
        <v>1005.8</v>
      </c>
      <c r="S60" s="29">
        <f t="shared" si="5"/>
        <v>698434.90000000014</v>
      </c>
      <c r="T60" s="33">
        <f t="shared" si="6"/>
        <v>902968.60000000009</v>
      </c>
      <c r="U60" s="29">
        <f t="shared" si="7"/>
        <v>1030833.5000000001</v>
      </c>
    </row>
    <row r="61" spans="1:21" s="35" customFormat="1" ht="15.75">
      <c r="A61" s="40">
        <v>41121</v>
      </c>
      <c r="B61" s="29">
        <v>46872.800000000047</v>
      </c>
      <c r="C61" s="29">
        <v>98136.900000000023</v>
      </c>
      <c r="D61" s="29"/>
      <c r="E61" s="29">
        <f t="shared" si="4"/>
        <v>145009.70000000007</v>
      </c>
      <c r="F61" s="29">
        <v>53695.7</v>
      </c>
      <c r="G61" s="29">
        <v>52484.4</v>
      </c>
      <c r="H61" s="29" t="s">
        <v>2</v>
      </c>
      <c r="I61" s="29">
        <v>16648.2</v>
      </c>
      <c r="J61" s="29">
        <v>108925</v>
      </c>
      <c r="K61" s="29">
        <v>139276.4</v>
      </c>
      <c r="L61" s="31">
        <f t="shared" si="0"/>
        <v>371029.69999999995</v>
      </c>
      <c r="M61" s="32">
        <v>143746.51666666666</v>
      </c>
      <c r="N61" s="29">
        <v>16513.699999999997</v>
      </c>
      <c r="O61" s="31">
        <f t="shared" si="1"/>
        <v>210769.48333333328</v>
      </c>
      <c r="P61" s="29">
        <v>17742.2</v>
      </c>
      <c r="Q61" s="29">
        <v>682743.1166666667</v>
      </c>
      <c r="R61" s="31">
        <v>993.4</v>
      </c>
      <c r="S61" s="29">
        <f t="shared" si="5"/>
        <v>701478.71666666667</v>
      </c>
      <c r="T61" s="33">
        <f t="shared" si="6"/>
        <v>912248.2</v>
      </c>
      <c r="U61" s="29">
        <f t="shared" si="7"/>
        <v>1057257.8999999999</v>
      </c>
    </row>
    <row r="62" spans="1:21" s="35" customFormat="1" ht="15.75">
      <c r="A62" s="40">
        <v>41152</v>
      </c>
      <c r="B62" s="29">
        <v>39580.200000000012</v>
      </c>
      <c r="C62" s="29">
        <v>102097.4</v>
      </c>
      <c r="D62" s="29"/>
      <c r="E62" s="29">
        <f t="shared" si="4"/>
        <v>141677.6</v>
      </c>
      <c r="F62" s="29">
        <v>65092</v>
      </c>
      <c r="G62" s="29">
        <v>44735.199999999997</v>
      </c>
      <c r="H62" s="29" t="s">
        <v>2</v>
      </c>
      <c r="I62" s="29">
        <v>14110.066666666666</v>
      </c>
      <c r="J62" s="29">
        <v>108925</v>
      </c>
      <c r="K62" s="29">
        <v>138968.29999999999</v>
      </c>
      <c r="L62" s="31">
        <f t="shared" si="0"/>
        <v>371830.56666666665</v>
      </c>
      <c r="M62" s="32">
        <v>131362.43333333335</v>
      </c>
      <c r="N62" s="29">
        <v>18916.900000000001</v>
      </c>
      <c r="O62" s="31">
        <f t="shared" si="1"/>
        <v>221551.23333333331</v>
      </c>
      <c r="P62" s="29">
        <v>26322.699999999997</v>
      </c>
      <c r="Q62" s="29">
        <v>691338.43333333335</v>
      </c>
      <c r="R62" s="31">
        <v>1013</v>
      </c>
      <c r="S62" s="29">
        <f t="shared" si="5"/>
        <v>718674.1333333333</v>
      </c>
      <c r="T62" s="33">
        <f t="shared" si="6"/>
        <v>940225.36666666658</v>
      </c>
      <c r="U62" s="29">
        <f t="shared" si="7"/>
        <v>1081902.9666666666</v>
      </c>
    </row>
    <row r="63" spans="1:21" s="35" customFormat="1" ht="15.75">
      <c r="A63" s="40">
        <v>41182</v>
      </c>
      <c r="B63" s="29">
        <v>55414.5</v>
      </c>
      <c r="C63" s="29">
        <v>105595.80000000003</v>
      </c>
      <c r="D63" s="29"/>
      <c r="E63" s="29">
        <f t="shared" si="4"/>
        <v>161010.30000000005</v>
      </c>
      <c r="F63" s="29">
        <v>51763.199999999997</v>
      </c>
      <c r="G63" s="29">
        <v>38166.800000000003</v>
      </c>
      <c r="H63" s="29" t="s">
        <v>2</v>
      </c>
      <c r="I63" s="29">
        <v>13870.5</v>
      </c>
      <c r="J63" s="29">
        <v>108925</v>
      </c>
      <c r="K63" s="29">
        <v>138968.29999999999</v>
      </c>
      <c r="L63" s="31">
        <f t="shared" si="0"/>
        <v>351693.8</v>
      </c>
      <c r="M63" s="32">
        <v>133972.04999999999</v>
      </c>
      <c r="N63" s="29">
        <v>15255.2</v>
      </c>
      <c r="O63" s="31">
        <f t="shared" si="1"/>
        <v>202466.55</v>
      </c>
      <c r="P63" s="29">
        <v>24945.899999999998</v>
      </c>
      <c r="Q63" s="29">
        <v>685471.85000000009</v>
      </c>
      <c r="R63" s="31">
        <v>1059.5</v>
      </c>
      <c r="S63" s="29">
        <f t="shared" si="5"/>
        <v>711477.25000000012</v>
      </c>
      <c r="T63" s="33">
        <f t="shared" si="6"/>
        <v>913943.8</v>
      </c>
      <c r="U63" s="29">
        <f t="shared" si="7"/>
        <v>1074954.1000000001</v>
      </c>
    </row>
    <row r="64" spans="1:21" s="35" customFormat="1" ht="15.75">
      <c r="A64" s="40">
        <v>41213</v>
      </c>
      <c r="B64" s="29">
        <v>50733.300000000105</v>
      </c>
      <c r="C64" s="29">
        <v>99522.699999999968</v>
      </c>
      <c r="D64" s="29"/>
      <c r="E64" s="29">
        <f t="shared" si="4"/>
        <v>150256.00000000006</v>
      </c>
      <c r="F64" s="29">
        <v>78836.5</v>
      </c>
      <c r="G64" s="29">
        <v>34235.199999999997</v>
      </c>
      <c r="H64" s="29" t="s">
        <v>2</v>
      </c>
      <c r="I64" s="29">
        <v>14080.2</v>
      </c>
      <c r="J64" s="29">
        <v>108925</v>
      </c>
      <c r="K64" s="29">
        <v>138352</v>
      </c>
      <c r="L64" s="31">
        <f t="shared" si="0"/>
        <v>374428.9</v>
      </c>
      <c r="M64" s="32">
        <v>152751.86666666667</v>
      </c>
      <c r="N64" s="29">
        <v>14718.9</v>
      </c>
      <c r="O64" s="31">
        <f t="shared" si="1"/>
        <v>206958.13333333336</v>
      </c>
      <c r="P64" s="29">
        <v>23160.3</v>
      </c>
      <c r="Q64" s="29">
        <v>697084.96666666656</v>
      </c>
      <c r="R64" s="31">
        <v>1087.2</v>
      </c>
      <c r="S64" s="29">
        <f t="shared" si="5"/>
        <v>721332.46666666656</v>
      </c>
      <c r="T64" s="33">
        <f t="shared" si="6"/>
        <v>928290.59999999986</v>
      </c>
      <c r="U64" s="29">
        <f t="shared" si="7"/>
        <v>1078546.5999999999</v>
      </c>
    </row>
    <row r="65" spans="1:21" s="35" customFormat="1" ht="15.75">
      <c r="A65" s="40">
        <v>41243</v>
      </c>
      <c r="B65" s="29">
        <v>50395</v>
      </c>
      <c r="C65" s="29">
        <v>107039.20000000001</v>
      </c>
      <c r="D65" s="29"/>
      <c r="E65" s="29">
        <f t="shared" si="4"/>
        <v>157434.20000000001</v>
      </c>
      <c r="F65" s="29">
        <v>104206.5</v>
      </c>
      <c r="G65" s="29">
        <v>35864.9</v>
      </c>
      <c r="H65" s="29"/>
      <c r="I65" s="29">
        <v>16169.2</v>
      </c>
      <c r="J65" s="29">
        <v>108925</v>
      </c>
      <c r="K65" s="29">
        <v>138043.9</v>
      </c>
      <c r="L65" s="31">
        <f t="shared" si="0"/>
        <v>403209.5</v>
      </c>
      <c r="M65" s="32">
        <v>154275.78333333335</v>
      </c>
      <c r="N65" s="29">
        <v>17782.100000000002</v>
      </c>
      <c r="O65" s="31">
        <f t="shared" si="1"/>
        <v>231151.61666666664</v>
      </c>
      <c r="P65" s="29">
        <v>23395.500000000004</v>
      </c>
      <c r="Q65" s="29">
        <v>699905.4833333334</v>
      </c>
      <c r="R65" s="31">
        <v>1050.5999999999999</v>
      </c>
      <c r="S65" s="29">
        <f t="shared" si="5"/>
        <v>724351.58333333337</v>
      </c>
      <c r="T65" s="33">
        <f t="shared" si="6"/>
        <v>955503.2</v>
      </c>
      <c r="U65" s="29">
        <f t="shared" si="7"/>
        <v>1112937.3999999999</v>
      </c>
    </row>
    <row r="66" spans="1:21" s="35" customFormat="1" ht="15.75">
      <c r="A66" s="40">
        <v>41274</v>
      </c>
      <c r="B66" s="29">
        <v>66928.900000000023</v>
      </c>
      <c r="C66" s="29">
        <v>129708.8</v>
      </c>
      <c r="D66" s="29"/>
      <c r="E66" s="29">
        <f t="shared" si="4"/>
        <v>196637.7</v>
      </c>
      <c r="F66" s="29">
        <v>155251.9</v>
      </c>
      <c r="G66" s="29">
        <v>49024.3</v>
      </c>
      <c r="H66" s="29"/>
      <c r="I66" s="29">
        <v>17982.599999999999</v>
      </c>
      <c r="J66" s="29">
        <v>117037.4</v>
      </c>
      <c r="K66" s="29">
        <v>137735.70000000001</v>
      </c>
      <c r="L66" s="31">
        <f t="shared" si="0"/>
        <v>477031.9</v>
      </c>
      <c r="M66" s="32">
        <v>182803.7</v>
      </c>
      <c r="N66" s="29">
        <v>18296</v>
      </c>
      <c r="O66" s="31">
        <f t="shared" si="1"/>
        <v>275932.2</v>
      </c>
      <c r="P66" s="29">
        <v>24157.200000000001</v>
      </c>
      <c r="Q66" s="29">
        <v>683891.70000000007</v>
      </c>
      <c r="R66" s="31">
        <v>1057.9000000000001</v>
      </c>
      <c r="S66" s="29">
        <f t="shared" si="5"/>
        <v>709106.8</v>
      </c>
      <c r="T66" s="33">
        <f t="shared" si="6"/>
        <v>985039</v>
      </c>
      <c r="U66" s="29">
        <f t="shared" si="7"/>
        <v>1181676.7</v>
      </c>
    </row>
    <row r="67" spans="1:21" s="35" customFormat="1" ht="15.75">
      <c r="A67" s="40">
        <v>41305</v>
      </c>
      <c r="B67" s="29">
        <v>55782.700000000012</v>
      </c>
      <c r="C67" s="29">
        <v>140475.40000000002</v>
      </c>
      <c r="D67" s="29">
        <v>-8.1</v>
      </c>
      <c r="E67" s="29">
        <f t="shared" si="4"/>
        <v>196250.00000000003</v>
      </c>
      <c r="F67" s="30" t="s">
        <v>2</v>
      </c>
      <c r="G67" s="29">
        <v>53502.600000000006</v>
      </c>
      <c r="H67" s="29"/>
      <c r="I67" s="29">
        <v>14555.217000000001</v>
      </c>
      <c r="J67" s="29">
        <v>115644.1</v>
      </c>
      <c r="K67" s="29">
        <v>292679.5</v>
      </c>
      <c r="L67" s="31">
        <f t="shared" si="0"/>
        <v>476381.41700000002</v>
      </c>
      <c r="M67" s="32">
        <v>220799.68333333335</v>
      </c>
      <c r="N67" s="29">
        <v>21555.599999999999</v>
      </c>
      <c r="O67" s="31">
        <f t="shared" si="1"/>
        <v>234026.13366666666</v>
      </c>
      <c r="P67" s="29">
        <v>24524.300000000003</v>
      </c>
      <c r="Q67" s="29">
        <v>708419.21666666667</v>
      </c>
      <c r="R67" s="31">
        <v>1099.5999999999999</v>
      </c>
      <c r="S67" s="29">
        <f t="shared" si="5"/>
        <v>734043.1166666667</v>
      </c>
      <c r="T67" s="33">
        <f t="shared" si="6"/>
        <v>968069.25033333339</v>
      </c>
      <c r="U67" s="29">
        <f t="shared" si="7"/>
        <v>1164319.2503333334</v>
      </c>
    </row>
    <row r="68" spans="1:21" s="35" customFormat="1" ht="15.75">
      <c r="A68" s="40">
        <v>41333</v>
      </c>
      <c r="B68" s="29">
        <v>97419.499999999884</v>
      </c>
      <c r="C68" s="29">
        <v>158351.6</v>
      </c>
      <c r="D68" s="29">
        <v>-16.2</v>
      </c>
      <c r="E68" s="29">
        <f t="shared" si="4"/>
        <v>255754.89999999988</v>
      </c>
      <c r="F68" s="30" t="s">
        <v>2</v>
      </c>
      <c r="G68" s="29">
        <v>50864</v>
      </c>
      <c r="H68" s="29"/>
      <c r="I68" s="29">
        <v>16132</v>
      </c>
      <c r="J68" s="29">
        <v>114250.8</v>
      </c>
      <c r="K68" s="29">
        <v>292371.40000000002</v>
      </c>
      <c r="L68" s="31">
        <f t="shared" si="0"/>
        <v>473618.2</v>
      </c>
      <c r="M68" s="32">
        <v>241982.86666666667</v>
      </c>
      <c r="N68" s="29">
        <v>22934.400000000001</v>
      </c>
      <c r="O68" s="31">
        <f t="shared" si="1"/>
        <v>208700.93333333335</v>
      </c>
      <c r="P68" s="29">
        <v>25342.800000000003</v>
      </c>
      <c r="Q68" s="29">
        <v>712390.53333333344</v>
      </c>
      <c r="R68" s="31">
        <v>1413.7</v>
      </c>
      <c r="S68" s="29">
        <f t="shared" si="5"/>
        <v>739147.03333333344</v>
      </c>
      <c r="T68" s="33">
        <f t="shared" si="6"/>
        <v>947847.96666666679</v>
      </c>
      <c r="U68" s="29">
        <f t="shared" si="7"/>
        <v>1203602.8666666667</v>
      </c>
    </row>
    <row r="69" spans="1:21" s="35" customFormat="1" ht="15.75">
      <c r="A69" s="40">
        <v>41364</v>
      </c>
      <c r="B69" s="29">
        <v>48746.900000000081</v>
      </c>
      <c r="C69" s="29">
        <v>149107.00000000003</v>
      </c>
      <c r="D69" s="29">
        <v>-24.299999999999997</v>
      </c>
      <c r="E69" s="29">
        <f t="shared" si="4"/>
        <v>197829.60000000012</v>
      </c>
      <c r="F69" s="30" t="s">
        <v>2</v>
      </c>
      <c r="G69" s="29">
        <v>47334.399999999994</v>
      </c>
      <c r="H69" s="29"/>
      <c r="I69" s="29">
        <v>18914.7</v>
      </c>
      <c r="J69" s="29">
        <v>112857.5</v>
      </c>
      <c r="K69" s="29">
        <v>292063.09999999998</v>
      </c>
      <c r="L69" s="31">
        <f t="shared" si="0"/>
        <v>471169.69999999995</v>
      </c>
      <c r="M69" s="32">
        <v>207006.84999999998</v>
      </c>
      <c r="N69" s="29">
        <v>23122.7</v>
      </c>
      <c r="O69" s="31">
        <f t="shared" si="1"/>
        <v>241040.14999999997</v>
      </c>
      <c r="P69" s="29">
        <v>27027.699999999997</v>
      </c>
      <c r="Q69" s="29">
        <v>720855.35</v>
      </c>
      <c r="R69" s="31">
        <v>1398.1999999999998</v>
      </c>
      <c r="S69" s="29">
        <f t="shared" si="5"/>
        <v>749281.24999999988</v>
      </c>
      <c r="T69" s="33">
        <f t="shared" si="6"/>
        <v>990321.39999999991</v>
      </c>
      <c r="U69" s="29">
        <f t="shared" si="7"/>
        <v>1188151</v>
      </c>
    </row>
    <row r="70" spans="1:21" s="35" customFormat="1" ht="15.75">
      <c r="A70" s="40">
        <v>41394</v>
      </c>
      <c r="B70" s="29">
        <v>44693.599999999977</v>
      </c>
      <c r="C70" s="29">
        <v>151956.90000000002</v>
      </c>
      <c r="D70" s="29">
        <v>-32.4</v>
      </c>
      <c r="E70" s="29">
        <f t="shared" si="4"/>
        <v>196618.1</v>
      </c>
      <c r="F70" s="30">
        <v>11186</v>
      </c>
      <c r="G70" s="29">
        <v>42558.399999999994</v>
      </c>
      <c r="H70" s="29"/>
      <c r="I70" s="29">
        <v>20646.400000000001</v>
      </c>
      <c r="J70" s="29">
        <v>111464.2</v>
      </c>
      <c r="K70" s="29">
        <v>291755.09999999998</v>
      </c>
      <c r="L70" s="31">
        <f t="shared" si="0"/>
        <v>477610.1</v>
      </c>
      <c r="M70" s="32">
        <v>182261.53333333333</v>
      </c>
      <c r="N70" s="29">
        <v>21146.5</v>
      </c>
      <c r="O70" s="31">
        <f t="shared" si="1"/>
        <v>274202.06666666665</v>
      </c>
      <c r="P70" s="29">
        <v>27609.899999999998</v>
      </c>
      <c r="Q70" s="29">
        <v>718491.16666666663</v>
      </c>
      <c r="R70" s="31">
        <v>1390.8</v>
      </c>
      <c r="S70" s="29">
        <f t="shared" si="5"/>
        <v>747491.8666666667</v>
      </c>
      <c r="T70" s="33">
        <f t="shared" si="6"/>
        <v>1021693.9333333333</v>
      </c>
      <c r="U70" s="29">
        <f t="shared" si="7"/>
        <v>1218312.0333333334</v>
      </c>
    </row>
    <row r="71" spans="1:21" s="35" customFormat="1" ht="15.75">
      <c r="A71" s="40">
        <v>41425</v>
      </c>
      <c r="B71" s="29">
        <v>64212.600000000035</v>
      </c>
      <c r="C71" s="29">
        <v>122148.50000000001</v>
      </c>
      <c r="D71" s="29">
        <v>-40.5</v>
      </c>
      <c r="E71" s="29">
        <f t="shared" si="4"/>
        <v>186320.60000000003</v>
      </c>
      <c r="F71" s="30" t="s">
        <v>2</v>
      </c>
      <c r="G71" s="29">
        <v>68342</v>
      </c>
      <c r="H71" s="29"/>
      <c r="I71" s="29">
        <v>16971.283299999999</v>
      </c>
      <c r="J71" s="29">
        <v>110070.9</v>
      </c>
      <c r="K71" s="29">
        <v>291446.90000000002</v>
      </c>
      <c r="L71" s="31">
        <f t="shared" ref="L71:L134" si="8">SUM(F71:K71)</f>
        <v>486831.0833</v>
      </c>
      <c r="M71" s="32">
        <v>199125.4167</v>
      </c>
      <c r="N71" s="29">
        <v>19112.000000000004</v>
      </c>
      <c r="O71" s="31">
        <f t="shared" ref="O71:O134" si="9">L71-M71-N71</f>
        <v>268593.6666</v>
      </c>
      <c r="P71" s="29">
        <v>28974.7</v>
      </c>
      <c r="Q71" s="29">
        <v>723068.18333333335</v>
      </c>
      <c r="R71" s="31">
        <v>1390.6999999999998</v>
      </c>
      <c r="S71" s="29">
        <f t="shared" si="5"/>
        <v>753433.58333333326</v>
      </c>
      <c r="T71" s="33">
        <f t="shared" si="6"/>
        <v>1022027.2499333333</v>
      </c>
      <c r="U71" s="29">
        <f t="shared" ref="U71:U102" si="10">T71+E71</f>
        <v>1208347.8499333332</v>
      </c>
    </row>
    <row r="72" spans="1:21" s="35" customFormat="1" ht="15.75">
      <c r="A72" s="40">
        <v>41455</v>
      </c>
      <c r="B72" s="29">
        <v>56965.400000000081</v>
      </c>
      <c r="C72" s="29">
        <v>101928.40000000002</v>
      </c>
      <c r="D72" s="29">
        <v>-48.599999999999994</v>
      </c>
      <c r="E72" s="29">
        <f t="shared" ref="E72:E135" si="11">SUM(B72:D72)</f>
        <v>158845.2000000001</v>
      </c>
      <c r="F72" s="30" t="s">
        <v>2</v>
      </c>
      <c r="G72" s="29">
        <v>70934.600000000006</v>
      </c>
      <c r="H72" s="29"/>
      <c r="I72" s="29">
        <v>18757.3</v>
      </c>
      <c r="J72" s="29">
        <v>108677.6</v>
      </c>
      <c r="K72" s="29">
        <v>291138.8</v>
      </c>
      <c r="L72" s="31">
        <f t="shared" si="8"/>
        <v>489508.3</v>
      </c>
      <c r="M72" s="32">
        <v>190482.9</v>
      </c>
      <c r="N72" s="29">
        <v>15910.9</v>
      </c>
      <c r="O72" s="31">
        <f t="shared" si="9"/>
        <v>283114.5</v>
      </c>
      <c r="P72" s="29">
        <v>30429.199999999997</v>
      </c>
      <c r="Q72" s="29">
        <v>726941.90000000014</v>
      </c>
      <c r="R72" s="31">
        <v>1401.7</v>
      </c>
      <c r="S72" s="29">
        <f t="shared" ref="S72:S80" si="12">SUM(P72:R72)</f>
        <v>758772.8</v>
      </c>
      <c r="T72" s="33">
        <f t="shared" si="6"/>
        <v>1041887.3</v>
      </c>
      <c r="U72" s="29">
        <f t="shared" si="10"/>
        <v>1200732.5000000002</v>
      </c>
    </row>
    <row r="73" spans="1:21" s="35" customFormat="1" ht="15.75">
      <c r="A73" s="40">
        <v>41486</v>
      </c>
      <c r="B73" s="29">
        <v>88260.70000000007</v>
      </c>
      <c r="C73" s="29">
        <v>97529.599999999977</v>
      </c>
      <c r="D73" s="29">
        <v>-56.699999999999996</v>
      </c>
      <c r="E73" s="29">
        <f t="shared" si="11"/>
        <v>185733.60000000003</v>
      </c>
      <c r="F73" s="30" t="s">
        <v>2</v>
      </c>
      <c r="G73" s="29">
        <v>100965.3</v>
      </c>
      <c r="H73" s="29"/>
      <c r="I73" s="29">
        <v>17433.3</v>
      </c>
      <c r="J73" s="29">
        <v>107284.3</v>
      </c>
      <c r="K73" s="29">
        <v>290830.7</v>
      </c>
      <c r="L73" s="31">
        <f t="shared" si="8"/>
        <v>516513.60000000003</v>
      </c>
      <c r="M73" s="32">
        <v>245464.6</v>
      </c>
      <c r="N73" s="29">
        <v>18379.300000000003</v>
      </c>
      <c r="O73" s="31">
        <f t="shared" si="9"/>
        <v>252669.7</v>
      </c>
      <c r="P73" s="29">
        <v>29921.149999999994</v>
      </c>
      <c r="Q73" s="29">
        <v>748005.86666666658</v>
      </c>
      <c r="R73" s="31">
        <v>1754.2</v>
      </c>
      <c r="S73" s="29">
        <f t="shared" si="12"/>
        <v>779681.21666666656</v>
      </c>
      <c r="T73" s="33">
        <f t="shared" si="6"/>
        <v>1032350.9166666665</v>
      </c>
      <c r="U73" s="29">
        <f t="shared" si="10"/>
        <v>1218084.5166666666</v>
      </c>
    </row>
    <row r="74" spans="1:21" s="35" customFormat="1" ht="15.75">
      <c r="A74" s="40">
        <v>41517</v>
      </c>
      <c r="B74" s="29">
        <v>79468.299999999988</v>
      </c>
      <c r="C74" s="29">
        <v>88537.200000000012</v>
      </c>
      <c r="D74" s="29">
        <v>-64.8</v>
      </c>
      <c r="E74" s="29">
        <f t="shared" si="11"/>
        <v>167940.7</v>
      </c>
      <c r="F74" s="30" t="s">
        <v>2</v>
      </c>
      <c r="G74" s="29">
        <v>96477.700000000012</v>
      </c>
      <c r="H74" s="29"/>
      <c r="I74" s="29">
        <v>24620.9</v>
      </c>
      <c r="J74" s="29">
        <v>107284.3</v>
      </c>
      <c r="K74" s="29">
        <v>290830.7</v>
      </c>
      <c r="L74" s="31">
        <f t="shared" si="8"/>
        <v>519213.60000000003</v>
      </c>
      <c r="M74" s="32">
        <v>197386.4</v>
      </c>
      <c r="N74" s="29">
        <v>19610.8</v>
      </c>
      <c r="O74" s="31">
        <f t="shared" si="9"/>
        <v>302216.40000000008</v>
      </c>
      <c r="P74" s="29">
        <v>31534.7</v>
      </c>
      <c r="Q74" s="29">
        <v>750770.33333333337</v>
      </c>
      <c r="R74" s="31">
        <v>1758.2</v>
      </c>
      <c r="S74" s="29">
        <f t="shared" si="12"/>
        <v>784063.23333333328</v>
      </c>
      <c r="T74" s="33">
        <f t="shared" si="6"/>
        <v>1086279.6333333333</v>
      </c>
      <c r="U74" s="29">
        <f t="shared" si="10"/>
        <v>1254220.3333333333</v>
      </c>
    </row>
    <row r="75" spans="1:21" s="35" customFormat="1" ht="15.75">
      <c r="A75" s="40">
        <v>41547</v>
      </c>
      <c r="B75" s="29">
        <v>78410.799999999988</v>
      </c>
      <c r="C75" s="29">
        <v>86375.500000000015</v>
      </c>
      <c r="D75" s="29">
        <v>-72.899999999999991</v>
      </c>
      <c r="E75" s="29">
        <f t="shared" si="11"/>
        <v>164713.4</v>
      </c>
      <c r="F75" s="30" t="s">
        <v>2</v>
      </c>
      <c r="G75" s="29">
        <v>104499.4</v>
      </c>
      <c r="H75" s="29"/>
      <c r="I75" s="29">
        <v>22464.7</v>
      </c>
      <c r="J75" s="29">
        <v>107284.3</v>
      </c>
      <c r="K75" s="29">
        <v>290214.40000000002</v>
      </c>
      <c r="L75" s="31">
        <f t="shared" si="8"/>
        <v>524462.80000000005</v>
      </c>
      <c r="M75" s="32">
        <v>213218.7</v>
      </c>
      <c r="N75" s="29">
        <v>21460.2</v>
      </c>
      <c r="O75" s="31">
        <f t="shared" si="9"/>
        <v>289783.90000000002</v>
      </c>
      <c r="P75" s="29">
        <v>36136.950000000004</v>
      </c>
      <c r="Q75" s="29">
        <v>759532.1</v>
      </c>
      <c r="R75" s="31">
        <v>2197.5</v>
      </c>
      <c r="S75" s="29">
        <f t="shared" si="12"/>
        <v>797866.54999999993</v>
      </c>
      <c r="T75" s="33">
        <f t="shared" si="6"/>
        <v>1087650.45</v>
      </c>
      <c r="U75" s="29">
        <f t="shared" si="10"/>
        <v>1252363.8499999999</v>
      </c>
    </row>
    <row r="76" spans="1:21" s="35" customFormat="1" ht="15.75">
      <c r="A76" s="40">
        <v>41578</v>
      </c>
      <c r="B76" s="29">
        <v>98627.299999999988</v>
      </c>
      <c r="C76" s="29">
        <v>90134.000000000058</v>
      </c>
      <c r="D76" s="29">
        <v>-81</v>
      </c>
      <c r="E76" s="29">
        <f t="shared" si="11"/>
        <v>188680.30000000005</v>
      </c>
      <c r="F76" s="30">
        <v>6525.5</v>
      </c>
      <c r="G76" s="29">
        <v>108413.2</v>
      </c>
      <c r="H76" s="29"/>
      <c r="I76" s="29">
        <v>17531.800000000003</v>
      </c>
      <c r="J76" s="29">
        <v>107284.3</v>
      </c>
      <c r="K76" s="29">
        <v>289906.3</v>
      </c>
      <c r="L76" s="31">
        <f t="shared" si="8"/>
        <v>529661.1</v>
      </c>
      <c r="M76" s="32">
        <v>215330.6</v>
      </c>
      <c r="N76" s="29">
        <v>21130.1</v>
      </c>
      <c r="O76" s="31">
        <f t="shared" si="9"/>
        <v>293200.40000000002</v>
      </c>
      <c r="P76" s="29">
        <v>35876.800000000003</v>
      </c>
      <c r="Q76" s="29">
        <v>753419.66666666674</v>
      </c>
      <c r="R76" s="31">
        <v>2357.1999999999998</v>
      </c>
      <c r="S76" s="29">
        <f t="shared" si="12"/>
        <v>791653.66666666674</v>
      </c>
      <c r="T76" s="33">
        <f t="shared" si="6"/>
        <v>1084854.0666666669</v>
      </c>
      <c r="U76" s="29">
        <f t="shared" si="10"/>
        <v>1273534.3666666669</v>
      </c>
    </row>
    <row r="77" spans="1:21" s="35" customFormat="1" ht="15.75">
      <c r="A77" s="40">
        <v>41608</v>
      </c>
      <c r="B77" s="29">
        <v>81256.100000000093</v>
      </c>
      <c r="C77" s="29">
        <v>95735.2</v>
      </c>
      <c r="D77" s="29">
        <v>-89.1</v>
      </c>
      <c r="E77" s="29">
        <f t="shared" si="11"/>
        <v>176902.2000000001</v>
      </c>
      <c r="F77" s="30">
        <v>20947.400000000001</v>
      </c>
      <c r="G77" s="29">
        <v>107312.8</v>
      </c>
      <c r="H77" s="29"/>
      <c r="I77" s="29">
        <v>22148</v>
      </c>
      <c r="J77" s="29">
        <v>107284.3</v>
      </c>
      <c r="K77" s="29">
        <v>289906.3</v>
      </c>
      <c r="L77" s="31">
        <f t="shared" si="8"/>
        <v>547598.80000000005</v>
      </c>
      <c r="M77" s="32">
        <v>218783.4</v>
      </c>
      <c r="N77" s="29">
        <v>24576.5</v>
      </c>
      <c r="O77" s="31">
        <f t="shared" si="9"/>
        <v>304238.90000000002</v>
      </c>
      <c r="P77" s="29">
        <v>35971.050000000003</v>
      </c>
      <c r="Q77" s="29">
        <v>749695.63333333342</v>
      </c>
      <c r="R77" s="31">
        <v>2366.6</v>
      </c>
      <c r="S77" s="29">
        <f t="shared" si="12"/>
        <v>788033.28333333344</v>
      </c>
      <c r="T77" s="33">
        <f t="shared" si="6"/>
        <v>1092272.1833333336</v>
      </c>
      <c r="U77" s="29">
        <f t="shared" si="10"/>
        <v>1269174.3833333338</v>
      </c>
    </row>
    <row r="78" spans="1:21" s="35" customFormat="1" ht="15.75">
      <c r="A78" s="40">
        <v>41639</v>
      </c>
      <c r="B78" s="29">
        <v>118133.79999999993</v>
      </c>
      <c r="C78" s="29">
        <v>111622.29999999997</v>
      </c>
      <c r="D78" s="29">
        <v>-97.2</v>
      </c>
      <c r="E78" s="29">
        <f t="shared" si="11"/>
        <v>229658.89999999991</v>
      </c>
      <c r="F78" s="30" t="s">
        <v>2</v>
      </c>
      <c r="G78" s="29">
        <v>109019.90000000001</v>
      </c>
      <c r="H78" s="29"/>
      <c r="I78" s="29">
        <v>18506.300000000003</v>
      </c>
      <c r="J78" s="29">
        <v>107284.3</v>
      </c>
      <c r="K78" s="29">
        <v>289290</v>
      </c>
      <c r="L78" s="31">
        <f t="shared" si="8"/>
        <v>524100.5</v>
      </c>
      <c r="M78" s="32">
        <v>227012.90000000002</v>
      </c>
      <c r="N78" s="29">
        <v>23790.1</v>
      </c>
      <c r="O78" s="31">
        <f t="shared" si="9"/>
        <v>273297.5</v>
      </c>
      <c r="P78" s="29">
        <v>36129.5</v>
      </c>
      <c r="Q78" s="29">
        <v>743181.20000000019</v>
      </c>
      <c r="R78" s="31">
        <v>2469.1999999999998</v>
      </c>
      <c r="S78" s="29">
        <f t="shared" si="12"/>
        <v>781779.90000000014</v>
      </c>
      <c r="T78" s="33">
        <f t="shared" si="6"/>
        <v>1055077.4000000001</v>
      </c>
      <c r="U78" s="29">
        <f t="shared" si="10"/>
        <v>1284736.3</v>
      </c>
    </row>
    <row r="79" spans="1:21" s="35" customFormat="1" ht="15.75">
      <c r="A79" s="40">
        <v>41670</v>
      </c>
      <c r="B79" s="36">
        <v>102196.30000000005</v>
      </c>
      <c r="C79" s="36">
        <v>112713.69999999998</v>
      </c>
      <c r="D79" s="36">
        <v>-97.183333333333337</v>
      </c>
      <c r="E79" s="29">
        <f t="shared" si="11"/>
        <v>214812.81666666671</v>
      </c>
      <c r="F79" s="30" t="s">
        <v>2</v>
      </c>
      <c r="G79" s="36">
        <v>108779.50000000001</v>
      </c>
      <c r="H79" s="29"/>
      <c r="I79" s="29">
        <v>15342.7</v>
      </c>
      <c r="J79" s="29">
        <v>107284.3</v>
      </c>
      <c r="K79" s="29">
        <v>289290</v>
      </c>
      <c r="L79" s="31">
        <f t="shared" si="8"/>
        <v>520696.5</v>
      </c>
      <c r="M79" s="32">
        <v>234401.17500000002</v>
      </c>
      <c r="N79" s="29">
        <v>23611.000000000004</v>
      </c>
      <c r="O79" s="31">
        <f t="shared" si="9"/>
        <v>262684.32499999995</v>
      </c>
      <c r="P79" s="36">
        <v>36088.483333333337</v>
      </c>
      <c r="Q79" s="36">
        <v>750575.02499999991</v>
      </c>
      <c r="R79" s="31">
        <v>2774.6000000000004</v>
      </c>
      <c r="S79" s="29">
        <f t="shared" si="12"/>
        <v>789438.10833333328</v>
      </c>
      <c r="T79" s="33">
        <f t="shared" si="6"/>
        <v>1052122.4333333331</v>
      </c>
      <c r="U79" s="29">
        <f t="shared" si="10"/>
        <v>1266935.2499999998</v>
      </c>
    </row>
    <row r="80" spans="1:21" s="35" customFormat="1" ht="15.75">
      <c r="A80" s="40">
        <v>41698</v>
      </c>
      <c r="B80" s="36">
        <v>91139.900000000023</v>
      </c>
      <c r="C80" s="36">
        <v>138740.90000000002</v>
      </c>
      <c r="D80" s="36">
        <v>-97.166666666666671</v>
      </c>
      <c r="E80" s="29">
        <f t="shared" si="11"/>
        <v>229783.63333333339</v>
      </c>
      <c r="F80" s="30" t="s">
        <v>2</v>
      </c>
      <c r="G80" s="36">
        <v>112164</v>
      </c>
      <c r="H80" s="29"/>
      <c r="I80" s="29">
        <v>17035.8</v>
      </c>
      <c r="J80" s="29">
        <v>107284.3</v>
      </c>
      <c r="K80" s="29">
        <v>288673.7</v>
      </c>
      <c r="L80" s="31">
        <f t="shared" si="8"/>
        <v>525157.80000000005</v>
      </c>
      <c r="M80" s="32">
        <v>242509.65</v>
      </c>
      <c r="N80" s="29">
        <v>21791.600000000002</v>
      </c>
      <c r="O80" s="31">
        <f t="shared" si="9"/>
        <v>260856.55000000002</v>
      </c>
      <c r="P80" s="36">
        <v>36003.366666666669</v>
      </c>
      <c r="Q80" s="36">
        <v>755007.05</v>
      </c>
      <c r="R80" s="31">
        <v>3027.3</v>
      </c>
      <c r="S80" s="29">
        <f t="shared" si="12"/>
        <v>794037.71666666679</v>
      </c>
      <c r="T80" s="33">
        <f t="shared" si="6"/>
        <v>1054894.2666666668</v>
      </c>
      <c r="U80" s="29">
        <f t="shared" si="10"/>
        <v>1284677.9000000001</v>
      </c>
    </row>
    <row r="81" spans="1:21" s="35" customFormat="1" ht="15.75">
      <c r="A81" s="40">
        <v>41729</v>
      </c>
      <c r="B81" s="36">
        <v>95018.600000000035</v>
      </c>
      <c r="C81" s="36">
        <v>115929.5</v>
      </c>
      <c r="D81" s="36">
        <v>-97.15</v>
      </c>
      <c r="E81" s="29">
        <f t="shared" si="11"/>
        <v>210850.95000000004</v>
      </c>
      <c r="F81" s="30">
        <v>8513</v>
      </c>
      <c r="G81" s="36">
        <v>108771.9</v>
      </c>
      <c r="H81" s="29"/>
      <c r="I81" s="29">
        <v>13380.9</v>
      </c>
      <c r="J81" s="29">
        <v>107284.3</v>
      </c>
      <c r="K81" s="29">
        <v>288673.7</v>
      </c>
      <c r="L81" s="31">
        <f t="shared" si="8"/>
        <v>526623.80000000005</v>
      </c>
      <c r="M81" s="32">
        <v>226231.92499999999</v>
      </c>
      <c r="N81" s="29">
        <v>17505.000000000004</v>
      </c>
      <c r="O81" s="31">
        <f t="shared" si="9"/>
        <v>282886.87500000006</v>
      </c>
      <c r="P81" s="36">
        <v>35670.550000000003</v>
      </c>
      <c r="Q81" s="36">
        <v>743101.375</v>
      </c>
      <c r="R81" s="31">
        <v>3128.7000000000003</v>
      </c>
      <c r="S81" s="29">
        <f t="shared" ref="S81:S138" si="13">SUM(P81:R81)</f>
        <v>781900.625</v>
      </c>
      <c r="T81" s="33">
        <f t="shared" si="6"/>
        <v>1064787.5</v>
      </c>
      <c r="U81" s="29">
        <f t="shared" si="10"/>
        <v>1275638.45</v>
      </c>
    </row>
    <row r="82" spans="1:21" s="35" customFormat="1" ht="15.75">
      <c r="A82" s="40">
        <v>41759</v>
      </c>
      <c r="B82" s="36">
        <v>95155.499999999942</v>
      </c>
      <c r="C82" s="36">
        <v>119186.49999999999</v>
      </c>
      <c r="D82" s="36">
        <v>-97.133333333333326</v>
      </c>
      <c r="E82" s="29">
        <f t="shared" si="11"/>
        <v>214244.86666666661</v>
      </c>
      <c r="F82" s="30">
        <v>14256.4</v>
      </c>
      <c r="G82" s="36">
        <v>137931.09999999998</v>
      </c>
      <c r="H82" s="29"/>
      <c r="I82" s="29">
        <v>18226.099999999999</v>
      </c>
      <c r="J82" s="29">
        <v>107284.3</v>
      </c>
      <c r="K82" s="29">
        <v>288365.59999999998</v>
      </c>
      <c r="L82" s="31">
        <f t="shared" si="8"/>
        <v>566063.5</v>
      </c>
      <c r="M82" s="32">
        <v>216953.09999999998</v>
      </c>
      <c r="N82" s="29">
        <v>16806.800000000003</v>
      </c>
      <c r="O82" s="31">
        <f t="shared" si="9"/>
        <v>332303.60000000003</v>
      </c>
      <c r="P82" s="36">
        <v>35870.433333333342</v>
      </c>
      <c r="Q82" s="36">
        <v>746533.09999999986</v>
      </c>
      <c r="R82" s="31">
        <v>3057.1000000000004</v>
      </c>
      <c r="S82" s="29">
        <f t="shared" si="13"/>
        <v>785460.63333333319</v>
      </c>
      <c r="T82" s="33">
        <f t="shared" si="6"/>
        <v>1117764.2333333332</v>
      </c>
      <c r="U82" s="29">
        <f t="shared" si="10"/>
        <v>1332009.0999999999</v>
      </c>
    </row>
    <row r="83" spans="1:21" s="35" customFormat="1" ht="15.75">
      <c r="A83" s="40">
        <v>41790</v>
      </c>
      <c r="B83" s="36">
        <v>85924</v>
      </c>
      <c r="C83" s="36">
        <v>97861.60000000002</v>
      </c>
      <c r="D83" s="36">
        <v>-97.11666666666666</v>
      </c>
      <c r="E83" s="29">
        <f t="shared" si="11"/>
        <v>183688.48333333337</v>
      </c>
      <c r="F83" s="30">
        <v>16076.5</v>
      </c>
      <c r="G83" s="36">
        <v>131083.79999999999</v>
      </c>
      <c r="H83" s="29"/>
      <c r="I83" s="29">
        <v>15870.5</v>
      </c>
      <c r="J83" s="29">
        <v>107284.3</v>
      </c>
      <c r="K83" s="29">
        <v>287749.3</v>
      </c>
      <c r="L83" s="31">
        <f t="shared" si="8"/>
        <v>558064.39999999991</v>
      </c>
      <c r="M83" s="32">
        <v>200333.77500000002</v>
      </c>
      <c r="N83" s="29">
        <v>12657.699999999999</v>
      </c>
      <c r="O83" s="31">
        <f t="shared" si="9"/>
        <v>345072.92499999987</v>
      </c>
      <c r="P83" s="36">
        <v>38343.216666666674</v>
      </c>
      <c r="Q83" s="36">
        <v>749613.22499999986</v>
      </c>
      <c r="R83" s="31">
        <v>3066.6000000000004</v>
      </c>
      <c r="S83" s="29">
        <f t="shared" si="13"/>
        <v>791023.04166666651</v>
      </c>
      <c r="T83" s="33">
        <f t="shared" si="6"/>
        <v>1136095.9666666663</v>
      </c>
      <c r="U83" s="29">
        <f t="shared" si="10"/>
        <v>1319784.4499999997</v>
      </c>
    </row>
    <row r="84" spans="1:21" s="35" customFormat="1" ht="15.75">
      <c r="A84" s="40">
        <v>41820</v>
      </c>
      <c r="B84" s="36">
        <v>89071.500000000116</v>
      </c>
      <c r="C84" s="36">
        <v>95701.300000000032</v>
      </c>
      <c r="D84" s="36">
        <v>-97.1</v>
      </c>
      <c r="E84" s="29">
        <f t="shared" si="11"/>
        <v>184675.70000000016</v>
      </c>
      <c r="F84" s="30">
        <v>39309.599999999999</v>
      </c>
      <c r="G84" s="36">
        <v>134209.09999999998</v>
      </c>
      <c r="H84" s="29"/>
      <c r="I84" s="29">
        <v>19161.199999999997</v>
      </c>
      <c r="J84" s="29">
        <v>107284.3</v>
      </c>
      <c r="K84" s="29">
        <v>287441.19999999995</v>
      </c>
      <c r="L84" s="31">
        <f t="shared" si="8"/>
        <v>587405.39999999991</v>
      </c>
      <c r="M84" s="32">
        <v>210539.85</v>
      </c>
      <c r="N84" s="29">
        <v>17287.8</v>
      </c>
      <c r="O84" s="31">
        <f t="shared" si="9"/>
        <v>359577.74999999994</v>
      </c>
      <c r="P84" s="36">
        <v>41979.700000000004</v>
      </c>
      <c r="Q84" s="36">
        <v>766726.45000000007</v>
      </c>
      <c r="R84" s="31">
        <v>3154.2</v>
      </c>
      <c r="S84" s="29">
        <f t="shared" si="13"/>
        <v>811860.35</v>
      </c>
      <c r="T84" s="33">
        <f t="shared" si="6"/>
        <v>1171438.0999999999</v>
      </c>
      <c r="U84" s="29">
        <f t="shared" si="10"/>
        <v>1356113.8</v>
      </c>
    </row>
    <row r="85" spans="1:21" s="35" customFormat="1" ht="15.75">
      <c r="A85" s="40">
        <v>41851</v>
      </c>
      <c r="B85" s="36">
        <v>70600.399999999965</v>
      </c>
      <c r="C85" s="36">
        <v>121995.19999999998</v>
      </c>
      <c r="D85" s="36">
        <v>-89.016666666666666</v>
      </c>
      <c r="E85" s="29">
        <f t="shared" si="11"/>
        <v>192506.58333333328</v>
      </c>
      <c r="F85" s="30">
        <v>52779.8</v>
      </c>
      <c r="G85" s="36">
        <v>136756.6</v>
      </c>
      <c r="H85" s="29"/>
      <c r="I85" s="29">
        <v>22483.550000000003</v>
      </c>
      <c r="J85" s="29">
        <v>107284.3</v>
      </c>
      <c r="K85" s="29">
        <v>287441.19999999995</v>
      </c>
      <c r="L85" s="31">
        <f t="shared" si="8"/>
        <v>606745.44999999995</v>
      </c>
      <c r="M85" s="32">
        <v>202970.35833333334</v>
      </c>
      <c r="N85" s="29">
        <v>17393.5</v>
      </c>
      <c r="O85" s="31">
        <f t="shared" si="9"/>
        <v>386381.59166666662</v>
      </c>
      <c r="P85" s="36">
        <v>46379.933333333327</v>
      </c>
      <c r="Q85" s="36">
        <v>774029.6083333334</v>
      </c>
      <c r="R85" s="31">
        <v>3132.7999999999997</v>
      </c>
      <c r="S85" s="29">
        <f t="shared" si="13"/>
        <v>823542.34166666679</v>
      </c>
      <c r="T85" s="33">
        <f t="shared" si="6"/>
        <v>1209923.9333333333</v>
      </c>
      <c r="U85" s="29">
        <f t="shared" si="10"/>
        <v>1402430.5166666666</v>
      </c>
    </row>
    <row r="86" spans="1:21" s="35" customFormat="1" ht="15.75">
      <c r="A86" s="40">
        <v>41882</v>
      </c>
      <c r="B86" s="36">
        <v>82609.899999999965</v>
      </c>
      <c r="C86" s="36">
        <v>68447.799999999974</v>
      </c>
      <c r="D86" s="36">
        <v>-80.933333333333337</v>
      </c>
      <c r="E86" s="29">
        <f t="shared" si="11"/>
        <v>150976.76666666663</v>
      </c>
      <c r="F86" s="30">
        <v>43358.6</v>
      </c>
      <c r="G86" s="36">
        <v>157164.6</v>
      </c>
      <c r="H86" s="29"/>
      <c r="I86" s="29">
        <v>22709.600000000002</v>
      </c>
      <c r="J86" s="29">
        <v>107284.3</v>
      </c>
      <c r="K86" s="29">
        <v>286825</v>
      </c>
      <c r="L86" s="31">
        <f t="shared" si="8"/>
        <v>617342.10000000009</v>
      </c>
      <c r="M86" s="32">
        <v>197053.01111111112</v>
      </c>
      <c r="N86" s="29">
        <v>19854.8</v>
      </c>
      <c r="O86" s="31">
        <f t="shared" si="9"/>
        <v>400434.28888888896</v>
      </c>
      <c r="P86" s="36">
        <v>46409.666666666664</v>
      </c>
      <c r="Q86" s="36">
        <v>793456.26666666672</v>
      </c>
      <c r="R86" s="31">
        <v>3150.2999999999997</v>
      </c>
      <c r="S86" s="29">
        <f t="shared" si="13"/>
        <v>843016.2333333334</v>
      </c>
      <c r="T86" s="33">
        <f t="shared" si="6"/>
        <v>1243450.5222222223</v>
      </c>
      <c r="U86" s="29">
        <f t="shared" si="10"/>
        <v>1394427.2888888889</v>
      </c>
    </row>
    <row r="87" spans="1:21" s="35" customFormat="1" ht="15.75">
      <c r="A87" s="40">
        <v>41912</v>
      </c>
      <c r="B87" s="36">
        <v>142837.30000000005</v>
      </c>
      <c r="C87" s="36">
        <v>70021.499999999971</v>
      </c>
      <c r="D87" s="36">
        <v>-72.849999999999994</v>
      </c>
      <c r="E87" s="29">
        <f t="shared" si="11"/>
        <v>212785.95</v>
      </c>
      <c r="F87" s="30">
        <v>27300.1</v>
      </c>
      <c r="G87" s="36">
        <v>151516.40000000002</v>
      </c>
      <c r="H87" s="29"/>
      <c r="I87" s="29">
        <v>22821.449999999997</v>
      </c>
      <c r="J87" s="29">
        <v>107284.3</v>
      </c>
      <c r="K87" s="29">
        <v>286825</v>
      </c>
      <c r="L87" s="31">
        <f t="shared" si="8"/>
        <v>595747.25</v>
      </c>
      <c r="M87" s="32">
        <v>278447.73611111112</v>
      </c>
      <c r="N87" s="29">
        <v>25072.2</v>
      </c>
      <c r="O87" s="31">
        <f t="shared" si="9"/>
        <v>292227.31388888886</v>
      </c>
      <c r="P87" s="36">
        <v>44045.2</v>
      </c>
      <c r="Q87" s="36">
        <v>785180.62499999988</v>
      </c>
      <c r="R87" s="31">
        <v>3642.8999999999996</v>
      </c>
      <c r="S87" s="29">
        <f t="shared" si="13"/>
        <v>832868.72499999986</v>
      </c>
      <c r="T87" s="33">
        <f t="shared" si="6"/>
        <v>1125096.0388888887</v>
      </c>
      <c r="U87" s="29">
        <f t="shared" si="10"/>
        <v>1337881.9888888886</v>
      </c>
    </row>
    <row r="88" spans="1:21" s="35" customFormat="1" ht="15.75">
      <c r="A88" s="40">
        <v>41943</v>
      </c>
      <c r="B88" s="36">
        <v>138959.60000000009</v>
      </c>
      <c r="C88" s="36">
        <v>64215.799999999974</v>
      </c>
      <c r="D88" s="36">
        <v>-64.766666666666666</v>
      </c>
      <c r="E88" s="29">
        <f t="shared" si="11"/>
        <v>203110.63333333342</v>
      </c>
      <c r="F88" s="30">
        <v>74347</v>
      </c>
      <c r="G88" s="36">
        <v>146788.6</v>
      </c>
      <c r="H88" s="29"/>
      <c r="I88" s="29">
        <v>22390.1</v>
      </c>
      <c r="J88" s="29">
        <v>107284.3</v>
      </c>
      <c r="K88" s="29">
        <v>286516.8</v>
      </c>
      <c r="L88" s="31">
        <f t="shared" si="8"/>
        <v>637326.80000000005</v>
      </c>
      <c r="M88" s="32">
        <v>245816.67592592593</v>
      </c>
      <c r="N88" s="29">
        <v>29509.200000000001</v>
      </c>
      <c r="O88" s="31">
        <f t="shared" si="9"/>
        <v>362000.92407407408</v>
      </c>
      <c r="P88" s="36">
        <v>41628.933333333334</v>
      </c>
      <c r="Q88" s="36">
        <v>790875.81666666653</v>
      </c>
      <c r="R88" s="31">
        <v>3691</v>
      </c>
      <c r="S88" s="29">
        <f t="shared" si="13"/>
        <v>836195.74999999988</v>
      </c>
      <c r="T88" s="33">
        <f t="shared" si="6"/>
        <v>1198196.674074074</v>
      </c>
      <c r="U88" s="29">
        <f t="shared" si="10"/>
        <v>1401307.3074074076</v>
      </c>
    </row>
    <row r="89" spans="1:21" s="35" customFormat="1" ht="15.75">
      <c r="A89" s="40">
        <v>41973</v>
      </c>
      <c r="B89" s="36">
        <v>134061.10000000009</v>
      </c>
      <c r="C89" s="36">
        <v>57822.8</v>
      </c>
      <c r="D89" s="36">
        <v>-56.683333333333337</v>
      </c>
      <c r="E89" s="29">
        <f t="shared" si="11"/>
        <v>191827.21666666676</v>
      </c>
      <c r="F89" s="30">
        <v>41502.5</v>
      </c>
      <c r="G89" s="36">
        <v>154082.5</v>
      </c>
      <c r="H89" s="29"/>
      <c r="I89" s="29">
        <v>18601.55</v>
      </c>
      <c r="J89" s="29">
        <v>106976.2</v>
      </c>
      <c r="K89" s="29">
        <v>286208.59999999998</v>
      </c>
      <c r="L89" s="31">
        <f t="shared" si="8"/>
        <v>607371.35</v>
      </c>
      <c r="M89" s="32">
        <v>246149.85895061732</v>
      </c>
      <c r="N89" s="29">
        <v>31987.8</v>
      </c>
      <c r="O89" s="31">
        <f t="shared" si="9"/>
        <v>329233.69104938267</v>
      </c>
      <c r="P89" s="36">
        <v>40555.466666666667</v>
      </c>
      <c r="Q89" s="36">
        <v>800124.2972222222</v>
      </c>
      <c r="R89" s="31">
        <v>3607.1</v>
      </c>
      <c r="S89" s="29">
        <f t="shared" si="13"/>
        <v>844286.86388888885</v>
      </c>
      <c r="T89" s="33">
        <f t="shared" si="6"/>
        <v>1173520.5549382716</v>
      </c>
      <c r="U89" s="29">
        <f t="shared" si="10"/>
        <v>1365347.7716049384</v>
      </c>
    </row>
    <row r="90" spans="1:21" s="35" customFormat="1" ht="15.75">
      <c r="A90" s="40">
        <v>42004</v>
      </c>
      <c r="B90" s="36">
        <v>128675.89999999997</v>
      </c>
      <c r="C90" s="36">
        <v>51849.400000000023</v>
      </c>
      <c r="D90" s="36">
        <v>-48.6</v>
      </c>
      <c r="E90" s="29">
        <f t="shared" si="11"/>
        <v>180476.69999999998</v>
      </c>
      <c r="F90" s="30">
        <v>55186.9</v>
      </c>
      <c r="G90" s="36">
        <v>147702.70000000001</v>
      </c>
      <c r="H90" s="29"/>
      <c r="I90" s="29">
        <v>49269.8</v>
      </c>
      <c r="J90" s="29">
        <v>106976.2</v>
      </c>
      <c r="K90" s="29">
        <v>285900.5</v>
      </c>
      <c r="L90" s="31">
        <f t="shared" si="8"/>
        <v>645036.10000000009</v>
      </c>
      <c r="M90" s="32">
        <v>238856.59999999998</v>
      </c>
      <c r="N90" s="29">
        <v>23004.400000000001</v>
      </c>
      <c r="O90" s="31">
        <f t="shared" si="9"/>
        <v>383175.10000000009</v>
      </c>
      <c r="P90" s="36">
        <v>40818.700000000004</v>
      </c>
      <c r="Q90" s="36">
        <v>814694.39999999991</v>
      </c>
      <c r="R90" s="31">
        <v>3449.2999999999997</v>
      </c>
      <c r="S90" s="29">
        <f t="shared" si="13"/>
        <v>858962.39999999991</v>
      </c>
      <c r="T90" s="33">
        <f t="shared" si="6"/>
        <v>1242137.5</v>
      </c>
      <c r="U90" s="29">
        <f t="shared" si="10"/>
        <v>1422614.2</v>
      </c>
    </row>
    <row r="91" spans="1:21" s="35" customFormat="1" ht="15.75">
      <c r="A91" s="40">
        <v>42035</v>
      </c>
      <c r="B91" s="30">
        <v>127066.10000000003</v>
      </c>
      <c r="C91" s="30">
        <v>48113.699999999983</v>
      </c>
      <c r="D91" s="30">
        <v>-40.5</v>
      </c>
      <c r="E91" s="29">
        <f t="shared" si="11"/>
        <v>175139.30000000002</v>
      </c>
      <c r="F91" s="30">
        <v>22472.2</v>
      </c>
      <c r="G91" s="30">
        <v>157245.1</v>
      </c>
      <c r="H91" s="30"/>
      <c r="I91" s="29">
        <v>50691.9</v>
      </c>
      <c r="J91" s="30">
        <v>106976.2</v>
      </c>
      <c r="K91" s="30">
        <v>285900.5</v>
      </c>
      <c r="L91" s="31">
        <f t="shared" si="8"/>
        <v>623285.9</v>
      </c>
      <c r="M91" s="30">
        <v>236855.05</v>
      </c>
      <c r="N91" s="29">
        <v>23585.300000000003</v>
      </c>
      <c r="O91" s="31">
        <f t="shared" si="9"/>
        <v>362845.55000000005</v>
      </c>
      <c r="P91" s="36">
        <v>34865.033333333333</v>
      </c>
      <c r="Q91" s="31">
        <v>814769.25</v>
      </c>
      <c r="R91" s="31">
        <v>3291.2000000000003</v>
      </c>
      <c r="S91" s="29">
        <f t="shared" si="13"/>
        <v>852925.48333333328</v>
      </c>
      <c r="T91" s="33">
        <f t="shared" si="6"/>
        <v>1215771.0333333332</v>
      </c>
      <c r="U91" s="29">
        <f t="shared" si="10"/>
        <v>1390910.3333333333</v>
      </c>
    </row>
    <row r="92" spans="1:21" s="35" customFormat="1" ht="15.75">
      <c r="A92" s="40">
        <v>42063</v>
      </c>
      <c r="B92" s="30">
        <v>122551.00000000006</v>
      </c>
      <c r="C92" s="30">
        <v>30084.300000000017</v>
      </c>
      <c r="D92" s="30">
        <v>-32.400000000000006</v>
      </c>
      <c r="E92" s="29">
        <f t="shared" si="11"/>
        <v>152602.90000000008</v>
      </c>
      <c r="F92" s="30">
        <v>72202.7</v>
      </c>
      <c r="G92" s="30">
        <v>140827.20000000001</v>
      </c>
      <c r="H92" s="30"/>
      <c r="I92" s="29">
        <v>53460.700000000004</v>
      </c>
      <c r="J92" s="30">
        <v>105891</v>
      </c>
      <c r="K92" s="30">
        <v>284644.40000000002</v>
      </c>
      <c r="L92" s="31">
        <f t="shared" si="8"/>
        <v>657026</v>
      </c>
      <c r="M92" s="30">
        <v>234965.2</v>
      </c>
      <c r="N92" s="29">
        <v>26721.800000000003</v>
      </c>
      <c r="O92" s="31">
        <f t="shared" si="9"/>
        <v>395339</v>
      </c>
      <c r="P92" s="36">
        <v>27562.966666666667</v>
      </c>
      <c r="Q92" s="31">
        <v>812510.39999999991</v>
      </c>
      <c r="R92" s="31">
        <v>3220</v>
      </c>
      <c r="S92" s="29">
        <f t="shared" si="13"/>
        <v>843293.36666666658</v>
      </c>
      <c r="T92" s="33">
        <f t="shared" si="6"/>
        <v>1238632.3666666667</v>
      </c>
      <c r="U92" s="29">
        <f t="shared" si="10"/>
        <v>1391235.2666666668</v>
      </c>
    </row>
    <row r="93" spans="1:21" s="35" customFormat="1" ht="15.75">
      <c r="A93" s="40">
        <v>42094</v>
      </c>
      <c r="B93" s="30">
        <v>115526.40000000002</v>
      </c>
      <c r="C93" s="30">
        <v>45364.599999999977</v>
      </c>
      <c r="D93" s="30">
        <v>-24.300000000000004</v>
      </c>
      <c r="E93" s="29">
        <f t="shared" si="11"/>
        <v>160866.70000000001</v>
      </c>
      <c r="F93" s="30">
        <v>23590.1</v>
      </c>
      <c r="G93" s="30">
        <v>156652.5</v>
      </c>
      <c r="H93" s="30"/>
      <c r="I93" s="29">
        <v>51794.399999999994</v>
      </c>
      <c r="J93" s="30">
        <v>104166</v>
      </c>
      <c r="K93" s="30">
        <v>284644.40000000002</v>
      </c>
      <c r="L93" s="31">
        <f t="shared" si="8"/>
        <v>620847.4</v>
      </c>
      <c r="M93" s="30">
        <v>247417.85000000003</v>
      </c>
      <c r="N93" s="29">
        <v>29000.600000000002</v>
      </c>
      <c r="O93" s="31">
        <f t="shared" si="9"/>
        <v>344428.95</v>
      </c>
      <c r="P93" s="36">
        <v>22882</v>
      </c>
      <c r="Q93" s="31">
        <v>819545.25</v>
      </c>
      <c r="R93" s="31">
        <v>3910.9</v>
      </c>
      <c r="S93" s="29">
        <f t="shared" si="13"/>
        <v>846338.15</v>
      </c>
      <c r="T93" s="33">
        <f t="shared" si="6"/>
        <v>1190767.1000000001</v>
      </c>
      <c r="U93" s="29">
        <f t="shared" si="10"/>
        <v>1351633.8</v>
      </c>
    </row>
    <row r="94" spans="1:21" s="35" customFormat="1" ht="15.75">
      <c r="A94" s="40">
        <v>42124</v>
      </c>
      <c r="B94" s="30">
        <v>93523.400000000081</v>
      </c>
      <c r="C94" s="30">
        <v>54537.899999999994</v>
      </c>
      <c r="D94" s="30">
        <v>-16.200000000000003</v>
      </c>
      <c r="E94" s="29">
        <f t="shared" si="11"/>
        <v>148045.10000000006</v>
      </c>
      <c r="F94" s="30">
        <v>54107.7</v>
      </c>
      <c r="G94" s="30">
        <v>152931.6</v>
      </c>
      <c r="H94" s="30"/>
      <c r="I94" s="29">
        <v>47698.899999999994</v>
      </c>
      <c r="J94" s="30">
        <v>102772.7</v>
      </c>
      <c r="K94" s="30">
        <v>284004.5</v>
      </c>
      <c r="L94" s="31">
        <f t="shared" si="8"/>
        <v>641515.39999999991</v>
      </c>
      <c r="M94" s="30">
        <v>234550.90000000002</v>
      </c>
      <c r="N94" s="29">
        <v>27853.399999999998</v>
      </c>
      <c r="O94" s="31">
        <f t="shared" si="9"/>
        <v>379111.09999999986</v>
      </c>
      <c r="P94" s="36">
        <v>20248.833333333332</v>
      </c>
      <c r="Q94" s="31">
        <v>839791.5</v>
      </c>
      <c r="R94" s="31">
        <v>3961.2999999999997</v>
      </c>
      <c r="S94" s="29">
        <f t="shared" si="13"/>
        <v>864001.63333333342</v>
      </c>
      <c r="T94" s="33">
        <f t="shared" ref="T94:T102" si="14">S94+O94</f>
        <v>1243112.7333333334</v>
      </c>
      <c r="U94" s="29">
        <f t="shared" si="10"/>
        <v>1391157.8333333335</v>
      </c>
    </row>
    <row r="95" spans="1:21" s="35" customFormat="1" ht="15.75">
      <c r="A95" s="40">
        <v>42155</v>
      </c>
      <c r="B95" s="30">
        <v>96969.099999999977</v>
      </c>
      <c r="C95" s="30">
        <v>41533.800000000047</v>
      </c>
      <c r="D95" s="30">
        <v>-8.1000000000000014</v>
      </c>
      <c r="E95" s="29">
        <f t="shared" si="11"/>
        <v>138494.80000000002</v>
      </c>
      <c r="F95" s="30">
        <v>79625</v>
      </c>
      <c r="G95" s="30">
        <v>172465.8</v>
      </c>
      <c r="H95" s="30"/>
      <c r="I95" s="29">
        <v>51473.2</v>
      </c>
      <c r="J95" s="30">
        <v>101379.3</v>
      </c>
      <c r="K95" s="30">
        <v>283364.7</v>
      </c>
      <c r="L95" s="31">
        <f t="shared" si="8"/>
        <v>688308</v>
      </c>
      <c r="M95" s="30">
        <v>237907.74999999997</v>
      </c>
      <c r="N95" s="29">
        <v>28395.399999999998</v>
      </c>
      <c r="O95" s="31">
        <f t="shared" si="9"/>
        <v>422004.85</v>
      </c>
      <c r="P95" s="36">
        <v>16421.366666666665</v>
      </c>
      <c r="Q95" s="31">
        <v>850867.45</v>
      </c>
      <c r="R95" s="31">
        <v>4189.7</v>
      </c>
      <c r="S95" s="29">
        <f t="shared" si="13"/>
        <v>871478.5166666666</v>
      </c>
      <c r="T95" s="33">
        <f t="shared" si="14"/>
        <v>1293483.3666666667</v>
      </c>
      <c r="U95" s="29">
        <f t="shared" si="10"/>
        <v>1431978.1666666667</v>
      </c>
    </row>
    <row r="96" spans="1:21" s="35" customFormat="1" ht="15.75">
      <c r="A96" s="40">
        <v>42185</v>
      </c>
      <c r="B96" s="30">
        <v>11927.5</v>
      </c>
      <c r="C96" s="30">
        <v>53211.099999999977</v>
      </c>
      <c r="D96" s="30" t="s">
        <v>2</v>
      </c>
      <c r="E96" s="29">
        <f t="shared" si="11"/>
        <v>65138.599999999977</v>
      </c>
      <c r="F96" s="30">
        <v>121700.8</v>
      </c>
      <c r="G96" s="30">
        <v>166756.20000000001</v>
      </c>
      <c r="H96" s="30"/>
      <c r="I96" s="29">
        <v>48976.1</v>
      </c>
      <c r="J96" s="30">
        <v>100317.8</v>
      </c>
      <c r="K96" s="30">
        <v>282393.09999999998</v>
      </c>
      <c r="L96" s="31">
        <f t="shared" si="8"/>
        <v>720144</v>
      </c>
      <c r="M96" s="30">
        <v>229581.90000000002</v>
      </c>
      <c r="N96" s="29">
        <v>26258.899999999998</v>
      </c>
      <c r="O96" s="31">
        <f t="shared" si="9"/>
        <v>464303.19999999995</v>
      </c>
      <c r="P96" s="36">
        <v>9628.4</v>
      </c>
      <c r="Q96" s="31">
        <v>856754.29999999981</v>
      </c>
      <c r="R96" s="31">
        <v>3822.2</v>
      </c>
      <c r="S96" s="29">
        <f t="shared" si="13"/>
        <v>870204.89999999979</v>
      </c>
      <c r="T96" s="33">
        <f t="shared" si="14"/>
        <v>1334508.0999999996</v>
      </c>
      <c r="U96" s="29">
        <f t="shared" si="10"/>
        <v>1399646.6999999997</v>
      </c>
    </row>
    <row r="97" spans="1:21" s="35" customFormat="1" ht="15.75">
      <c r="A97" s="40">
        <v>42216</v>
      </c>
      <c r="B97" s="30">
        <v>-2305.5999999999185</v>
      </c>
      <c r="C97" s="30">
        <v>32200.400000000023</v>
      </c>
      <c r="D97" s="30" t="s">
        <v>2</v>
      </c>
      <c r="E97" s="29">
        <f t="shared" si="11"/>
        <v>29894.800000000105</v>
      </c>
      <c r="F97" s="30">
        <v>124466.2</v>
      </c>
      <c r="G97" s="30">
        <v>170582</v>
      </c>
      <c r="H97" s="30"/>
      <c r="I97" s="29">
        <v>48274.816666666666</v>
      </c>
      <c r="J97" s="30">
        <v>98924.5</v>
      </c>
      <c r="K97" s="30">
        <v>281753.2</v>
      </c>
      <c r="L97" s="31">
        <f t="shared" si="8"/>
        <v>724000.71666666667</v>
      </c>
      <c r="M97" s="30">
        <v>204000.28333333333</v>
      </c>
      <c r="N97" s="29">
        <v>26401.600000000002</v>
      </c>
      <c r="O97" s="31">
        <f t="shared" si="9"/>
        <v>493598.83333333337</v>
      </c>
      <c r="P97" s="36">
        <v>13310.2</v>
      </c>
      <c r="Q97" s="31">
        <v>865872.11666666646</v>
      </c>
      <c r="R97" s="31">
        <v>3822.1</v>
      </c>
      <c r="S97" s="29">
        <f t="shared" si="13"/>
        <v>883004.4166666664</v>
      </c>
      <c r="T97" s="33">
        <f t="shared" si="14"/>
        <v>1376603.2499999998</v>
      </c>
      <c r="U97" s="29">
        <f t="shared" si="10"/>
        <v>1406498.0499999998</v>
      </c>
    </row>
    <row r="98" spans="1:21" s="35" customFormat="1" ht="15.75">
      <c r="A98" s="40">
        <v>42247</v>
      </c>
      <c r="B98" s="30">
        <v>-43032.299999999872</v>
      </c>
      <c r="C98" s="30">
        <v>46238.700000000012</v>
      </c>
      <c r="D98" s="30" t="s">
        <v>2</v>
      </c>
      <c r="E98" s="29">
        <f t="shared" si="11"/>
        <v>3206.4000000001397</v>
      </c>
      <c r="F98" s="30">
        <v>162684.9</v>
      </c>
      <c r="G98" s="30">
        <v>170888.3</v>
      </c>
      <c r="H98" s="30"/>
      <c r="I98" s="29">
        <v>47924.261111111111</v>
      </c>
      <c r="J98" s="30">
        <v>97531.199999999997</v>
      </c>
      <c r="K98" s="30">
        <v>281113.30000000005</v>
      </c>
      <c r="L98" s="31">
        <f t="shared" si="8"/>
        <v>760141.9611111111</v>
      </c>
      <c r="M98" s="30">
        <v>192151.59444444446</v>
      </c>
      <c r="N98" s="29">
        <v>34152.399999999994</v>
      </c>
      <c r="O98" s="31">
        <f t="shared" si="9"/>
        <v>533837.96666666667</v>
      </c>
      <c r="P98" s="36">
        <v>13105</v>
      </c>
      <c r="Q98" s="31">
        <v>867113.3666666667</v>
      </c>
      <c r="R98" s="31">
        <v>3846.9</v>
      </c>
      <c r="S98" s="29">
        <f t="shared" si="13"/>
        <v>884065.26666666672</v>
      </c>
      <c r="T98" s="33">
        <f t="shared" si="14"/>
        <v>1417903.2333333334</v>
      </c>
      <c r="U98" s="29">
        <f t="shared" si="10"/>
        <v>1421109.6333333335</v>
      </c>
    </row>
    <row r="99" spans="1:21" s="35" customFormat="1" ht="15.75">
      <c r="A99" s="40">
        <v>42277</v>
      </c>
      <c r="B99" s="30">
        <v>-77050.099999999977</v>
      </c>
      <c r="C99" s="30">
        <v>43805.499999999942</v>
      </c>
      <c r="D99" s="30" t="s">
        <v>2</v>
      </c>
      <c r="E99" s="29">
        <f t="shared" si="11"/>
        <v>-33244.600000000035</v>
      </c>
      <c r="F99" s="30">
        <v>201450.1</v>
      </c>
      <c r="G99" s="30">
        <v>177101.60000000003</v>
      </c>
      <c r="H99" s="30"/>
      <c r="I99" s="29">
        <v>50077.969444444447</v>
      </c>
      <c r="J99" s="30">
        <v>96137.9</v>
      </c>
      <c r="K99" s="30">
        <v>280473.5</v>
      </c>
      <c r="L99" s="31">
        <f t="shared" si="8"/>
        <v>805241.0694444445</v>
      </c>
      <c r="M99" s="30">
        <v>208852.61944444446</v>
      </c>
      <c r="N99" s="29">
        <v>29497.3</v>
      </c>
      <c r="O99" s="31">
        <f t="shared" si="9"/>
        <v>566891.15</v>
      </c>
      <c r="P99" s="36">
        <v>14965.4</v>
      </c>
      <c r="Q99" s="31">
        <v>865121.3833333333</v>
      </c>
      <c r="R99" s="31">
        <v>3755.9</v>
      </c>
      <c r="S99" s="29">
        <f t="shared" si="13"/>
        <v>883842.68333333335</v>
      </c>
      <c r="T99" s="33">
        <f t="shared" si="14"/>
        <v>1450733.8333333335</v>
      </c>
      <c r="U99" s="29">
        <f t="shared" si="10"/>
        <v>1417489.2333333334</v>
      </c>
    </row>
    <row r="100" spans="1:21" s="35" customFormat="1" ht="15.75">
      <c r="A100" s="40">
        <v>42308</v>
      </c>
      <c r="B100" s="30">
        <v>-58413.900000000023</v>
      </c>
      <c r="C100" s="30">
        <v>34584.600000000035</v>
      </c>
      <c r="D100" s="30" t="s">
        <v>2</v>
      </c>
      <c r="E100" s="29">
        <f t="shared" si="11"/>
        <v>-23829.299999999988</v>
      </c>
      <c r="F100" s="30">
        <v>227827.20000000001</v>
      </c>
      <c r="G100" s="30">
        <v>194261.09999999998</v>
      </c>
      <c r="H100" s="30"/>
      <c r="I100" s="29">
        <v>54863.787037037036</v>
      </c>
      <c r="J100" s="30">
        <v>95660.7</v>
      </c>
      <c r="K100" s="30">
        <v>279193.7</v>
      </c>
      <c r="L100" s="31">
        <f t="shared" si="8"/>
        <v>851806.48703703703</v>
      </c>
      <c r="M100" s="30">
        <v>190286.82037037038</v>
      </c>
      <c r="N100" s="29">
        <v>33496</v>
      </c>
      <c r="O100" s="31">
        <f t="shared" si="9"/>
        <v>628023.66666666663</v>
      </c>
      <c r="P100" s="36">
        <v>10318.5</v>
      </c>
      <c r="Q100" s="31">
        <v>861702.07777777768</v>
      </c>
      <c r="R100" s="31">
        <v>4663.1000000000004</v>
      </c>
      <c r="S100" s="29">
        <f t="shared" si="13"/>
        <v>876683.67777777766</v>
      </c>
      <c r="T100" s="33">
        <f t="shared" si="14"/>
        <v>1504707.3444444444</v>
      </c>
      <c r="U100" s="29">
        <f t="shared" si="10"/>
        <v>1480878.0444444444</v>
      </c>
    </row>
    <row r="101" spans="1:21" s="35" customFormat="1" ht="15.75">
      <c r="A101" s="40">
        <v>42338</v>
      </c>
      <c r="B101" s="30">
        <v>-112837.10000000003</v>
      </c>
      <c r="C101" s="30">
        <v>28433.800000000017</v>
      </c>
      <c r="D101" s="30" t="s">
        <v>2</v>
      </c>
      <c r="E101" s="29">
        <f t="shared" si="11"/>
        <v>-84403.300000000017</v>
      </c>
      <c r="F101" s="30">
        <v>236897.9</v>
      </c>
      <c r="G101" s="30">
        <v>222734.2</v>
      </c>
      <c r="H101" s="30"/>
      <c r="I101" s="29">
        <v>56418.544135802491</v>
      </c>
      <c r="J101" s="30">
        <v>94267.4</v>
      </c>
      <c r="K101" s="30">
        <v>278553.90000000002</v>
      </c>
      <c r="L101" s="31">
        <f t="shared" si="8"/>
        <v>888871.94413580245</v>
      </c>
      <c r="M101" s="30">
        <v>197165.57191358026</v>
      </c>
      <c r="N101" s="29">
        <v>34078.9</v>
      </c>
      <c r="O101" s="31">
        <f t="shared" si="9"/>
        <v>657627.47222222213</v>
      </c>
      <c r="P101" s="36">
        <v>10127.1</v>
      </c>
      <c r="Q101" s="31">
        <v>830260.12407407397</v>
      </c>
      <c r="R101" s="31">
        <v>8.3000000000000007</v>
      </c>
      <c r="S101" s="29">
        <f t="shared" si="13"/>
        <v>840395.524074074</v>
      </c>
      <c r="T101" s="33">
        <f t="shared" si="14"/>
        <v>1498022.9962962961</v>
      </c>
      <c r="U101" s="29">
        <f t="shared" si="10"/>
        <v>1413619.6962962961</v>
      </c>
    </row>
    <row r="102" spans="1:21" s="35" customFormat="1" ht="15.75">
      <c r="A102" s="40">
        <v>42369</v>
      </c>
      <c r="B102" s="30">
        <v>-132985.60000000001</v>
      </c>
      <c r="C102" s="30">
        <v>57115.499999999971</v>
      </c>
      <c r="D102" s="30" t="s">
        <v>2</v>
      </c>
      <c r="E102" s="29">
        <f t="shared" si="11"/>
        <v>-75870.100000000035</v>
      </c>
      <c r="F102" s="30">
        <v>273246</v>
      </c>
      <c r="G102" s="30">
        <v>254809.2</v>
      </c>
      <c r="H102" s="30"/>
      <c r="I102" s="29">
        <v>50054.3</v>
      </c>
      <c r="J102" s="30">
        <v>90564.7</v>
      </c>
      <c r="K102" s="30">
        <v>277913.90000000002</v>
      </c>
      <c r="L102" s="31">
        <f t="shared" si="8"/>
        <v>946588.1</v>
      </c>
      <c r="M102" s="30">
        <v>233455.5</v>
      </c>
      <c r="N102" s="29">
        <v>26275.999999999996</v>
      </c>
      <c r="O102" s="31">
        <f t="shared" si="9"/>
        <v>686856.6</v>
      </c>
      <c r="P102" s="36">
        <v>6532.0999999999995</v>
      </c>
      <c r="Q102" s="31">
        <v>812972</v>
      </c>
      <c r="R102" s="31">
        <v>27.1</v>
      </c>
      <c r="S102" s="29">
        <f t="shared" si="13"/>
        <v>819531.2</v>
      </c>
      <c r="T102" s="33">
        <f t="shared" si="14"/>
        <v>1506387.7999999998</v>
      </c>
      <c r="U102" s="29">
        <f t="shared" si="10"/>
        <v>1430517.6999999997</v>
      </c>
    </row>
    <row r="103" spans="1:21" s="35" customFormat="1" ht="15.75">
      <c r="A103" s="40">
        <v>42400</v>
      </c>
      <c r="B103" s="30">
        <v>-135855.99999999997</v>
      </c>
      <c r="C103" s="30">
        <v>16621.999999999971</v>
      </c>
      <c r="D103" s="30" t="s">
        <v>2</v>
      </c>
      <c r="E103" s="29">
        <f t="shared" si="11"/>
        <v>-119234</v>
      </c>
      <c r="F103" s="30">
        <v>230233.5</v>
      </c>
      <c r="G103" s="30">
        <v>266534</v>
      </c>
      <c r="H103" s="30"/>
      <c r="I103" s="29">
        <v>49668.816666666666</v>
      </c>
      <c r="J103" s="30">
        <v>90564.7</v>
      </c>
      <c r="K103" s="30">
        <v>277913.90000000002</v>
      </c>
      <c r="L103" s="31">
        <f t="shared" si="8"/>
        <v>914914.91666666663</v>
      </c>
      <c r="M103" s="30">
        <v>194439.72500000003</v>
      </c>
      <c r="N103" s="29">
        <v>27271.8</v>
      </c>
      <c r="O103" s="31">
        <f t="shared" si="9"/>
        <v>693203.3916666666</v>
      </c>
      <c r="P103" s="36">
        <v>2982.7</v>
      </c>
      <c r="Q103" s="31">
        <v>829600.2666666666</v>
      </c>
      <c r="R103" s="31">
        <v>67.399999999999991</v>
      </c>
      <c r="S103" s="29">
        <f t="shared" si="13"/>
        <v>832650.36666666658</v>
      </c>
      <c r="T103" s="33">
        <f t="shared" ref="T103:T138" si="15">S103+O103</f>
        <v>1525853.7583333333</v>
      </c>
      <c r="U103" s="29">
        <f t="shared" ref="U103:U138" si="16">T103+E103</f>
        <v>1406619.7583333333</v>
      </c>
    </row>
    <row r="104" spans="1:21" s="35" customFormat="1" ht="15.75">
      <c r="A104" s="40">
        <v>42429</v>
      </c>
      <c r="B104" s="30">
        <v>-166598.10000000003</v>
      </c>
      <c r="C104" s="30">
        <v>33809.399999999965</v>
      </c>
      <c r="D104" s="30" t="s">
        <v>2</v>
      </c>
      <c r="E104" s="29">
        <f t="shared" si="11"/>
        <v>-132788.70000000007</v>
      </c>
      <c r="F104" s="30">
        <v>260394.9</v>
      </c>
      <c r="G104" s="30">
        <v>282730.90000000002</v>
      </c>
      <c r="H104" s="30"/>
      <c r="I104" s="29">
        <v>52982.73333333333</v>
      </c>
      <c r="J104" s="30">
        <v>89171.4</v>
      </c>
      <c r="K104" s="30">
        <v>277274.09999999998</v>
      </c>
      <c r="L104" s="31">
        <f t="shared" si="8"/>
        <v>962554.03333333333</v>
      </c>
      <c r="M104" s="30">
        <v>200431.34999999998</v>
      </c>
      <c r="N104" s="29">
        <v>27229.1</v>
      </c>
      <c r="O104" s="31">
        <f t="shared" si="9"/>
        <v>734893.58333333337</v>
      </c>
      <c r="P104" s="36">
        <v>3467.3</v>
      </c>
      <c r="Q104" s="31">
        <v>831034.2333333334</v>
      </c>
      <c r="R104" s="31">
        <v>24.400000000000002</v>
      </c>
      <c r="S104" s="29">
        <f t="shared" si="13"/>
        <v>834525.93333333347</v>
      </c>
      <c r="T104" s="33">
        <f t="shared" si="15"/>
        <v>1569419.5166666668</v>
      </c>
      <c r="U104" s="29">
        <f t="shared" si="16"/>
        <v>1436630.8166666669</v>
      </c>
    </row>
    <row r="105" spans="1:21" s="35" customFormat="1" ht="15.75">
      <c r="A105" s="40">
        <v>42460</v>
      </c>
      <c r="B105" s="30">
        <v>-194954.00000000006</v>
      </c>
      <c r="C105" s="30">
        <v>33930.199999999953</v>
      </c>
      <c r="D105" s="30" t="s">
        <v>2</v>
      </c>
      <c r="E105" s="29">
        <f t="shared" si="11"/>
        <v>-161023.8000000001</v>
      </c>
      <c r="F105" s="30">
        <v>273246</v>
      </c>
      <c r="G105" s="30">
        <v>296894.8</v>
      </c>
      <c r="H105" s="30"/>
      <c r="I105" s="29">
        <v>49389.950000000004</v>
      </c>
      <c r="J105" s="30">
        <v>86384.8</v>
      </c>
      <c r="K105" s="30">
        <v>275994.3</v>
      </c>
      <c r="L105" s="31">
        <f t="shared" si="8"/>
        <v>981909.85000000009</v>
      </c>
      <c r="M105" s="30">
        <v>231671.77500000002</v>
      </c>
      <c r="N105" s="29">
        <v>25784.100000000002</v>
      </c>
      <c r="O105" s="31">
        <f t="shared" si="9"/>
        <v>724453.97500000009</v>
      </c>
      <c r="P105" s="36">
        <v>2767.5</v>
      </c>
      <c r="Q105" s="31">
        <v>832325.4</v>
      </c>
      <c r="R105" s="31">
        <v>22.2</v>
      </c>
      <c r="S105" s="29">
        <f t="shared" si="13"/>
        <v>835115.1</v>
      </c>
      <c r="T105" s="33">
        <f t="shared" si="15"/>
        <v>1559569.0750000002</v>
      </c>
      <c r="U105" s="29">
        <f t="shared" si="16"/>
        <v>1398545.2750000001</v>
      </c>
    </row>
    <row r="106" spans="1:21" s="35" customFormat="1" ht="15.75">
      <c r="A106" s="40">
        <v>42490</v>
      </c>
      <c r="B106" s="30">
        <v>-175516.19999999998</v>
      </c>
      <c r="C106" s="30">
        <v>6223.3999999999942</v>
      </c>
      <c r="D106" s="30" t="s">
        <v>2</v>
      </c>
      <c r="E106" s="29">
        <f t="shared" si="11"/>
        <v>-169292.79999999999</v>
      </c>
      <c r="F106" s="30">
        <v>4780.0999999999767</v>
      </c>
      <c r="G106" s="30">
        <v>319584.7</v>
      </c>
      <c r="H106" s="30"/>
      <c r="I106" s="29">
        <v>54947.166666666672</v>
      </c>
      <c r="J106" s="30">
        <v>86384.8</v>
      </c>
      <c r="K106" s="30">
        <v>549240.30000000005</v>
      </c>
      <c r="L106" s="31">
        <f t="shared" si="8"/>
        <v>1014937.0666666667</v>
      </c>
      <c r="M106" s="30">
        <v>213918.30000000002</v>
      </c>
      <c r="N106" s="29">
        <v>31710.300000000003</v>
      </c>
      <c r="O106" s="31">
        <f t="shared" si="9"/>
        <v>769308.46666666656</v>
      </c>
      <c r="P106" s="36">
        <v>6585.9</v>
      </c>
      <c r="Q106" s="31">
        <v>825005.7666666666</v>
      </c>
      <c r="R106" s="31">
        <v>46.2</v>
      </c>
      <c r="S106" s="29">
        <f t="shared" si="13"/>
        <v>831637.86666666658</v>
      </c>
      <c r="T106" s="33">
        <f t="shared" si="15"/>
        <v>1600946.333333333</v>
      </c>
      <c r="U106" s="29">
        <f t="shared" si="16"/>
        <v>1431653.533333333</v>
      </c>
    </row>
    <row r="107" spans="1:21" s="35" customFormat="1" ht="15.75">
      <c r="A107" s="40">
        <v>42521</v>
      </c>
      <c r="B107" s="30">
        <v>-195743.39999999997</v>
      </c>
      <c r="C107" s="30">
        <v>454.5</v>
      </c>
      <c r="D107" s="30" t="s">
        <v>2</v>
      </c>
      <c r="E107" s="29">
        <f t="shared" si="11"/>
        <v>-195288.89999999997</v>
      </c>
      <c r="F107" s="30">
        <v>21652.299999999988</v>
      </c>
      <c r="G107" s="30">
        <v>322381.7</v>
      </c>
      <c r="H107" s="30"/>
      <c r="I107" s="29">
        <v>54341.78333333334</v>
      </c>
      <c r="J107" s="30">
        <v>84991.5</v>
      </c>
      <c r="K107" s="30">
        <v>548600.5</v>
      </c>
      <c r="L107" s="31">
        <f t="shared" si="8"/>
        <v>1031967.7833333333</v>
      </c>
      <c r="M107" s="30">
        <v>216270.52499999999</v>
      </c>
      <c r="N107" s="29">
        <v>33788.199999999997</v>
      </c>
      <c r="O107" s="31">
        <f t="shared" si="9"/>
        <v>781909.05833333335</v>
      </c>
      <c r="P107" s="36">
        <v>7303.9</v>
      </c>
      <c r="Q107" s="31">
        <v>839250.23333333328</v>
      </c>
      <c r="R107" s="31">
        <v>56.4</v>
      </c>
      <c r="S107" s="29">
        <f t="shared" si="13"/>
        <v>846610.53333333333</v>
      </c>
      <c r="T107" s="33">
        <f t="shared" si="15"/>
        <v>1628519.5916666668</v>
      </c>
      <c r="U107" s="29">
        <f t="shared" si="16"/>
        <v>1433230.6916666669</v>
      </c>
    </row>
    <row r="108" spans="1:21" s="35" customFormat="1" ht="15.75">
      <c r="A108" s="40">
        <v>42551</v>
      </c>
      <c r="B108" s="30">
        <v>-186003.4</v>
      </c>
      <c r="C108" s="30">
        <v>20116.699999999953</v>
      </c>
      <c r="D108" s="30" t="s">
        <v>2</v>
      </c>
      <c r="E108" s="29">
        <f t="shared" si="11"/>
        <v>-165886.70000000004</v>
      </c>
      <c r="F108" s="30">
        <v>19504.700000000012</v>
      </c>
      <c r="G108" s="30">
        <v>348742.9</v>
      </c>
      <c r="H108" s="30"/>
      <c r="I108" s="29">
        <v>53066.8</v>
      </c>
      <c r="J108" s="30">
        <v>83598.2</v>
      </c>
      <c r="K108" s="30">
        <v>547320.69999999995</v>
      </c>
      <c r="L108" s="31">
        <f t="shared" si="8"/>
        <v>1052233.3</v>
      </c>
      <c r="M108" s="30">
        <v>222571.65000000002</v>
      </c>
      <c r="N108" s="29">
        <v>41471.800000000003</v>
      </c>
      <c r="O108" s="31">
        <f t="shared" si="9"/>
        <v>788189.85</v>
      </c>
      <c r="P108" s="36">
        <v>6427</v>
      </c>
      <c r="Q108" s="31">
        <v>857911.70000000007</v>
      </c>
      <c r="R108" s="31">
        <v>59.2</v>
      </c>
      <c r="S108" s="29">
        <f t="shared" si="13"/>
        <v>864397.9</v>
      </c>
      <c r="T108" s="33">
        <f t="shared" si="15"/>
        <v>1652587.75</v>
      </c>
      <c r="U108" s="29">
        <f t="shared" si="16"/>
        <v>1486701.05</v>
      </c>
    </row>
    <row r="109" spans="1:21" s="35" customFormat="1" ht="15.75">
      <c r="A109" s="40">
        <v>42582</v>
      </c>
      <c r="B109" s="30">
        <v>-186226.3</v>
      </c>
      <c r="C109" s="30">
        <v>-2306.100000000064</v>
      </c>
      <c r="D109" s="30" t="s">
        <v>2</v>
      </c>
      <c r="E109" s="29">
        <f t="shared" si="11"/>
        <v>-188532.40000000005</v>
      </c>
      <c r="F109" s="30">
        <v>17403.200000000012</v>
      </c>
      <c r="G109" s="30">
        <v>365969.8</v>
      </c>
      <c r="H109" s="30"/>
      <c r="I109" s="29">
        <v>54167.7</v>
      </c>
      <c r="J109" s="30">
        <v>82204.899999999994</v>
      </c>
      <c r="K109" s="30">
        <v>546680.9</v>
      </c>
      <c r="L109" s="31">
        <f t="shared" si="8"/>
        <v>1066426.5</v>
      </c>
      <c r="M109" s="30">
        <v>219058.05833333335</v>
      </c>
      <c r="N109" s="29">
        <v>39586.400000000009</v>
      </c>
      <c r="O109" s="31">
        <f t="shared" si="9"/>
        <v>807782.04166666663</v>
      </c>
      <c r="P109" s="36">
        <v>11339</v>
      </c>
      <c r="Q109" s="31">
        <v>851044.93333333335</v>
      </c>
      <c r="R109" s="31">
        <v>35.000000000000007</v>
      </c>
      <c r="S109" s="29">
        <f t="shared" si="13"/>
        <v>862418.93333333335</v>
      </c>
      <c r="T109" s="33">
        <f t="shared" si="15"/>
        <v>1670200.9750000001</v>
      </c>
      <c r="U109" s="29">
        <f t="shared" si="16"/>
        <v>1481668.575</v>
      </c>
    </row>
    <row r="110" spans="1:21" s="35" customFormat="1" ht="15.75">
      <c r="A110" s="40">
        <v>42613</v>
      </c>
      <c r="B110" s="30">
        <v>-192550.6</v>
      </c>
      <c r="C110" s="30">
        <v>-9672.7000000000262</v>
      </c>
      <c r="D110" s="30" t="s">
        <v>2</v>
      </c>
      <c r="E110" s="29">
        <f t="shared" si="11"/>
        <v>-202223.30000000005</v>
      </c>
      <c r="F110" s="30">
        <v>10113</v>
      </c>
      <c r="G110" s="30">
        <v>370225.1</v>
      </c>
      <c r="H110" s="30"/>
      <c r="I110" s="29">
        <v>47786.5</v>
      </c>
      <c r="J110" s="30">
        <v>80811.600000000006</v>
      </c>
      <c r="K110" s="30">
        <v>546041</v>
      </c>
      <c r="L110" s="31">
        <f t="shared" si="8"/>
        <v>1054977.2</v>
      </c>
      <c r="M110" s="30">
        <v>211792.26666666669</v>
      </c>
      <c r="N110" s="29">
        <v>29870.1</v>
      </c>
      <c r="O110" s="31">
        <f t="shared" si="9"/>
        <v>813314.83333333326</v>
      </c>
      <c r="P110" s="36">
        <v>10303.200000000001</v>
      </c>
      <c r="Q110" s="31">
        <v>877081.2666666666</v>
      </c>
      <c r="R110" s="31">
        <v>26.900000000000002</v>
      </c>
      <c r="S110" s="29">
        <f t="shared" si="13"/>
        <v>887411.36666666658</v>
      </c>
      <c r="T110" s="33">
        <f t="shared" si="15"/>
        <v>1700726.1999999997</v>
      </c>
      <c r="U110" s="29">
        <f t="shared" si="16"/>
        <v>1498502.8999999997</v>
      </c>
    </row>
    <row r="111" spans="1:21" s="35" customFormat="1" ht="15.75">
      <c r="A111" s="40">
        <v>42643</v>
      </c>
      <c r="B111" s="30">
        <v>-181601</v>
      </c>
      <c r="C111" s="30">
        <v>-10844.799999999959</v>
      </c>
      <c r="D111" s="30" t="s">
        <v>2</v>
      </c>
      <c r="E111" s="29">
        <f t="shared" si="11"/>
        <v>-192445.79999999996</v>
      </c>
      <c r="F111" s="30">
        <v>18972.7</v>
      </c>
      <c r="G111" s="30">
        <v>390238.4</v>
      </c>
      <c r="H111" s="30"/>
      <c r="I111" s="29">
        <v>46843.899999999994</v>
      </c>
      <c r="J111" s="30">
        <v>79418.3</v>
      </c>
      <c r="K111" s="30">
        <v>546041</v>
      </c>
      <c r="L111" s="31">
        <f t="shared" si="8"/>
        <v>1081514.3</v>
      </c>
      <c r="M111" s="30">
        <v>220076.07500000001</v>
      </c>
      <c r="N111" s="29">
        <v>34600.5</v>
      </c>
      <c r="O111" s="31">
        <f t="shared" si="9"/>
        <v>826837.72500000009</v>
      </c>
      <c r="P111" s="36">
        <v>11245.4</v>
      </c>
      <c r="Q111" s="31">
        <v>872234.79999999993</v>
      </c>
      <c r="R111" s="31">
        <v>15.5</v>
      </c>
      <c r="S111" s="29">
        <f t="shared" si="13"/>
        <v>883495.7</v>
      </c>
      <c r="T111" s="33">
        <f t="shared" si="15"/>
        <v>1710333.425</v>
      </c>
      <c r="U111" s="29">
        <f t="shared" si="16"/>
        <v>1517887.625</v>
      </c>
    </row>
    <row r="112" spans="1:21" s="35" customFormat="1" ht="15.75">
      <c r="A112" s="40">
        <v>42674</v>
      </c>
      <c r="B112" s="30">
        <v>-181634.80000000002</v>
      </c>
      <c r="C112" s="30">
        <v>-14712.400000000023</v>
      </c>
      <c r="D112" s="30" t="s">
        <v>2</v>
      </c>
      <c r="E112" s="29">
        <f t="shared" si="11"/>
        <v>-196347.20000000004</v>
      </c>
      <c r="F112" s="30">
        <v>37280.9</v>
      </c>
      <c r="G112" s="30">
        <v>391147.4</v>
      </c>
      <c r="H112" s="30"/>
      <c r="I112" s="29">
        <v>51279.066666666666</v>
      </c>
      <c r="J112" s="30">
        <v>78024.899999999994</v>
      </c>
      <c r="K112" s="30">
        <v>545401.19999999995</v>
      </c>
      <c r="L112" s="31">
        <f t="shared" si="8"/>
        <v>1103133.4666666668</v>
      </c>
      <c r="M112" s="30">
        <v>223779.11666666664</v>
      </c>
      <c r="N112" s="29">
        <v>29570.199999999997</v>
      </c>
      <c r="O112" s="31">
        <f t="shared" si="9"/>
        <v>849784.15000000014</v>
      </c>
      <c r="P112" s="36">
        <v>9115.2999999999993</v>
      </c>
      <c r="Q112" s="31">
        <v>870003.23333333316</v>
      </c>
      <c r="R112" s="31">
        <v>21</v>
      </c>
      <c r="S112" s="29">
        <f t="shared" si="13"/>
        <v>879139.53333333321</v>
      </c>
      <c r="T112" s="33">
        <f t="shared" si="15"/>
        <v>1728923.6833333333</v>
      </c>
      <c r="U112" s="29">
        <f t="shared" si="16"/>
        <v>1532576.4833333334</v>
      </c>
    </row>
    <row r="113" spans="1:21" s="35" customFormat="1" ht="15.75">
      <c r="A113" s="40">
        <v>42704</v>
      </c>
      <c r="B113" s="30">
        <v>-174078</v>
      </c>
      <c r="C113" s="30">
        <v>-6939.5000000000291</v>
      </c>
      <c r="D113" s="30" t="s">
        <v>2</v>
      </c>
      <c r="E113" s="29">
        <f t="shared" si="11"/>
        <v>-181017.50000000003</v>
      </c>
      <c r="F113" s="30">
        <v>69788.2</v>
      </c>
      <c r="G113" s="30">
        <v>404323.99999999988</v>
      </c>
      <c r="H113" s="30"/>
      <c r="I113" s="29">
        <v>53115.833333333328</v>
      </c>
      <c r="J113" s="30">
        <v>75238.3</v>
      </c>
      <c r="K113" s="30">
        <v>544121.5</v>
      </c>
      <c r="L113" s="31">
        <f t="shared" si="8"/>
        <v>1146587.8333333333</v>
      </c>
      <c r="M113" s="30">
        <v>232963.04722222226</v>
      </c>
      <c r="N113" s="29">
        <v>29497.7</v>
      </c>
      <c r="O113" s="31">
        <f t="shared" si="9"/>
        <v>884127.0861111111</v>
      </c>
      <c r="P113" s="36">
        <v>6989.2999999999993</v>
      </c>
      <c r="Q113" s="31">
        <v>863617.57777777768</v>
      </c>
      <c r="R113" s="31">
        <v>13.3</v>
      </c>
      <c r="S113" s="29">
        <f t="shared" si="13"/>
        <v>870620.17777777778</v>
      </c>
      <c r="T113" s="33">
        <f t="shared" si="15"/>
        <v>1754747.263888889</v>
      </c>
      <c r="U113" s="29">
        <f t="shared" si="16"/>
        <v>1573729.763888889</v>
      </c>
    </row>
    <row r="114" spans="1:21" s="35" customFormat="1" ht="15.75">
      <c r="A114" s="40">
        <v>42735</v>
      </c>
      <c r="B114" s="30">
        <v>-162073.80000000002</v>
      </c>
      <c r="C114" s="30">
        <v>-14449.299999999974</v>
      </c>
      <c r="D114" s="30" t="s">
        <v>2</v>
      </c>
      <c r="E114" s="29">
        <f t="shared" si="11"/>
        <v>-176523.09999999998</v>
      </c>
      <c r="F114" s="30">
        <v>134973.1</v>
      </c>
      <c r="G114" s="30">
        <v>438079.6</v>
      </c>
      <c r="H114" s="30"/>
      <c r="I114" s="29">
        <v>37133.1</v>
      </c>
      <c r="J114" s="30">
        <v>73845.100000000006</v>
      </c>
      <c r="K114" s="30">
        <v>543481.59999999998</v>
      </c>
      <c r="L114" s="31">
        <f t="shared" si="8"/>
        <v>1227512.5</v>
      </c>
      <c r="M114" s="30">
        <v>291260.3</v>
      </c>
      <c r="N114" s="29">
        <v>30394.800000000003</v>
      </c>
      <c r="O114" s="31">
        <f t="shared" si="9"/>
        <v>905857.39999999991</v>
      </c>
      <c r="P114" s="36">
        <v>7173.4000000000005</v>
      </c>
      <c r="Q114" s="31">
        <v>854034</v>
      </c>
      <c r="R114" s="31">
        <v>57.6</v>
      </c>
      <c r="S114" s="29">
        <f t="shared" si="13"/>
        <v>861265</v>
      </c>
      <c r="T114" s="33">
        <f t="shared" si="15"/>
        <v>1767122.4</v>
      </c>
      <c r="U114" s="29">
        <f t="shared" si="16"/>
        <v>1590599.2999999998</v>
      </c>
    </row>
    <row r="115" spans="1:21" s="35" customFormat="1" ht="15.75">
      <c r="A115" s="40">
        <v>42766</v>
      </c>
      <c r="B115" s="30">
        <v>-140840.69999999998</v>
      </c>
      <c r="C115" s="30">
        <v>-26017.300000000003</v>
      </c>
      <c r="D115" s="30"/>
      <c r="E115" s="29">
        <f t="shared" si="11"/>
        <v>-166858</v>
      </c>
      <c r="F115" s="30">
        <v>91642.3</v>
      </c>
      <c r="G115" s="30">
        <v>434826.99999999988</v>
      </c>
      <c r="H115" s="30"/>
      <c r="I115" s="29">
        <v>36989.983333333337</v>
      </c>
      <c r="J115" s="30">
        <v>73845</v>
      </c>
      <c r="K115" s="30">
        <v>543481.59999999998</v>
      </c>
      <c r="L115" s="31">
        <f t="shared" si="8"/>
        <v>1180785.8833333333</v>
      </c>
      <c r="M115" s="30">
        <v>229536.38333333333</v>
      </c>
      <c r="N115" s="29">
        <v>35154.5</v>
      </c>
      <c r="O115" s="31">
        <f t="shared" si="9"/>
        <v>916095</v>
      </c>
      <c r="P115" s="36">
        <v>5315</v>
      </c>
      <c r="Q115" s="31">
        <v>851398.95</v>
      </c>
      <c r="R115" s="31">
        <v>38.9</v>
      </c>
      <c r="S115" s="29">
        <f t="shared" si="13"/>
        <v>856752.85</v>
      </c>
      <c r="T115" s="33">
        <f t="shared" si="15"/>
        <v>1772847.85</v>
      </c>
      <c r="U115" s="29">
        <f t="shared" si="16"/>
        <v>1605989.85</v>
      </c>
    </row>
    <row r="116" spans="1:21" s="35" customFormat="1" ht="15.75">
      <c r="A116" s="40">
        <v>42794</v>
      </c>
      <c r="B116" s="30">
        <v>-116167</v>
      </c>
      <c r="C116" s="30">
        <v>-30275.099999999977</v>
      </c>
      <c r="D116" s="30"/>
      <c r="E116" s="29">
        <f t="shared" si="11"/>
        <v>-146442.09999999998</v>
      </c>
      <c r="F116" s="30">
        <v>107598.6</v>
      </c>
      <c r="G116" s="30">
        <v>463337.09999999992</v>
      </c>
      <c r="H116" s="30"/>
      <c r="I116" s="29">
        <v>38593.466666666667</v>
      </c>
      <c r="J116" s="30">
        <v>71058.399999999994</v>
      </c>
      <c r="K116" s="30">
        <v>542201.9</v>
      </c>
      <c r="L116" s="31">
        <f t="shared" si="8"/>
        <v>1222789.4666666668</v>
      </c>
      <c r="M116" s="30">
        <v>262216.96666666667</v>
      </c>
      <c r="N116" s="29">
        <v>31124.2</v>
      </c>
      <c r="O116" s="31">
        <f t="shared" si="9"/>
        <v>929448.30000000016</v>
      </c>
      <c r="P116" s="36">
        <v>4372</v>
      </c>
      <c r="Q116" s="31">
        <v>815244.10000000009</v>
      </c>
      <c r="R116" s="31">
        <v>63.3</v>
      </c>
      <c r="S116" s="29">
        <f t="shared" si="13"/>
        <v>819679.40000000014</v>
      </c>
      <c r="T116" s="33">
        <f t="shared" si="15"/>
        <v>1749127.7000000002</v>
      </c>
      <c r="U116" s="29">
        <f t="shared" si="16"/>
        <v>1602685.6</v>
      </c>
    </row>
    <row r="117" spans="1:21" s="35" customFormat="1" ht="15.75">
      <c r="A117" s="40">
        <v>42825</v>
      </c>
      <c r="B117" s="30">
        <v>-133135.90000000002</v>
      </c>
      <c r="C117" s="30">
        <v>-31494.300000000003</v>
      </c>
      <c r="D117" s="30"/>
      <c r="E117" s="29">
        <f t="shared" si="11"/>
        <v>-164630.20000000001</v>
      </c>
      <c r="F117" s="30">
        <v>130042.5</v>
      </c>
      <c r="G117" s="30">
        <v>474831.29999999993</v>
      </c>
      <c r="H117" s="30"/>
      <c r="I117" s="30">
        <v>48614.55</v>
      </c>
      <c r="J117" s="30">
        <v>69665.100000000006</v>
      </c>
      <c r="K117" s="30">
        <v>541562</v>
      </c>
      <c r="L117" s="31">
        <f t="shared" si="8"/>
        <v>1264715.45</v>
      </c>
      <c r="M117" s="30">
        <v>247676.35</v>
      </c>
      <c r="N117" s="29">
        <v>31886.899999999998</v>
      </c>
      <c r="O117" s="31">
        <f t="shared" si="9"/>
        <v>985152.2</v>
      </c>
      <c r="P117" s="36">
        <v>6812.0999999999995</v>
      </c>
      <c r="Q117" s="31">
        <v>806759.35000000009</v>
      </c>
      <c r="R117" s="31">
        <v>58.6</v>
      </c>
      <c r="S117" s="29">
        <f t="shared" si="13"/>
        <v>813630.05</v>
      </c>
      <c r="T117" s="33">
        <f t="shared" si="15"/>
        <v>1798782.25</v>
      </c>
      <c r="U117" s="29">
        <f t="shared" si="16"/>
        <v>1634152.05</v>
      </c>
    </row>
    <row r="118" spans="1:21" s="35" customFormat="1" ht="15.75">
      <c r="A118" s="40">
        <v>42855</v>
      </c>
      <c r="B118" s="30">
        <v>-140187.20000000004</v>
      </c>
      <c r="C118" s="30">
        <v>-22900.300000000017</v>
      </c>
      <c r="D118" s="30"/>
      <c r="E118" s="29">
        <f t="shared" si="11"/>
        <v>-163087.50000000006</v>
      </c>
      <c r="F118" s="30">
        <v>122074.2</v>
      </c>
      <c r="G118" s="30">
        <v>493038.8</v>
      </c>
      <c r="H118" s="30"/>
      <c r="I118" s="30">
        <v>44744.53333333334</v>
      </c>
      <c r="J118" s="30">
        <v>69665.100000000006</v>
      </c>
      <c r="K118" s="30">
        <v>541562</v>
      </c>
      <c r="L118" s="31">
        <f t="shared" si="8"/>
        <v>1271084.6333333333</v>
      </c>
      <c r="M118" s="30">
        <v>233480.46666666667</v>
      </c>
      <c r="N118" s="29">
        <v>38837.9</v>
      </c>
      <c r="O118" s="31">
        <f t="shared" si="9"/>
        <v>998766.2666666666</v>
      </c>
      <c r="P118" s="36">
        <v>5679.7</v>
      </c>
      <c r="Q118" s="31">
        <v>803471.96666666679</v>
      </c>
      <c r="R118" s="31">
        <v>45.9</v>
      </c>
      <c r="S118" s="29">
        <f t="shared" si="13"/>
        <v>809197.56666666677</v>
      </c>
      <c r="T118" s="33">
        <f t="shared" si="15"/>
        <v>1807963.8333333335</v>
      </c>
      <c r="U118" s="29">
        <f t="shared" si="16"/>
        <v>1644876.3333333335</v>
      </c>
    </row>
    <row r="119" spans="1:21" s="35" customFormat="1" ht="15.75">
      <c r="A119" s="40">
        <v>42886</v>
      </c>
      <c r="B119" s="30">
        <v>-104424.50000000006</v>
      </c>
      <c r="C119" s="30">
        <v>-8989.1999999999825</v>
      </c>
      <c r="D119" s="30"/>
      <c r="E119" s="29">
        <f t="shared" si="11"/>
        <v>-113413.70000000004</v>
      </c>
      <c r="F119" s="30">
        <v>139502.5</v>
      </c>
      <c r="G119" s="30">
        <v>511695.80000000005</v>
      </c>
      <c r="H119" s="30"/>
      <c r="I119" s="30">
        <v>46120.016666666663</v>
      </c>
      <c r="J119" s="30">
        <v>68271.8</v>
      </c>
      <c r="K119" s="30">
        <v>540922.1</v>
      </c>
      <c r="L119" s="31">
        <f t="shared" si="8"/>
        <v>1306512.2166666668</v>
      </c>
      <c r="M119" s="30">
        <v>282236.28333333333</v>
      </c>
      <c r="N119" s="29">
        <v>46467.700000000004</v>
      </c>
      <c r="O119" s="31">
        <f t="shared" si="9"/>
        <v>977808.23333333351</v>
      </c>
      <c r="P119" s="36">
        <v>7590.3</v>
      </c>
      <c r="Q119" s="31">
        <v>817242.78333333344</v>
      </c>
      <c r="R119" s="31">
        <v>19.5</v>
      </c>
      <c r="S119" s="29">
        <f t="shared" si="13"/>
        <v>824852.58333333349</v>
      </c>
      <c r="T119" s="33">
        <f t="shared" si="15"/>
        <v>1802660.8166666669</v>
      </c>
      <c r="U119" s="29">
        <f t="shared" si="16"/>
        <v>1689247.1166666669</v>
      </c>
    </row>
    <row r="120" spans="1:21" s="35" customFormat="1" ht="15.75">
      <c r="A120" s="40">
        <v>42916</v>
      </c>
      <c r="B120" s="30">
        <v>-140476.99999999994</v>
      </c>
      <c r="C120" s="30">
        <v>-12640.399999999994</v>
      </c>
      <c r="D120" s="30"/>
      <c r="E120" s="29">
        <f t="shared" si="11"/>
        <v>-153117.39999999994</v>
      </c>
      <c r="F120" s="30">
        <v>141652.79999999999</v>
      </c>
      <c r="G120" s="30">
        <v>520961.5</v>
      </c>
      <c r="H120" s="30"/>
      <c r="I120" s="30">
        <v>41050</v>
      </c>
      <c r="J120" s="30">
        <v>66878.5</v>
      </c>
      <c r="K120" s="30">
        <v>540282.30000000005</v>
      </c>
      <c r="L120" s="31">
        <f t="shared" si="8"/>
        <v>1310825.1000000001</v>
      </c>
      <c r="M120" s="30">
        <v>246217.90000000002</v>
      </c>
      <c r="N120" s="29">
        <v>54196.200000000004</v>
      </c>
      <c r="O120" s="31">
        <f t="shared" si="9"/>
        <v>1010411.0000000002</v>
      </c>
      <c r="P120" s="36">
        <v>13580.699999999999</v>
      </c>
      <c r="Q120" s="31">
        <v>857454.3</v>
      </c>
      <c r="R120" s="31">
        <v>33.299999999999997</v>
      </c>
      <c r="S120" s="29">
        <f t="shared" si="13"/>
        <v>871068.3</v>
      </c>
      <c r="T120" s="33">
        <f t="shared" si="15"/>
        <v>1881479.3000000003</v>
      </c>
      <c r="U120" s="29">
        <f t="shared" si="16"/>
        <v>1728361.9000000004</v>
      </c>
    </row>
    <row r="121" spans="1:21" s="35" customFormat="1" ht="15.75">
      <c r="A121" s="40">
        <v>42947</v>
      </c>
      <c r="B121" s="30">
        <v>-165541.40000000002</v>
      </c>
      <c r="C121" s="30">
        <v>10518.300000000017</v>
      </c>
      <c r="D121" s="30"/>
      <c r="E121" s="29">
        <f t="shared" si="11"/>
        <v>-155023.1</v>
      </c>
      <c r="F121" s="30">
        <v>126976.7</v>
      </c>
      <c r="G121" s="30">
        <v>517101.10000000003</v>
      </c>
      <c r="H121" s="30"/>
      <c r="I121" s="30">
        <v>40961.25</v>
      </c>
      <c r="J121" s="30">
        <v>65485.2</v>
      </c>
      <c r="K121" s="30">
        <v>539642.4</v>
      </c>
      <c r="L121" s="31">
        <f t="shared" si="8"/>
        <v>1290166.6499999999</v>
      </c>
      <c r="M121" s="30">
        <v>248778.76666666669</v>
      </c>
      <c r="N121" s="29">
        <v>45772.9</v>
      </c>
      <c r="O121" s="31">
        <f t="shared" si="9"/>
        <v>995614.98333333316</v>
      </c>
      <c r="P121" s="36">
        <v>14083.899999999998</v>
      </c>
      <c r="Q121" s="31">
        <v>878601.00000000012</v>
      </c>
      <c r="R121" s="31">
        <v>41.9</v>
      </c>
      <c r="S121" s="29">
        <f t="shared" si="13"/>
        <v>892726.80000000016</v>
      </c>
      <c r="T121" s="33">
        <f t="shared" si="15"/>
        <v>1888341.7833333332</v>
      </c>
      <c r="U121" s="29">
        <f t="shared" si="16"/>
        <v>1733318.6833333331</v>
      </c>
    </row>
    <row r="122" spans="1:21" s="35" customFormat="1" ht="15.75">
      <c r="A122" s="40">
        <v>42978</v>
      </c>
      <c r="B122" s="30">
        <v>-141377.29999999999</v>
      </c>
      <c r="C122" s="30">
        <v>-36521.700000000012</v>
      </c>
      <c r="D122" s="30"/>
      <c r="E122" s="29">
        <f t="shared" si="11"/>
        <v>-177899</v>
      </c>
      <c r="F122" s="30">
        <v>129280.9</v>
      </c>
      <c r="G122" s="30">
        <v>534156.80000000005</v>
      </c>
      <c r="H122" s="30"/>
      <c r="I122" s="30">
        <v>44402.2</v>
      </c>
      <c r="J122" s="30">
        <v>62698.6</v>
      </c>
      <c r="K122" s="30">
        <v>538362.6</v>
      </c>
      <c r="L122" s="31">
        <f t="shared" si="8"/>
        <v>1308901.1000000001</v>
      </c>
      <c r="M122" s="30">
        <v>241182.73333333334</v>
      </c>
      <c r="N122" s="29">
        <v>36993.599999999999</v>
      </c>
      <c r="O122" s="31">
        <f t="shared" si="9"/>
        <v>1030724.7666666667</v>
      </c>
      <c r="P122" s="36">
        <v>19603.199999999997</v>
      </c>
      <c r="Q122" s="31">
        <v>887335.6</v>
      </c>
      <c r="R122" s="31">
        <v>39.299999999999997</v>
      </c>
      <c r="S122" s="29">
        <f t="shared" si="13"/>
        <v>906978.1</v>
      </c>
      <c r="T122" s="33">
        <f t="shared" si="15"/>
        <v>1937702.8666666667</v>
      </c>
      <c r="U122" s="29">
        <f t="shared" si="16"/>
        <v>1759803.8666666667</v>
      </c>
    </row>
    <row r="123" spans="1:21" s="35" customFormat="1" ht="15.75">
      <c r="A123" s="40">
        <v>43008</v>
      </c>
      <c r="B123" s="30">
        <v>-134023.79999999999</v>
      </c>
      <c r="C123" s="30">
        <v>-42355.7</v>
      </c>
      <c r="D123" s="30"/>
      <c r="E123" s="29">
        <f t="shared" si="11"/>
        <v>-176379.5</v>
      </c>
      <c r="F123" s="30">
        <v>112382.3</v>
      </c>
      <c r="G123" s="30">
        <v>550738.80000000005</v>
      </c>
      <c r="H123" s="30"/>
      <c r="I123" s="30">
        <v>44013.45</v>
      </c>
      <c r="J123" s="30">
        <v>62698.6</v>
      </c>
      <c r="K123" s="30">
        <v>538362.6</v>
      </c>
      <c r="L123" s="31">
        <f t="shared" si="8"/>
        <v>1308195.75</v>
      </c>
      <c r="M123" s="30">
        <v>234692.7</v>
      </c>
      <c r="N123" s="29">
        <v>36826.199999999997</v>
      </c>
      <c r="O123" s="31">
        <f t="shared" si="9"/>
        <v>1036676.8500000001</v>
      </c>
      <c r="P123" s="36">
        <v>28033</v>
      </c>
      <c r="Q123" s="31">
        <v>893468</v>
      </c>
      <c r="R123" s="31">
        <v>56.1</v>
      </c>
      <c r="S123" s="29">
        <f t="shared" si="13"/>
        <v>921557.1</v>
      </c>
      <c r="T123" s="33">
        <f t="shared" si="15"/>
        <v>1958233.9500000002</v>
      </c>
      <c r="U123" s="29">
        <f t="shared" si="16"/>
        <v>1781854.4500000002</v>
      </c>
    </row>
    <row r="124" spans="1:21" s="35" customFormat="1" ht="15.75">
      <c r="A124" s="40">
        <v>43039</v>
      </c>
      <c r="B124" s="30">
        <v>-126420.60000000003</v>
      </c>
      <c r="C124" s="30">
        <v>12222.300000000017</v>
      </c>
      <c r="D124" s="30"/>
      <c r="E124" s="29">
        <f t="shared" si="11"/>
        <v>-114198.30000000002</v>
      </c>
      <c r="F124" s="30">
        <v>144881.70000000001</v>
      </c>
      <c r="G124" s="30">
        <v>550691.5</v>
      </c>
      <c r="H124" s="30"/>
      <c r="I124" s="30">
        <v>39800.766666666663</v>
      </c>
      <c r="J124" s="30">
        <v>59912</v>
      </c>
      <c r="K124" s="30">
        <v>537082.9</v>
      </c>
      <c r="L124" s="31">
        <f t="shared" si="8"/>
        <v>1332368.8666666667</v>
      </c>
      <c r="M124" s="30">
        <v>300928.10000000003</v>
      </c>
      <c r="N124" s="29">
        <v>36557</v>
      </c>
      <c r="O124" s="31">
        <f t="shared" si="9"/>
        <v>994883.7666666666</v>
      </c>
      <c r="P124" s="36">
        <v>29792.5</v>
      </c>
      <c r="Q124" s="31">
        <v>903481.13333333319</v>
      </c>
      <c r="R124" s="31">
        <v>47.7</v>
      </c>
      <c r="S124" s="29">
        <f t="shared" si="13"/>
        <v>933321.33333333314</v>
      </c>
      <c r="T124" s="33">
        <f t="shared" si="15"/>
        <v>1928205.0999999996</v>
      </c>
      <c r="U124" s="29">
        <f t="shared" si="16"/>
        <v>1814006.7999999996</v>
      </c>
    </row>
    <row r="125" spans="1:21" s="35" customFormat="1" ht="15.75">
      <c r="A125" s="40">
        <v>43069</v>
      </c>
      <c r="B125" s="30">
        <v>-145157.30000000002</v>
      </c>
      <c r="C125" s="30">
        <v>814</v>
      </c>
      <c r="D125" s="30"/>
      <c r="E125" s="29">
        <f t="shared" si="11"/>
        <v>-144343.30000000002</v>
      </c>
      <c r="F125" s="30">
        <v>150659</v>
      </c>
      <c r="G125" s="30">
        <v>572181.1</v>
      </c>
      <c r="H125" s="30"/>
      <c r="I125" s="30">
        <v>32592.883333333335</v>
      </c>
      <c r="J125" s="30">
        <v>59912</v>
      </c>
      <c r="K125" s="30">
        <v>536443</v>
      </c>
      <c r="L125" s="31">
        <f t="shared" si="8"/>
        <v>1351787.9833333334</v>
      </c>
      <c r="M125" s="30">
        <v>268557.89999999997</v>
      </c>
      <c r="N125" s="29">
        <v>44760.4</v>
      </c>
      <c r="O125" s="31">
        <f t="shared" si="9"/>
        <v>1038469.6833333335</v>
      </c>
      <c r="P125" s="36">
        <v>33823.800000000003</v>
      </c>
      <c r="Q125" s="31">
        <v>905361.26666666672</v>
      </c>
      <c r="R125" s="31">
        <v>4522.3</v>
      </c>
      <c r="S125" s="29">
        <f t="shared" si="13"/>
        <v>943707.36666666681</v>
      </c>
      <c r="T125" s="33">
        <f t="shared" si="15"/>
        <v>1982177.0500000003</v>
      </c>
      <c r="U125" s="29">
        <f t="shared" si="16"/>
        <v>1837833.7500000002</v>
      </c>
    </row>
    <row r="126" spans="1:21" s="35" customFormat="1" ht="15.75">
      <c r="A126" s="40">
        <v>43100</v>
      </c>
      <c r="B126" s="30">
        <v>-144480.39999999997</v>
      </c>
      <c r="C126" s="30">
        <v>-9919.6000000000058</v>
      </c>
      <c r="D126" s="30" t="s">
        <v>2</v>
      </c>
      <c r="E126" s="29">
        <f t="shared" si="11"/>
        <v>-154399.99999999997</v>
      </c>
      <c r="F126" s="30">
        <v>194279.4</v>
      </c>
      <c r="G126" s="30">
        <v>643490.6</v>
      </c>
      <c r="H126" s="30"/>
      <c r="I126" s="30">
        <v>30924.9</v>
      </c>
      <c r="J126" s="30">
        <v>57125.4</v>
      </c>
      <c r="K126" s="30">
        <v>535803.19999999995</v>
      </c>
      <c r="L126" s="31">
        <f t="shared" si="8"/>
        <v>1461623.5</v>
      </c>
      <c r="M126" s="30">
        <v>300060.10000000009</v>
      </c>
      <c r="N126" s="29">
        <v>49349</v>
      </c>
      <c r="O126" s="31">
        <f t="shared" si="9"/>
        <v>1112214.3999999999</v>
      </c>
      <c r="P126" s="36">
        <v>28762.899999999998</v>
      </c>
      <c r="Q126" s="31">
        <v>859051.5</v>
      </c>
      <c r="R126" s="31">
        <v>4937.3999999999996</v>
      </c>
      <c r="S126" s="29">
        <f t="shared" si="13"/>
        <v>892751.8</v>
      </c>
      <c r="T126" s="33">
        <f t="shared" si="15"/>
        <v>2004966.2</v>
      </c>
      <c r="U126" s="29">
        <f t="shared" si="16"/>
        <v>1850566.2</v>
      </c>
    </row>
    <row r="127" spans="1:21" s="35" customFormat="1" ht="15.75">
      <c r="A127" s="40">
        <v>43131</v>
      </c>
      <c r="B127" s="30">
        <v>-165010.79999999999</v>
      </c>
      <c r="C127" s="30">
        <v>-12497.699999999983</v>
      </c>
      <c r="D127" s="30" t="s">
        <v>2</v>
      </c>
      <c r="E127" s="29">
        <f t="shared" si="11"/>
        <v>-177508.49999999997</v>
      </c>
      <c r="F127" s="30">
        <v>154611.4</v>
      </c>
      <c r="G127" s="30">
        <v>662177.9</v>
      </c>
      <c r="H127" s="30"/>
      <c r="I127" s="30">
        <v>29868.35</v>
      </c>
      <c r="J127" s="30">
        <v>55732.1</v>
      </c>
      <c r="K127" s="30">
        <v>535163.30000000005</v>
      </c>
      <c r="L127" s="31">
        <f t="shared" si="8"/>
        <v>1437553.05</v>
      </c>
      <c r="M127" s="30">
        <v>273185</v>
      </c>
      <c r="N127" s="29">
        <v>53988.5</v>
      </c>
      <c r="O127" s="31">
        <f t="shared" si="9"/>
        <v>1110379.55</v>
      </c>
      <c r="P127" s="36">
        <v>25425.200000000001</v>
      </c>
      <c r="Q127" s="31">
        <v>861275.6</v>
      </c>
      <c r="R127" s="31">
        <v>4778.2</v>
      </c>
      <c r="S127" s="29">
        <f t="shared" si="13"/>
        <v>891478.99999999988</v>
      </c>
      <c r="T127" s="33">
        <f t="shared" si="15"/>
        <v>2001858.5499999998</v>
      </c>
      <c r="U127" s="29">
        <f t="shared" si="16"/>
        <v>1824350.0499999998</v>
      </c>
    </row>
    <row r="128" spans="1:21" s="35" customFormat="1" ht="15.75">
      <c r="A128" s="40">
        <v>43159</v>
      </c>
      <c r="B128" s="30">
        <v>-136231.60000000003</v>
      </c>
      <c r="C128" s="30">
        <v>7962.1999999999825</v>
      </c>
      <c r="D128" s="30" t="s">
        <v>2</v>
      </c>
      <c r="E128" s="29">
        <f t="shared" si="11"/>
        <v>-128269.40000000005</v>
      </c>
      <c r="F128" s="30">
        <v>156799.4</v>
      </c>
      <c r="G128" s="30">
        <v>689269.8</v>
      </c>
      <c r="H128" s="30"/>
      <c r="I128" s="30">
        <v>33745.700000000004</v>
      </c>
      <c r="J128" s="30">
        <v>54338.8</v>
      </c>
      <c r="K128" s="30">
        <v>534523.4</v>
      </c>
      <c r="L128" s="31">
        <f t="shared" si="8"/>
        <v>1468677.1</v>
      </c>
      <c r="M128" s="30">
        <v>274672.40000000002</v>
      </c>
      <c r="N128" s="29">
        <v>54895.000000000007</v>
      </c>
      <c r="O128" s="31">
        <f t="shared" si="9"/>
        <v>1139109.7000000002</v>
      </c>
      <c r="P128" s="36">
        <v>17299.899999999998</v>
      </c>
      <c r="Q128" s="31">
        <v>893761.9</v>
      </c>
      <c r="R128" s="31">
        <v>4731.8</v>
      </c>
      <c r="S128" s="29">
        <f t="shared" si="13"/>
        <v>915793.60000000009</v>
      </c>
      <c r="T128" s="33">
        <f t="shared" si="15"/>
        <v>2054903.3000000003</v>
      </c>
      <c r="U128" s="29">
        <f t="shared" si="16"/>
        <v>1926633.9000000001</v>
      </c>
    </row>
    <row r="129" spans="1:21" s="35" customFormat="1" ht="15.75">
      <c r="A129" s="40">
        <v>43190</v>
      </c>
      <c r="B129" s="30">
        <v>-180109.99999999997</v>
      </c>
      <c r="C129" s="30">
        <v>10814.499999999913</v>
      </c>
      <c r="D129" s="30" t="s">
        <v>2</v>
      </c>
      <c r="E129" s="29">
        <f t="shared" si="11"/>
        <v>-169295.50000000006</v>
      </c>
      <c r="F129" s="30">
        <v>151279.20000000001</v>
      </c>
      <c r="G129" s="30">
        <v>716057.39999999991</v>
      </c>
      <c r="H129" s="30"/>
      <c r="I129" s="30">
        <v>39655.5</v>
      </c>
      <c r="J129" s="30">
        <v>52945.5</v>
      </c>
      <c r="K129" s="30">
        <v>533314.30000000005</v>
      </c>
      <c r="L129" s="31">
        <f t="shared" si="8"/>
        <v>1493251.9</v>
      </c>
      <c r="M129" s="30">
        <v>290474.59999999998</v>
      </c>
      <c r="N129" s="29">
        <v>56551.900000000009</v>
      </c>
      <c r="O129" s="31">
        <f t="shared" si="9"/>
        <v>1146225.3999999999</v>
      </c>
      <c r="P129" s="36">
        <v>16032.599999999999</v>
      </c>
      <c r="Q129" s="31">
        <v>887426.7</v>
      </c>
      <c r="R129" s="31">
        <v>5422.5</v>
      </c>
      <c r="S129" s="29">
        <f t="shared" si="13"/>
        <v>908881.79999999993</v>
      </c>
      <c r="T129" s="33">
        <f t="shared" si="15"/>
        <v>2055107.1999999997</v>
      </c>
      <c r="U129" s="29">
        <f t="shared" si="16"/>
        <v>1885811.6999999997</v>
      </c>
    </row>
    <row r="130" spans="1:21" s="35" customFormat="1" ht="15.75">
      <c r="A130" s="40">
        <v>43220</v>
      </c>
      <c r="B130" s="30">
        <v>-152351.79999999999</v>
      </c>
      <c r="C130" s="30">
        <v>-4773.4999999999709</v>
      </c>
      <c r="D130" s="30" t="s">
        <v>2</v>
      </c>
      <c r="E130" s="29">
        <f t="shared" si="11"/>
        <v>-157125.29999999996</v>
      </c>
      <c r="F130" s="30">
        <v>130576.4</v>
      </c>
      <c r="G130" s="30">
        <v>744753.10000000009</v>
      </c>
      <c r="H130" s="30"/>
      <c r="I130" s="30">
        <v>31374.366666666669</v>
      </c>
      <c r="J130" s="30">
        <v>52945.5</v>
      </c>
      <c r="K130" s="30">
        <v>532175.80000000005</v>
      </c>
      <c r="L130" s="31">
        <f t="shared" si="8"/>
        <v>1491825.166666667</v>
      </c>
      <c r="M130" s="30">
        <v>289983.09999999998</v>
      </c>
      <c r="N130" s="29">
        <v>59990</v>
      </c>
      <c r="O130" s="31">
        <f t="shared" si="9"/>
        <v>1141852.0666666669</v>
      </c>
      <c r="P130" s="36">
        <v>14505.4</v>
      </c>
      <c r="Q130" s="31">
        <v>894409.2</v>
      </c>
      <c r="R130" s="31">
        <v>4964</v>
      </c>
      <c r="S130" s="29">
        <f t="shared" si="13"/>
        <v>913878.6</v>
      </c>
      <c r="T130" s="33">
        <f t="shared" si="15"/>
        <v>2055730.666666667</v>
      </c>
      <c r="U130" s="29">
        <f t="shared" si="16"/>
        <v>1898605.3666666669</v>
      </c>
    </row>
    <row r="131" spans="1:21" s="35" customFormat="1" ht="15.75">
      <c r="A131" s="40">
        <v>43251</v>
      </c>
      <c r="B131" s="30">
        <v>-171824.40000000002</v>
      </c>
      <c r="C131" s="30">
        <v>-2357.6999999999825</v>
      </c>
      <c r="D131" s="30" t="s">
        <v>2</v>
      </c>
      <c r="E131" s="29">
        <f t="shared" si="11"/>
        <v>-174182.1</v>
      </c>
      <c r="F131" s="30">
        <v>134896.70000000001</v>
      </c>
      <c r="G131" s="30">
        <v>772226.09999999986</v>
      </c>
      <c r="H131" s="30"/>
      <c r="I131" s="30">
        <v>31843.633333333335</v>
      </c>
      <c r="J131" s="30">
        <v>50158.9</v>
      </c>
      <c r="K131" s="30">
        <v>529757.5</v>
      </c>
      <c r="L131" s="31">
        <f t="shared" si="8"/>
        <v>1518882.833333333</v>
      </c>
      <c r="M131" s="30">
        <v>293405.5</v>
      </c>
      <c r="N131" s="29">
        <v>59494.400000000001</v>
      </c>
      <c r="O131" s="31">
        <f t="shared" si="9"/>
        <v>1165982.9333333331</v>
      </c>
      <c r="P131" s="36">
        <v>14832.3</v>
      </c>
      <c r="Q131" s="31">
        <v>889153.7</v>
      </c>
      <c r="R131" s="31">
        <v>5359.7</v>
      </c>
      <c r="S131" s="29">
        <f t="shared" si="13"/>
        <v>909345.7</v>
      </c>
      <c r="T131" s="33">
        <f t="shared" si="15"/>
        <v>2075328.6333333331</v>
      </c>
      <c r="U131" s="29">
        <f t="shared" si="16"/>
        <v>1901146.533333333</v>
      </c>
    </row>
    <row r="132" spans="1:21" s="35" customFormat="1" ht="15.75">
      <c r="A132" s="40">
        <v>43281</v>
      </c>
      <c r="B132" s="30">
        <v>-175279.1</v>
      </c>
      <c r="C132" s="30">
        <v>-25976.599999999977</v>
      </c>
      <c r="D132" s="30" t="s">
        <v>2</v>
      </c>
      <c r="E132" s="29">
        <f t="shared" si="11"/>
        <v>-201255.69999999998</v>
      </c>
      <c r="F132" s="30">
        <v>201181.6</v>
      </c>
      <c r="G132" s="30">
        <v>799117.89999999991</v>
      </c>
      <c r="H132" s="30"/>
      <c r="I132" s="30">
        <v>61935.900000000009</v>
      </c>
      <c r="J132" s="30">
        <v>50158.9</v>
      </c>
      <c r="K132" s="30">
        <v>529117.6</v>
      </c>
      <c r="L132" s="31">
        <f t="shared" si="8"/>
        <v>1641511.9</v>
      </c>
      <c r="M132" s="30">
        <v>398416.1</v>
      </c>
      <c r="N132" s="29">
        <v>53521.5</v>
      </c>
      <c r="O132" s="31">
        <f t="shared" si="9"/>
        <v>1189574.2999999998</v>
      </c>
      <c r="P132" s="36">
        <v>24405.8</v>
      </c>
      <c r="Q132" s="31">
        <v>940441</v>
      </c>
      <c r="R132" s="31">
        <v>5533.2</v>
      </c>
      <c r="S132" s="29">
        <f t="shared" si="13"/>
        <v>970380</v>
      </c>
      <c r="T132" s="33">
        <f t="shared" si="15"/>
        <v>2159954.2999999998</v>
      </c>
      <c r="U132" s="29">
        <f t="shared" si="16"/>
        <v>1958698.5999999999</v>
      </c>
    </row>
    <row r="133" spans="1:21" s="35" customFormat="1" ht="15.75">
      <c r="A133" s="40">
        <v>43312</v>
      </c>
      <c r="B133" s="30">
        <v>-174985.09999999998</v>
      </c>
      <c r="C133" s="30">
        <v>-24669.800000000017</v>
      </c>
      <c r="D133" s="30">
        <v>-97.2</v>
      </c>
      <c r="E133" s="29">
        <f t="shared" si="11"/>
        <v>-199752.1</v>
      </c>
      <c r="F133" s="30">
        <v>162239</v>
      </c>
      <c r="G133" s="30">
        <v>802635.2</v>
      </c>
      <c r="H133" s="30"/>
      <c r="I133" s="30">
        <v>59864.53333333334</v>
      </c>
      <c r="J133" s="30">
        <v>48765.599999999999</v>
      </c>
      <c r="K133" s="30">
        <v>528548.4</v>
      </c>
      <c r="L133" s="31">
        <f t="shared" si="8"/>
        <v>1602052.7333333334</v>
      </c>
      <c r="M133" s="30">
        <v>349061.9</v>
      </c>
      <c r="N133" s="29">
        <v>47099.000000000007</v>
      </c>
      <c r="O133" s="31">
        <f t="shared" si="9"/>
        <v>1205891.8333333335</v>
      </c>
      <c r="P133" s="36">
        <v>27074.999999999996</v>
      </c>
      <c r="Q133" s="31">
        <v>975970.7</v>
      </c>
      <c r="R133" s="31">
        <v>5486.6</v>
      </c>
      <c r="S133" s="29">
        <f t="shared" si="13"/>
        <v>1008532.2999999999</v>
      </c>
      <c r="T133" s="33">
        <f t="shared" si="15"/>
        <v>2214424.1333333333</v>
      </c>
      <c r="U133" s="29">
        <f t="shared" si="16"/>
        <v>2014672.0333333332</v>
      </c>
    </row>
    <row r="134" spans="1:21" s="35" customFormat="1" ht="15.75">
      <c r="A134" s="40">
        <v>43343</v>
      </c>
      <c r="B134" s="30">
        <v>-171826.4</v>
      </c>
      <c r="C134" s="30">
        <v>-36737.100000000035</v>
      </c>
      <c r="D134" s="30">
        <v>-194.4</v>
      </c>
      <c r="E134" s="29">
        <f t="shared" si="11"/>
        <v>-208757.90000000002</v>
      </c>
      <c r="F134" s="30">
        <v>148049.1</v>
      </c>
      <c r="G134" s="30">
        <v>844453.9</v>
      </c>
      <c r="H134" s="30"/>
      <c r="I134" s="30">
        <v>61327.46666666666</v>
      </c>
      <c r="J134" s="30">
        <v>47372.3</v>
      </c>
      <c r="K134" s="30">
        <v>527339.19999999995</v>
      </c>
      <c r="L134" s="31">
        <f t="shared" si="8"/>
        <v>1628541.9666666666</v>
      </c>
      <c r="M134" s="30">
        <v>340200.7</v>
      </c>
      <c r="N134" s="29">
        <v>61491.499999999993</v>
      </c>
      <c r="O134" s="31">
        <f t="shared" si="9"/>
        <v>1226849.7666666666</v>
      </c>
      <c r="P134" s="36">
        <v>36096.699999999997</v>
      </c>
      <c r="Q134" s="31">
        <v>976985.2</v>
      </c>
      <c r="R134" s="31">
        <v>5519.4</v>
      </c>
      <c r="S134" s="29">
        <f t="shared" si="13"/>
        <v>1018601.2999999999</v>
      </c>
      <c r="T134" s="33">
        <f t="shared" si="15"/>
        <v>2245451.0666666664</v>
      </c>
      <c r="U134" s="29">
        <f t="shared" si="16"/>
        <v>2036693.1666666665</v>
      </c>
    </row>
    <row r="135" spans="1:21" s="35" customFormat="1" ht="15.75">
      <c r="A135" s="40">
        <v>43373</v>
      </c>
      <c r="B135" s="30">
        <v>-185086.7</v>
      </c>
      <c r="C135" s="30">
        <v>-31906.400000000052</v>
      </c>
      <c r="D135" s="30">
        <v>-291.60000000000002</v>
      </c>
      <c r="E135" s="29">
        <f t="shared" si="11"/>
        <v>-217284.70000000007</v>
      </c>
      <c r="F135" s="30">
        <v>151767</v>
      </c>
      <c r="G135" s="30">
        <v>868808.30000000016</v>
      </c>
      <c r="H135" s="30"/>
      <c r="I135" s="30">
        <v>65477.4</v>
      </c>
      <c r="J135" s="30">
        <v>45979</v>
      </c>
      <c r="K135" s="30">
        <v>526130.1</v>
      </c>
      <c r="L135" s="31">
        <f t="shared" ref="L135:L138" si="17">SUM(F135:K135)</f>
        <v>1658161.8000000003</v>
      </c>
      <c r="M135" s="30">
        <v>353050.4</v>
      </c>
      <c r="N135" s="29">
        <v>67423.399999999994</v>
      </c>
      <c r="O135" s="31">
        <f t="shared" ref="O135:O138" si="18">L135-M135-N135</f>
        <v>1237688.0000000005</v>
      </c>
      <c r="P135" s="36">
        <v>32676.399999999998</v>
      </c>
      <c r="Q135" s="31">
        <v>989136.8</v>
      </c>
      <c r="R135" s="31">
        <v>5747.6</v>
      </c>
      <c r="S135" s="29">
        <f t="shared" si="13"/>
        <v>1027560.8</v>
      </c>
      <c r="T135" s="33">
        <f t="shared" si="15"/>
        <v>2265248.8000000007</v>
      </c>
      <c r="U135" s="29">
        <f t="shared" si="16"/>
        <v>2047964.1000000006</v>
      </c>
    </row>
    <row r="136" spans="1:21" s="35" customFormat="1" ht="15.75">
      <c r="A136" s="40">
        <v>43404</v>
      </c>
      <c r="B136" s="30">
        <v>-167112.20000000004</v>
      </c>
      <c r="C136" s="30">
        <v>-44112.100000000035</v>
      </c>
      <c r="D136" s="30">
        <v>-194.40000000000003</v>
      </c>
      <c r="E136" s="29">
        <f t="shared" ref="E136:E138" si="19">SUM(B136:D136)</f>
        <v>-211418.70000000007</v>
      </c>
      <c r="F136" s="30">
        <v>182655.4</v>
      </c>
      <c r="G136" s="30">
        <v>889089.8</v>
      </c>
      <c r="H136" s="30"/>
      <c r="I136" s="30">
        <v>63695.033333333326</v>
      </c>
      <c r="J136" s="30">
        <v>44585.7</v>
      </c>
      <c r="K136" s="30">
        <v>523711.8</v>
      </c>
      <c r="L136" s="31">
        <f t="shared" si="17"/>
        <v>1703737.7333333334</v>
      </c>
      <c r="M136" s="30">
        <v>358860.4</v>
      </c>
      <c r="N136" s="29">
        <v>71166.3</v>
      </c>
      <c r="O136" s="31">
        <f t="shared" si="18"/>
        <v>1273711.0333333334</v>
      </c>
      <c r="P136" s="36">
        <v>44255.700000000012</v>
      </c>
      <c r="Q136" s="31">
        <v>1011544.2</v>
      </c>
      <c r="R136" s="31">
        <v>5786.5</v>
      </c>
      <c r="S136" s="29">
        <f t="shared" si="13"/>
        <v>1061586.3999999999</v>
      </c>
      <c r="T136" s="33">
        <f t="shared" si="15"/>
        <v>2335297.4333333336</v>
      </c>
      <c r="U136" s="29">
        <f t="shared" si="16"/>
        <v>2123878.7333333334</v>
      </c>
    </row>
    <row r="137" spans="1:21" s="35" customFormat="1" ht="15.75">
      <c r="A137" s="40">
        <v>43434</v>
      </c>
      <c r="B137" s="30">
        <v>-156463.60000000003</v>
      </c>
      <c r="C137" s="30">
        <v>-38153.599999999977</v>
      </c>
      <c r="D137" s="30">
        <v>-97.200000000000017</v>
      </c>
      <c r="E137" s="29">
        <f t="shared" si="19"/>
        <v>-194714.40000000002</v>
      </c>
      <c r="F137" s="30">
        <v>182857.3</v>
      </c>
      <c r="G137" s="30">
        <v>913706.2</v>
      </c>
      <c r="H137" s="30"/>
      <c r="I137" s="30">
        <v>63621.566666666666</v>
      </c>
      <c r="J137" s="30">
        <v>43192.4</v>
      </c>
      <c r="K137" s="30">
        <v>523711.8</v>
      </c>
      <c r="L137" s="31">
        <f t="shared" si="17"/>
        <v>1727089.2666666666</v>
      </c>
      <c r="M137" s="30">
        <v>349956.5</v>
      </c>
      <c r="N137" s="29">
        <v>64784.799999999996</v>
      </c>
      <c r="O137" s="31">
        <f t="shared" si="18"/>
        <v>1312347.9666666666</v>
      </c>
      <c r="P137" s="36">
        <v>42729.400000000009</v>
      </c>
      <c r="Q137" s="31">
        <v>1016711.4</v>
      </c>
      <c r="R137" s="31">
        <v>5665.9</v>
      </c>
      <c r="S137" s="29">
        <f t="shared" si="13"/>
        <v>1065106.7</v>
      </c>
      <c r="T137" s="33">
        <f t="shared" si="15"/>
        <v>2377454.6666666665</v>
      </c>
      <c r="U137" s="29">
        <f t="shared" si="16"/>
        <v>2182740.2666666666</v>
      </c>
    </row>
    <row r="138" spans="1:21" s="35" customFormat="1" ht="15.75">
      <c r="A138" s="40">
        <v>43465</v>
      </c>
      <c r="B138" s="30">
        <v>-165217.1</v>
      </c>
      <c r="C138" s="30">
        <v>-37983.9</v>
      </c>
      <c r="D138" s="30" t="s">
        <v>2</v>
      </c>
      <c r="E138" s="29">
        <f t="shared" si="19"/>
        <v>-203201</v>
      </c>
      <c r="F138" s="30">
        <v>210409.1</v>
      </c>
      <c r="G138" s="30">
        <v>932439.20000000007</v>
      </c>
      <c r="H138" s="30"/>
      <c r="I138" s="30">
        <v>58884.2</v>
      </c>
      <c r="J138" s="30">
        <v>40405.800000000003</v>
      </c>
      <c r="K138" s="30">
        <v>521293.6</v>
      </c>
      <c r="L138" s="31">
        <f t="shared" si="17"/>
        <v>1763431.9</v>
      </c>
      <c r="M138" s="30">
        <v>353522.4</v>
      </c>
      <c r="N138" s="29">
        <v>72375.499999999985</v>
      </c>
      <c r="O138" s="31">
        <f t="shared" si="18"/>
        <v>1337534</v>
      </c>
      <c r="P138" s="36">
        <v>42063.6</v>
      </c>
      <c r="Q138" s="31">
        <v>983859.20000000019</v>
      </c>
      <c r="R138" s="31">
        <v>6028.8</v>
      </c>
      <c r="S138" s="29">
        <f t="shared" si="13"/>
        <v>1031951.6000000002</v>
      </c>
      <c r="T138" s="33">
        <f t="shared" si="15"/>
        <v>2369485.6</v>
      </c>
      <c r="U138" s="29">
        <f t="shared" si="16"/>
        <v>2166284.6</v>
      </c>
    </row>
    <row r="139" spans="1:21" s="35" customFormat="1" ht="15.75">
      <c r="A139" s="40">
        <v>43496</v>
      </c>
      <c r="B139" s="30">
        <v>-182568.59999999998</v>
      </c>
      <c r="C139" s="30">
        <v>-55757.799999999988</v>
      </c>
      <c r="D139" s="30" t="s">
        <v>2</v>
      </c>
      <c r="E139" s="29">
        <f t="shared" ref="E139:E144" si="20">+SUM(B139:D139)</f>
        <v>-238326.39999999997</v>
      </c>
      <c r="F139" s="30">
        <v>174198.6</v>
      </c>
      <c r="G139" s="30">
        <v>986516.79999999993</v>
      </c>
      <c r="H139" s="30"/>
      <c r="I139" s="30">
        <v>57507.799999999996</v>
      </c>
      <c r="J139" s="30">
        <v>40405.800000000003</v>
      </c>
      <c r="K139" s="30">
        <v>521293.6</v>
      </c>
      <c r="L139" s="31">
        <f t="shared" ref="L139:L144" si="21">+SUM(F139:K139)</f>
        <v>1779922.6</v>
      </c>
      <c r="M139" s="30">
        <v>370633.2</v>
      </c>
      <c r="N139" s="29">
        <v>61052.1</v>
      </c>
      <c r="O139" s="31">
        <f t="shared" ref="O139:O202" si="22">+L139-M139-N139</f>
        <v>1348237.3</v>
      </c>
      <c r="P139" s="36">
        <v>36041.299999999996</v>
      </c>
      <c r="Q139" s="31">
        <v>977163.1</v>
      </c>
      <c r="R139" s="31">
        <v>6363.7</v>
      </c>
      <c r="S139" s="29">
        <f t="shared" ref="S139:S140" si="23">SUM(P139:R139)</f>
        <v>1019568.1</v>
      </c>
      <c r="T139" s="33">
        <f t="shared" ref="T139:T204" si="24">SUM(O139,S139)</f>
        <v>2367805.4</v>
      </c>
      <c r="U139" s="29">
        <f t="shared" ref="U139:U160" si="25">SUM(E139,T139)</f>
        <v>2129479</v>
      </c>
    </row>
    <row r="140" spans="1:21" s="35" customFormat="1" ht="15.75">
      <c r="A140" s="40">
        <v>43524</v>
      </c>
      <c r="B140" s="30">
        <v>-148014.80000000002</v>
      </c>
      <c r="C140" s="30">
        <v>-56830.499999999971</v>
      </c>
      <c r="D140" s="30" t="s">
        <v>2</v>
      </c>
      <c r="E140" s="29">
        <f t="shared" si="20"/>
        <v>-204845.3</v>
      </c>
      <c r="F140" s="30">
        <v>195688.4</v>
      </c>
      <c r="G140" s="30">
        <v>1016767.7000000001</v>
      </c>
      <c r="H140" s="30"/>
      <c r="I140" s="30">
        <v>55457.5</v>
      </c>
      <c r="J140" s="30">
        <v>39012.5</v>
      </c>
      <c r="K140" s="30">
        <v>520084.5</v>
      </c>
      <c r="L140" s="31">
        <f t="shared" si="21"/>
        <v>1827010.6</v>
      </c>
      <c r="M140" s="30">
        <v>368080.4</v>
      </c>
      <c r="N140" s="29">
        <v>64711.1</v>
      </c>
      <c r="O140" s="31">
        <f t="shared" si="22"/>
        <v>1394219.1</v>
      </c>
      <c r="P140" s="36">
        <v>34014.400000000001</v>
      </c>
      <c r="Q140" s="31">
        <v>991824.5</v>
      </c>
      <c r="R140" s="31">
        <v>6912.9</v>
      </c>
      <c r="S140" s="29">
        <f t="shared" si="23"/>
        <v>1032751.8</v>
      </c>
      <c r="T140" s="33">
        <f t="shared" si="24"/>
        <v>2426970.9000000004</v>
      </c>
      <c r="U140" s="29">
        <f t="shared" si="25"/>
        <v>2222125.6000000006</v>
      </c>
    </row>
    <row r="141" spans="1:21" s="35" customFormat="1" ht="15.75">
      <c r="A141" s="40">
        <v>43555</v>
      </c>
      <c r="B141" s="30">
        <v>-166782.39999999999</v>
      </c>
      <c r="C141" s="30">
        <v>-62620.70000000007</v>
      </c>
      <c r="D141" s="30" t="s">
        <v>2</v>
      </c>
      <c r="E141" s="29">
        <f t="shared" si="20"/>
        <v>-229403.10000000006</v>
      </c>
      <c r="F141" s="30">
        <v>221728.4</v>
      </c>
      <c r="G141" s="30">
        <f>74137.1+941488.5+22035.7</f>
        <v>1037661.2999999999</v>
      </c>
      <c r="H141" s="30"/>
      <c r="I141" s="30">
        <v>66134.8</v>
      </c>
      <c r="J141" s="30">
        <v>36225.9</v>
      </c>
      <c r="K141" s="30">
        <v>518306</v>
      </c>
      <c r="L141" s="31">
        <f t="shared" si="21"/>
        <v>1880056.4</v>
      </c>
      <c r="M141" s="30">
        <v>412450</v>
      </c>
      <c r="N141" s="29">
        <v>58269.8</v>
      </c>
      <c r="O141" s="31">
        <f t="shared" si="22"/>
        <v>1409336.5999999999</v>
      </c>
      <c r="P141" s="36">
        <v>32296.6</v>
      </c>
      <c r="Q141" s="31">
        <v>1008148.3000000002</v>
      </c>
      <c r="R141" s="31">
        <v>6662.7</v>
      </c>
      <c r="S141" s="29">
        <f t="shared" ref="S141" si="26">SUM(P141:R141)</f>
        <v>1047107.6000000001</v>
      </c>
      <c r="T141" s="33">
        <f t="shared" si="24"/>
        <v>2456444.2000000002</v>
      </c>
      <c r="U141" s="29">
        <f t="shared" si="25"/>
        <v>2227041.1</v>
      </c>
    </row>
    <row r="142" spans="1:21" s="35" customFormat="1" ht="15.75">
      <c r="A142" s="40">
        <v>43585</v>
      </c>
      <c r="B142" s="30">
        <f>138621.2-298492</f>
        <v>-159870.79999999999</v>
      </c>
      <c r="C142" s="30">
        <f>120674.2-197777.1</f>
        <v>-77102.900000000009</v>
      </c>
      <c r="D142" s="30" t="s">
        <v>2</v>
      </c>
      <c r="E142" s="29">
        <f t="shared" si="20"/>
        <v>-236973.7</v>
      </c>
      <c r="F142" s="30">
        <v>195994.1</v>
      </c>
      <c r="G142" s="30">
        <f>50233.1+1006432.8+19500</f>
        <v>1076165.9000000001</v>
      </c>
      <c r="H142" s="30"/>
      <c r="I142" s="30">
        <v>66482.8</v>
      </c>
      <c r="J142" s="30">
        <v>36225.9</v>
      </c>
      <c r="K142" s="30">
        <v>517334.5</v>
      </c>
      <c r="L142" s="31">
        <f t="shared" si="21"/>
        <v>1892203.2000000002</v>
      </c>
      <c r="M142" s="30">
        <v>390323.7</v>
      </c>
      <c r="N142" s="29">
        <v>56955.6</v>
      </c>
      <c r="O142" s="31">
        <f t="shared" si="22"/>
        <v>1444923.9000000001</v>
      </c>
      <c r="P142" s="36">
        <v>33330.999999999993</v>
      </c>
      <c r="Q142" s="31">
        <v>1004160.3</v>
      </c>
      <c r="R142" s="31">
        <v>6674.3</v>
      </c>
      <c r="S142" s="29">
        <f t="shared" ref="S142" si="27">SUM(P142:R142)</f>
        <v>1044165.6000000001</v>
      </c>
      <c r="T142" s="33">
        <f t="shared" si="24"/>
        <v>2489089.5</v>
      </c>
      <c r="U142" s="29">
        <f t="shared" si="25"/>
        <v>2252115.7999999998</v>
      </c>
    </row>
    <row r="143" spans="1:21" s="35" customFormat="1" ht="15.75">
      <c r="A143" s="40">
        <v>43616</v>
      </c>
      <c r="B143" s="30">
        <f>188353.4-322255.6</f>
        <v>-133902.19999999998</v>
      </c>
      <c r="C143" s="30">
        <f>142300.4-198646.2</f>
        <v>-56345.800000000017</v>
      </c>
      <c r="D143" s="30" t="s">
        <v>2</v>
      </c>
      <c r="E143" s="29">
        <f t="shared" si="20"/>
        <v>-190248</v>
      </c>
      <c r="F143" s="30">
        <v>191866.3</v>
      </c>
      <c r="G143" s="30">
        <f>45273+1055617.8+16915</f>
        <v>1117805.8</v>
      </c>
      <c r="H143" s="30"/>
      <c r="I143" s="30">
        <v>59356.399999999994</v>
      </c>
      <c r="J143" s="30">
        <v>34832.6</v>
      </c>
      <c r="K143" s="30">
        <v>515247.9</v>
      </c>
      <c r="L143" s="31">
        <f t="shared" si="21"/>
        <v>1919109</v>
      </c>
      <c r="M143" s="30">
        <v>428305.4</v>
      </c>
      <c r="N143" s="29">
        <v>67301.8</v>
      </c>
      <c r="O143" s="31">
        <f t="shared" si="22"/>
        <v>1423501.8</v>
      </c>
      <c r="P143" s="36">
        <f>28149+101.6</f>
        <v>28250.6</v>
      </c>
      <c r="Q143" s="31">
        <v>1036819.9</v>
      </c>
      <c r="R143" s="31">
        <v>6967</v>
      </c>
      <c r="S143" s="29">
        <f t="shared" ref="S143:S192" si="28">SUM(P143:R143)</f>
        <v>1072037.5</v>
      </c>
      <c r="T143" s="33">
        <f t="shared" si="24"/>
        <v>2495539.2999999998</v>
      </c>
      <c r="U143" s="29">
        <f t="shared" si="25"/>
        <v>2305291.2999999998</v>
      </c>
    </row>
    <row r="144" spans="1:21" s="35" customFormat="1" ht="15.75">
      <c r="A144" s="40">
        <v>43646</v>
      </c>
      <c r="B144" s="30">
        <f>177153.1-298866.2</f>
        <v>-121713.1</v>
      </c>
      <c r="C144" s="30">
        <f>127120.2-199660</f>
        <v>-72539.8</v>
      </c>
      <c r="D144" s="30" t="s">
        <v>2</v>
      </c>
      <c r="E144" s="29">
        <f t="shared" si="20"/>
        <v>-194252.90000000002</v>
      </c>
      <c r="F144" s="30">
        <v>216009.2</v>
      </c>
      <c r="G144" s="30">
        <f>42174.9+1084518.3+16965</f>
        <v>1143658.2</v>
      </c>
      <c r="H144" s="30"/>
      <c r="I144" s="30">
        <v>59215</v>
      </c>
      <c r="J144" s="30">
        <v>32046</v>
      </c>
      <c r="K144" s="30">
        <v>514038.8</v>
      </c>
      <c r="L144" s="31">
        <f t="shared" si="21"/>
        <v>1964967.2</v>
      </c>
      <c r="M144" s="30">
        <v>427944.6</v>
      </c>
      <c r="N144" s="29">
        <v>62402.2</v>
      </c>
      <c r="O144" s="31">
        <f t="shared" si="22"/>
        <v>1474620.4000000001</v>
      </c>
      <c r="P144" s="36">
        <f>23367.3+101.6</f>
        <v>23468.899999999998</v>
      </c>
      <c r="Q144" s="31">
        <v>1073690.6000000001</v>
      </c>
      <c r="R144" s="31">
        <v>6546.1</v>
      </c>
      <c r="S144" s="29">
        <f t="shared" si="28"/>
        <v>1103705.6000000001</v>
      </c>
      <c r="T144" s="33">
        <f t="shared" si="24"/>
        <v>2578326</v>
      </c>
      <c r="U144" s="29">
        <f t="shared" si="25"/>
        <v>2384073.1</v>
      </c>
    </row>
    <row r="145" spans="1:21" s="35" customFormat="1" ht="15.75">
      <c r="A145" s="40">
        <v>43677</v>
      </c>
      <c r="B145" s="30">
        <f>166708.8-300474.7</f>
        <v>-133765.90000000002</v>
      </c>
      <c r="C145" s="30">
        <f>130910.8-231174</f>
        <v>-100263.2</v>
      </c>
      <c r="D145" s="30" t="s">
        <v>2</v>
      </c>
      <c r="E145" s="29">
        <f t="shared" ref="E145:E156" si="29">+SUM(B145:D145)</f>
        <v>-234029.10000000003</v>
      </c>
      <c r="F145" s="30">
        <v>158917.5</v>
      </c>
      <c r="G145" s="30">
        <f>43953+1112283.8+13837</f>
        <v>1170073.8</v>
      </c>
      <c r="H145" s="30"/>
      <c r="I145" s="30">
        <v>55134.399999999994</v>
      </c>
      <c r="J145" s="30">
        <v>30652.7</v>
      </c>
      <c r="K145" s="30">
        <v>512829.7</v>
      </c>
      <c r="L145" s="31">
        <f t="shared" ref="L145:L156" si="30">+SUM(F145:K145)</f>
        <v>1927608.0999999999</v>
      </c>
      <c r="M145" s="30">
        <v>385962.8</v>
      </c>
      <c r="N145" s="29">
        <v>69016.7</v>
      </c>
      <c r="O145" s="31">
        <f t="shared" si="22"/>
        <v>1472628.5999999999</v>
      </c>
      <c r="P145" s="36">
        <f>19521.9+101.6</f>
        <v>19623.5</v>
      </c>
      <c r="Q145" s="31">
        <v>1117284.0333333332</v>
      </c>
      <c r="R145" s="31">
        <v>6695.5999999999995</v>
      </c>
      <c r="S145" s="29">
        <f t="shared" si="28"/>
        <v>1143603.1333333333</v>
      </c>
      <c r="T145" s="33">
        <f t="shared" si="24"/>
        <v>2616231.7333333334</v>
      </c>
      <c r="U145" s="29">
        <f t="shared" si="25"/>
        <v>2382202.6333333333</v>
      </c>
    </row>
    <row r="146" spans="1:21" s="35" customFormat="1" ht="15.75">
      <c r="A146" s="40">
        <v>43708</v>
      </c>
      <c r="B146" s="30">
        <f>143964.8-295856.6</f>
        <v>-151891.79999999999</v>
      </c>
      <c r="C146" s="30">
        <f>131114.5-221742.4</f>
        <v>-90627.9</v>
      </c>
      <c r="D146" s="30" t="s">
        <v>2</v>
      </c>
      <c r="E146" s="29">
        <f t="shared" si="29"/>
        <v>-242519.69999999998</v>
      </c>
      <c r="F146" s="30">
        <v>0</v>
      </c>
      <c r="G146" s="30">
        <f>44613+1152737.1+15106</f>
        <v>1212456.1000000001</v>
      </c>
      <c r="H146" s="30"/>
      <c r="I146" s="30">
        <v>59369.600000000006</v>
      </c>
      <c r="J146" s="30">
        <v>30652.7</v>
      </c>
      <c r="K146" s="30">
        <v>728838.8</v>
      </c>
      <c r="L146" s="31">
        <f t="shared" si="30"/>
        <v>2031317.2000000002</v>
      </c>
      <c r="M146" s="30">
        <v>467552.1</v>
      </c>
      <c r="N146" s="29">
        <v>76766.3</v>
      </c>
      <c r="O146" s="31">
        <f t="shared" si="22"/>
        <v>1486998.8</v>
      </c>
      <c r="P146" s="36">
        <f>19534+101.6</f>
        <v>19635.599999999999</v>
      </c>
      <c r="Q146" s="31">
        <v>1127544.6666666665</v>
      </c>
      <c r="R146" s="31">
        <v>6755.2</v>
      </c>
      <c r="S146" s="29">
        <f t="shared" si="28"/>
        <v>1153935.4666666666</v>
      </c>
      <c r="T146" s="33">
        <f t="shared" si="24"/>
        <v>2640934.2666666666</v>
      </c>
      <c r="U146" s="29">
        <f t="shared" si="25"/>
        <v>2398414.5666666664</v>
      </c>
    </row>
    <row r="147" spans="1:21" s="35" customFormat="1" ht="15.75">
      <c r="A147" s="40">
        <v>43738</v>
      </c>
      <c r="B147" s="30">
        <f>152229.3-295964.1</f>
        <v>-143734.79999999999</v>
      </c>
      <c r="C147" s="30">
        <f>139248.5-223096</f>
        <v>-83847.5</v>
      </c>
      <c r="D147" s="30" t="s">
        <v>2</v>
      </c>
      <c r="E147" s="29">
        <f t="shared" si="29"/>
        <v>-227582.3</v>
      </c>
      <c r="F147" s="30">
        <v>0</v>
      </c>
      <c r="G147" s="30">
        <f>52783.1+1160384.5+28225</f>
        <v>1241392.6000000001</v>
      </c>
      <c r="H147" s="30"/>
      <c r="I147" s="30">
        <v>65322.7</v>
      </c>
      <c r="J147" s="30">
        <v>29259.4</v>
      </c>
      <c r="K147" s="30">
        <v>727629.7</v>
      </c>
      <c r="L147" s="31">
        <f t="shared" si="30"/>
        <v>2063604.4</v>
      </c>
      <c r="M147" s="30">
        <v>478795.5</v>
      </c>
      <c r="N147" s="29">
        <v>82107.899999999994</v>
      </c>
      <c r="O147" s="31">
        <f t="shared" si="22"/>
        <v>1502701</v>
      </c>
      <c r="P147" s="36">
        <f>25516+101.6</f>
        <v>25617.599999999999</v>
      </c>
      <c r="Q147" s="31">
        <f>1098721+4652.3+44030.8</f>
        <v>1147404.1000000001</v>
      </c>
      <c r="R147" s="31">
        <v>6686.4</v>
      </c>
      <c r="S147" s="29">
        <f t="shared" si="28"/>
        <v>1179708.1000000001</v>
      </c>
      <c r="T147" s="33">
        <f t="shared" si="24"/>
        <v>2682409.1</v>
      </c>
      <c r="U147" s="29">
        <f t="shared" si="25"/>
        <v>2454826.8000000003</v>
      </c>
    </row>
    <row r="148" spans="1:21" s="35" customFormat="1" ht="15.75">
      <c r="A148" s="40">
        <v>43769</v>
      </c>
      <c r="B148" s="30">
        <f>139379.6-293793.8</f>
        <v>-154414.19999999998</v>
      </c>
      <c r="C148" s="30">
        <f>134768.5-216587.2</f>
        <v>-81818.700000000012</v>
      </c>
      <c r="D148" s="30" t="s">
        <v>2</v>
      </c>
      <c r="E148" s="29">
        <f t="shared" si="29"/>
        <v>-236232.9</v>
      </c>
      <c r="F148" s="30">
        <v>0</v>
      </c>
      <c r="G148" s="30">
        <f>53363+1194779.6+32675</f>
        <v>1280817.6000000001</v>
      </c>
      <c r="H148" s="30"/>
      <c r="I148" s="30">
        <v>76553.5</v>
      </c>
      <c r="J148" s="30">
        <v>26472.7</v>
      </c>
      <c r="K148" s="30">
        <v>725211.5</v>
      </c>
      <c r="L148" s="31">
        <f t="shared" si="30"/>
        <v>2109055.2999999998</v>
      </c>
      <c r="M148" s="30">
        <v>498832</v>
      </c>
      <c r="N148" s="29">
        <v>93562</v>
      </c>
      <c r="O148" s="31">
        <f t="shared" si="22"/>
        <v>1516661.2999999998</v>
      </c>
      <c r="P148" s="36">
        <f>25102.5+101.6</f>
        <v>25204.1</v>
      </c>
      <c r="Q148" s="31">
        <v>1169942.3999999999</v>
      </c>
      <c r="R148" s="31">
        <v>547.9</v>
      </c>
      <c r="S148" s="29">
        <f t="shared" si="28"/>
        <v>1195694.3999999999</v>
      </c>
      <c r="T148" s="33">
        <f t="shared" si="24"/>
        <v>2712355.6999999997</v>
      </c>
      <c r="U148" s="29">
        <f t="shared" si="25"/>
        <v>2476122.7999999998</v>
      </c>
    </row>
    <row r="149" spans="1:21" s="35" customFormat="1" ht="15.75">
      <c r="A149" s="40">
        <v>43799</v>
      </c>
      <c r="B149" s="30">
        <f>126892.2-290211.4</f>
        <v>-163319.20000000001</v>
      </c>
      <c r="C149" s="30">
        <f>127575.1-218706.9</f>
        <v>-91131.799999999988</v>
      </c>
      <c r="D149" s="30" t="s">
        <v>2</v>
      </c>
      <c r="E149" s="29">
        <f t="shared" si="29"/>
        <v>-254451</v>
      </c>
      <c r="F149" s="30">
        <v>0</v>
      </c>
      <c r="G149" s="30">
        <v>1313894.1000000001</v>
      </c>
      <c r="H149" s="30"/>
      <c r="I149" s="30">
        <v>74319.900000000009</v>
      </c>
      <c r="J149" s="30">
        <v>25079.5</v>
      </c>
      <c r="K149" s="30">
        <v>724002.3</v>
      </c>
      <c r="L149" s="31">
        <f t="shared" si="30"/>
        <v>2137295.7999999998</v>
      </c>
      <c r="M149" s="30">
        <v>490631.8</v>
      </c>
      <c r="N149" s="29">
        <v>94982.5</v>
      </c>
      <c r="O149" s="31">
        <f t="shared" si="22"/>
        <v>1551681.4999999998</v>
      </c>
      <c r="P149" s="36">
        <f>25813.2+101.6</f>
        <v>25914.799999999999</v>
      </c>
      <c r="Q149" s="31">
        <v>1198880.2</v>
      </c>
      <c r="R149" s="31">
        <v>496</v>
      </c>
      <c r="S149" s="29">
        <f t="shared" si="28"/>
        <v>1225291</v>
      </c>
      <c r="T149" s="33">
        <f t="shared" si="24"/>
        <v>2776972.5</v>
      </c>
      <c r="U149" s="29">
        <f t="shared" si="25"/>
        <v>2522521.5</v>
      </c>
    </row>
    <row r="150" spans="1:21" s="35" customFormat="1" ht="15.75">
      <c r="A150" s="40">
        <v>43830</v>
      </c>
      <c r="B150" s="30">
        <v>-129390.7</v>
      </c>
      <c r="C150" s="30">
        <v>-76949.600000000006</v>
      </c>
      <c r="D150" s="30" t="s">
        <v>2</v>
      </c>
      <c r="E150" s="29">
        <f t="shared" si="29"/>
        <v>-206340.3</v>
      </c>
      <c r="F150" s="30">
        <v>0</v>
      </c>
      <c r="G150" s="30">
        <v>1341367.1000000001</v>
      </c>
      <c r="H150" s="30"/>
      <c r="I150" s="30">
        <v>70919.799999999988</v>
      </c>
      <c r="J150" s="30">
        <v>23686.2</v>
      </c>
      <c r="K150" s="30">
        <v>722793.2</v>
      </c>
      <c r="L150" s="31">
        <f t="shared" si="30"/>
        <v>2158766.2999999998</v>
      </c>
      <c r="M150" s="30">
        <v>443910.5</v>
      </c>
      <c r="N150" s="29">
        <v>95938.2</v>
      </c>
      <c r="O150" s="31">
        <f t="shared" si="22"/>
        <v>1618917.5999999999</v>
      </c>
      <c r="P150" s="36">
        <f>42076.6+101.6</f>
        <v>42178.2</v>
      </c>
      <c r="Q150" s="31">
        <v>1166031.0000000002</v>
      </c>
      <c r="R150" s="31">
        <v>458.5</v>
      </c>
      <c r="S150" s="29">
        <f t="shared" si="28"/>
        <v>1208667.7000000002</v>
      </c>
      <c r="T150" s="33">
        <f t="shared" si="24"/>
        <v>2827585.3</v>
      </c>
      <c r="U150" s="29">
        <f t="shared" si="25"/>
        <v>2621245</v>
      </c>
    </row>
    <row r="151" spans="1:21" s="35" customFormat="1" ht="15.75">
      <c r="A151" s="40">
        <v>43861</v>
      </c>
      <c r="B151" s="30">
        <v>-173480.90000000002</v>
      </c>
      <c r="C151" s="30">
        <f>137465.3-279253.2</f>
        <v>-141787.90000000002</v>
      </c>
      <c r="D151" s="30" t="s">
        <v>2</v>
      </c>
      <c r="E151" s="29">
        <f t="shared" si="29"/>
        <v>-315268.80000000005</v>
      </c>
      <c r="F151" s="30">
        <v>0</v>
      </c>
      <c r="G151" s="30">
        <v>1378830.3</v>
      </c>
      <c r="H151" s="30"/>
      <c r="I151" s="30">
        <f>18559.5+102288.1</f>
        <v>120847.6</v>
      </c>
      <c r="J151" s="30">
        <v>23686.1</v>
      </c>
      <c r="K151" s="30">
        <v>722793.2</v>
      </c>
      <c r="L151" s="31">
        <f t="shared" si="30"/>
        <v>2246157.2000000002</v>
      </c>
      <c r="M151" s="30">
        <v>447113.3</v>
      </c>
      <c r="N151" s="29">
        <v>97728.6</v>
      </c>
      <c r="O151" s="31">
        <f t="shared" si="22"/>
        <v>1701315.3</v>
      </c>
      <c r="P151" s="36">
        <f>37419.8+101.6</f>
        <v>37521.4</v>
      </c>
      <c r="Q151" s="31">
        <v>1196183.8666666667</v>
      </c>
      <c r="R151" s="31">
        <v>370.8</v>
      </c>
      <c r="S151" s="29">
        <f t="shared" si="28"/>
        <v>1234076.0666666667</v>
      </c>
      <c r="T151" s="33">
        <f t="shared" si="24"/>
        <v>2935391.3666666667</v>
      </c>
      <c r="U151" s="29">
        <f t="shared" si="25"/>
        <v>2620122.5666666664</v>
      </c>
    </row>
    <row r="152" spans="1:21" s="35" customFormat="1" ht="15.75">
      <c r="A152" s="40">
        <v>43890</v>
      </c>
      <c r="B152" s="30">
        <f>231895.4-363145.9</f>
        <v>-131250.50000000003</v>
      </c>
      <c r="C152" s="30">
        <f>154904-268234.5</f>
        <v>-113330.5</v>
      </c>
      <c r="D152" s="30" t="s">
        <v>2</v>
      </c>
      <c r="E152" s="29">
        <f t="shared" si="29"/>
        <v>-244581.00000000003</v>
      </c>
      <c r="F152" s="30">
        <v>0</v>
      </c>
      <c r="G152" s="30">
        <v>1386787.3</v>
      </c>
      <c r="H152" s="30"/>
      <c r="I152" s="30">
        <f>18771.6+102880.8</f>
        <v>121652.4</v>
      </c>
      <c r="J152" s="30">
        <v>22292.799999999999</v>
      </c>
      <c r="K152" s="30">
        <v>721584.1</v>
      </c>
      <c r="L152" s="31">
        <f t="shared" si="30"/>
        <v>2252316.6</v>
      </c>
      <c r="M152" s="30">
        <v>456925.6</v>
      </c>
      <c r="N152" s="29">
        <v>96011.1</v>
      </c>
      <c r="O152" s="31">
        <f t="shared" si="22"/>
        <v>1699379.9</v>
      </c>
      <c r="P152" s="36">
        <f>34652.5+101.6</f>
        <v>34754.1</v>
      </c>
      <c r="Q152" s="31">
        <v>1185120.5333333332</v>
      </c>
      <c r="R152" s="31">
        <v>327</v>
      </c>
      <c r="S152" s="29">
        <f t="shared" si="28"/>
        <v>1220201.6333333333</v>
      </c>
      <c r="T152" s="33">
        <f t="shared" si="24"/>
        <v>2919581.5333333332</v>
      </c>
      <c r="U152" s="29">
        <f t="shared" si="25"/>
        <v>2675000.5333333332</v>
      </c>
    </row>
    <row r="153" spans="1:21" s="35" customFormat="1" ht="15.75">
      <c r="A153" s="40">
        <v>43921</v>
      </c>
      <c r="B153" s="30">
        <f>194289.3-361308.8</f>
        <v>-167019.5</v>
      </c>
      <c r="C153" s="30">
        <f>143352.6-261170.6</f>
        <v>-117818</v>
      </c>
      <c r="D153" s="30" t="s">
        <v>2</v>
      </c>
      <c r="E153" s="29">
        <f t="shared" si="29"/>
        <v>-284837.5</v>
      </c>
      <c r="F153" s="30">
        <v>0</v>
      </c>
      <c r="G153" s="30">
        <v>1381408.1999999997</v>
      </c>
      <c r="H153" s="30"/>
      <c r="I153" s="30">
        <f>20393+103560.4</f>
        <v>123953.4</v>
      </c>
      <c r="J153" s="30">
        <v>19506.2</v>
      </c>
      <c r="K153" s="30">
        <v>719165.8</v>
      </c>
      <c r="L153" s="31">
        <f t="shared" si="30"/>
        <v>2244033.5999999996</v>
      </c>
      <c r="M153" s="30">
        <v>503862</v>
      </c>
      <c r="N153" s="29">
        <v>77027.199999999997</v>
      </c>
      <c r="O153" s="31">
        <f t="shared" si="22"/>
        <v>1663144.3999999997</v>
      </c>
      <c r="P153" s="36">
        <f>32138.3+101.6</f>
        <v>32239.899999999998</v>
      </c>
      <c r="Q153" s="31">
        <v>1212703.5999999999</v>
      </c>
      <c r="R153" s="31">
        <v>342.2</v>
      </c>
      <c r="S153" s="29">
        <f t="shared" si="28"/>
        <v>1245285.6999999997</v>
      </c>
      <c r="T153" s="33">
        <f t="shared" si="24"/>
        <v>2908430.0999999996</v>
      </c>
      <c r="U153" s="29">
        <f t="shared" si="25"/>
        <v>2623592.5999999996</v>
      </c>
    </row>
    <row r="154" spans="1:21" s="35" customFormat="1" ht="15.75">
      <c r="A154" s="40">
        <v>43951</v>
      </c>
      <c r="B154" s="30">
        <f>182570.8-361783</f>
        <v>-179212.2</v>
      </c>
      <c r="C154" s="30">
        <f>139173-266161.9</f>
        <v>-126988.90000000002</v>
      </c>
      <c r="D154" s="30" t="s">
        <v>2</v>
      </c>
      <c r="E154" s="29">
        <f t="shared" si="29"/>
        <v>-306201.10000000003</v>
      </c>
      <c r="F154" s="30">
        <v>0</v>
      </c>
      <c r="G154" s="30">
        <v>1385180.4000000001</v>
      </c>
      <c r="H154" s="30"/>
      <c r="I154" s="30">
        <f>16512.8+104228.7</f>
        <v>120741.5</v>
      </c>
      <c r="J154" s="30">
        <v>18112.900000000001</v>
      </c>
      <c r="K154" s="30">
        <v>717956.7</v>
      </c>
      <c r="L154" s="31">
        <f t="shared" si="30"/>
        <v>2241991.5</v>
      </c>
      <c r="M154" s="30">
        <v>464273.2</v>
      </c>
      <c r="N154" s="29">
        <v>73644.3</v>
      </c>
      <c r="O154" s="31">
        <f t="shared" si="22"/>
        <v>1704074</v>
      </c>
      <c r="P154" s="36">
        <f>33552.3+101.6</f>
        <v>33653.9</v>
      </c>
      <c r="Q154" s="31">
        <v>1214945.9000000001</v>
      </c>
      <c r="R154" s="31">
        <v>357.29999999999995</v>
      </c>
      <c r="S154" s="29">
        <f t="shared" si="28"/>
        <v>1248957.1000000001</v>
      </c>
      <c r="T154" s="33">
        <f t="shared" si="24"/>
        <v>2953031.1</v>
      </c>
      <c r="U154" s="29">
        <f t="shared" si="25"/>
        <v>2646830</v>
      </c>
    </row>
    <row r="155" spans="1:21" s="35" customFormat="1" ht="15.75">
      <c r="A155" s="40">
        <v>43982</v>
      </c>
      <c r="B155" s="30">
        <f>172039.8-357937.1</f>
        <v>-185897.3</v>
      </c>
      <c r="C155" s="30">
        <f>130855.2-285542.3</f>
        <v>-154687.09999999998</v>
      </c>
      <c r="D155" s="30" t="s">
        <v>2</v>
      </c>
      <c r="E155" s="29">
        <f t="shared" si="29"/>
        <v>-340584.39999999997</v>
      </c>
      <c r="F155" s="30">
        <v>0</v>
      </c>
      <c r="G155" s="30">
        <v>1411011.9000000004</v>
      </c>
      <c r="H155" s="30"/>
      <c r="I155" s="30">
        <f>15846.7+97709.7+1852.2</f>
        <v>115408.59999999999</v>
      </c>
      <c r="J155" s="30">
        <v>18112.900000000001</v>
      </c>
      <c r="K155" s="30">
        <v>717956.7</v>
      </c>
      <c r="L155" s="31">
        <f t="shared" si="30"/>
        <v>2262490.1000000006</v>
      </c>
      <c r="M155" s="30">
        <v>499649.2</v>
      </c>
      <c r="N155" s="29">
        <v>75206.899999999994</v>
      </c>
      <c r="O155" s="31">
        <f t="shared" si="22"/>
        <v>1687634.0000000007</v>
      </c>
      <c r="P155" s="36">
        <f>30459.2+101.6</f>
        <v>30560.799999999999</v>
      </c>
      <c r="Q155" s="31">
        <v>1282984.5000000002</v>
      </c>
      <c r="R155" s="31">
        <v>552.5</v>
      </c>
      <c r="S155" s="29">
        <f t="shared" si="28"/>
        <v>1314097.8000000003</v>
      </c>
      <c r="T155" s="33">
        <f t="shared" si="24"/>
        <v>3001731.8000000007</v>
      </c>
      <c r="U155" s="29">
        <f t="shared" si="25"/>
        <v>2661147.4000000008</v>
      </c>
    </row>
    <row r="156" spans="1:21" s="35" customFormat="1" ht="15.75">
      <c r="A156" s="40">
        <v>44012</v>
      </c>
      <c r="B156" s="30">
        <f>172739-357357.6</f>
        <v>-184618.59999999998</v>
      </c>
      <c r="C156" s="30">
        <f>128564.4-277077.4</f>
        <v>-148513.00000000003</v>
      </c>
      <c r="D156" s="30" t="s">
        <v>2</v>
      </c>
      <c r="E156" s="29">
        <f t="shared" si="29"/>
        <v>-333131.59999999998</v>
      </c>
      <c r="F156" s="30">
        <v>0</v>
      </c>
      <c r="G156" s="30">
        <v>1468858.5</v>
      </c>
      <c r="H156" s="30"/>
      <c r="I156" s="30">
        <f>16243.7+98487+5357.5</f>
        <v>120088.2</v>
      </c>
      <c r="J156" s="30">
        <v>15326.3</v>
      </c>
      <c r="K156" s="30">
        <v>715538.4</v>
      </c>
      <c r="L156" s="31">
        <f t="shared" si="30"/>
        <v>2319811.4</v>
      </c>
      <c r="M156" s="30">
        <v>441278.2</v>
      </c>
      <c r="N156" s="29">
        <v>86594.1</v>
      </c>
      <c r="O156" s="31">
        <f t="shared" si="22"/>
        <v>1791939.0999999999</v>
      </c>
      <c r="P156" s="36">
        <f>29576.4+101.6</f>
        <v>29678</v>
      </c>
      <c r="Q156" s="31">
        <v>1283209.7000000002</v>
      </c>
      <c r="R156" s="31">
        <v>328.2</v>
      </c>
      <c r="S156" s="29">
        <f t="shared" si="28"/>
        <v>1313215.9000000001</v>
      </c>
      <c r="T156" s="33">
        <f t="shared" si="24"/>
        <v>3105155</v>
      </c>
      <c r="U156" s="29">
        <f t="shared" si="25"/>
        <v>2772023.4</v>
      </c>
    </row>
    <row r="157" spans="1:21" s="35" customFormat="1" ht="15.75">
      <c r="A157" s="40">
        <v>44043</v>
      </c>
      <c r="B157" s="30">
        <v>-149908.6</v>
      </c>
      <c r="C157" s="30">
        <f>131329.1-279283.7</f>
        <v>-147954.6</v>
      </c>
      <c r="D157" s="30" t="s">
        <v>2</v>
      </c>
      <c r="E157" s="29">
        <f t="shared" ref="E157:E161" si="31">+SUM(B157:D157)</f>
        <v>-297863.2</v>
      </c>
      <c r="F157" s="30">
        <v>0</v>
      </c>
      <c r="G157" s="30">
        <v>1499652.7000000002</v>
      </c>
      <c r="H157" s="30"/>
      <c r="I157" s="30">
        <f>21529.8+97665+9362.2</f>
        <v>128557</v>
      </c>
      <c r="J157" s="30">
        <v>13933</v>
      </c>
      <c r="K157" s="30">
        <v>714329.3</v>
      </c>
      <c r="L157" s="31">
        <f t="shared" ref="L157:L161" si="32">+SUM(F157:K157)</f>
        <v>2356472</v>
      </c>
      <c r="M157" s="30">
        <v>505064.03333333298</v>
      </c>
      <c r="N157" s="29">
        <v>87632.4</v>
      </c>
      <c r="O157" s="31">
        <f t="shared" si="22"/>
        <v>1763775.5666666671</v>
      </c>
      <c r="P157" s="36">
        <f>27282+101.6</f>
        <v>27383.599999999999</v>
      </c>
      <c r="Q157" s="31">
        <v>1345297.1666666667</v>
      </c>
      <c r="R157" s="31">
        <v>226.5</v>
      </c>
      <c r="S157" s="29">
        <f t="shared" si="28"/>
        <v>1372907.2666666668</v>
      </c>
      <c r="T157" s="33">
        <f t="shared" si="24"/>
        <v>3136682.833333334</v>
      </c>
      <c r="U157" s="29">
        <f t="shared" si="25"/>
        <v>2838819.6333333338</v>
      </c>
    </row>
    <row r="158" spans="1:21" s="35" customFormat="1" ht="15.75">
      <c r="A158" s="40">
        <v>44074</v>
      </c>
      <c r="B158" s="30">
        <v>-138097.49999999997</v>
      </c>
      <c r="C158" s="30">
        <f>142771.3-263229.3</f>
        <v>-120458</v>
      </c>
      <c r="D158" s="30" t="s">
        <v>2</v>
      </c>
      <c r="E158" s="29">
        <f t="shared" si="31"/>
        <v>-258555.49999999997</v>
      </c>
      <c r="F158" s="30">
        <v>0</v>
      </c>
      <c r="G158" s="30">
        <v>1520939.2</v>
      </c>
      <c r="H158" s="30"/>
      <c r="I158" s="30">
        <f>13546.8+98547.5+23833.1</f>
        <v>135927.4</v>
      </c>
      <c r="J158" s="30">
        <v>13933</v>
      </c>
      <c r="K158" s="30">
        <v>713689.4</v>
      </c>
      <c r="L158" s="31">
        <f t="shared" si="32"/>
        <v>2384489</v>
      </c>
      <c r="M158" s="30">
        <v>552860.86666666705</v>
      </c>
      <c r="N158" s="29">
        <v>88159.1</v>
      </c>
      <c r="O158" s="31">
        <f t="shared" si="22"/>
        <v>1743469.0333333327</v>
      </c>
      <c r="P158" s="36">
        <v>27779.7</v>
      </c>
      <c r="Q158" s="31">
        <v>1379773.4333333333</v>
      </c>
      <c r="R158" s="31">
        <v>305.60000000000002</v>
      </c>
      <c r="S158" s="29">
        <f t="shared" si="28"/>
        <v>1407858.7333333334</v>
      </c>
      <c r="T158" s="33">
        <f t="shared" si="24"/>
        <v>3151327.7666666661</v>
      </c>
      <c r="U158" s="29">
        <f t="shared" si="25"/>
        <v>2892772.2666666661</v>
      </c>
    </row>
    <row r="159" spans="1:21" s="35" customFormat="1" ht="15.75">
      <c r="A159" s="40">
        <v>44104</v>
      </c>
      <c r="B159" s="30">
        <v>-151024.20000000001</v>
      </c>
      <c r="C159" s="30">
        <v>-128888.4</v>
      </c>
      <c r="D159" s="30" t="s">
        <v>2</v>
      </c>
      <c r="E159" s="29">
        <f t="shared" si="31"/>
        <v>-279912.59999999998</v>
      </c>
      <c r="F159" s="30">
        <v>0</v>
      </c>
      <c r="G159" s="30">
        <v>1539157.4000000001</v>
      </c>
      <c r="H159" s="30"/>
      <c r="I159" s="30">
        <f>19611.4+25822.8+124981.5+150000</f>
        <v>320415.7</v>
      </c>
      <c r="J159" s="30">
        <v>12539.7</v>
      </c>
      <c r="K159" s="30">
        <v>713120.2</v>
      </c>
      <c r="L159" s="31">
        <f t="shared" si="32"/>
        <v>2585233</v>
      </c>
      <c r="M159" s="30">
        <v>485147.2</v>
      </c>
      <c r="N159" s="29">
        <v>76753.3</v>
      </c>
      <c r="O159" s="31">
        <f t="shared" si="22"/>
        <v>2023332.4999999998</v>
      </c>
      <c r="P159" s="36">
        <f>30626.8+101.6</f>
        <v>30728.399999999998</v>
      </c>
      <c r="Q159" s="31">
        <v>1349647.4</v>
      </c>
      <c r="R159" s="31">
        <v>311</v>
      </c>
      <c r="S159" s="29">
        <f t="shared" si="28"/>
        <v>1380686.7999999998</v>
      </c>
      <c r="T159" s="33">
        <f t="shared" si="24"/>
        <v>3404019.3</v>
      </c>
      <c r="U159" s="29">
        <f t="shared" si="25"/>
        <v>3124106.6999999997</v>
      </c>
    </row>
    <row r="160" spans="1:21" s="35" customFormat="1" ht="15.75">
      <c r="A160" s="40">
        <v>44135</v>
      </c>
      <c r="B160" s="30">
        <v>-148193.19999999998</v>
      </c>
      <c r="C160" s="30">
        <v>-130928.60000000006</v>
      </c>
      <c r="D160" s="30" t="s">
        <v>2</v>
      </c>
      <c r="E160" s="29">
        <f t="shared" si="31"/>
        <v>-279121.80000000005</v>
      </c>
      <c r="F160" s="30">
        <v>0</v>
      </c>
      <c r="G160" s="30">
        <v>1561990.2</v>
      </c>
      <c r="H160" s="30"/>
      <c r="I160" s="30">
        <f>16167.2+26917.5+125477.3+150000+2000</f>
        <v>320562</v>
      </c>
      <c r="J160" s="30">
        <v>11146.4</v>
      </c>
      <c r="K160" s="30">
        <v>711911</v>
      </c>
      <c r="L160" s="31">
        <f t="shared" si="32"/>
        <v>2605609.5999999996</v>
      </c>
      <c r="M160" s="30">
        <v>516006.42063433299</v>
      </c>
      <c r="N160" s="29">
        <v>89546.6</v>
      </c>
      <c r="O160" s="31">
        <f t="shared" si="22"/>
        <v>2000056.5793656665</v>
      </c>
      <c r="P160" s="36">
        <f>27890.7+101.6</f>
        <v>27992.3</v>
      </c>
      <c r="Q160" s="31">
        <v>1358310.4333333336</v>
      </c>
      <c r="R160" s="31">
        <v>1236.8000000000002</v>
      </c>
      <c r="S160" s="29">
        <f t="shared" si="28"/>
        <v>1387539.5333333337</v>
      </c>
      <c r="T160" s="33">
        <f t="shared" si="24"/>
        <v>3387596.1126990002</v>
      </c>
      <c r="U160" s="29">
        <f t="shared" si="25"/>
        <v>3108474.3126990004</v>
      </c>
    </row>
    <row r="161" spans="1:21" s="35" customFormat="1" ht="15.75">
      <c r="A161" s="40">
        <v>44165</v>
      </c>
      <c r="B161" s="30">
        <v>-138961.59999999998</v>
      </c>
      <c r="C161" s="30">
        <v>-142835.59999999995</v>
      </c>
      <c r="D161" s="30" t="s">
        <v>2</v>
      </c>
      <c r="E161" s="29">
        <f t="shared" si="31"/>
        <v>-281797.19999999995</v>
      </c>
      <c r="F161" s="30">
        <v>0</v>
      </c>
      <c r="G161" s="30">
        <v>1576490.1</v>
      </c>
      <c r="H161" s="30"/>
      <c r="I161" s="30">
        <f>25646.7+26994.4+119336.2+150000+2000</f>
        <v>323977.3</v>
      </c>
      <c r="J161" s="30">
        <v>9753.1</v>
      </c>
      <c r="K161" s="30">
        <v>710701.89999999991</v>
      </c>
      <c r="L161" s="31">
        <f t="shared" si="32"/>
        <v>2620922.4000000004</v>
      </c>
      <c r="M161" s="30">
        <v>528193.41095966694</v>
      </c>
      <c r="N161" s="29">
        <v>78500.7</v>
      </c>
      <c r="O161" s="31">
        <f t="shared" si="22"/>
        <v>2014228.2890403334</v>
      </c>
      <c r="P161" s="36">
        <f>23229.4+101.6</f>
        <v>23331</v>
      </c>
      <c r="Q161" s="31">
        <v>1385259.8666666667</v>
      </c>
      <c r="R161" s="31">
        <v>1196.1000000000001</v>
      </c>
      <c r="S161" s="29">
        <f t="shared" si="28"/>
        <v>1409786.9666666668</v>
      </c>
      <c r="T161" s="33">
        <f t="shared" si="24"/>
        <v>3424015.2557070004</v>
      </c>
      <c r="U161" s="29">
        <f>SUM(E161,T161)</f>
        <v>3142218.0557070002</v>
      </c>
    </row>
    <row r="162" spans="1:21" s="35" customFormat="1" ht="15.75">
      <c r="A162" s="40">
        <v>44196</v>
      </c>
      <c r="B162" s="30">
        <v>-93105.300000000017</v>
      </c>
      <c r="C162" s="30">
        <v>-111910.80000000002</v>
      </c>
      <c r="D162" s="30" t="s">
        <v>2</v>
      </c>
      <c r="E162" s="29">
        <f t="shared" ref="E162:E181" si="33">+SUM(B162:D162)</f>
        <v>-205016.10000000003</v>
      </c>
      <c r="F162" s="30">
        <v>0</v>
      </c>
      <c r="G162" s="30">
        <v>1614167.6</v>
      </c>
      <c r="H162" s="30"/>
      <c r="I162" s="30">
        <f>18210.4+27463+120782.7+150000+2000</f>
        <v>318456.09999999998</v>
      </c>
      <c r="J162" s="30">
        <v>6921.2</v>
      </c>
      <c r="K162" s="30">
        <v>708283.6</v>
      </c>
      <c r="L162" s="31">
        <f t="shared" ref="L162:L181" si="34">+SUM(F162:K162)</f>
        <v>2647828.5</v>
      </c>
      <c r="M162" s="30">
        <v>549158.91651699995</v>
      </c>
      <c r="N162" s="29">
        <v>72918.899999999994</v>
      </c>
      <c r="O162" s="31">
        <f t="shared" si="22"/>
        <v>2025750.6834830004</v>
      </c>
      <c r="P162" s="36">
        <f>22343.7+101.6</f>
        <v>22445.3</v>
      </c>
      <c r="Q162" s="31">
        <v>1413651.5</v>
      </c>
      <c r="R162" s="31">
        <v>1185.1999999999998</v>
      </c>
      <c r="S162" s="29">
        <f t="shared" si="28"/>
        <v>1437282</v>
      </c>
      <c r="T162" s="33">
        <f t="shared" si="24"/>
        <v>3463032.6834830004</v>
      </c>
      <c r="U162" s="29">
        <f>SUM(E162,T162)</f>
        <v>3258016.5834830003</v>
      </c>
    </row>
    <row r="163" spans="1:21" s="35" customFormat="1" ht="15.75">
      <c r="A163" s="40">
        <v>44227</v>
      </c>
      <c r="B163" s="30">
        <v>-100769.59999999998</v>
      </c>
      <c r="C163" s="30">
        <v>-118502.9</v>
      </c>
      <c r="D163" s="30">
        <v>-27.233333333333334</v>
      </c>
      <c r="E163" s="29">
        <f t="shared" si="33"/>
        <v>-219299.73333333331</v>
      </c>
      <c r="F163" s="30">
        <v>0</v>
      </c>
      <c r="G163" s="30">
        <v>1630156.1</v>
      </c>
      <c r="H163" s="30"/>
      <c r="I163" s="30">
        <v>322809.2</v>
      </c>
      <c r="J163" s="30">
        <v>6921.2</v>
      </c>
      <c r="K163" s="30">
        <v>708283.6</v>
      </c>
      <c r="L163" s="31">
        <f t="shared" si="34"/>
        <v>2668170.1</v>
      </c>
      <c r="M163" s="30">
        <v>562252.57774199999</v>
      </c>
      <c r="N163" s="29">
        <v>84343.1</v>
      </c>
      <c r="O163" s="31">
        <f t="shared" si="22"/>
        <v>2021574.4222579999</v>
      </c>
      <c r="P163" s="36">
        <v>28289.699999999997</v>
      </c>
      <c r="Q163" s="31">
        <v>1440450.8000000003</v>
      </c>
      <c r="R163" s="31">
        <v>1063.0999999999999</v>
      </c>
      <c r="S163" s="29">
        <f t="shared" si="28"/>
        <v>1469803.6000000003</v>
      </c>
      <c r="T163" s="33">
        <f t="shared" si="24"/>
        <v>3491378.0222580004</v>
      </c>
      <c r="U163" s="29">
        <f t="shared" ref="U163:U207" si="35">SUM(E163,T163)</f>
        <v>3272078.2889246671</v>
      </c>
    </row>
    <row r="164" spans="1:21" s="35" customFormat="1" ht="15.75">
      <c r="A164" s="40">
        <v>44255</v>
      </c>
      <c r="B164" s="30">
        <v>-94851.999999999971</v>
      </c>
      <c r="C164" s="30">
        <v>-94494.800000000047</v>
      </c>
      <c r="D164" s="30">
        <v>-54.466666666666669</v>
      </c>
      <c r="E164" s="29">
        <f t="shared" si="33"/>
        <v>-189401.26666666669</v>
      </c>
      <c r="F164" s="30">
        <v>0</v>
      </c>
      <c r="G164" s="30">
        <v>1650991.0999999999</v>
      </c>
      <c r="H164" s="30"/>
      <c r="I164" s="30">
        <v>353692.5</v>
      </c>
      <c r="J164" s="30">
        <v>5527.9</v>
      </c>
      <c r="K164" s="30">
        <v>704458.1</v>
      </c>
      <c r="L164" s="31">
        <f t="shared" si="34"/>
        <v>2714669.5999999996</v>
      </c>
      <c r="M164" s="30">
        <v>617816.80289299996</v>
      </c>
      <c r="N164" s="29">
        <v>74764.100000000006</v>
      </c>
      <c r="O164" s="31">
        <f t="shared" si="22"/>
        <v>2022088.6971069996</v>
      </c>
      <c r="P164" s="36">
        <v>26351.899999999998</v>
      </c>
      <c r="Q164" s="31">
        <v>1473856.5</v>
      </c>
      <c r="R164" s="31">
        <v>1036.3</v>
      </c>
      <c r="S164" s="29">
        <f t="shared" si="28"/>
        <v>1501244.7</v>
      </c>
      <c r="T164" s="33">
        <f t="shared" si="24"/>
        <v>3523333.3971069995</v>
      </c>
      <c r="U164" s="29">
        <f t="shared" si="35"/>
        <v>3333932.1304403329</v>
      </c>
    </row>
    <row r="165" spans="1:21" s="35" customFormat="1" ht="15.75">
      <c r="A165" s="40">
        <v>44286</v>
      </c>
      <c r="B165" s="30">
        <v>-119123.90000000002</v>
      </c>
      <c r="C165" s="30">
        <v>-108593.39999999997</v>
      </c>
      <c r="D165" s="30">
        <v>-81.7</v>
      </c>
      <c r="E165" s="29">
        <f t="shared" si="33"/>
        <v>-227799</v>
      </c>
      <c r="F165" s="30">
        <v>0</v>
      </c>
      <c r="G165" s="30">
        <v>1648781.3</v>
      </c>
      <c r="H165" s="30"/>
      <c r="I165" s="30">
        <v>328747.7</v>
      </c>
      <c r="J165" s="30">
        <v>4134.6000000000004</v>
      </c>
      <c r="K165" s="30">
        <v>703262.9</v>
      </c>
      <c r="L165" s="31">
        <f t="shared" si="34"/>
        <v>2684926.5</v>
      </c>
      <c r="M165" s="30">
        <v>570127</v>
      </c>
      <c r="N165" s="29">
        <v>79893.7</v>
      </c>
      <c r="O165" s="31">
        <f t="shared" si="22"/>
        <v>2034905.8</v>
      </c>
      <c r="P165" s="36">
        <v>24688.199999999997</v>
      </c>
      <c r="Q165" s="31">
        <v>1524807.0000000002</v>
      </c>
      <c r="R165" s="31">
        <v>734.60000000000014</v>
      </c>
      <c r="S165" s="29">
        <f t="shared" si="28"/>
        <v>1550229.8000000003</v>
      </c>
      <c r="T165" s="33">
        <f t="shared" si="24"/>
        <v>3585135.6000000006</v>
      </c>
      <c r="U165" s="29">
        <f t="shared" si="35"/>
        <v>3357336.6000000006</v>
      </c>
    </row>
    <row r="166" spans="1:21" s="35" customFormat="1" ht="15.75">
      <c r="A166" s="40">
        <v>44316</v>
      </c>
      <c r="B166" s="30">
        <v>-105226.09999999998</v>
      </c>
      <c r="C166" s="30">
        <v>-143518.30000000002</v>
      </c>
      <c r="D166" s="30">
        <v>-93.8</v>
      </c>
      <c r="E166" s="29">
        <f t="shared" si="33"/>
        <v>-248838.19999999998</v>
      </c>
      <c r="F166" s="30">
        <v>0</v>
      </c>
      <c r="G166" s="30">
        <v>1666160.8</v>
      </c>
      <c r="H166" s="30"/>
      <c r="I166" s="30">
        <v>351318.8</v>
      </c>
      <c r="J166" s="30">
        <v>2741.3</v>
      </c>
      <c r="K166" s="30">
        <v>702954.8</v>
      </c>
      <c r="L166" s="31">
        <f t="shared" si="34"/>
        <v>2723175.7</v>
      </c>
      <c r="M166" s="30">
        <v>605863.23333333305</v>
      </c>
      <c r="N166" s="29">
        <v>103216.1</v>
      </c>
      <c r="O166" s="31">
        <f t="shared" si="22"/>
        <v>2014096.3666666672</v>
      </c>
      <c r="P166" s="36">
        <v>23401.3</v>
      </c>
      <c r="Q166" s="31">
        <v>1552846.0999999996</v>
      </c>
      <c r="R166" s="31">
        <v>596.59999999999991</v>
      </c>
      <c r="S166" s="29">
        <f t="shared" si="28"/>
        <v>1576843.9999999998</v>
      </c>
      <c r="T166" s="33">
        <f t="shared" si="24"/>
        <v>3590940.3666666672</v>
      </c>
      <c r="U166" s="29">
        <f t="shared" si="35"/>
        <v>3342102.166666667</v>
      </c>
    </row>
    <row r="167" spans="1:21" s="35" customFormat="1" ht="15.75">
      <c r="A167" s="40">
        <v>44347</v>
      </c>
      <c r="B167" s="30">
        <v>-123599.69999999998</v>
      </c>
      <c r="C167" s="30">
        <v>-148492.4</v>
      </c>
      <c r="D167" s="30">
        <v>-105.9</v>
      </c>
      <c r="E167" s="29">
        <f t="shared" si="33"/>
        <v>-272198</v>
      </c>
      <c r="F167" s="30">
        <v>0</v>
      </c>
      <c r="G167" s="30">
        <v>1691766.9</v>
      </c>
      <c r="H167" s="30"/>
      <c r="I167" s="30">
        <v>342116.6</v>
      </c>
      <c r="J167" s="30">
        <v>0</v>
      </c>
      <c r="K167" s="30">
        <v>702546.1</v>
      </c>
      <c r="L167" s="31">
        <f t="shared" si="34"/>
        <v>2736429.6</v>
      </c>
      <c r="M167" s="30">
        <v>602255.26666666695</v>
      </c>
      <c r="N167" s="29">
        <v>92826.3</v>
      </c>
      <c r="O167" s="31">
        <f t="shared" si="22"/>
        <v>2041348.033333333</v>
      </c>
      <c r="P167" s="36">
        <v>24903.699999999997</v>
      </c>
      <c r="Q167" s="31">
        <v>1616844.9000000004</v>
      </c>
      <c r="R167" s="31">
        <v>5596.7000000000007</v>
      </c>
      <c r="S167" s="29">
        <f t="shared" si="28"/>
        <v>1647345.3000000003</v>
      </c>
      <c r="T167" s="33">
        <f t="shared" si="24"/>
        <v>3688693.333333333</v>
      </c>
      <c r="U167" s="29">
        <f t="shared" si="35"/>
        <v>3416495.333333333</v>
      </c>
    </row>
    <row r="168" spans="1:21" s="35" customFormat="1" ht="15.75">
      <c r="A168" s="40">
        <v>44377</v>
      </c>
      <c r="B168" s="30">
        <v>-114588.4</v>
      </c>
      <c r="C168" s="30">
        <v>-190802.4</v>
      </c>
      <c r="D168" s="30">
        <v>-118</v>
      </c>
      <c r="E168" s="29">
        <f t="shared" si="33"/>
        <v>-305508.8</v>
      </c>
      <c r="F168" s="30">
        <v>57076.7</v>
      </c>
      <c r="G168" s="30">
        <v>1719227.5999999999</v>
      </c>
      <c r="H168" s="30"/>
      <c r="I168" s="30">
        <v>347225.00000000006</v>
      </c>
      <c r="J168" s="30">
        <v>0</v>
      </c>
      <c r="K168" s="30">
        <v>701028.8</v>
      </c>
      <c r="L168" s="31">
        <f t="shared" si="34"/>
        <v>2824558.0999999996</v>
      </c>
      <c r="M168" s="30">
        <v>625806.5</v>
      </c>
      <c r="N168" s="29">
        <v>82601.5</v>
      </c>
      <c r="O168" s="31">
        <f t="shared" si="22"/>
        <v>2116150.0999999996</v>
      </c>
      <c r="P168" s="36">
        <v>26228.6</v>
      </c>
      <c r="Q168" s="31">
        <v>1724195.7</v>
      </c>
      <c r="R168" s="31">
        <v>5539.4</v>
      </c>
      <c r="S168" s="29">
        <f t="shared" si="28"/>
        <v>1755963.7</v>
      </c>
      <c r="T168" s="33">
        <f t="shared" si="24"/>
        <v>3872113.8</v>
      </c>
      <c r="U168" s="29">
        <f t="shared" si="35"/>
        <v>3566605</v>
      </c>
    </row>
    <row r="169" spans="1:21" s="35" customFormat="1" ht="15.75">
      <c r="A169" s="40">
        <v>44408</v>
      </c>
      <c r="B169" s="30">
        <v>-137154.4</v>
      </c>
      <c r="C169" s="30">
        <v>-203220.3</v>
      </c>
      <c r="D169" s="30">
        <v>-148.66666666666666</v>
      </c>
      <c r="E169" s="29">
        <f t="shared" si="33"/>
        <v>-340523.36666666664</v>
      </c>
      <c r="F169" s="30">
        <v>63146.5</v>
      </c>
      <c r="G169" s="30">
        <v>1777924.3</v>
      </c>
      <c r="H169" s="30"/>
      <c r="I169" s="30">
        <v>334942.40000000002</v>
      </c>
      <c r="J169" s="30">
        <v>0</v>
      </c>
      <c r="K169" s="30">
        <v>700389</v>
      </c>
      <c r="L169" s="31">
        <f t="shared" si="34"/>
        <v>2876402.2</v>
      </c>
      <c r="M169" s="30">
        <v>629393.76666666695</v>
      </c>
      <c r="N169" s="29">
        <v>92362.5</v>
      </c>
      <c r="O169" s="31">
        <f t="shared" si="22"/>
        <v>2154645.9333333331</v>
      </c>
      <c r="P169" s="36">
        <v>23518.199999999997</v>
      </c>
      <c r="Q169" s="31">
        <v>1796258.9999999998</v>
      </c>
      <c r="R169" s="31">
        <v>383.9</v>
      </c>
      <c r="S169" s="29">
        <f t="shared" si="28"/>
        <v>1820161.0999999996</v>
      </c>
      <c r="T169" s="33">
        <f t="shared" si="24"/>
        <v>3974807.0333333327</v>
      </c>
      <c r="U169" s="29">
        <f t="shared" si="35"/>
        <v>3634283.666666666</v>
      </c>
    </row>
    <row r="170" spans="1:21" s="35" customFormat="1" ht="15.75">
      <c r="A170" s="40">
        <v>44439</v>
      </c>
      <c r="B170" s="30">
        <v>-140627.90000000002</v>
      </c>
      <c r="C170" s="30">
        <v>-223632.4</v>
      </c>
      <c r="D170" s="30">
        <v>-179.33333333333334</v>
      </c>
      <c r="E170" s="29">
        <f t="shared" si="33"/>
        <v>-364439.63333333336</v>
      </c>
      <c r="F170" s="30">
        <v>33670.800000000003</v>
      </c>
      <c r="G170" s="30">
        <v>1802932.4000000001</v>
      </c>
      <c r="H170" s="30"/>
      <c r="I170" s="30">
        <v>350919.80000000005</v>
      </c>
      <c r="J170" s="30">
        <v>0</v>
      </c>
      <c r="K170" s="30">
        <v>698477.8</v>
      </c>
      <c r="L170" s="31">
        <f t="shared" si="34"/>
        <v>2886000.8</v>
      </c>
      <c r="M170" s="30">
        <v>663897.83333333302</v>
      </c>
      <c r="N170" s="29">
        <v>81429.399999999994</v>
      </c>
      <c r="O170" s="31">
        <f t="shared" si="22"/>
        <v>2140673.5666666669</v>
      </c>
      <c r="P170" s="36">
        <v>25458.699999999997</v>
      </c>
      <c r="Q170" s="31">
        <v>1877007.8</v>
      </c>
      <c r="R170" s="31">
        <v>309.8</v>
      </c>
      <c r="S170" s="29">
        <f t="shared" si="28"/>
        <v>1902776.3</v>
      </c>
      <c r="T170" s="33">
        <f t="shared" si="24"/>
        <v>4043449.8666666672</v>
      </c>
      <c r="U170" s="29">
        <f t="shared" si="35"/>
        <v>3679010.2333333339</v>
      </c>
    </row>
    <row r="171" spans="1:21" s="35" customFormat="1" ht="15.75">
      <c r="A171" s="40">
        <v>44469</v>
      </c>
      <c r="B171" s="30">
        <v>-150538.59999999998</v>
      </c>
      <c r="C171" s="30">
        <v>-254415.30000000002</v>
      </c>
      <c r="D171" s="30">
        <v>-210</v>
      </c>
      <c r="E171" s="29">
        <f t="shared" si="33"/>
        <v>-405163.9</v>
      </c>
      <c r="F171" s="30">
        <v>0</v>
      </c>
      <c r="G171" s="30">
        <v>1831324.1</v>
      </c>
      <c r="H171" s="30"/>
      <c r="I171" s="30">
        <v>347172.2</v>
      </c>
      <c r="J171" s="30">
        <v>0</v>
      </c>
      <c r="K171" s="30">
        <v>697339.3</v>
      </c>
      <c r="L171" s="31">
        <f t="shared" si="34"/>
        <v>2875835.6000000006</v>
      </c>
      <c r="M171" s="30">
        <v>649481.6</v>
      </c>
      <c r="N171" s="29">
        <v>82805.899999999994</v>
      </c>
      <c r="O171" s="31">
        <f t="shared" si="22"/>
        <v>2143548.1000000006</v>
      </c>
      <c r="P171" s="36">
        <v>25714.199999999997</v>
      </c>
      <c r="Q171" s="31">
        <v>2139643.5</v>
      </c>
      <c r="R171" s="31">
        <v>337.9</v>
      </c>
      <c r="S171" s="29">
        <f t="shared" si="28"/>
        <v>2165695.6</v>
      </c>
      <c r="T171" s="33">
        <f t="shared" si="24"/>
        <v>4309243.7000000011</v>
      </c>
      <c r="U171" s="29">
        <f t="shared" si="35"/>
        <v>3904079.8000000012</v>
      </c>
    </row>
    <row r="172" spans="1:21" s="35" customFormat="1" ht="15.75">
      <c r="A172" s="40">
        <v>44500</v>
      </c>
      <c r="B172" s="30">
        <v>4592.7000000000698</v>
      </c>
      <c r="C172" s="30">
        <v>-281290.19999999995</v>
      </c>
      <c r="D172" s="30">
        <v>-140</v>
      </c>
      <c r="E172" s="29">
        <f t="shared" si="33"/>
        <v>-276837.49999999988</v>
      </c>
      <c r="F172" s="30">
        <v>0</v>
      </c>
      <c r="G172" s="30">
        <v>1829946.6</v>
      </c>
      <c r="H172" s="30"/>
      <c r="I172" s="30">
        <v>348219.30000000005</v>
      </c>
      <c r="J172" s="30">
        <v>0</v>
      </c>
      <c r="K172" s="30">
        <v>696699.4</v>
      </c>
      <c r="L172" s="31">
        <f t="shared" si="34"/>
        <v>2874865.3000000003</v>
      </c>
      <c r="M172" s="30">
        <v>828877.9</v>
      </c>
      <c r="N172" s="29">
        <v>83014.5</v>
      </c>
      <c r="O172" s="31">
        <f t="shared" si="22"/>
        <v>1962972.9000000004</v>
      </c>
      <c r="P172" s="36">
        <v>25674.5</v>
      </c>
      <c r="Q172" s="31">
        <v>2219614.7999999998</v>
      </c>
      <c r="R172" s="31">
        <v>279.7</v>
      </c>
      <c r="S172" s="29">
        <f t="shared" si="28"/>
        <v>2245569</v>
      </c>
      <c r="T172" s="33">
        <f t="shared" si="24"/>
        <v>4208541.9000000004</v>
      </c>
      <c r="U172" s="29">
        <f t="shared" si="35"/>
        <v>3931704.4000000004</v>
      </c>
    </row>
    <row r="173" spans="1:21" s="35" customFormat="1" ht="15.75">
      <c r="A173" s="40">
        <v>44530</v>
      </c>
      <c r="B173" s="30">
        <v>-78219.400000000023</v>
      </c>
      <c r="C173" s="30">
        <v>-243064.40000000002</v>
      </c>
      <c r="D173" s="30">
        <v>-70</v>
      </c>
      <c r="E173" s="29">
        <f t="shared" si="33"/>
        <v>-321353.80000000005</v>
      </c>
      <c r="F173" s="30">
        <v>61719.1</v>
      </c>
      <c r="G173" s="30">
        <v>1820943</v>
      </c>
      <c r="H173" s="30"/>
      <c r="I173" s="30">
        <v>292644.5</v>
      </c>
      <c r="J173" s="30">
        <v>0</v>
      </c>
      <c r="K173" s="30">
        <v>693753.1</v>
      </c>
      <c r="L173" s="31">
        <f t="shared" si="34"/>
        <v>2869059.7</v>
      </c>
      <c r="M173" s="30">
        <v>831789.9</v>
      </c>
      <c r="N173" s="29">
        <v>79761.2</v>
      </c>
      <c r="O173" s="31">
        <f t="shared" si="22"/>
        <v>1957508.6000000003</v>
      </c>
      <c r="P173" s="36">
        <v>25832.899999999998</v>
      </c>
      <c r="Q173" s="31">
        <v>2304686.5</v>
      </c>
      <c r="R173" s="31">
        <v>266.3</v>
      </c>
      <c r="S173" s="29">
        <f t="shared" si="28"/>
        <v>2330785.6999999997</v>
      </c>
      <c r="T173" s="33">
        <f t="shared" si="24"/>
        <v>4288294.3</v>
      </c>
      <c r="U173" s="29">
        <f t="shared" si="35"/>
        <v>3966940.5</v>
      </c>
    </row>
    <row r="174" spans="1:21" s="35" customFormat="1" ht="15.75">
      <c r="A174" s="40">
        <v>44561</v>
      </c>
      <c r="B174" s="30">
        <v>-141348.09999999998</v>
      </c>
      <c r="C174" s="30">
        <v>-181042.40000000002</v>
      </c>
      <c r="D174" s="30">
        <v>0</v>
      </c>
      <c r="E174" s="29">
        <f t="shared" si="33"/>
        <v>-322390.5</v>
      </c>
      <c r="F174" s="30">
        <v>36124.9</v>
      </c>
      <c r="G174" s="30">
        <v>1816057.7</v>
      </c>
      <c r="H174" s="30"/>
      <c r="I174" s="30">
        <v>290056.7</v>
      </c>
      <c r="J174" s="30">
        <v>0</v>
      </c>
      <c r="K174" s="30">
        <v>690961.7</v>
      </c>
      <c r="L174" s="31">
        <f t="shared" si="34"/>
        <v>2833201</v>
      </c>
      <c r="M174" s="30">
        <v>826676.3</v>
      </c>
      <c r="N174" s="29">
        <v>75800.899999999994</v>
      </c>
      <c r="O174" s="31">
        <f t="shared" si="22"/>
        <v>1930723.8</v>
      </c>
      <c r="P174" s="36">
        <v>25121</v>
      </c>
      <c r="Q174" s="31">
        <v>2351611.3000000003</v>
      </c>
      <c r="R174" s="31">
        <v>256.5</v>
      </c>
      <c r="S174" s="29">
        <f t="shared" si="28"/>
        <v>2376988.8000000003</v>
      </c>
      <c r="T174" s="33">
        <f t="shared" si="24"/>
        <v>4307712.6000000006</v>
      </c>
      <c r="U174" s="29">
        <f t="shared" si="35"/>
        <v>3985322.1000000006</v>
      </c>
    </row>
    <row r="175" spans="1:21" s="35" customFormat="1" ht="15.75">
      <c r="A175" s="40">
        <v>44562</v>
      </c>
      <c r="B175" s="30">
        <v>-117059.80000000005</v>
      </c>
      <c r="C175" s="30">
        <v>-237485.4</v>
      </c>
      <c r="D175" s="30">
        <v>0</v>
      </c>
      <c r="E175" s="29">
        <f t="shared" si="33"/>
        <v>-354545.20000000007</v>
      </c>
      <c r="F175" s="30">
        <v>57950.6</v>
      </c>
      <c r="G175" s="30">
        <v>1809944.3</v>
      </c>
      <c r="H175" s="30"/>
      <c r="I175" s="30">
        <v>435342.9</v>
      </c>
      <c r="J175" s="30">
        <v>0</v>
      </c>
      <c r="K175" s="30">
        <v>691355.6</v>
      </c>
      <c r="L175" s="31">
        <f t="shared" si="34"/>
        <v>2994593.4000000004</v>
      </c>
      <c r="M175" s="30">
        <v>835800.1</v>
      </c>
      <c r="N175" s="29">
        <v>82686.100000000006</v>
      </c>
      <c r="O175" s="31">
        <f t="shared" si="22"/>
        <v>2076107.2000000002</v>
      </c>
      <c r="P175" s="36">
        <v>24911.699999999997</v>
      </c>
      <c r="Q175" s="31">
        <v>2391220.9</v>
      </c>
      <c r="R175" s="31">
        <v>230.5</v>
      </c>
      <c r="S175" s="29">
        <f t="shared" si="28"/>
        <v>2416363.1</v>
      </c>
      <c r="T175" s="33">
        <f t="shared" si="24"/>
        <v>4492470.3000000007</v>
      </c>
      <c r="U175" s="29">
        <f t="shared" si="35"/>
        <v>4137925.1000000006</v>
      </c>
    </row>
    <row r="176" spans="1:21" s="35" customFormat="1" ht="15.75">
      <c r="A176" s="40">
        <v>44593</v>
      </c>
      <c r="B176" s="30">
        <v>-117059.80000000005</v>
      </c>
      <c r="C176" s="30">
        <v>-222015.3</v>
      </c>
      <c r="D176" s="30">
        <v>0</v>
      </c>
      <c r="E176" s="29">
        <f t="shared" si="33"/>
        <v>-339075.10000000003</v>
      </c>
      <c r="F176" s="30">
        <v>57950.6</v>
      </c>
      <c r="G176" s="30">
        <v>1817154.0000000002</v>
      </c>
      <c r="H176" s="30"/>
      <c r="I176" s="30">
        <v>434194.8</v>
      </c>
      <c r="J176" s="30">
        <v>0</v>
      </c>
      <c r="K176" s="30">
        <v>691355.6</v>
      </c>
      <c r="L176" s="31">
        <f t="shared" si="34"/>
        <v>3000655.0000000005</v>
      </c>
      <c r="M176" s="30">
        <v>841264.9</v>
      </c>
      <c r="N176" s="29">
        <v>90403.9</v>
      </c>
      <c r="O176" s="31">
        <f t="shared" si="22"/>
        <v>2068986.2000000007</v>
      </c>
      <c r="P176" s="36">
        <v>24451.600000000002</v>
      </c>
      <c r="Q176" s="31">
        <v>2473616.3000000003</v>
      </c>
      <c r="R176" s="31">
        <v>245.6</v>
      </c>
      <c r="S176" s="29">
        <f t="shared" si="28"/>
        <v>2498313.5000000005</v>
      </c>
      <c r="T176" s="33">
        <f t="shared" si="24"/>
        <v>4567299.7000000011</v>
      </c>
      <c r="U176" s="29">
        <f t="shared" si="35"/>
        <v>4228224.6000000015</v>
      </c>
    </row>
    <row r="177" spans="1:21" s="35" customFormat="1" ht="15.75">
      <c r="A177" s="40">
        <v>44621</v>
      </c>
      <c r="B177" s="30">
        <v>-113493.90000000002</v>
      </c>
      <c r="C177" s="30">
        <v>-194680.9</v>
      </c>
      <c r="D177" s="30">
        <v>0</v>
      </c>
      <c r="E177" s="29">
        <f t="shared" si="33"/>
        <v>-308174.80000000005</v>
      </c>
      <c r="F177" s="30">
        <v>32028.5</v>
      </c>
      <c r="G177" s="30">
        <v>1833166.5</v>
      </c>
      <c r="H177" s="30"/>
      <c r="I177" s="30">
        <v>429373.89999999997</v>
      </c>
      <c r="J177" s="30">
        <v>0</v>
      </c>
      <c r="K177" s="30">
        <v>690433.4</v>
      </c>
      <c r="L177" s="31">
        <f t="shared" si="34"/>
        <v>2985002.3</v>
      </c>
      <c r="M177" s="30">
        <v>950524.7</v>
      </c>
      <c r="N177" s="29">
        <v>118394.9</v>
      </c>
      <c r="O177" s="31">
        <f t="shared" si="22"/>
        <v>1916082.7</v>
      </c>
      <c r="P177" s="36">
        <v>24010.399999999998</v>
      </c>
      <c r="Q177" s="31">
        <v>2537250.1</v>
      </c>
      <c r="R177" s="31">
        <v>238.4</v>
      </c>
      <c r="S177" s="29">
        <f t="shared" si="28"/>
        <v>2561498.9</v>
      </c>
      <c r="T177" s="33">
        <f t="shared" si="24"/>
        <v>4477581.5999999996</v>
      </c>
      <c r="U177" s="29">
        <f t="shared" si="35"/>
        <v>4169406.8</v>
      </c>
    </row>
    <row r="178" spans="1:21" s="35" customFormat="1" ht="15.75">
      <c r="A178" s="40">
        <v>44652</v>
      </c>
      <c r="B178" s="30">
        <v>-113493.90000000002</v>
      </c>
      <c r="C178" s="30">
        <v>-165760.99999999997</v>
      </c>
      <c r="D178" s="30">
        <v>0</v>
      </c>
      <c r="E178" s="29">
        <f t="shared" si="33"/>
        <v>-279254.90000000002</v>
      </c>
      <c r="F178" s="30">
        <v>32028.5</v>
      </c>
      <c r="G178" s="30">
        <v>1817104.8</v>
      </c>
      <c r="H178" s="30"/>
      <c r="I178" s="30">
        <v>435118.19999999995</v>
      </c>
      <c r="J178" s="30">
        <v>0</v>
      </c>
      <c r="K178" s="30">
        <v>690433.4</v>
      </c>
      <c r="L178" s="31">
        <f t="shared" si="34"/>
        <v>2974684.9</v>
      </c>
      <c r="M178" s="30">
        <v>918450.3</v>
      </c>
      <c r="N178" s="29">
        <v>113333.2</v>
      </c>
      <c r="O178" s="31">
        <f t="shared" si="22"/>
        <v>1942901.4</v>
      </c>
      <c r="P178" s="36">
        <v>24211.1</v>
      </c>
      <c r="Q178" s="31">
        <v>2619879.0100000002</v>
      </c>
      <c r="R178" s="31">
        <v>233</v>
      </c>
      <c r="S178" s="29">
        <f t="shared" si="28"/>
        <v>2644323.1100000003</v>
      </c>
      <c r="T178" s="33">
        <f t="shared" si="24"/>
        <v>4587224.51</v>
      </c>
      <c r="U178" s="29">
        <f t="shared" si="35"/>
        <v>4307969.6099999994</v>
      </c>
    </row>
    <row r="179" spans="1:21" s="35" customFormat="1" ht="15.75">
      <c r="A179" s="40">
        <v>44682</v>
      </c>
      <c r="B179" s="30">
        <v>-113493.90000000002</v>
      </c>
      <c r="C179" s="30">
        <v>-135284.69999999998</v>
      </c>
      <c r="D179" s="30">
        <v>0</v>
      </c>
      <c r="E179" s="29">
        <f t="shared" si="33"/>
        <v>-248778.6</v>
      </c>
      <c r="F179" s="30">
        <v>32028.5</v>
      </c>
      <c r="G179" s="30">
        <v>1791570.8</v>
      </c>
      <c r="H179" s="30"/>
      <c r="I179" s="30">
        <v>425847.39999999997</v>
      </c>
      <c r="J179" s="30">
        <v>0</v>
      </c>
      <c r="K179" s="30">
        <v>690433.4</v>
      </c>
      <c r="L179" s="31">
        <f t="shared" si="34"/>
        <v>2939880.1</v>
      </c>
      <c r="M179" s="30">
        <v>942925</v>
      </c>
      <c r="N179" s="29">
        <v>87288.2</v>
      </c>
      <c r="O179" s="31">
        <f t="shared" si="22"/>
        <v>1909666.9000000001</v>
      </c>
      <c r="P179" s="36">
        <v>23597.5</v>
      </c>
      <c r="Q179" s="31">
        <v>2715988.1999999997</v>
      </c>
      <c r="R179" s="31">
        <v>270.40000000000003</v>
      </c>
      <c r="S179" s="29">
        <f t="shared" si="28"/>
        <v>2739856.0999999996</v>
      </c>
      <c r="T179" s="33">
        <f t="shared" si="24"/>
        <v>4649523</v>
      </c>
      <c r="U179" s="29">
        <f t="shared" si="35"/>
        <v>4400744.4000000004</v>
      </c>
    </row>
    <row r="180" spans="1:21" s="35" customFormat="1" ht="15.75">
      <c r="A180" s="40">
        <v>44713</v>
      </c>
      <c r="B180" s="30">
        <v>-232158.59999999998</v>
      </c>
      <c r="C180" s="30">
        <v>-190483.3</v>
      </c>
      <c r="D180" s="30">
        <v>0</v>
      </c>
      <c r="E180" s="29">
        <f t="shared" si="33"/>
        <v>-422641.89999999997</v>
      </c>
      <c r="F180" s="30">
        <v>266435.90000000002</v>
      </c>
      <c r="G180" s="30">
        <v>1777341.7</v>
      </c>
      <c r="H180" s="30"/>
      <c r="I180" s="30">
        <v>524312.9</v>
      </c>
      <c r="J180" s="30">
        <v>0</v>
      </c>
      <c r="K180" s="30">
        <v>686729.1</v>
      </c>
      <c r="L180" s="31">
        <f t="shared" si="34"/>
        <v>3254819.6</v>
      </c>
      <c r="M180" s="30">
        <v>905749</v>
      </c>
      <c r="N180" s="29">
        <v>120078.3</v>
      </c>
      <c r="O180" s="31">
        <f t="shared" si="22"/>
        <v>2228992.3000000003</v>
      </c>
      <c r="P180" s="36">
        <v>24195.1</v>
      </c>
      <c r="Q180" s="31">
        <v>2882825.3</v>
      </c>
      <c r="R180" s="31">
        <v>6839.5000000000009</v>
      </c>
      <c r="S180" s="29">
        <f t="shared" si="28"/>
        <v>2913859.9</v>
      </c>
      <c r="T180" s="33">
        <f t="shared" si="24"/>
        <v>5142852.2</v>
      </c>
      <c r="U180" s="29">
        <f t="shared" si="35"/>
        <v>4720210.3</v>
      </c>
    </row>
    <row r="181" spans="1:21" s="35" customFormat="1" ht="15.75">
      <c r="A181" s="40">
        <v>44743</v>
      </c>
      <c r="B181" s="30">
        <v>-335583.1</v>
      </c>
      <c r="C181" s="30">
        <v>-217524.2</v>
      </c>
      <c r="D181" s="30">
        <v>0</v>
      </c>
      <c r="E181" s="29">
        <f t="shared" si="33"/>
        <v>-553107.30000000005</v>
      </c>
      <c r="F181" s="30">
        <v>28468.2</v>
      </c>
      <c r="G181" s="30">
        <v>1762267.7000000002</v>
      </c>
      <c r="H181" s="30"/>
      <c r="I181" s="30">
        <v>839632.6</v>
      </c>
      <c r="J181" s="30">
        <v>0</v>
      </c>
      <c r="K181" s="30">
        <v>945987.1</v>
      </c>
      <c r="L181" s="31">
        <f t="shared" si="34"/>
        <v>3576355.6</v>
      </c>
      <c r="M181" s="30">
        <v>968414.23333333305</v>
      </c>
      <c r="N181" s="29">
        <v>115213.2</v>
      </c>
      <c r="O181" s="31">
        <f t="shared" si="22"/>
        <v>2492728.166666667</v>
      </c>
      <c r="P181" s="36">
        <v>25024.1</v>
      </c>
      <c r="Q181" s="31">
        <v>3001914.9000000004</v>
      </c>
      <c r="R181" s="31">
        <v>213</v>
      </c>
      <c r="S181" s="29">
        <f t="shared" si="28"/>
        <v>3027152.0000000005</v>
      </c>
      <c r="T181" s="33">
        <f t="shared" si="24"/>
        <v>5519880.1666666679</v>
      </c>
      <c r="U181" s="29">
        <f t="shared" si="35"/>
        <v>4966772.8666666681</v>
      </c>
    </row>
    <row r="182" spans="1:21" s="35" customFormat="1" ht="15.75">
      <c r="A182" s="40">
        <v>44774</v>
      </c>
      <c r="B182" s="30">
        <f>387586.1-686552.4</f>
        <v>-298966.30000000005</v>
      </c>
      <c r="C182" s="30">
        <f>281907-521199.2</f>
        <v>-239292.2</v>
      </c>
      <c r="D182" s="30">
        <v>0</v>
      </c>
      <c r="E182" s="29">
        <f t="shared" ref="E182:E190" si="36">+SUM(B182:D182)</f>
        <v>-538258.5</v>
      </c>
      <c r="F182" s="30">
        <v>17695.5</v>
      </c>
      <c r="G182" s="30">
        <f>206969.1+1461211.8+104326.2</f>
        <v>1772507.1</v>
      </c>
      <c r="H182" s="30"/>
      <c r="I182" s="30">
        <f>19206.9+71943.5+76116.6+28339.5+8070.1+17408.9+0+150000+120000+31144.2+300000+0</f>
        <v>822229.7</v>
      </c>
      <c r="J182" s="30">
        <v>0</v>
      </c>
      <c r="K182" s="30">
        <f>690433.4+266435.9</f>
        <v>956869.3</v>
      </c>
      <c r="L182" s="31">
        <f t="shared" ref="L182:L185" si="37">+SUM(F182:K182)</f>
        <v>3569301.5999999996</v>
      </c>
      <c r="M182" s="30">
        <v>895084.66666666698</v>
      </c>
      <c r="N182" s="29">
        <v>96818.9</v>
      </c>
      <c r="O182" s="31">
        <f t="shared" si="22"/>
        <v>2577398.0333333327</v>
      </c>
      <c r="P182" s="36">
        <f>25308.6+101.6</f>
        <v>25410.199999999997</v>
      </c>
      <c r="Q182" s="31">
        <f>2988983.5+8861.5+61881.9</f>
        <v>3059726.9</v>
      </c>
      <c r="R182" s="31">
        <v>203.5</v>
      </c>
      <c r="S182" s="29">
        <f t="shared" si="28"/>
        <v>3085340.6</v>
      </c>
      <c r="T182" s="33">
        <f t="shared" si="24"/>
        <v>5662738.6333333328</v>
      </c>
      <c r="U182" s="29">
        <f t="shared" si="35"/>
        <v>5124480.1333333328</v>
      </c>
    </row>
    <row r="183" spans="1:21" s="35" customFormat="1" ht="15.75">
      <c r="A183" s="40">
        <v>44805</v>
      </c>
      <c r="B183" s="30">
        <f>422873.9-675064.3</f>
        <v>-252190.40000000002</v>
      </c>
      <c r="C183" s="30">
        <f>257721.4-584494.2</f>
        <v>-326772.79999999993</v>
      </c>
      <c r="D183" s="30">
        <v>0</v>
      </c>
      <c r="E183" s="29">
        <f t="shared" si="36"/>
        <v>-578963.19999999995</v>
      </c>
      <c r="F183" s="30">
        <v>82611.8</v>
      </c>
      <c r="G183" s="30">
        <f>215562.4+1513163.8+103533.7</f>
        <v>1832259.9</v>
      </c>
      <c r="H183" s="30"/>
      <c r="I183" s="30">
        <f>14141.4+67066.7+76116.6+0+8242.3+17408.9+150000+120000+31492.1+300000+27969.6</f>
        <v>812437.6</v>
      </c>
      <c r="J183" s="30">
        <v>0</v>
      </c>
      <c r="K183" s="30">
        <f>690433.4+266435.9</f>
        <v>956869.3</v>
      </c>
      <c r="L183" s="31">
        <f t="shared" si="37"/>
        <v>3684178.5999999996</v>
      </c>
      <c r="M183" s="30">
        <v>1027904.5</v>
      </c>
      <c r="N183" s="29">
        <v>123234.2</v>
      </c>
      <c r="O183" s="31">
        <f t="shared" si="22"/>
        <v>2533039.8999999994</v>
      </c>
      <c r="P183" s="36">
        <f>24087.5+101.6</f>
        <v>24189.1</v>
      </c>
      <c r="Q183" s="31">
        <f>3111518.3+8163.7+84038.8</f>
        <v>3203720.8</v>
      </c>
      <c r="R183" s="31">
        <v>829.2</v>
      </c>
      <c r="S183" s="29">
        <f t="shared" si="28"/>
        <v>3228739.1</v>
      </c>
      <c r="T183" s="33">
        <f t="shared" si="24"/>
        <v>5761779</v>
      </c>
      <c r="U183" s="29">
        <f t="shared" si="35"/>
        <v>5182815.8</v>
      </c>
    </row>
    <row r="184" spans="1:21" s="35" customFormat="1" ht="15.75">
      <c r="A184" s="40">
        <v>44835</v>
      </c>
      <c r="B184" s="30">
        <f>414986.9-679517.5</f>
        <v>-264530.59999999998</v>
      </c>
      <c r="C184" s="30">
        <f>191292.4-500557.5</f>
        <v>-309265.09999999998</v>
      </c>
      <c r="D184" s="30">
        <v>-119.3</v>
      </c>
      <c r="E184" s="29">
        <f>+SUM(B184:D184)</f>
        <v>-573915</v>
      </c>
      <c r="F184" s="30">
        <v>25854.9</v>
      </c>
      <c r="G184" s="30">
        <f>192546.4+1545814.4+105586.2</f>
        <v>1843946.9999999998</v>
      </c>
      <c r="H184" s="30"/>
      <c r="I184" s="30">
        <f>14581.5+66441.2+0+76116.6+0+9412.6+17408.9+0+150000+120000+31831.8+300000+27969.6</f>
        <v>813762.2</v>
      </c>
      <c r="J184" s="30">
        <v>0</v>
      </c>
      <c r="K184" s="30">
        <f>690433.4+266435.9</f>
        <v>956869.3</v>
      </c>
      <c r="L184" s="31">
        <f t="shared" si="37"/>
        <v>3640433.3999999994</v>
      </c>
      <c r="M184" s="30">
        <v>969164.1</v>
      </c>
      <c r="N184" s="29">
        <v>65963.3</v>
      </c>
      <c r="O184" s="31">
        <f t="shared" si="22"/>
        <v>2605305.9999999995</v>
      </c>
      <c r="P184" s="36">
        <f>23539.4+101.6</f>
        <v>23641</v>
      </c>
      <c r="Q184" s="31">
        <f>3134479.2+7665.1+75057.9</f>
        <v>3217202.2</v>
      </c>
      <c r="R184" s="31">
        <v>189</v>
      </c>
      <c r="S184" s="29">
        <f t="shared" si="28"/>
        <v>3241032.2</v>
      </c>
      <c r="T184" s="33">
        <f t="shared" si="24"/>
        <v>5846338.1999999993</v>
      </c>
      <c r="U184" s="29">
        <f t="shared" si="35"/>
        <v>5272423.1999999993</v>
      </c>
    </row>
    <row r="185" spans="1:21" s="35" customFormat="1" ht="15.75">
      <c r="A185" s="40">
        <v>44866</v>
      </c>
      <c r="B185" s="30">
        <f>477565-679584.7</f>
        <v>-202019.69999999995</v>
      </c>
      <c r="C185" s="30">
        <f>148532.6-498885.7</f>
        <v>-350353.1</v>
      </c>
      <c r="D185" s="30">
        <v>-238.6</v>
      </c>
      <c r="E185" s="29">
        <f t="shared" si="36"/>
        <v>-552611.39999999991</v>
      </c>
      <c r="F185" s="30">
        <v>52799.4</v>
      </c>
      <c r="G185" s="30">
        <f>221483.9+1561732.5+107905.3</f>
        <v>1891121.7</v>
      </c>
      <c r="H185" s="30"/>
      <c r="I185" s="30">
        <f>20173.8+66689.1+0+76116.6+0+9412.6+17408.9+0+150000+120000+33091.4+300000+27969.6</f>
        <v>820862</v>
      </c>
      <c r="J185" s="30">
        <v>0</v>
      </c>
      <c r="K185" s="30">
        <f>675694.1+266435.9</f>
        <v>942130</v>
      </c>
      <c r="L185" s="31">
        <f t="shared" si="37"/>
        <v>3706913.0999999996</v>
      </c>
      <c r="M185" s="30">
        <v>1101437.8</v>
      </c>
      <c r="N185" s="29">
        <v>116703.4</v>
      </c>
      <c r="O185" s="31">
        <f t="shared" si="22"/>
        <v>2488771.9</v>
      </c>
      <c r="P185" s="36">
        <f>24980.6+101.6</f>
        <v>25082.199999999997</v>
      </c>
      <c r="Q185" s="31">
        <f>3194865.3+6995.1+110146</f>
        <v>3312006.4</v>
      </c>
      <c r="R185" s="31">
        <v>181.5</v>
      </c>
      <c r="S185" s="29">
        <f t="shared" si="28"/>
        <v>3337270.1</v>
      </c>
      <c r="T185" s="33">
        <f t="shared" si="24"/>
        <v>5826042</v>
      </c>
      <c r="U185" s="29">
        <f t="shared" si="35"/>
        <v>5273430.5999999996</v>
      </c>
    </row>
    <row r="186" spans="1:21" s="35" customFormat="1" ht="15.75">
      <c r="A186" s="40">
        <v>44896</v>
      </c>
      <c r="B186" s="30">
        <f>427908.5-679955.4</f>
        <v>-252046.90000000002</v>
      </c>
      <c r="C186" s="30">
        <f>188285.8-497807.3</f>
        <v>-309521.5</v>
      </c>
      <c r="D186" s="30">
        <f t="shared" ref="D186" si="38">0-357.9</f>
        <v>-357.9</v>
      </c>
      <c r="E186" s="29">
        <f t="shared" si="36"/>
        <v>-561926.30000000005</v>
      </c>
      <c r="F186" s="30">
        <v>3346.5</v>
      </c>
      <c r="G186" s="30">
        <f>259067.9+1624450+111019</f>
        <v>1994536.9</v>
      </c>
      <c r="H186" s="30"/>
      <c r="I186" s="30">
        <f>20801.7+67766.3+0+76116.6+0+11066.4+0+0+150000+120000+34806+300000+94652.5</f>
        <v>875209.5</v>
      </c>
      <c r="J186" s="30">
        <v>0</v>
      </c>
      <c r="K186" s="30">
        <f>674793.1+266435.9</f>
        <v>941229</v>
      </c>
      <c r="L186" s="31">
        <f>+SUM(F186:K186)</f>
        <v>3814321.9</v>
      </c>
      <c r="M186" s="30">
        <v>1152725.8999999999</v>
      </c>
      <c r="N186" s="29">
        <v>128898.4</v>
      </c>
      <c r="O186" s="31">
        <f t="shared" si="22"/>
        <v>2532697.6</v>
      </c>
      <c r="P186" s="36">
        <f>23616.4+101.6</f>
        <v>23718</v>
      </c>
      <c r="Q186" s="31">
        <f>3309927.1+6325.2+72088.9</f>
        <v>3388341.2</v>
      </c>
      <c r="R186" s="31">
        <v>167.9</v>
      </c>
      <c r="S186" s="29">
        <f t="shared" si="28"/>
        <v>3412227.1</v>
      </c>
      <c r="T186" s="33">
        <f t="shared" si="24"/>
        <v>5944924.7000000002</v>
      </c>
      <c r="U186" s="29">
        <f t="shared" si="35"/>
        <v>5382998.4000000004</v>
      </c>
    </row>
    <row r="187" spans="1:21" s="35" customFormat="1" ht="15.75">
      <c r="A187" s="40">
        <v>44927</v>
      </c>
      <c r="B187" s="30">
        <v>-301583.40000000002</v>
      </c>
      <c r="C187" s="30">
        <v>-242665.9</v>
      </c>
      <c r="D187" s="30">
        <v>-246.1333333333333</v>
      </c>
      <c r="E187" s="29">
        <f t="shared" si="36"/>
        <v>-544495.43333333335</v>
      </c>
      <c r="F187" s="30">
        <v>0</v>
      </c>
      <c r="G187" s="30">
        <v>2056818.1</v>
      </c>
      <c r="H187" s="30"/>
      <c r="I187" s="30">
        <v>876828.20000000007</v>
      </c>
      <c r="J187" s="30">
        <v>0</v>
      </c>
      <c r="K187" s="30">
        <v>939663</v>
      </c>
      <c r="L187" s="31">
        <f t="shared" ref="L187:L192" si="39">+SUM(F187:K187)</f>
        <v>3873309.3000000003</v>
      </c>
      <c r="M187" s="30">
        <v>1108779.7666666666</v>
      </c>
      <c r="N187" s="29">
        <v>104771.7</v>
      </c>
      <c r="O187" s="31">
        <f t="shared" si="22"/>
        <v>2659757.8333333335</v>
      </c>
      <c r="P187" s="36">
        <v>24359.766666666666</v>
      </c>
      <c r="Q187" s="31">
        <v>3400741.7333333334</v>
      </c>
      <c r="R187" s="31">
        <v>160</v>
      </c>
      <c r="S187" s="29">
        <f t="shared" si="28"/>
        <v>3425261.5</v>
      </c>
      <c r="T187" s="33">
        <f t="shared" si="24"/>
        <v>6085019.333333334</v>
      </c>
      <c r="U187" s="29">
        <f t="shared" si="35"/>
        <v>5540523.9000000004</v>
      </c>
    </row>
    <row r="188" spans="1:21" s="35" customFormat="1" ht="15.75">
      <c r="A188" s="40">
        <v>44958</v>
      </c>
      <c r="B188" s="30">
        <v>-308320.40000000002</v>
      </c>
      <c r="C188" s="30">
        <v>-286060.00000000006</v>
      </c>
      <c r="D188" s="30">
        <v>-123.06666666666665</v>
      </c>
      <c r="E188" s="29">
        <f t="shared" si="36"/>
        <v>-594503.46666666679</v>
      </c>
      <c r="F188" s="30">
        <v>0</v>
      </c>
      <c r="G188" s="30">
        <v>2082232.7</v>
      </c>
      <c r="H188" s="30"/>
      <c r="I188" s="30">
        <v>911297.2</v>
      </c>
      <c r="J188" s="30">
        <v>0</v>
      </c>
      <c r="K188" s="30">
        <v>938096.39999999991</v>
      </c>
      <c r="L188" s="31">
        <f t="shared" si="39"/>
        <v>3931626.3</v>
      </c>
      <c r="M188" s="30">
        <v>1055417.3333333333</v>
      </c>
      <c r="N188" s="29">
        <v>109022.5</v>
      </c>
      <c r="O188" s="31">
        <f t="shared" si="22"/>
        <v>2767186.4666666668</v>
      </c>
      <c r="P188" s="36">
        <v>25308.833333333328</v>
      </c>
      <c r="Q188" s="31">
        <v>3391158.8666666667</v>
      </c>
      <c r="R188" s="31">
        <v>155.5</v>
      </c>
      <c r="S188" s="29">
        <f t="shared" si="28"/>
        <v>3416623.2</v>
      </c>
      <c r="T188" s="33">
        <f t="shared" si="24"/>
        <v>6183809.666666667</v>
      </c>
      <c r="U188" s="29">
        <f t="shared" si="35"/>
        <v>5589306.2000000002</v>
      </c>
    </row>
    <row r="189" spans="1:21" s="35" customFormat="1" ht="15.75">
      <c r="A189" s="40">
        <v>44986</v>
      </c>
      <c r="B189" s="30">
        <v>-280639.7</v>
      </c>
      <c r="C189" s="30">
        <v>-304530.80000000005</v>
      </c>
      <c r="D189" s="30">
        <v>0</v>
      </c>
      <c r="E189" s="29">
        <f t="shared" si="36"/>
        <v>-585170.5</v>
      </c>
      <c r="F189" s="30">
        <v>0</v>
      </c>
      <c r="G189" s="30">
        <v>2089393.5000000002</v>
      </c>
      <c r="H189" s="30"/>
      <c r="I189" s="30">
        <v>918452.4</v>
      </c>
      <c r="J189" s="30">
        <v>0</v>
      </c>
      <c r="K189" s="30">
        <v>936198</v>
      </c>
      <c r="L189" s="31">
        <f t="shared" si="39"/>
        <v>3944043.9000000004</v>
      </c>
      <c r="M189" s="30">
        <v>1217275</v>
      </c>
      <c r="N189" s="29">
        <v>92302.1</v>
      </c>
      <c r="O189" s="31">
        <f t="shared" si="22"/>
        <v>2634466.8000000003</v>
      </c>
      <c r="P189" s="36">
        <v>25378.1</v>
      </c>
      <c r="Q189" s="31">
        <v>3467725.1999999997</v>
      </c>
      <c r="R189" s="31">
        <v>301.89999999999998</v>
      </c>
      <c r="S189" s="29">
        <f t="shared" si="28"/>
        <v>3493405.1999999997</v>
      </c>
      <c r="T189" s="33">
        <f t="shared" si="24"/>
        <v>6127872</v>
      </c>
      <c r="U189" s="29">
        <f t="shared" si="35"/>
        <v>5542701.5</v>
      </c>
    </row>
    <row r="190" spans="1:21" s="35" customFormat="1" ht="15.75">
      <c r="A190" s="40">
        <v>45017</v>
      </c>
      <c r="B190" s="30">
        <v>-379010.1</v>
      </c>
      <c r="C190" s="30">
        <v>-353051.79999999993</v>
      </c>
      <c r="D190" s="30">
        <v>-114.7</v>
      </c>
      <c r="E190" s="29">
        <f t="shared" si="36"/>
        <v>-732176.59999999986</v>
      </c>
      <c r="F190" s="30">
        <v>0</v>
      </c>
      <c r="G190" s="30">
        <v>2066016.0000000002</v>
      </c>
      <c r="H190" s="30"/>
      <c r="I190" s="30">
        <v>881771.8</v>
      </c>
      <c r="J190" s="30">
        <v>0</v>
      </c>
      <c r="K190" s="30">
        <v>934630.89999999991</v>
      </c>
      <c r="L190" s="31">
        <f t="shared" si="39"/>
        <v>3882418.7</v>
      </c>
      <c r="M190" s="30">
        <v>1015178.9</v>
      </c>
      <c r="N190" s="29">
        <v>106641.4</v>
      </c>
      <c r="O190" s="31">
        <f t="shared" si="22"/>
        <v>2760598.4000000004</v>
      </c>
      <c r="P190" s="36">
        <v>24913.699999999997</v>
      </c>
      <c r="Q190" s="31">
        <v>3552421.1666666665</v>
      </c>
      <c r="R190" s="31">
        <v>293.3</v>
      </c>
      <c r="S190" s="29">
        <f t="shared" si="28"/>
        <v>3577628.1666666665</v>
      </c>
      <c r="T190" s="33">
        <f t="shared" si="24"/>
        <v>6338226.5666666664</v>
      </c>
      <c r="U190" s="29">
        <f t="shared" si="35"/>
        <v>5606049.9666666668</v>
      </c>
    </row>
    <row r="191" spans="1:21" s="35" customFormat="1" ht="15.75">
      <c r="A191" s="40">
        <v>45047</v>
      </c>
      <c r="B191" s="30">
        <v>-598429.60000000009</v>
      </c>
      <c r="C191" s="30">
        <v>-418745.00000000012</v>
      </c>
      <c r="D191" s="30">
        <v>-229.4</v>
      </c>
      <c r="E191" s="29">
        <f t="shared" ref="E191" si="40">+SUM(B191:D191)</f>
        <v>-1017404.0000000002</v>
      </c>
      <c r="F191" s="30">
        <v>123094.8</v>
      </c>
      <c r="G191" s="30">
        <v>1995815.7</v>
      </c>
      <c r="H191" s="30"/>
      <c r="I191" s="30">
        <v>774408</v>
      </c>
      <c r="J191" s="30">
        <v>0</v>
      </c>
      <c r="K191" s="30">
        <v>933421.39999999991</v>
      </c>
      <c r="L191" s="31">
        <f t="shared" si="39"/>
        <v>3826739.9</v>
      </c>
      <c r="M191" s="30">
        <v>1058392.1000000001</v>
      </c>
      <c r="N191" s="29">
        <v>108214.8</v>
      </c>
      <c r="O191" s="31">
        <f t="shared" si="22"/>
        <v>2660133</v>
      </c>
      <c r="P191" s="36">
        <v>25721</v>
      </c>
      <c r="Q191" s="31">
        <v>3721689.833333333</v>
      </c>
      <c r="R191" s="31">
        <v>320.8</v>
      </c>
      <c r="S191" s="29">
        <f t="shared" si="28"/>
        <v>3747731.6333333328</v>
      </c>
      <c r="T191" s="33">
        <f t="shared" si="24"/>
        <v>6407864.6333333328</v>
      </c>
      <c r="U191" s="29">
        <f t="shared" si="35"/>
        <v>5390460.6333333328</v>
      </c>
    </row>
    <row r="192" spans="1:21" s="35" customFormat="1" ht="15.75">
      <c r="A192" s="40">
        <v>45078</v>
      </c>
      <c r="B192" s="30">
        <v>-532892.1</v>
      </c>
      <c r="C192" s="30">
        <v>-459070.50000000006</v>
      </c>
      <c r="D192" s="30">
        <v>-344.1</v>
      </c>
      <c r="E192" s="29">
        <f t="shared" ref="E192" si="41">+SUM(B192:D192)</f>
        <v>-992306.70000000007</v>
      </c>
      <c r="F192" s="30">
        <v>314986.5</v>
      </c>
      <c r="G192" s="30">
        <v>2012225.5</v>
      </c>
      <c r="H192" s="30"/>
      <c r="I192" s="30">
        <v>773286.7</v>
      </c>
      <c r="J192" s="30">
        <v>0</v>
      </c>
      <c r="K192" s="30">
        <v>930266.6</v>
      </c>
      <c r="L192" s="31">
        <f t="shared" si="39"/>
        <v>4030765.3000000003</v>
      </c>
      <c r="M192" s="30">
        <v>1101488.7</v>
      </c>
      <c r="N192" s="29">
        <v>182718.6</v>
      </c>
      <c r="O192" s="31">
        <f t="shared" si="22"/>
        <v>2746558.0000000005</v>
      </c>
      <c r="P192" s="36">
        <v>25644.199999999997</v>
      </c>
      <c r="Q192" s="31">
        <v>3793951.9000000004</v>
      </c>
      <c r="R192" s="31">
        <v>277.5</v>
      </c>
      <c r="S192" s="29">
        <f t="shared" si="28"/>
        <v>3819873.6000000006</v>
      </c>
      <c r="T192" s="33">
        <f t="shared" si="24"/>
        <v>6566431.6000000015</v>
      </c>
      <c r="U192" s="29">
        <f t="shared" si="35"/>
        <v>5574124.9000000013</v>
      </c>
    </row>
    <row r="193" spans="1:21" s="35" customFormat="1" ht="15.75">
      <c r="A193" s="40">
        <v>45108</v>
      </c>
      <c r="B193" s="30">
        <v>-588761.4</v>
      </c>
      <c r="C193" s="30">
        <v>-460993.29999999993</v>
      </c>
      <c r="D193" s="30">
        <v>-355.66666666666669</v>
      </c>
      <c r="E193" s="29">
        <v>-1050110.3666666667</v>
      </c>
      <c r="F193" s="30">
        <v>0</v>
      </c>
      <c r="G193" s="30">
        <v>2000748.2</v>
      </c>
      <c r="H193" s="30"/>
      <c r="I193" s="30">
        <v>773358.7</v>
      </c>
      <c r="J193" s="30">
        <v>0</v>
      </c>
      <c r="K193" s="30">
        <v>1243684.6000000001</v>
      </c>
      <c r="L193" s="31">
        <v>4017791.5</v>
      </c>
      <c r="M193" s="30">
        <v>1202473.7666666666</v>
      </c>
      <c r="N193" s="29">
        <v>157582.19999999998</v>
      </c>
      <c r="O193" s="31">
        <v>2657735.5333333332</v>
      </c>
      <c r="P193" s="36">
        <v>25557.200000000001</v>
      </c>
      <c r="Q193" s="31">
        <v>3907405.6666666665</v>
      </c>
      <c r="R193" s="31">
        <v>295.10000000000002</v>
      </c>
      <c r="S193" s="29">
        <v>3933257.9666666668</v>
      </c>
      <c r="T193" s="33">
        <v>6590993.5</v>
      </c>
      <c r="U193" s="29">
        <v>5540883.1333333328</v>
      </c>
    </row>
    <row r="194" spans="1:21" s="35" customFormat="1" ht="15.75">
      <c r="A194" s="40" t="s">
        <v>64</v>
      </c>
      <c r="B194" s="30">
        <v>-734549.2</v>
      </c>
      <c r="C194" s="30">
        <v>-486627.59999999986</v>
      </c>
      <c r="D194" s="30">
        <v>-367.23333333333335</v>
      </c>
      <c r="E194" s="29">
        <v>-1221544.0333333332</v>
      </c>
      <c r="F194" s="30">
        <v>48385</v>
      </c>
      <c r="G194" s="30">
        <v>1988525.1</v>
      </c>
      <c r="H194" s="30"/>
      <c r="I194" s="30">
        <v>729497</v>
      </c>
      <c r="J194" s="30">
        <v>0</v>
      </c>
      <c r="K194" s="30">
        <v>1242115.7000000002</v>
      </c>
      <c r="L194" s="31">
        <v>4008522.8000000003</v>
      </c>
      <c r="M194" s="30">
        <v>1136938.5333333332</v>
      </c>
      <c r="N194" s="29">
        <v>169713.6</v>
      </c>
      <c r="O194" s="31">
        <v>2701870.666666667</v>
      </c>
      <c r="P194" s="36">
        <v>25974.099999999995</v>
      </c>
      <c r="Q194" s="31">
        <v>4024614.7333333339</v>
      </c>
      <c r="R194" s="31">
        <v>239.9</v>
      </c>
      <c r="S194" s="29">
        <v>4050828.7333333339</v>
      </c>
      <c r="T194" s="33">
        <v>6752699.4000000004</v>
      </c>
      <c r="U194" s="29">
        <v>5531155.3666666672</v>
      </c>
    </row>
    <row r="195" spans="1:21" s="35" customFormat="1" ht="15.75">
      <c r="A195" s="40">
        <v>45170</v>
      </c>
      <c r="B195" s="30">
        <v>-701824.70000000007</v>
      </c>
      <c r="C195" s="30">
        <v>-531861.79999999993</v>
      </c>
      <c r="D195" s="30">
        <v>-378.8</v>
      </c>
      <c r="E195" s="29">
        <v>-1234065.3</v>
      </c>
      <c r="F195" s="30">
        <v>168204</v>
      </c>
      <c r="G195" s="30">
        <v>1986108.3</v>
      </c>
      <c r="H195" s="30"/>
      <c r="I195" s="30">
        <v>698659.5</v>
      </c>
      <c r="J195" s="30">
        <v>0</v>
      </c>
      <c r="K195" s="30">
        <v>1241186.3999999999</v>
      </c>
      <c r="L195" s="31">
        <v>4094158.1999999997</v>
      </c>
      <c r="M195" s="30">
        <v>1123258.5000000002</v>
      </c>
      <c r="N195" s="29">
        <v>168824.19999999998</v>
      </c>
      <c r="O195" s="31">
        <v>2802075.4999999995</v>
      </c>
      <c r="P195" s="36">
        <v>26195.899999999998</v>
      </c>
      <c r="Q195" s="31">
        <v>4279426.6999999993</v>
      </c>
      <c r="R195" s="31">
        <v>1209.8000000000002</v>
      </c>
      <c r="S195" s="29">
        <v>4306832.3999999994</v>
      </c>
      <c r="T195" s="33">
        <v>7108907.8999999985</v>
      </c>
      <c r="U195" s="29">
        <v>5874842.5999999987</v>
      </c>
    </row>
    <row r="196" spans="1:21" s="35" customFormat="1" ht="15.75">
      <c r="A196" s="40">
        <v>45200</v>
      </c>
      <c r="B196" s="30">
        <v>-656014.60000000009</v>
      </c>
      <c r="C196" s="30">
        <v>-539657.9</v>
      </c>
      <c r="D196" s="30">
        <v>-255.83333333333337</v>
      </c>
      <c r="E196" s="29">
        <v>-1195928.3333333333</v>
      </c>
      <c r="F196" s="30">
        <v>194000.9</v>
      </c>
      <c r="G196" s="30">
        <v>2016858.2666666666</v>
      </c>
      <c r="H196" s="30"/>
      <c r="I196" s="30">
        <v>624372.6</v>
      </c>
      <c r="J196" s="30">
        <v>0</v>
      </c>
      <c r="K196" s="30">
        <v>1240546.5</v>
      </c>
      <c r="L196" s="31">
        <v>4075778.2666666666</v>
      </c>
      <c r="M196" s="30">
        <v>1110437.2000000002</v>
      </c>
      <c r="N196" s="29">
        <v>184226.69999999998</v>
      </c>
      <c r="O196" s="31">
        <v>2781114.3666666662</v>
      </c>
      <c r="P196" s="36">
        <v>24268.199999999997</v>
      </c>
      <c r="Q196" s="31">
        <v>4356064.8666666681</v>
      </c>
      <c r="R196" s="31">
        <v>1135.1999999999998</v>
      </c>
      <c r="S196" s="29">
        <v>4381468.2666666685</v>
      </c>
      <c r="T196" s="33">
        <v>7162582.6333333347</v>
      </c>
      <c r="U196" s="29">
        <v>5966654.3000000017</v>
      </c>
    </row>
    <row r="197" spans="1:21" s="35" customFormat="1" ht="15.75">
      <c r="A197" s="40">
        <v>45231</v>
      </c>
      <c r="B197" s="30">
        <v>-561245.60000000009</v>
      </c>
      <c r="C197" s="30">
        <v>-594082.19999999984</v>
      </c>
      <c r="D197" s="30">
        <v>-132.86666666666667</v>
      </c>
      <c r="E197" s="29">
        <v>-1155460.6666666665</v>
      </c>
      <c r="F197" s="30">
        <v>124891.5</v>
      </c>
      <c r="G197" s="30">
        <v>2014755.4333333333</v>
      </c>
      <c r="H197" s="30"/>
      <c r="I197" s="30">
        <v>623552.6</v>
      </c>
      <c r="J197" s="30">
        <v>0</v>
      </c>
      <c r="K197" s="30">
        <v>1240546.5</v>
      </c>
      <c r="L197" s="31">
        <v>4003746.0333333337</v>
      </c>
      <c r="M197" s="30">
        <v>1137877.6000000001</v>
      </c>
      <c r="N197" s="29">
        <v>172578.9</v>
      </c>
      <c r="O197" s="31">
        <v>2693289.5333333337</v>
      </c>
      <c r="P197" s="36">
        <v>25517.899999999998</v>
      </c>
      <c r="Q197" s="31">
        <v>4388439.6333333328</v>
      </c>
      <c r="R197" s="31">
        <v>1121.9000000000001</v>
      </c>
      <c r="S197" s="29">
        <v>4415079.4333333336</v>
      </c>
      <c r="T197" s="33">
        <v>7108368.9666666668</v>
      </c>
      <c r="U197" s="29">
        <v>5952908.3000000007</v>
      </c>
    </row>
    <row r="198" spans="1:21" s="35" customFormat="1" ht="15.75">
      <c r="A198" s="40">
        <v>45261</v>
      </c>
      <c r="B198" s="30">
        <v>-652621.79999999993</v>
      </c>
      <c r="C198" s="30">
        <v>-442426.50000000006</v>
      </c>
      <c r="D198" s="30">
        <v>-9.9</v>
      </c>
      <c r="E198" s="29">
        <v>-1095058.2</v>
      </c>
      <c r="F198" s="30">
        <v>45365.4</v>
      </c>
      <c r="G198" s="30">
        <v>2068505.1</v>
      </c>
      <c r="H198" s="30"/>
      <c r="I198" s="30">
        <v>819217.39999999991</v>
      </c>
      <c r="J198" s="30">
        <v>0</v>
      </c>
      <c r="K198" s="30">
        <v>1238638.2000000002</v>
      </c>
      <c r="L198" s="31">
        <v>4171726.1</v>
      </c>
      <c r="M198" s="30">
        <v>1084051.7999999998</v>
      </c>
      <c r="N198" s="29">
        <v>172112.80000000002</v>
      </c>
      <c r="O198" s="31">
        <v>2915561.5</v>
      </c>
      <c r="P198" s="36">
        <v>24184.9</v>
      </c>
      <c r="Q198" s="31">
        <v>4425779.3000000007</v>
      </c>
      <c r="R198" s="31">
        <v>1112.6000000000001</v>
      </c>
      <c r="S198" s="29">
        <v>4451076.8000000007</v>
      </c>
      <c r="T198" s="33">
        <v>7366638.3000000007</v>
      </c>
      <c r="U198" s="29">
        <v>6271580.1000000006</v>
      </c>
    </row>
    <row r="199" spans="1:21" s="35" customFormat="1" ht="15.75">
      <c r="A199" s="40">
        <v>45292</v>
      </c>
      <c r="B199" s="30">
        <v>-620626.89999999991</v>
      </c>
      <c r="C199" s="30">
        <v>-611822.39999999991</v>
      </c>
      <c r="D199" s="30">
        <v>-9.1666666666666661</v>
      </c>
      <c r="E199" s="29">
        <f t="shared" ref="E199:E207" si="42">+SUM(B199:D199)</f>
        <v>-1232458.4666666666</v>
      </c>
      <c r="F199" s="30">
        <v>0</v>
      </c>
      <c r="G199" s="30">
        <v>2095345.4666666668</v>
      </c>
      <c r="H199" s="30"/>
      <c r="I199" s="30">
        <v>816465.1</v>
      </c>
      <c r="J199" s="30">
        <v>0</v>
      </c>
      <c r="K199" s="30">
        <v>1236636.5</v>
      </c>
      <c r="L199" s="31">
        <f t="shared" ref="L199:L207" si="43">+SUM(F199:K199)</f>
        <v>4148447.0666666669</v>
      </c>
      <c r="M199" s="30">
        <v>1091595.0666666667</v>
      </c>
      <c r="N199" s="29">
        <v>158605.29999999999</v>
      </c>
      <c r="O199" s="31">
        <f t="shared" si="22"/>
        <v>2898246.7</v>
      </c>
      <c r="P199" s="36">
        <v>23987.433333333334</v>
      </c>
      <c r="Q199" s="31">
        <v>4475881.5</v>
      </c>
      <c r="R199" s="31">
        <v>1094.9999999999998</v>
      </c>
      <c r="S199" s="29">
        <f t="shared" ref="S199:S207" si="44">SUM(P199:R199)</f>
        <v>4500963.9333333336</v>
      </c>
      <c r="T199" s="33">
        <f t="shared" si="24"/>
        <v>7399210.6333333338</v>
      </c>
      <c r="U199" s="29">
        <f t="shared" si="35"/>
        <v>6166752.166666667</v>
      </c>
    </row>
    <row r="200" spans="1:21" s="35" customFormat="1" ht="15.75">
      <c r="A200" s="40">
        <v>45323</v>
      </c>
      <c r="B200" s="30">
        <v>-666662.89999999991</v>
      </c>
      <c r="C200" s="30">
        <v>-647642.5</v>
      </c>
      <c r="D200" s="30">
        <v>-8.4333333333333336</v>
      </c>
      <c r="E200" s="29">
        <f t="shared" si="42"/>
        <v>-1314313.8333333333</v>
      </c>
      <c r="F200" s="30">
        <v>0</v>
      </c>
      <c r="G200" s="30">
        <v>2142355.5333333332</v>
      </c>
      <c r="H200" s="30"/>
      <c r="I200" s="30">
        <v>808273.29999999993</v>
      </c>
      <c r="J200" s="30">
        <v>0</v>
      </c>
      <c r="K200" s="30">
        <v>1234828.3</v>
      </c>
      <c r="L200" s="31">
        <f t="shared" si="43"/>
        <v>4185457.1333333328</v>
      </c>
      <c r="M200" s="30">
        <v>1042207.9333333333</v>
      </c>
      <c r="N200" s="29">
        <v>189886.5</v>
      </c>
      <c r="O200" s="31">
        <f t="shared" si="22"/>
        <v>2953362.6999999993</v>
      </c>
      <c r="P200" s="36">
        <v>24252.766666666666</v>
      </c>
      <c r="Q200" s="31">
        <v>4499002.9000000013</v>
      </c>
      <c r="R200" s="31">
        <v>1081.6000000000001</v>
      </c>
      <c r="S200" s="29">
        <f t="shared" si="44"/>
        <v>4524337.2666666675</v>
      </c>
      <c r="T200" s="33">
        <f t="shared" si="24"/>
        <v>7477699.9666666668</v>
      </c>
      <c r="U200" s="29">
        <f t="shared" si="35"/>
        <v>6163386.1333333338</v>
      </c>
    </row>
    <row r="201" spans="1:21" s="35" customFormat="1" ht="15.75">
      <c r="A201" s="40">
        <v>45352</v>
      </c>
      <c r="B201" s="30">
        <v>-513773.49999999994</v>
      </c>
      <c r="C201" s="30">
        <v>-687363.49999999988</v>
      </c>
      <c r="D201" s="30">
        <v>-7.6999999999999993</v>
      </c>
      <c r="E201" s="29">
        <f t="shared" si="42"/>
        <v>-1201144.6999999997</v>
      </c>
      <c r="F201" s="30">
        <v>0</v>
      </c>
      <c r="G201" s="30">
        <v>2167505.7000000002</v>
      </c>
      <c r="H201" s="30"/>
      <c r="I201" s="30">
        <v>813199.20000000007</v>
      </c>
      <c r="J201" s="30">
        <v>0</v>
      </c>
      <c r="K201" s="30">
        <v>1233257.3</v>
      </c>
      <c r="L201" s="31">
        <f t="shared" si="43"/>
        <v>4213962.2</v>
      </c>
      <c r="M201" s="30">
        <v>1182403.5</v>
      </c>
      <c r="N201" s="29">
        <v>191157.9</v>
      </c>
      <c r="O201" s="31">
        <f t="shared" si="22"/>
        <v>2840400.8000000003</v>
      </c>
      <c r="P201" s="36">
        <v>25772.1</v>
      </c>
      <c r="Q201" s="31">
        <v>4608774</v>
      </c>
      <c r="R201" s="31">
        <v>1070.1000000000001</v>
      </c>
      <c r="S201" s="29">
        <f t="shared" si="44"/>
        <v>4635616.1999999993</v>
      </c>
      <c r="T201" s="33">
        <f t="shared" si="24"/>
        <v>7476017</v>
      </c>
      <c r="U201" s="29">
        <f t="shared" si="35"/>
        <v>6274872.3000000007</v>
      </c>
    </row>
    <row r="202" spans="1:21" s="35" customFormat="1" ht="15.75">
      <c r="A202" s="40">
        <v>45383</v>
      </c>
      <c r="B202" s="30">
        <v>-539017.6</v>
      </c>
      <c r="C202" s="30">
        <v>-750965.59999999986</v>
      </c>
      <c r="D202" s="30">
        <v>-11.533333333333333</v>
      </c>
      <c r="E202" s="29">
        <f t="shared" si="42"/>
        <v>-1289994.7333333332</v>
      </c>
      <c r="F202" s="30">
        <v>36468.5</v>
      </c>
      <c r="G202" s="30">
        <v>2150381.1333333333</v>
      </c>
      <c r="H202" s="30"/>
      <c r="I202" s="30">
        <v>817792.7</v>
      </c>
      <c r="J202" s="30">
        <v>0</v>
      </c>
      <c r="K202" s="30">
        <v>1232048.2000000002</v>
      </c>
      <c r="L202" s="31">
        <f t="shared" si="43"/>
        <v>4236690.5333333332</v>
      </c>
      <c r="M202" s="30">
        <v>1085101.5999999999</v>
      </c>
      <c r="N202" s="29">
        <v>236117.8</v>
      </c>
      <c r="O202" s="31">
        <f t="shared" si="22"/>
        <v>2915471.1333333338</v>
      </c>
      <c r="P202" s="36">
        <v>25420.9</v>
      </c>
      <c r="Q202" s="31">
        <v>4685023.8066666666</v>
      </c>
      <c r="R202" s="31">
        <v>1056.3</v>
      </c>
      <c r="S202" s="29">
        <f t="shared" si="44"/>
        <v>4711501.0066666668</v>
      </c>
      <c r="T202" s="33">
        <f t="shared" si="24"/>
        <v>7626972.1400000006</v>
      </c>
      <c r="U202" s="29">
        <f t="shared" si="35"/>
        <v>6336977.4066666672</v>
      </c>
    </row>
    <row r="203" spans="1:21" s="35" customFormat="1" ht="15.75">
      <c r="A203" s="40">
        <v>45413</v>
      </c>
      <c r="B203" s="30">
        <v>-569228</v>
      </c>
      <c r="C203" s="30">
        <v>-739272.7</v>
      </c>
      <c r="D203" s="30">
        <v>-15.366666666666667</v>
      </c>
      <c r="E203" s="29">
        <f t="shared" si="42"/>
        <v>-1308516.0666666667</v>
      </c>
      <c r="F203" s="30">
        <v>97253.4</v>
      </c>
      <c r="G203" s="30">
        <v>2155047.9666666668</v>
      </c>
      <c r="H203" s="30"/>
      <c r="I203" s="30">
        <v>827572.89999999991</v>
      </c>
      <c r="J203" s="30">
        <v>0</v>
      </c>
      <c r="K203" s="30">
        <v>1230114.2000000002</v>
      </c>
      <c r="L203" s="31">
        <f t="shared" si="43"/>
        <v>4309988.4666666668</v>
      </c>
      <c r="M203" s="30">
        <v>1108696.7999999998</v>
      </c>
      <c r="N203" s="29">
        <v>192272.09999999998</v>
      </c>
      <c r="O203" s="31">
        <f t="shared" ref="O203:O207" si="45">+L203-M203-N203</f>
        <v>3009019.5666666669</v>
      </c>
      <c r="P203" s="36">
        <v>13456.7</v>
      </c>
      <c r="Q203" s="31">
        <v>4814983.7333333325</v>
      </c>
      <c r="R203" s="31">
        <v>1044.1000000000001</v>
      </c>
      <c r="S203" s="29">
        <f t="shared" si="44"/>
        <v>4829484.5333333323</v>
      </c>
      <c r="T203" s="33">
        <f t="shared" ref="T203:T207" si="46">SUM(O203,S203)</f>
        <v>7838504.0999999996</v>
      </c>
      <c r="U203" s="29">
        <f t="shared" si="35"/>
        <v>6529988.0333333332</v>
      </c>
    </row>
    <row r="204" spans="1:21" s="35" customFormat="1" ht="15.75">
      <c r="A204" s="40">
        <v>45444</v>
      </c>
      <c r="B204" s="30">
        <v>-533814.59999999986</v>
      </c>
      <c r="C204" s="30">
        <v>-936358.19999999984</v>
      </c>
      <c r="D204" s="30">
        <v>-19.2</v>
      </c>
      <c r="E204" s="29">
        <f t="shared" si="42"/>
        <v>-1470191.9999999998</v>
      </c>
      <c r="F204" s="30">
        <v>153944.29999999999</v>
      </c>
      <c r="G204" s="30">
        <v>2127620.7999999993</v>
      </c>
      <c r="H204" s="30"/>
      <c r="I204" s="30">
        <v>835674.1</v>
      </c>
      <c r="J204" s="30">
        <v>0</v>
      </c>
      <c r="K204" s="30">
        <v>1226068.6000000001</v>
      </c>
      <c r="L204" s="31">
        <f t="shared" si="43"/>
        <v>4343307.7999999989</v>
      </c>
      <c r="M204" s="30">
        <v>1006010.8</v>
      </c>
      <c r="N204" s="29">
        <v>235701.60000000003</v>
      </c>
      <c r="O204" s="31">
        <f t="shared" si="45"/>
        <v>3101595.399999999</v>
      </c>
      <c r="P204" s="36">
        <v>11870.7</v>
      </c>
      <c r="Q204" s="31">
        <v>4939151.63</v>
      </c>
      <c r="R204" s="31">
        <v>1059.1000000000001</v>
      </c>
      <c r="S204" s="29">
        <f t="shared" si="44"/>
        <v>4952081.43</v>
      </c>
      <c r="T204" s="33">
        <f t="shared" si="24"/>
        <v>8053676.8299999982</v>
      </c>
      <c r="U204" s="29">
        <f t="shared" si="35"/>
        <v>6583484.8299999982</v>
      </c>
    </row>
    <row r="205" spans="1:21" s="35" customFormat="1" ht="15.75">
      <c r="A205" s="40">
        <v>45474</v>
      </c>
      <c r="B205" s="30">
        <v>-555050.89999999991</v>
      </c>
      <c r="C205" s="30">
        <v>-925644.59999999986</v>
      </c>
      <c r="D205" s="30">
        <v>-12.8</v>
      </c>
      <c r="E205" s="29">
        <f t="shared" si="42"/>
        <v>-1480708.2999999998</v>
      </c>
      <c r="F205" s="30">
        <v>103537.9</v>
      </c>
      <c r="G205" s="30">
        <v>2083126.7666666668</v>
      </c>
      <c r="H205" s="30"/>
      <c r="I205" s="30">
        <v>897203.19999999995</v>
      </c>
      <c r="J205" s="30">
        <v>0</v>
      </c>
      <c r="K205" s="30">
        <v>1380012.9</v>
      </c>
      <c r="L205" s="31">
        <f t="shared" si="43"/>
        <v>4463880.7666666675</v>
      </c>
      <c r="M205" s="30">
        <v>962810.26666666672</v>
      </c>
      <c r="N205" s="29">
        <v>217081.8</v>
      </c>
      <c r="O205" s="31">
        <f t="shared" si="45"/>
        <v>3283988.7000000011</v>
      </c>
      <c r="P205" s="36">
        <v>11819</v>
      </c>
      <c r="Q205" s="31">
        <v>5087831.9533333341</v>
      </c>
      <c r="R205" s="31">
        <v>1036.9000000000001</v>
      </c>
      <c r="S205" s="29">
        <f t="shared" si="44"/>
        <v>5100687.8533333344</v>
      </c>
      <c r="T205" s="33">
        <f t="shared" si="46"/>
        <v>8384676.5533333356</v>
      </c>
      <c r="U205" s="29">
        <f t="shared" si="35"/>
        <v>6903968.2533333357</v>
      </c>
    </row>
    <row r="206" spans="1:21" s="35" customFormat="1" ht="15.75">
      <c r="A206" s="40" t="s">
        <v>65</v>
      </c>
      <c r="B206" s="30">
        <v>-580702.19999999995</v>
      </c>
      <c r="C206" s="30">
        <v>-918320.29999999993</v>
      </c>
      <c r="D206" s="30">
        <v>-6.4</v>
      </c>
      <c r="E206" s="29">
        <f t="shared" si="42"/>
        <v>-1499028.9</v>
      </c>
      <c r="F206" s="30">
        <v>295755.7</v>
      </c>
      <c r="G206" s="30">
        <v>2092806.033333333</v>
      </c>
      <c r="H206" s="30"/>
      <c r="I206" s="30">
        <v>867679.8</v>
      </c>
      <c r="J206" s="30">
        <v>0</v>
      </c>
      <c r="K206" s="30">
        <v>1377870.7999999998</v>
      </c>
      <c r="L206" s="31">
        <f t="shared" si="43"/>
        <v>4634112.333333333</v>
      </c>
      <c r="M206" s="30">
        <v>1040645.2333333334</v>
      </c>
      <c r="N206" s="29">
        <v>236333.2</v>
      </c>
      <c r="O206" s="31">
        <f t="shared" si="45"/>
        <v>3357133.8999999994</v>
      </c>
      <c r="P206" s="36">
        <v>11814.4</v>
      </c>
      <c r="Q206" s="31">
        <v>5186552.4666666659</v>
      </c>
      <c r="R206" s="31">
        <v>1016.4</v>
      </c>
      <c r="S206" s="29">
        <f t="shared" si="44"/>
        <v>5199383.2666666666</v>
      </c>
      <c r="T206" s="33">
        <f t="shared" si="46"/>
        <v>8556517.166666666</v>
      </c>
      <c r="U206" s="29">
        <f t="shared" si="35"/>
        <v>7057488.2666666657</v>
      </c>
    </row>
    <row r="207" spans="1:21" s="35" customFormat="1" ht="15.75">
      <c r="A207" s="40">
        <v>45536</v>
      </c>
      <c r="B207" s="30">
        <v>-622133.30000000005</v>
      </c>
      <c r="C207" s="30">
        <v>-947005.40000000014</v>
      </c>
      <c r="D207" s="30">
        <v>0</v>
      </c>
      <c r="E207" s="29">
        <f t="shared" si="42"/>
        <v>-1569138.7000000002</v>
      </c>
      <c r="F207" s="30">
        <v>415256.8</v>
      </c>
      <c r="G207" s="30">
        <v>2047371.7000000002</v>
      </c>
      <c r="H207" s="30"/>
      <c r="I207" s="30">
        <v>879291.1</v>
      </c>
      <c r="J207" s="30">
        <v>0</v>
      </c>
      <c r="K207" s="30">
        <v>1377870.7999999998</v>
      </c>
      <c r="L207" s="31">
        <f t="shared" si="43"/>
        <v>4719790.4000000004</v>
      </c>
      <c r="M207" s="30">
        <v>1122475.2999999998</v>
      </c>
      <c r="N207" s="29">
        <v>233301.19999999998</v>
      </c>
      <c r="O207" s="31">
        <f t="shared" si="45"/>
        <v>3364013.9000000004</v>
      </c>
      <c r="P207" s="36">
        <v>11811.1</v>
      </c>
      <c r="Q207" s="31">
        <v>5292063</v>
      </c>
      <c r="R207" s="31">
        <v>995.5</v>
      </c>
      <c r="S207" s="29">
        <f t="shared" si="44"/>
        <v>5304869.5999999996</v>
      </c>
      <c r="T207" s="33">
        <f t="shared" si="46"/>
        <v>8668883.5</v>
      </c>
      <c r="U207" s="29">
        <f t="shared" si="35"/>
        <v>7099744.7999999998</v>
      </c>
    </row>
    <row r="208" spans="1:21" s="35" customFormat="1" ht="15.75">
      <c r="A208" s="40">
        <v>45566</v>
      </c>
      <c r="B208" s="30">
        <v>-644529.19999999995</v>
      </c>
      <c r="C208" s="30">
        <v>-936705.69999999984</v>
      </c>
      <c r="D208" s="30">
        <v>0</v>
      </c>
      <c r="E208" s="29">
        <v>-1581234.9</v>
      </c>
      <c r="F208" s="30">
        <v>488651.3</v>
      </c>
      <c r="G208" s="30">
        <v>2075817.4</v>
      </c>
      <c r="H208" s="30"/>
      <c r="I208" s="30">
        <v>826746.4</v>
      </c>
      <c r="J208" s="30">
        <v>0</v>
      </c>
      <c r="K208" s="30">
        <v>1376661.6</v>
      </c>
      <c r="L208" s="31">
        <v>4767876.6999999993</v>
      </c>
      <c r="M208" s="30">
        <v>1080280.7666666666</v>
      </c>
      <c r="N208" s="29">
        <v>240230.3</v>
      </c>
      <c r="O208" s="31">
        <v>3447365.6333333328</v>
      </c>
      <c r="P208" s="36">
        <v>11865</v>
      </c>
      <c r="Q208" s="31">
        <v>5455761.8666666672</v>
      </c>
      <c r="R208" s="31">
        <v>977.6</v>
      </c>
      <c r="S208" s="29">
        <v>5468604.4666666668</v>
      </c>
      <c r="T208" s="33">
        <v>8915970.0999999996</v>
      </c>
      <c r="U208" s="29">
        <v>7334735.1999999993</v>
      </c>
    </row>
    <row r="209" spans="1:21" s="35" customFormat="1" ht="15.75">
      <c r="A209" s="40">
        <v>45597</v>
      </c>
      <c r="B209" s="30">
        <v>-595273.4</v>
      </c>
      <c r="C209" s="30">
        <v>-919104.40000000014</v>
      </c>
      <c r="D209" s="30">
        <v>0</v>
      </c>
      <c r="E209" s="29">
        <v>-1514377.8000000003</v>
      </c>
      <c r="F209" s="30">
        <v>641722</v>
      </c>
      <c r="G209" s="30">
        <v>2105348.6</v>
      </c>
      <c r="H209" s="30"/>
      <c r="I209" s="30">
        <v>831642.1</v>
      </c>
      <c r="J209" s="30">
        <v>0</v>
      </c>
      <c r="K209" s="30">
        <v>1376661.6</v>
      </c>
      <c r="L209" s="31">
        <v>4955374.3000000007</v>
      </c>
      <c r="M209" s="30">
        <v>1152274.1333333333</v>
      </c>
      <c r="N209" s="29">
        <v>239229.8</v>
      </c>
      <c r="O209" s="31">
        <v>3563870.3666666672</v>
      </c>
      <c r="P209" s="36">
        <v>17742.900000000001</v>
      </c>
      <c r="Q209" s="31">
        <v>5567881.833333333</v>
      </c>
      <c r="R209" s="31">
        <v>1174.8000000000002</v>
      </c>
      <c r="S209" s="29">
        <v>5586799.5333333332</v>
      </c>
      <c r="T209" s="33">
        <v>9150669.9000000004</v>
      </c>
      <c r="U209" s="29">
        <v>7636292.0999999996</v>
      </c>
    </row>
    <row r="210" spans="1:21" s="35" customFormat="1" ht="15.75">
      <c r="A210" s="40">
        <v>45627</v>
      </c>
      <c r="B210" s="30">
        <v>-548227.89999999991</v>
      </c>
      <c r="C210" s="30">
        <v>-910786.50000000023</v>
      </c>
      <c r="D210" s="30">
        <v>0</v>
      </c>
      <c r="E210" s="29">
        <v>-1459014.4000000001</v>
      </c>
      <c r="F210" s="30">
        <v>751335.6</v>
      </c>
      <c r="G210" s="30">
        <v>2152489.6</v>
      </c>
      <c r="H210" s="30"/>
      <c r="I210" s="30">
        <v>840020.10000000009</v>
      </c>
      <c r="J210" s="30">
        <v>0</v>
      </c>
      <c r="K210" s="30">
        <v>1371442.2</v>
      </c>
      <c r="L210" s="31">
        <v>5115287.5</v>
      </c>
      <c r="M210" s="30">
        <v>1113896.1000000001</v>
      </c>
      <c r="N210" s="29">
        <v>250593.6</v>
      </c>
      <c r="O210" s="31">
        <v>3750797.8</v>
      </c>
      <c r="P210" s="36">
        <v>13053.900000000001</v>
      </c>
      <c r="Q210" s="31">
        <v>5616498.2000000002</v>
      </c>
      <c r="R210" s="31">
        <v>1170.2</v>
      </c>
      <c r="S210" s="29">
        <v>5630722.3000000007</v>
      </c>
      <c r="T210" s="33">
        <v>9381520.1000000015</v>
      </c>
      <c r="U210" s="29">
        <v>7922505.7000000011</v>
      </c>
    </row>
    <row r="211" spans="1:21" s="35" customFormat="1" ht="15.75">
      <c r="A211" s="40">
        <v>45658</v>
      </c>
      <c r="B211" s="30">
        <v>-652667.19999999995</v>
      </c>
      <c r="C211" s="30">
        <v>-888975.99999999988</v>
      </c>
      <c r="D211" s="30">
        <v>0</v>
      </c>
      <c r="E211" s="29">
        <v>-1541643.1999999997</v>
      </c>
      <c r="F211" s="30">
        <v>839706.7</v>
      </c>
      <c r="G211" s="30">
        <v>2220015.1333333333</v>
      </c>
      <c r="H211" s="30"/>
      <c r="I211" s="30">
        <v>824738.5</v>
      </c>
      <c r="J211" s="30">
        <v>0</v>
      </c>
      <c r="K211" s="30">
        <v>1371442.2</v>
      </c>
      <c r="L211" s="31">
        <v>5255902.5333333332</v>
      </c>
      <c r="M211" s="30">
        <v>1085588.0333333332</v>
      </c>
      <c r="N211" s="29">
        <v>278180.59999999998</v>
      </c>
      <c r="O211" s="31">
        <v>3892133.9</v>
      </c>
      <c r="P211" s="36">
        <v>13194.900000000001</v>
      </c>
      <c r="Q211" s="31">
        <v>5671168.9333333327</v>
      </c>
      <c r="R211" s="31">
        <v>1009.5000000000001</v>
      </c>
      <c r="S211" s="29">
        <v>5685373.333333333</v>
      </c>
      <c r="T211" s="33">
        <v>9577507.2333333325</v>
      </c>
      <c r="U211" s="29">
        <v>8035864.0333333332</v>
      </c>
    </row>
    <row r="212" spans="1:21" s="35" customFormat="1" ht="15.75">
      <c r="A212" s="40">
        <v>45689</v>
      </c>
      <c r="B212" s="30">
        <v>-704553.7</v>
      </c>
      <c r="C212" s="30">
        <v>-867672.9</v>
      </c>
      <c r="D212" s="30">
        <v>0</v>
      </c>
      <c r="E212" s="29">
        <v>-1572226.6</v>
      </c>
      <c r="F212" s="30">
        <v>806591.4</v>
      </c>
      <c r="G212" s="30">
        <v>2226497.9666666668</v>
      </c>
      <c r="H212" s="30"/>
      <c r="I212" s="30">
        <v>700680.7</v>
      </c>
      <c r="J212" s="30">
        <v>0</v>
      </c>
      <c r="K212" s="30">
        <v>1367903.7999999998</v>
      </c>
      <c r="L212" s="31">
        <v>5101673.8666666662</v>
      </c>
      <c r="M212" s="30">
        <v>1219791.9666666668</v>
      </c>
      <c r="N212" s="29">
        <v>189829.00000000003</v>
      </c>
      <c r="O212" s="31">
        <v>3692052.8999999994</v>
      </c>
      <c r="P212" s="36">
        <v>12205.2</v>
      </c>
      <c r="Q212" s="31">
        <v>5755163.7666666666</v>
      </c>
      <c r="R212" s="31">
        <v>921.9</v>
      </c>
      <c r="S212" s="29">
        <v>5768290.8666666672</v>
      </c>
      <c r="T212" s="33">
        <v>9460343.7666666657</v>
      </c>
      <c r="U212" s="29">
        <v>7888117.166666666</v>
      </c>
    </row>
    <row r="213" spans="1:21" s="35" customFormat="1" ht="15.75">
      <c r="A213" s="40">
        <v>45717</v>
      </c>
      <c r="B213" s="30">
        <v>-692738.10000000009</v>
      </c>
      <c r="C213" s="30">
        <v>-879873.79999999981</v>
      </c>
      <c r="D213" s="30">
        <v>0</v>
      </c>
      <c r="E213" s="29">
        <v>-1572611.9</v>
      </c>
      <c r="F213" s="30">
        <v>629494.5</v>
      </c>
      <c r="G213" s="30">
        <v>2443996.6</v>
      </c>
      <c r="H213" s="30"/>
      <c r="I213" s="30">
        <v>685447.5</v>
      </c>
      <c r="J213" s="30">
        <v>0</v>
      </c>
      <c r="K213" s="30">
        <v>1365759.1</v>
      </c>
      <c r="L213" s="31">
        <v>5124697.7</v>
      </c>
      <c r="M213" s="30">
        <v>1114492.7000000002</v>
      </c>
      <c r="N213" s="29">
        <v>241724.5</v>
      </c>
      <c r="O213" s="31">
        <v>3768480.5</v>
      </c>
      <c r="P213" s="36">
        <v>20127.400000000005</v>
      </c>
      <c r="Q213" s="31">
        <v>5824835.5000000009</v>
      </c>
      <c r="R213" s="31">
        <v>1008.3</v>
      </c>
      <c r="S213" s="29">
        <v>5845971.2000000011</v>
      </c>
      <c r="T213" s="33">
        <v>9614451.7000000011</v>
      </c>
      <c r="U213" s="29">
        <v>8041839.8000000007</v>
      </c>
    </row>
    <row r="214" spans="1:21" s="35" customFormat="1" ht="15.75">
      <c r="A214" s="40">
        <v>45748</v>
      </c>
      <c r="B214" s="30">
        <v>-634426.70000000007</v>
      </c>
      <c r="C214" s="30">
        <v>-1002217.4</v>
      </c>
      <c r="D214" s="30">
        <v>0</v>
      </c>
      <c r="E214" s="29">
        <v>-1636644.1</v>
      </c>
      <c r="F214" s="30">
        <v>614541.4</v>
      </c>
      <c r="G214" s="30">
        <v>2479635.9</v>
      </c>
      <c r="H214" s="30"/>
      <c r="I214" s="30">
        <v>750621.29999999993</v>
      </c>
      <c r="J214" s="30">
        <v>0</v>
      </c>
      <c r="K214" s="30">
        <v>1363044.7</v>
      </c>
      <c r="L214" s="31">
        <v>5207843.3</v>
      </c>
      <c r="M214" s="30">
        <v>1154150.7666666666</v>
      </c>
      <c r="N214" s="29">
        <v>272937</v>
      </c>
      <c r="O214" s="31">
        <v>3780755.5333333332</v>
      </c>
      <c r="P214" s="36">
        <v>14143.1</v>
      </c>
      <c r="Q214" s="31">
        <v>5948724.2333333334</v>
      </c>
      <c r="R214" s="31">
        <v>892</v>
      </c>
      <c r="S214" s="29">
        <v>5963759.333333333</v>
      </c>
      <c r="T214" s="33">
        <v>9744514.8666666672</v>
      </c>
      <c r="U214" s="29">
        <v>8107870.7666666675</v>
      </c>
    </row>
    <row r="215" spans="1:21" s="35" customFormat="1" ht="15.75">
      <c r="A215" s="40">
        <v>45778</v>
      </c>
      <c r="B215" s="30">
        <v>-648525.29999999981</v>
      </c>
      <c r="C215" s="30">
        <v>-1052134.2000000002</v>
      </c>
      <c r="D215" s="30">
        <v>0</v>
      </c>
      <c r="E215" s="29">
        <v>-1700659.5</v>
      </c>
      <c r="F215" s="30">
        <v>584716.1</v>
      </c>
      <c r="G215" s="30">
        <v>2541634.5000000005</v>
      </c>
      <c r="H215" s="30"/>
      <c r="I215" s="30">
        <v>744028.8</v>
      </c>
      <c r="J215" s="30">
        <v>0</v>
      </c>
      <c r="K215" s="30">
        <v>1362251.7</v>
      </c>
      <c r="L215" s="31">
        <v>5232631.1000000006</v>
      </c>
      <c r="M215" s="30">
        <v>1097894.5333333334</v>
      </c>
      <c r="N215" s="29">
        <v>261701.40000000002</v>
      </c>
      <c r="O215" s="31">
        <v>3873035.1666666674</v>
      </c>
      <c r="P215" s="36">
        <v>12296.300000000001</v>
      </c>
      <c r="Q215" s="31">
        <v>6129287.9666666649</v>
      </c>
      <c r="R215" s="31">
        <v>875.4</v>
      </c>
      <c r="S215" s="29">
        <v>6142459.6666666651</v>
      </c>
      <c r="T215" s="33">
        <v>10015494.833333332</v>
      </c>
      <c r="U215" s="29">
        <v>8314835.3333333321</v>
      </c>
    </row>
    <row r="216" spans="1:21" s="35" customFormat="1" ht="15.75">
      <c r="A216" s="40">
        <v>45809</v>
      </c>
      <c r="B216" s="30">
        <v>-568852.99999999988</v>
      </c>
      <c r="C216" s="30">
        <v>-1037881.9000000001</v>
      </c>
      <c r="D216" s="30">
        <v>0</v>
      </c>
      <c r="E216" s="29">
        <v>-1606734.9</v>
      </c>
      <c r="F216" s="30">
        <v>1017484.8</v>
      </c>
      <c r="G216" s="30">
        <v>2525337.3000000003</v>
      </c>
      <c r="H216" s="30"/>
      <c r="I216" s="30">
        <v>756190</v>
      </c>
      <c r="J216" s="30">
        <v>0</v>
      </c>
      <c r="K216" s="30">
        <v>1355991.1</v>
      </c>
      <c r="L216" s="31">
        <v>5655003.2000000011</v>
      </c>
      <c r="M216" s="30">
        <v>1203853.3999999999</v>
      </c>
      <c r="N216" s="29">
        <v>292443.99999999994</v>
      </c>
      <c r="O216" s="31">
        <v>4158705.8000000007</v>
      </c>
      <c r="P216" s="36">
        <v>12344.800000000001</v>
      </c>
      <c r="Q216" s="31">
        <v>6267915.6000000006</v>
      </c>
      <c r="R216" s="31">
        <v>858.6</v>
      </c>
      <c r="S216" s="29">
        <v>6281119</v>
      </c>
      <c r="T216" s="33">
        <v>10439824.800000001</v>
      </c>
      <c r="U216" s="29">
        <v>8833089.9000000004</v>
      </c>
    </row>
    <row r="217" spans="1:21" s="35" customFormat="1" ht="15.75">
      <c r="A217" s="40">
        <v>45839</v>
      </c>
      <c r="B217" s="30">
        <v>-549694.30000000005</v>
      </c>
      <c r="C217" s="30">
        <v>-1164854.7999999998</v>
      </c>
      <c r="D217" s="30">
        <v>0</v>
      </c>
      <c r="E217" s="29">
        <v>-1714549.0999999999</v>
      </c>
      <c r="F217" s="30">
        <v>1017484.8</v>
      </c>
      <c r="G217" s="30">
        <v>2569537.4000000004</v>
      </c>
      <c r="H217" s="30"/>
      <c r="I217" s="30">
        <v>744029.6</v>
      </c>
      <c r="J217" s="30">
        <v>0</v>
      </c>
      <c r="K217" s="30">
        <v>1354852.5</v>
      </c>
      <c r="L217" s="31">
        <v>5685904.2999999998</v>
      </c>
      <c r="M217" s="30">
        <v>1263485.2666666666</v>
      </c>
      <c r="N217" s="29">
        <v>303069</v>
      </c>
      <c r="O217" s="31">
        <v>4119350.0333333332</v>
      </c>
      <c r="P217" s="36">
        <v>20346.300000000003</v>
      </c>
      <c r="Q217" s="31">
        <v>6380297.0999999996</v>
      </c>
      <c r="R217" s="31">
        <v>966.9</v>
      </c>
      <c r="S217" s="29">
        <v>6401610.2999999998</v>
      </c>
      <c r="T217" s="33">
        <v>10520960.333333332</v>
      </c>
      <c r="U217" s="29">
        <v>8806411.2333333325</v>
      </c>
    </row>
    <row r="218" spans="1:21" s="35" customFormat="1" ht="15.75">
      <c r="A218" s="40" t="s">
        <v>66</v>
      </c>
      <c r="B218" s="30">
        <v>-653606.5</v>
      </c>
      <c r="C218" s="30">
        <v>-1189178.7000000002</v>
      </c>
      <c r="D218" s="30">
        <v>0</v>
      </c>
      <c r="E218" s="29">
        <v>-1842785.2000000002</v>
      </c>
      <c r="F218" s="30">
        <v>1017484.8</v>
      </c>
      <c r="G218" s="30">
        <v>2551306</v>
      </c>
      <c r="H218" s="30"/>
      <c r="I218" s="30">
        <v>815282.4</v>
      </c>
      <c r="J218" s="30">
        <v>0</v>
      </c>
      <c r="K218" s="30">
        <v>1354852.4</v>
      </c>
      <c r="L218" s="31">
        <v>5738925.5999999996</v>
      </c>
      <c r="M218" s="30">
        <v>1254991.8333333333</v>
      </c>
      <c r="N218" s="29">
        <v>269584.69999999995</v>
      </c>
      <c r="O218" s="31">
        <v>4214349.0666666664</v>
      </c>
      <c r="P218" s="36">
        <v>12911.4</v>
      </c>
      <c r="Q218" s="31">
        <v>6435482.7000000011</v>
      </c>
      <c r="R218" s="31">
        <v>949.69999999999993</v>
      </c>
      <c r="S218" s="29">
        <v>6449343.8000000017</v>
      </c>
      <c r="T218" s="33">
        <v>10663692.866666667</v>
      </c>
      <c r="U218" s="29">
        <v>8820907.6666666679</v>
      </c>
    </row>
    <row r="219" spans="1:21" s="35" customFormat="1" ht="15.75">
      <c r="A219" s="40">
        <v>45901</v>
      </c>
      <c r="B219" s="30">
        <v>-687889.89999999991</v>
      </c>
      <c r="C219" s="30">
        <v>-1182789.7000000004</v>
      </c>
      <c r="D219" s="30">
        <v>0</v>
      </c>
      <c r="E219" s="29">
        <v>-1870679.6000000003</v>
      </c>
      <c r="F219" s="30">
        <v>1017484.8</v>
      </c>
      <c r="G219" s="30">
        <v>2590705.1999999997</v>
      </c>
      <c r="H219" s="30"/>
      <c r="I219" s="30">
        <v>1054566.5</v>
      </c>
      <c r="J219" s="30">
        <v>0</v>
      </c>
      <c r="K219" s="30">
        <v>1353643.2000000002</v>
      </c>
      <c r="L219" s="31">
        <v>6016399.7000000002</v>
      </c>
      <c r="M219" s="30">
        <v>1449681.5</v>
      </c>
      <c r="N219" s="29">
        <v>244860.29999999996</v>
      </c>
      <c r="O219" s="31">
        <v>4321857.9000000004</v>
      </c>
      <c r="P219" s="36">
        <v>12869.500000000002</v>
      </c>
      <c r="Q219" s="31">
        <v>6594802.6999999993</v>
      </c>
      <c r="R219" s="31">
        <v>710</v>
      </c>
      <c r="S219" s="29">
        <v>6608382.1999999993</v>
      </c>
      <c r="T219" s="33">
        <v>10930240.1</v>
      </c>
      <c r="U219" s="29">
        <v>9059560.5</v>
      </c>
    </row>
    <row r="220" spans="1:21" s="35" customFormat="1" ht="15.75">
      <c r="A220" s="40">
        <v>45931</v>
      </c>
      <c r="B220" s="30">
        <v>-759104.3</v>
      </c>
      <c r="C220" s="30">
        <v>-1135263.4000000004</v>
      </c>
      <c r="D220" s="30">
        <v>0</v>
      </c>
      <c r="E220" s="29">
        <v>-1894367.7000000004</v>
      </c>
      <c r="F220" s="30">
        <v>1017484.8</v>
      </c>
      <c r="G220" s="30">
        <v>2579308.0333333337</v>
      </c>
      <c r="H220" s="30"/>
      <c r="I220" s="30">
        <v>956768.1</v>
      </c>
      <c r="J220" s="30">
        <v>0</v>
      </c>
      <c r="K220" s="30">
        <v>1346643.2</v>
      </c>
      <c r="L220" s="31">
        <v>5900204.1333333338</v>
      </c>
      <c r="M220" s="30">
        <v>1287565.7333333332</v>
      </c>
      <c r="N220" s="29">
        <v>244063.4</v>
      </c>
      <c r="O220" s="31">
        <v>4368575.0000000009</v>
      </c>
      <c r="P220" s="36">
        <v>12941.2</v>
      </c>
      <c r="Q220" s="31">
        <v>6773151.3333333349</v>
      </c>
      <c r="R220" s="31">
        <v>689.6</v>
      </c>
      <c r="S220" s="29">
        <v>6786782.1333333347</v>
      </c>
      <c r="T220" s="33">
        <v>11155357.133333337</v>
      </c>
      <c r="U220" s="29">
        <v>9260989.4333333354</v>
      </c>
    </row>
    <row r="221" spans="1:21" s="35" customFormat="1" ht="15.75">
      <c r="A221" s="40">
        <v>45962</v>
      </c>
      <c r="B221" s="30">
        <v>-584814.6</v>
      </c>
      <c r="C221" s="30">
        <v>-1402365.6</v>
      </c>
      <c r="D221" s="30">
        <v>0</v>
      </c>
      <c r="E221" s="29">
        <v>-1987180.2000000002</v>
      </c>
      <c r="F221" s="30">
        <v>1017484.8</v>
      </c>
      <c r="G221" s="30">
        <v>2660512.8666666667</v>
      </c>
      <c r="H221" s="30"/>
      <c r="I221" s="30">
        <v>973790.3</v>
      </c>
      <c r="J221" s="30">
        <v>0</v>
      </c>
      <c r="K221" s="30">
        <v>1346311.5</v>
      </c>
      <c r="L221" s="31">
        <v>5998099.4666666668</v>
      </c>
      <c r="M221" s="30">
        <v>1454158.1666666665</v>
      </c>
      <c r="N221" s="29">
        <v>135517.19999999998</v>
      </c>
      <c r="O221" s="31">
        <v>4408424.1000000006</v>
      </c>
      <c r="P221" s="36">
        <v>21333</v>
      </c>
      <c r="Q221" s="31">
        <v>6856468.166666667</v>
      </c>
      <c r="R221" s="31">
        <v>702.4</v>
      </c>
      <c r="S221" s="29">
        <v>6878503.5666666673</v>
      </c>
      <c r="T221" s="33">
        <v>11286927.666666668</v>
      </c>
      <c r="U221" s="29">
        <v>9299747.4666666687</v>
      </c>
    </row>
    <row r="222" spans="1:21" s="35" customFormat="1" ht="15.75">
      <c r="A222" s="40">
        <v>45992</v>
      </c>
      <c r="B222" s="30">
        <v>-536353.39999999991</v>
      </c>
      <c r="C222" s="30">
        <v>-1422222.1</v>
      </c>
      <c r="D222" s="30">
        <v>0</v>
      </c>
      <c r="E222" s="29">
        <v>-1958575.5</v>
      </c>
      <c r="F222" s="30">
        <v>132386.20000000001</v>
      </c>
      <c r="G222" s="30">
        <v>2656108.2999999998</v>
      </c>
      <c r="H222" s="30"/>
      <c r="I222" s="30">
        <v>934011.10000000009</v>
      </c>
      <c r="J222" s="30">
        <v>0</v>
      </c>
      <c r="K222" s="30">
        <v>2362001.5</v>
      </c>
      <c r="L222" s="31">
        <v>6084507.0999999996</v>
      </c>
      <c r="M222" s="30">
        <v>1441308.5999999999</v>
      </c>
      <c r="N222" s="29">
        <v>138190.5</v>
      </c>
      <c r="O222" s="31">
        <v>4505008</v>
      </c>
      <c r="P222" s="36">
        <v>12640.9</v>
      </c>
      <c r="Q222" s="31">
        <v>6946023.2000000011</v>
      </c>
      <c r="R222" s="31">
        <v>682</v>
      </c>
      <c r="S222" s="29">
        <v>6959346.1000000015</v>
      </c>
      <c r="T222" s="33">
        <v>11464354.100000001</v>
      </c>
      <c r="U222" s="29">
        <v>9505778.6000000015</v>
      </c>
    </row>
    <row r="223" spans="1:21" s="35" customFormat="1" ht="15.75">
      <c r="A223" s="40">
        <v>46023</v>
      </c>
      <c r="B223" s="30">
        <v>-539741.60000000009</v>
      </c>
      <c r="C223" s="30">
        <v>-1416297.2999999998</v>
      </c>
      <c r="D223" s="30">
        <v>-99.766666666666666</v>
      </c>
      <c r="E223" s="29">
        <v>-1956138.6666666665</v>
      </c>
      <c r="F223" s="30">
        <v>39248.6</v>
      </c>
      <c r="G223" s="30">
        <v>2671487.4</v>
      </c>
      <c r="H223" s="30"/>
      <c r="I223" s="30">
        <v>925063.7</v>
      </c>
      <c r="J223" s="30">
        <v>0</v>
      </c>
      <c r="K223" s="30">
        <v>2358716.2999999998</v>
      </c>
      <c r="L223" s="31">
        <v>5994516</v>
      </c>
      <c r="M223" s="30">
        <v>1273029.4000000001</v>
      </c>
      <c r="N223" s="29">
        <v>270962</v>
      </c>
      <c r="O223" s="31">
        <v>4450524.5999999996</v>
      </c>
      <c r="P223" s="36">
        <v>12716.766666666666</v>
      </c>
      <c r="Q223" s="31">
        <v>6872821.166666666</v>
      </c>
      <c r="R223" s="31">
        <v>643</v>
      </c>
      <c r="S223" s="29">
        <v>6886180.9333333327</v>
      </c>
      <c r="T223" s="33">
        <v>11336705.533333331</v>
      </c>
      <c r="U223" s="29">
        <v>9380566.8666666653</v>
      </c>
    </row>
    <row r="224" spans="1:21" s="35" customFormat="1" ht="15.75">
      <c r="A224" s="40">
        <v>46054</v>
      </c>
      <c r="B224" s="30">
        <v>-605158.80000000005</v>
      </c>
      <c r="C224" s="30">
        <v>-1457247.2</v>
      </c>
      <c r="D224" s="30">
        <v>-199.53333333333333</v>
      </c>
      <c r="E224" s="29">
        <v>-2062605.5333333334</v>
      </c>
      <c r="F224" s="30">
        <v>0</v>
      </c>
      <c r="G224" s="30">
        <v>2732469.9</v>
      </c>
      <c r="H224" s="30"/>
      <c r="I224" s="30">
        <v>898960.8</v>
      </c>
      <c r="J224" s="30">
        <v>0</v>
      </c>
      <c r="K224" s="30">
        <v>2356344.9000000004</v>
      </c>
      <c r="L224" s="31">
        <v>5987775.6000000006</v>
      </c>
      <c r="M224" s="30">
        <v>1275087.1000000001</v>
      </c>
      <c r="N224" s="29">
        <v>268481</v>
      </c>
      <c r="O224" s="31">
        <v>4444207.5</v>
      </c>
      <c r="P224" s="36">
        <v>20634.833333333336</v>
      </c>
      <c r="Q224" s="31">
        <v>6961249.1333333328</v>
      </c>
      <c r="R224" s="31">
        <v>874.1</v>
      </c>
      <c r="S224" s="29">
        <v>6982758.0666666655</v>
      </c>
      <c r="T224" s="33">
        <v>11426965.566666666</v>
      </c>
      <c r="U224" s="29">
        <v>9364360.0333333332</v>
      </c>
    </row>
    <row r="225" spans="1:22" s="35" customFormat="1" ht="15.75">
      <c r="A225" s="40">
        <v>46082</v>
      </c>
      <c r="B225" s="30">
        <v>-718552</v>
      </c>
      <c r="C225" s="30">
        <v>-1444673.7000000002</v>
      </c>
      <c r="D225" s="30">
        <v>-299.3</v>
      </c>
      <c r="E225" s="29">
        <v>-2163525</v>
      </c>
      <c r="F225" s="30">
        <v>0</v>
      </c>
      <c r="G225" s="30">
        <v>2739896.5</v>
      </c>
      <c r="H225" s="30"/>
      <c r="I225" s="30">
        <v>904375.60000000009</v>
      </c>
      <c r="J225" s="30">
        <v>0</v>
      </c>
      <c r="K225" s="30">
        <v>2353871.7000000002</v>
      </c>
      <c r="L225" s="31">
        <v>5998143.8000000007</v>
      </c>
      <c r="M225" s="30">
        <v>1277081.3</v>
      </c>
      <c r="N225" s="29">
        <v>217078.89999999997</v>
      </c>
      <c r="O225" s="31">
        <v>4503983.6000000006</v>
      </c>
      <c r="P225" s="36">
        <v>12405.2</v>
      </c>
      <c r="Q225" s="31">
        <v>7067844.6000000006</v>
      </c>
      <c r="R225" s="31">
        <v>612.9</v>
      </c>
      <c r="S225" s="29">
        <v>7080862.7000000011</v>
      </c>
      <c r="T225" s="33">
        <v>11584846.300000001</v>
      </c>
      <c r="U225" s="29">
        <v>9421321.3000000007</v>
      </c>
    </row>
    <row r="226" spans="1:22" s="35" customFormat="1" ht="15.75">
      <c r="A226" s="40">
        <v>46113</v>
      </c>
      <c r="B226" s="30">
        <v>-771403.3</v>
      </c>
      <c r="C226" s="30">
        <v>-1422431.5</v>
      </c>
      <c r="D226" s="30">
        <v>-299.3</v>
      </c>
      <c r="E226" s="29">
        <v>-2194134.0999999996</v>
      </c>
      <c r="F226" s="30">
        <v>35417.300000000003</v>
      </c>
      <c r="G226" s="30">
        <v>2685481.9000000004</v>
      </c>
      <c r="H226" s="30"/>
      <c r="I226" s="30">
        <v>910287</v>
      </c>
      <c r="J226" s="30">
        <v>0</v>
      </c>
      <c r="K226" s="30">
        <v>2348260.5999999996</v>
      </c>
      <c r="L226" s="31">
        <v>5979446.7999999998</v>
      </c>
      <c r="M226" s="30">
        <v>1284651.2000000002</v>
      </c>
      <c r="N226" s="29">
        <v>150545.4</v>
      </c>
      <c r="O226" s="31">
        <v>4544250.1999999993</v>
      </c>
      <c r="P226" s="36">
        <v>12442.1</v>
      </c>
      <c r="Q226" s="31">
        <v>7045298.3000000007</v>
      </c>
      <c r="R226" s="31">
        <v>100.1</v>
      </c>
      <c r="S226" s="29">
        <v>7057840.5</v>
      </c>
      <c r="T226" s="33">
        <v>11602090.699999999</v>
      </c>
      <c r="U226" s="29">
        <v>9407956.5999999996</v>
      </c>
    </row>
    <row r="227" spans="1:22" s="35" customFormat="1" ht="15.75">
      <c r="A227" s="46" t="s">
        <v>45</v>
      </c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8"/>
    </row>
    <row r="228" spans="1:22" s="35" customFormat="1">
      <c r="A228" s="49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1"/>
      <c r="V228" s="2"/>
    </row>
  </sheetData>
  <mergeCells count="10">
    <mergeCell ref="A227:U228"/>
    <mergeCell ref="T5:T6"/>
    <mergeCell ref="U4:U6"/>
    <mergeCell ref="B4:E5"/>
    <mergeCell ref="A4:A6"/>
    <mergeCell ref="F2:H2"/>
    <mergeCell ref="F5:O5"/>
    <mergeCell ref="P5:S5"/>
    <mergeCell ref="F4:O4"/>
    <mergeCell ref="P4:T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FB81"/>
  <sheetViews>
    <sheetView zoomScale="80" zoomScaleNormal="80" workbookViewId="0">
      <pane xSplit="1" ySplit="6" topLeftCell="P65" activePane="bottomRight" state="frozen"/>
      <selection pane="topRight" activeCell="B1" sqref="B1"/>
      <selection pane="bottomLeft" activeCell="A7" sqref="A7"/>
      <selection pane="bottomRight" activeCell="B79" sqref="B79:U79"/>
    </sheetView>
  </sheetViews>
  <sheetFormatPr baseColWidth="10" defaultColWidth="11.5546875" defaultRowHeight="18.75"/>
  <cols>
    <col min="1" max="1" width="27.44140625" style="1" customWidth="1"/>
    <col min="2" max="2" width="11.77734375" style="1" customWidth="1"/>
    <col min="3" max="3" width="16.33203125" style="1" customWidth="1"/>
    <col min="4" max="4" width="17.5546875" style="1" customWidth="1"/>
    <col min="5" max="5" width="23.6640625" style="1" bestFit="1" customWidth="1"/>
    <col min="6" max="6" width="21.5546875" style="1" bestFit="1" customWidth="1"/>
    <col min="7" max="8" width="11.6640625" style="1" bestFit="1" customWidth="1"/>
    <col min="9" max="9" width="14.33203125" style="1" bestFit="1" customWidth="1"/>
    <col min="10" max="10" width="11.6640625" style="1" bestFit="1" customWidth="1"/>
    <col min="11" max="11" width="17.33203125" style="1" bestFit="1" customWidth="1"/>
    <col min="12" max="12" width="31.109375" style="1" bestFit="1" customWidth="1"/>
    <col min="13" max="13" width="29.77734375" style="1" bestFit="1" customWidth="1"/>
    <col min="14" max="14" width="12" style="1" customWidth="1"/>
    <col min="15" max="15" width="29.88671875" style="1" customWidth="1"/>
    <col min="16" max="16" width="20.109375" style="1" bestFit="1" customWidth="1"/>
    <col min="17" max="17" width="19.88671875" style="1" customWidth="1"/>
    <col min="18" max="18" width="9.6640625" style="1" customWidth="1"/>
    <col min="19" max="19" width="10" style="1" customWidth="1"/>
    <col min="20" max="20" width="10.77734375" style="1" customWidth="1"/>
    <col min="21" max="16384" width="11.5546875" style="1"/>
  </cols>
  <sheetData>
    <row r="1" spans="1:16382">
      <c r="A1" s="15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1" t="s">
        <v>62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</row>
    <row r="2" spans="1:16382" s="2" customFormat="1">
      <c r="E2" s="42" t="s">
        <v>55</v>
      </c>
      <c r="F2" s="42"/>
      <c r="G2" s="42"/>
      <c r="T2" s="21"/>
      <c r="U2" s="21"/>
    </row>
    <row r="3" spans="1:16382" s="2" customFormat="1" ht="21" customHeight="1">
      <c r="T3" s="21"/>
      <c r="U3" s="21"/>
    </row>
    <row r="4" spans="1:16382" s="23" customFormat="1" ht="15.75" customHeight="1">
      <c r="A4" s="63" t="s">
        <v>46</v>
      </c>
      <c r="B4" s="57" t="s">
        <v>3</v>
      </c>
      <c r="C4" s="58"/>
      <c r="D4" s="58"/>
      <c r="E4" s="59"/>
      <c r="F4" s="43" t="s">
        <v>4</v>
      </c>
      <c r="G4" s="44"/>
      <c r="H4" s="44"/>
      <c r="I4" s="44"/>
      <c r="J4" s="44"/>
      <c r="K4" s="44"/>
      <c r="L4" s="44"/>
      <c r="M4" s="44"/>
      <c r="N4" s="44"/>
      <c r="O4" s="45"/>
      <c r="P4" s="43"/>
      <c r="Q4" s="44"/>
      <c r="R4" s="44"/>
      <c r="S4" s="44"/>
      <c r="T4" s="44"/>
      <c r="U4" s="54" t="s">
        <v>21</v>
      </c>
      <c r="V4" s="22"/>
    </row>
    <row r="5" spans="1:16382" s="23" customFormat="1" ht="18">
      <c r="A5" s="64"/>
      <c r="B5" s="60"/>
      <c r="C5" s="61"/>
      <c r="D5" s="61"/>
      <c r="E5" s="62"/>
      <c r="F5" s="43" t="s">
        <v>22</v>
      </c>
      <c r="G5" s="44"/>
      <c r="H5" s="44"/>
      <c r="I5" s="44"/>
      <c r="J5" s="44"/>
      <c r="K5" s="44"/>
      <c r="L5" s="44"/>
      <c r="M5" s="44"/>
      <c r="N5" s="44"/>
      <c r="O5" s="45"/>
      <c r="P5" s="43" t="s">
        <v>7</v>
      </c>
      <c r="Q5" s="44"/>
      <c r="R5" s="44"/>
      <c r="S5" s="44"/>
      <c r="T5" s="52" t="s">
        <v>0</v>
      </c>
      <c r="U5" s="55"/>
      <c r="V5" s="24"/>
    </row>
    <row r="6" spans="1:16382" s="23" customFormat="1" ht="126">
      <c r="A6" s="65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53"/>
      <c r="U6" s="56"/>
      <c r="V6" s="25"/>
    </row>
    <row r="7" spans="1:16382" s="35" customFormat="1" ht="15.75">
      <c r="A7" s="39">
        <v>39508</v>
      </c>
      <c r="B7" s="30">
        <v>60403.499999999942</v>
      </c>
      <c r="C7" s="30">
        <v>88180.9</v>
      </c>
      <c r="D7" s="30"/>
      <c r="E7" s="29">
        <f t="shared" ref="E7:E27" si="0">SUM(B7:D7)</f>
        <v>148584.39999999994</v>
      </c>
      <c r="F7" s="30">
        <v>173616.9</v>
      </c>
      <c r="G7" s="30">
        <v>45326.400000000001</v>
      </c>
      <c r="H7" s="30" t="s">
        <v>2</v>
      </c>
      <c r="I7" s="30">
        <v>6220.2999999999993</v>
      </c>
      <c r="J7" s="30" t="s">
        <v>2</v>
      </c>
      <c r="K7" s="30" t="s">
        <v>2</v>
      </c>
      <c r="L7" s="31">
        <f t="shared" ref="L7:L27" si="1">SUM(F7:K7)</f>
        <v>225163.59999999998</v>
      </c>
      <c r="M7" s="30">
        <v>80768</v>
      </c>
      <c r="N7" s="29">
        <v>11101.600000000002</v>
      </c>
      <c r="O7" s="31">
        <f t="shared" ref="O7:O27" si="2">L7-M7-N7</f>
        <v>133293.99999999997</v>
      </c>
      <c r="P7" s="36">
        <v>9802.6999999999989</v>
      </c>
      <c r="Q7" s="31">
        <v>220978.30000000005</v>
      </c>
      <c r="R7" s="31">
        <v>105.1</v>
      </c>
      <c r="S7" s="29">
        <f t="shared" ref="S7:S27" si="3">SUM(P7:R7)</f>
        <v>230886.10000000006</v>
      </c>
      <c r="T7" s="33">
        <f t="shared" ref="T7:T27" si="4">S7+O7</f>
        <v>364180.10000000003</v>
      </c>
      <c r="U7" s="29">
        <f t="shared" ref="U7:U27" si="5">T7+E7</f>
        <v>512764.5</v>
      </c>
    </row>
    <row r="8" spans="1:16382" s="35" customFormat="1" ht="15.75">
      <c r="A8" s="39">
        <v>39600</v>
      </c>
      <c r="B8" s="30">
        <v>56309.5</v>
      </c>
      <c r="C8" s="30">
        <v>82636.399999999994</v>
      </c>
      <c r="D8" s="30"/>
      <c r="E8" s="29">
        <f t="shared" si="0"/>
        <v>138945.9</v>
      </c>
      <c r="F8" s="30">
        <v>185113.8</v>
      </c>
      <c r="G8" s="30">
        <v>41022.200000000004</v>
      </c>
      <c r="H8" s="30" t="s">
        <v>2</v>
      </c>
      <c r="I8" s="30">
        <v>8052.4</v>
      </c>
      <c r="J8" s="30" t="s">
        <v>2</v>
      </c>
      <c r="K8" s="30" t="s">
        <v>2</v>
      </c>
      <c r="L8" s="31">
        <f t="shared" si="1"/>
        <v>234188.4</v>
      </c>
      <c r="M8" s="30">
        <v>82103</v>
      </c>
      <c r="N8" s="29">
        <v>10096.199999999999</v>
      </c>
      <c r="O8" s="31">
        <f t="shared" si="2"/>
        <v>141989.19999999998</v>
      </c>
      <c r="P8" s="36">
        <v>12850.8</v>
      </c>
      <c r="Q8" s="31">
        <v>237857.6</v>
      </c>
      <c r="R8" s="31">
        <v>101.8</v>
      </c>
      <c r="S8" s="29">
        <f t="shared" si="3"/>
        <v>250810.19999999998</v>
      </c>
      <c r="T8" s="33">
        <f t="shared" si="4"/>
        <v>392799.39999999997</v>
      </c>
      <c r="U8" s="29">
        <f t="shared" si="5"/>
        <v>531745.29999999993</v>
      </c>
    </row>
    <row r="9" spans="1:16382" s="35" customFormat="1" ht="15.75">
      <c r="A9" s="39">
        <v>39692</v>
      </c>
      <c r="B9" s="30">
        <v>75833.299999999959</v>
      </c>
      <c r="C9" s="30">
        <v>106593.50000000003</v>
      </c>
      <c r="D9" s="30"/>
      <c r="E9" s="29">
        <f t="shared" si="0"/>
        <v>182426.8</v>
      </c>
      <c r="F9" s="30">
        <v>167686.39999999999</v>
      </c>
      <c r="G9" s="30">
        <v>44061</v>
      </c>
      <c r="H9" s="30" t="s">
        <v>2</v>
      </c>
      <c r="I9" s="30">
        <v>7787.3</v>
      </c>
      <c r="J9" s="30" t="s">
        <v>2</v>
      </c>
      <c r="K9" s="30" t="s">
        <v>2</v>
      </c>
      <c r="L9" s="31">
        <f t="shared" si="1"/>
        <v>219534.69999999998</v>
      </c>
      <c r="M9" s="30">
        <v>100053.9</v>
      </c>
      <c r="N9" s="29">
        <v>9456.2000000000007</v>
      </c>
      <c r="O9" s="31">
        <f t="shared" si="2"/>
        <v>110024.59999999999</v>
      </c>
      <c r="P9" s="36">
        <v>31552.799999999999</v>
      </c>
      <c r="Q9" s="31">
        <v>254099.09999999998</v>
      </c>
      <c r="R9" s="31">
        <v>93</v>
      </c>
      <c r="S9" s="29">
        <f t="shared" si="3"/>
        <v>285744.89999999997</v>
      </c>
      <c r="T9" s="33">
        <f t="shared" si="4"/>
        <v>395769.49999999994</v>
      </c>
      <c r="U9" s="29">
        <f t="shared" si="5"/>
        <v>578196.29999999993</v>
      </c>
    </row>
    <row r="10" spans="1:16382" s="35" customFormat="1" ht="15.75">
      <c r="A10" s="39">
        <v>39783</v>
      </c>
      <c r="B10" s="30">
        <v>159092.20000000007</v>
      </c>
      <c r="C10" s="30">
        <v>95759.5</v>
      </c>
      <c r="D10" s="30"/>
      <c r="E10" s="29">
        <f t="shared" si="0"/>
        <v>254851.70000000007</v>
      </c>
      <c r="F10" s="30">
        <v>170798.9</v>
      </c>
      <c r="G10" s="30">
        <v>58561</v>
      </c>
      <c r="H10" s="30" t="s">
        <v>2</v>
      </c>
      <c r="I10" s="30">
        <v>9544.5</v>
      </c>
      <c r="J10" s="30" t="s">
        <v>2</v>
      </c>
      <c r="K10" s="30" t="s">
        <v>2</v>
      </c>
      <c r="L10" s="31">
        <f t="shared" si="1"/>
        <v>238904.4</v>
      </c>
      <c r="M10" s="30">
        <v>125831.59999999999</v>
      </c>
      <c r="N10" s="29">
        <v>11736.2</v>
      </c>
      <c r="O10" s="31">
        <f t="shared" si="2"/>
        <v>101336.6</v>
      </c>
      <c r="P10" s="36">
        <v>21927.199999999997</v>
      </c>
      <c r="Q10" s="31">
        <v>261749.50000000003</v>
      </c>
      <c r="R10" s="31">
        <v>120.8</v>
      </c>
      <c r="S10" s="29">
        <f t="shared" si="3"/>
        <v>283797.5</v>
      </c>
      <c r="T10" s="33">
        <f t="shared" si="4"/>
        <v>385134.1</v>
      </c>
      <c r="U10" s="29">
        <f t="shared" si="5"/>
        <v>639985.80000000005</v>
      </c>
    </row>
    <row r="11" spans="1:16382" s="35" customFormat="1" ht="15.75">
      <c r="A11" s="39">
        <v>39873</v>
      </c>
      <c r="B11" s="30">
        <v>105784.50000000003</v>
      </c>
      <c r="C11" s="30">
        <v>92328.9</v>
      </c>
      <c r="D11" s="30"/>
      <c r="E11" s="29">
        <f t="shared" si="0"/>
        <v>198113.40000000002</v>
      </c>
      <c r="F11" s="30">
        <v>157525.1</v>
      </c>
      <c r="G11" s="30">
        <v>66253.7</v>
      </c>
      <c r="H11" s="30" t="s">
        <v>2</v>
      </c>
      <c r="I11" s="30">
        <v>6953.7</v>
      </c>
      <c r="J11" s="30" t="s">
        <v>2</v>
      </c>
      <c r="K11" s="30" t="s">
        <v>2</v>
      </c>
      <c r="L11" s="31">
        <f t="shared" si="1"/>
        <v>230732.5</v>
      </c>
      <c r="M11" s="30">
        <v>101779.5</v>
      </c>
      <c r="N11" s="29">
        <v>10745.9</v>
      </c>
      <c r="O11" s="31">
        <f t="shared" si="2"/>
        <v>118207.1</v>
      </c>
      <c r="P11" s="36">
        <v>12695.3</v>
      </c>
      <c r="Q11" s="31">
        <v>273015.60000000003</v>
      </c>
      <c r="R11" s="31">
        <v>126.7</v>
      </c>
      <c r="S11" s="29">
        <f t="shared" si="3"/>
        <v>285837.60000000003</v>
      </c>
      <c r="T11" s="33">
        <f t="shared" si="4"/>
        <v>404044.70000000007</v>
      </c>
      <c r="U11" s="29">
        <f t="shared" si="5"/>
        <v>602158.10000000009</v>
      </c>
    </row>
    <row r="12" spans="1:16382" s="35" customFormat="1" ht="15.75">
      <c r="A12" s="39">
        <v>39965</v>
      </c>
      <c r="B12" s="30">
        <v>148241.89999999997</v>
      </c>
      <c r="C12" s="30">
        <v>88724.5</v>
      </c>
      <c r="D12" s="30"/>
      <c r="E12" s="29">
        <f t="shared" si="0"/>
        <v>236966.39999999997</v>
      </c>
      <c r="F12" s="30">
        <v>153145.30000000002</v>
      </c>
      <c r="G12" s="30">
        <v>100670</v>
      </c>
      <c r="H12" s="30" t="s">
        <v>2</v>
      </c>
      <c r="I12" s="30">
        <v>9624.6</v>
      </c>
      <c r="J12" s="30" t="s">
        <v>2</v>
      </c>
      <c r="K12" s="30" t="s">
        <v>2</v>
      </c>
      <c r="L12" s="31">
        <f t="shared" si="1"/>
        <v>263439.90000000002</v>
      </c>
      <c r="M12" s="30">
        <v>125026.4</v>
      </c>
      <c r="N12" s="29">
        <v>13685.099999999999</v>
      </c>
      <c r="O12" s="31">
        <f t="shared" si="2"/>
        <v>124728.40000000002</v>
      </c>
      <c r="P12" s="36">
        <v>10443.4</v>
      </c>
      <c r="Q12" s="31">
        <v>285914.39999999997</v>
      </c>
      <c r="R12" s="31">
        <v>142.10000000000002</v>
      </c>
      <c r="S12" s="29">
        <f t="shared" si="3"/>
        <v>296499.89999999997</v>
      </c>
      <c r="T12" s="33">
        <f t="shared" si="4"/>
        <v>421228.3</v>
      </c>
      <c r="U12" s="29">
        <f t="shared" si="5"/>
        <v>658194.69999999995</v>
      </c>
    </row>
    <row r="13" spans="1:16382" s="35" customFormat="1" ht="15.75">
      <c r="A13" s="39">
        <v>40057</v>
      </c>
      <c r="B13" s="30">
        <v>133943.70000000004</v>
      </c>
      <c r="C13" s="30">
        <v>88222.400000000009</v>
      </c>
      <c r="D13" s="30"/>
      <c r="E13" s="29">
        <f t="shared" si="0"/>
        <v>222166.10000000003</v>
      </c>
      <c r="F13" s="30">
        <v>138074.1</v>
      </c>
      <c r="G13" s="30">
        <v>111702.90000000001</v>
      </c>
      <c r="H13" s="30" t="s">
        <v>2</v>
      </c>
      <c r="I13" s="30">
        <v>6331.8</v>
      </c>
      <c r="J13" s="30" t="s">
        <v>2</v>
      </c>
      <c r="K13" s="30" t="s">
        <v>2</v>
      </c>
      <c r="L13" s="31">
        <f t="shared" si="1"/>
        <v>256108.79999999999</v>
      </c>
      <c r="M13" s="30">
        <v>103935.40000000001</v>
      </c>
      <c r="N13" s="29">
        <v>13697.7</v>
      </c>
      <c r="O13" s="31">
        <f t="shared" si="2"/>
        <v>138475.69999999995</v>
      </c>
      <c r="P13" s="36">
        <v>13712.800000000001</v>
      </c>
      <c r="Q13" s="31">
        <v>303197.90000000002</v>
      </c>
      <c r="R13" s="31">
        <v>396.70000000000005</v>
      </c>
      <c r="S13" s="29">
        <f t="shared" si="3"/>
        <v>317307.40000000002</v>
      </c>
      <c r="T13" s="33">
        <f t="shared" si="4"/>
        <v>455783.1</v>
      </c>
      <c r="U13" s="29">
        <f t="shared" si="5"/>
        <v>677949.2</v>
      </c>
    </row>
    <row r="14" spans="1:16382" s="35" customFormat="1" ht="15.75">
      <c r="A14" s="39">
        <v>40148</v>
      </c>
      <c r="B14" s="30">
        <v>144966.20000000007</v>
      </c>
      <c r="C14" s="30">
        <v>119531.40000000002</v>
      </c>
      <c r="D14" s="30"/>
      <c r="E14" s="29">
        <f t="shared" si="0"/>
        <v>264497.60000000009</v>
      </c>
      <c r="F14" s="30">
        <v>215622.30000000002</v>
      </c>
      <c r="G14" s="30">
        <v>100072.8</v>
      </c>
      <c r="H14" s="30" t="s">
        <v>2</v>
      </c>
      <c r="I14" s="30">
        <v>11255.3</v>
      </c>
      <c r="J14" s="30" t="s">
        <v>2</v>
      </c>
      <c r="K14" s="30" t="s">
        <v>2</v>
      </c>
      <c r="L14" s="31">
        <f t="shared" si="1"/>
        <v>326950.40000000002</v>
      </c>
      <c r="M14" s="30">
        <v>133925.09999999998</v>
      </c>
      <c r="N14" s="29">
        <v>14842.5</v>
      </c>
      <c r="O14" s="31">
        <f t="shared" si="2"/>
        <v>178182.80000000005</v>
      </c>
      <c r="P14" s="36">
        <v>8440.7000000000007</v>
      </c>
      <c r="Q14" s="31">
        <v>321233.5</v>
      </c>
      <c r="R14" s="31">
        <v>497.1</v>
      </c>
      <c r="S14" s="29">
        <f t="shared" si="3"/>
        <v>330171.3</v>
      </c>
      <c r="T14" s="33">
        <f t="shared" si="4"/>
        <v>508354.10000000003</v>
      </c>
      <c r="U14" s="29">
        <f t="shared" si="5"/>
        <v>772851.70000000019</v>
      </c>
    </row>
    <row r="15" spans="1:16382" s="35" customFormat="1" ht="15.75">
      <c r="A15" s="39">
        <v>40238</v>
      </c>
      <c r="B15" s="30">
        <v>136213.69999999992</v>
      </c>
      <c r="C15" s="30">
        <v>122176.10000000003</v>
      </c>
      <c r="D15" s="30"/>
      <c r="E15" s="29">
        <f t="shared" si="0"/>
        <v>258389.79999999996</v>
      </c>
      <c r="F15" s="30">
        <v>154941.59999999998</v>
      </c>
      <c r="G15" s="30">
        <v>114821.4</v>
      </c>
      <c r="H15" s="30" t="s">
        <v>2</v>
      </c>
      <c r="I15" s="30">
        <v>8598.3000000000011</v>
      </c>
      <c r="J15" s="30">
        <v>18525</v>
      </c>
      <c r="K15" s="30" t="s">
        <v>2</v>
      </c>
      <c r="L15" s="31">
        <f t="shared" si="1"/>
        <v>296886.3</v>
      </c>
      <c r="M15" s="30">
        <v>137174.40000000002</v>
      </c>
      <c r="N15" s="29">
        <v>15411</v>
      </c>
      <c r="O15" s="31">
        <f t="shared" si="2"/>
        <v>144300.89999999997</v>
      </c>
      <c r="P15" s="36">
        <v>6418.5000000000009</v>
      </c>
      <c r="Q15" s="31">
        <v>342239.60000000003</v>
      </c>
      <c r="R15" s="31">
        <v>462.8</v>
      </c>
      <c r="S15" s="29">
        <f t="shared" si="3"/>
        <v>349120.9</v>
      </c>
      <c r="T15" s="33">
        <f t="shared" si="4"/>
        <v>493421.8</v>
      </c>
      <c r="U15" s="29">
        <f t="shared" si="5"/>
        <v>751811.6</v>
      </c>
    </row>
    <row r="16" spans="1:16382" s="35" customFormat="1" ht="15.75">
      <c r="A16" s="39">
        <v>40330</v>
      </c>
      <c r="B16" s="30">
        <v>94137.999999999971</v>
      </c>
      <c r="C16" s="30">
        <v>102210.99999999997</v>
      </c>
      <c r="D16" s="30"/>
      <c r="E16" s="29">
        <f t="shared" si="0"/>
        <v>196348.99999999994</v>
      </c>
      <c r="F16" s="30">
        <v>33331.199999999997</v>
      </c>
      <c r="G16" s="30">
        <v>79001.5</v>
      </c>
      <c r="H16" s="30" t="s">
        <v>2</v>
      </c>
      <c r="I16" s="30">
        <v>9787.6999999999989</v>
      </c>
      <c r="J16" s="30">
        <v>40525</v>
      </c>
      <c r="K16" s="30">
        <v>146979.70000000001</v>
      </c>
      <c r="L16" s="31">
        <f t="shared" si="1"/>
        <v>309625.09999999998</v>
      </c>
      <c r="M16" s="30">
        <v>114248.4</v>
      </c>
      <c r="N16" s="29">
        <v>15094.000000000002</v>
      </c>
      <c r="O16" s="31">
        <f t="shared" si="2"/>
        <v>180282.69999999998</v>
      </c>
      <c r="P16" s="36">
        <v>9789</v>
      </c>
      <c r="Q16" s="31">
        <v>378377.39999999997</v>
      </c>
      <c r="R16" s="31">
        <v>512.09999999999991</v>
      </c>
      <c r="S16" s="29">
        <f t="shared" si="3"/>
        <v>388678.49999999994</v>
      </c>
      <c r="T16" s="33">
        <f t="shared" si="4"/>
        <v>568961.19999999995</v>
      </c>
      <c r="U16" s="29">
        <f t="shared" si="5"/>
        <v>765310.2</v>
      </c>
    </row>
    <row r="17" spans="1:21" s="35" customFormat="1" ht="15.75">
      <c r="A17" s="39">
        <v>40422</v>
      </c>
      <c r="B17" s="30">
        <v>69547.100000000035</v>
      </c>
      <c r="C17" s="30">
        <v>98149.299999999988</v>
      </c>
      <c r="D17" s="30"/>
      <c r="E17" s="29">
        <f t="shared" si="0"/>
        <v>167696.40000000002</v>
      </c>
      <c r="F17" s="30">
        <v>37014.199999999997</v>
      </c>
      <c r="G17" s="30">
        <v>97609.1</v>
      </c>
      <c r="H17" s="30" t="s">
        <v>2</v>
      </c>
      <c r="I17" s="30">
        <v>9655.2999999999993</v>
      </c>
      <c r="J17" s="30">
        <v>50525</v>
      </c>
      <c r="K17" s="30">
        <v>146055.29999999999</v>
      </c>
      <c r="L17" s="31">
        <f t="shared" si="1"/>
        <v>340858.89999999997</v>
      </c>
      <c r="M17" s="30">
        <v>108989</v>
      </c>
      <c r="N17" s="29">
        <v>13247.7</v>
      </c>
      <c r="O17" s="31">
        <f t="shared" si="2"/>
        <v>218622.19999999995</v>
      </c>
      <c r="P17" s="36">
        <v>21154.600000000002</v>
      </c>
      <c r="Q17" s="31">
        <v>401374.89999999997</v>
      </c>
      <c r="R17" s="31">
        <v>647.79999999999995</v>
      </c>
      <c r="S17" s="29">
        <f t="shared" si="3"/>
        <v>423177.29999999993</v>
      </c>
      <c r="T17" s="33">
        <f t="shared" si="4"/>
        <v>641799.49999999988</v>
      </c>
      <c r="U17" s="29">
        <f t="shared" si="5"/>
        <v>809495.89999999991</v>
      </c>
    </row>
    <row r="18" spans="1:21" s="35" customFormat="1" ht="15.75">
      <c r="A18" s="39">
        <v>40513</v>
      </c>
      <c r="B18" s="30">
        <v>141613.59999999998</v>
      </c>
      <c r="C18" s="30">
        <v>112437.40000000001</v>
      </c>
      <c r="D18" s="30"/>
      <c r="E18" s="29">
        <f t="shared" si="0"/>
        <v>254051</v>
      </c>
      <c r="F18" s="30">
        <v>19134.2</v>
      </c>
      <c r="G18" s="30">
        <v>109104.5</v>
      </c>
      <c r="H18" s="30" t="s">
        <v>2</v>
      </c>
      <c r="I18" s="30">
        <v>14177.3</v>
      </c>
      <c r="J18" s="30">
        <v>88925</v>
      </c>
      <c r="K18" s="30">
        <v>145130.9</v>
      </c>
      <c r="L18" s="31">
        <f t="shared" si="1"/>
        <v>376471.9</v>
      </c>
      <c r="M18" s="30">
        <v>154442.40000000002</v>
      </c>
      <c r="N18" s="29">
        <v>11748.2</v>
      </c>
      <c r="O18" s="31">
        <f t="shared" si="2"/>
        <v>210281.3</v>
      </c>
      <c r="P18" s="36">
        <v>8682.2000000000007</v>
      </c>
      <c r="Q18" s="31">
        <v>460562.3</v>
      </c>
      <c r="R18" s="31">
        <v>599.4</v>
      </c>
      <c r="S18" s="29">
        <f t="shared" si="3"/>
        <v>469843.9</v>
      </c>
      <c r="T18" s="33">
        <f t="shared" si="4"/>
        <v>680125.2</v>
      </c>
      <c r="U18" s="29">
        <f t="shared" si="5"/>
        <v>934176.2</v>
      </c>
    </row>
    <row r="19" spans="1:21" s="35" customFormat="1" ht="15.75">
      <c r="A19" s="39">
        <v>40603</v>
      </c>
      <c r="B19" s="30">
        <v>143339.09999999998</v>
      </c>
      <c r="C19" s="30">
        <v>104483.19999999995</v>
      </c>
      <c r="D19" s="30"/>
      <c r="E19" s="29">
        <f t="shared" si="0"/>
        <v>247822.29999999993</v>
      </c>
      <c r="F19" s="30">
        <v>2480.5</v>
      </c>
      <c r="G19" s="30">
        <v>119566.29999999999</v>
      </c>
      <c r="H19" s="30" t="s">
        <v>2</v>
      </c>
      <c r="I19" s="30">
        <v>12695.1</v>
      </c>
      <c r="J19" s="30">
        <v>74325</v>
      </c>
      <c r="K19" s="30">
        <v>144206.6</v>
      </c>
      <c r="L19" s="31">
        <f t="shared" si="1"/>
        <v>353273.5</v>
      </c>
      <c r="M19" s="30">
        <v>168004.45</v>
      </c>
      <c r="N19" s="29">
        <v>9395.7999999999993</v>
      </c>
      <c r="O19" s="31">
        <f t="shared" si="2"/>
        <v>175873.25</v>
      </c>
      <c r="P19" s="36">
        <v>6471.0000000000009</v>
      </c>
      <c r="Q19" s="31">
        <v>493087.8</v>
      </c>
      <c r="R19" s="31">
        <v>599</v>
      </c>
      <c r="S19" s="29">
        <f t="shared" si="3"/>
        <v>500157.8</v>
      </c>
      <c r="T19" s="33">
        <f t="shared" si="4"/>
        <v>676031.05</v>
      </c>
      <c r="U19" s="29">
        <f t="shared" si="5"/>
        <v>923853.35</v>
      </c>
    </row>
    <row r="20" spans="1:21" s="35" customFormat="1" ht="15.75">
      <c r="A20" s="39">
        <v>40695</v>
      </c>
      <c r="B20" s="30">
        <v>133383.10000000003</v>
      </c>
      <c r="C20" s="30">
        <v>90655.799999999988</v>
      </c>
      <c r="D20" s="30"/>
      <c r="E20" s="29">
        <f t="shared" si="0"/>
        <v>224038.90000000002</v>
      </c>
      <c r="F20" s="30">
        <v>24462.799999999999</v>
      </c>
      <c r="G20" s="30">
        <v>117440.9</v>
      </c>
      <c r="H20" s="30" t="s">
        <v>2</v>
      </c>
      <c r="I20" s="30">
        <v>17897.8</v>
      </c>
      <c r="J20" s="30">
        <v>74325</v>
      </c>
      <c r="K20" s="30">
        <v>143282.1</v>
      </c>
      <c r="L20" s="31">
        <f t="shared" si="1"/>
        <v>377408.6</v>
      </c>
      <c r="M20" s="30">
        <v>178132.2</v>
      </c>
      <c r="N20" s="29">
        <v>12941</v>
      </c>
      <c r="O20" s="31">
        <f t="shared" si="2"/>
        <v>186335.39999999997</v>
      </c>
      <c r="P20" s="36">
        <v>5148.5000000000009</v>
      </c>
      <c r="Q20" s="31">
        <v>552170.20000000007</v>
      </c>
      <c r="R20" s="31">
        <v>597.5</v>
      </c>
      <c r="S20" s="29">
        <f t="shared" si="3"/>
        <v>557916.20000000007</v>
      </c>
      <c r="T20" s="33">
        <f t="shared" si="4"/>
        <v>744251.60000000009</v>
      </c>
      <c r="U20" s="29">
        <f t="shared" si="5"/>
        <v>968290.50000000012</v>
      </c>
    </row>
    <row r="21" spans="1:21" s="35" customFormat="1" ht="15.75">
      <c r="A21" s="39">
        <v>40787</v>
      </c>
      <c r="B21" s="30">
        <v>81241.400000000023</v>
      </c>
      <c r="C21" s="30">
        <v>88234.400000000023</v>
      </c>
      <c r="D21" s="30"/>
      <c r="E21" s="29">
        <f t="shared" si="0"/>
        <v>169475.80000000005</v>
      </c>
      <c r="F21" s="30">
        <v>29256.3</v>
      </c>
      <c r="G21" s="30">
        <v>106984.4</v>
      </c>
      <c r="H21" s="30" t="s">
        <v>2</v>
      </c>
      <c r="I21" s="30">
        <v>12911.2</v>
      </c>
      <c r="J21" s="30">
        <v>74325</v>
      </c>
      <c r="K21" s="30">
        <v>142357.70000000001</v>
      </c>
      <c r="L21" s="31">
        <f t="shared" si="1"/>
        <v>365834.6</v>
      </c>
      <c r="M21" s="30">
        <v>152796.54999999999</v>
      </c>
      <c r="N21" s="29">
        <v>13503.9</v>
      </c>
      <c r="O21" s="31">
        <f t="shared" si="2"/>
        <v>199534.15</v>
      </c>
      <c r="P21" s="36">
        <v>8482.0999999999985</v>
      </c>
      <c r="Q21" s="31">
        <v>592674.85</v>
      </c>
      <c r="R21" s="31">
        <v>1019.5999999999999</v>
      </c>
      <c r="S21" s="29">
        <f t="shared" si="3"/>
        <v>602176.54999999993</v>
      </c>
      <c r="T21" s="33">
        <f t="shared" si="4"/>
        <v>801710.7</v>
      </c>
      <c r="U21" s="29">
        <f t="shared" si="5"/>
        <v>971186.5</v>
      </c>
    </row>
    <row r="22" spans="1:21" s="35" customFormat="1" ht="15.75">
      <c r="A22" s="39">
        <v>40878</v>
      </c>
      <c r="B22" s="30">
        <v>82293.999999999942</v>
      </c>
      <c r="C22" s="30">
        <v>123231.6</v>
      </c>
      <c r="D22" s="30"/>
      <c r="E22" s="29">
        <f t="shared" si="0"/>
        <v>205525.59999999995</v>
      </c>
      <c r="F22" s="30">
        <v>86260.6</v>
      </c>
      <c r="G22" s="30">
        <v>84484.4</v>
      </c>
      <c r="H22" s="30" t="s">
        <v>2</v>
      </c>
      <c r="I22" s="30">
        <v>14746.9</v>
      </c>
      <c r="J22" s="30">
        <v>94325</v>
      </c>
      <c r="K22" s="30">
        <v>141433.29999999999</v>
      </c>
      <c r="L22" s="31">
        <f t="shared" si="1"/>
        <v>421250.2</v>
      </c>
      <c r="M22" s="30">
        <v>175708.5</v>
      </c>
      <c r="N22" s="29">
        <v>14154.1</v>
      </c>
      <c r="O22" s="31">
        <f t="shared" si="2"/>
        <v>231387.6</v>
      </c>
      <c r="P22" s="36">
        <v>4009.9000000000005</v>
      </c>
      <c r="Q22" s="31">
        <v>612267</v>
      </c>
      <c r="R22" s="31">
        <v>1021.9000000000001</v>
      </c>
      <c r="S22" s="29">
        <f t="shared" si="3"/>
        <v>617298.80000000005</v>
      </c>
      <c r="T22" s="33">
        <f t="shared" si="4"/>
        <v>848686.4</v>
      </c>
      <c r="U22" s="29">
        <f t="shared" si="5"/>
        <v>1054212</v>
      </c>
    </row>
    <row r="23" spans="1:21" s="35" customFormat="1" ht="15.75">
      <c r="A23" s="39">
        <v>40969</v>
      </c>
      <c r="B23" s="30">
        <v>67729.100000000093</v>
      </c>
      <c r="C23" s="30">
        <v>118491.8</v>
      </c>
      <c r="D23" s="30"/>
      <c r="E23" s="29">
        <f t="shared" si="0"/>
        <v>186220.90000000008</v>
      </c>
      <c r="F23" s="30">
        <v>41361.199999999997</v>
      </c>
      <c r="G23" s="30">
        <v>72751.099999999991</v>
      </c>
      <c r="H23" s="30" t="s">
        <v>2</v>
      </c>
      <c r="I23" s="30">
        <v>16271.5</v>
      </c>
      <c r="J23" s="30">
        <v>94325</v>
      </c>
      <c r="K23" s="30">
        <v>140508.9</v>
      </c>
      <c r="L23" s="31">
        <f t="shared" si="1"/>
        <v>365217.69999999995</v>
      </c>
      <c r="M23" s="30">
        <v>189874.75</v>
      </c>
      <c r="N23" s="29">
        <v>16840.8</v>
      </c>
      <c r="O23" s="31">
        <f t="shared" si="2"/>
        <v>158502.14999999997</v>
      </c>
      <c r="P23" s="36">
        <v>11397</v>
      </c>
      <c r="Q23" s="31">
        <v>625626.10000000009</v>
      </c>
      <c r="R23" s="31">
        <v>943.4</v>
      </c>
      <c r="S23" s="29">
        <f t="shared" si="3"/>
        <v>637966.50000000012</v>
      </c>
      <c r="T23" s="33">
        <f t="shared" si="4"/>
        <v>796468.65000000014</v>
      </c>
      <c r="U23" s="29">
        <f t="shared" si="5"/>
        <v>982689.55000000028</v>
      </c>
    </row>
    <row r="24" spans="1:21" s="35" customFormat="1" ht="15.75">
      <c r="A24" s="39">
        <v>41061</v>
      </c>
      <c r="B24" s="30">
        <v>49308</v>
      </c>
      <c r="C24" s="30">
        <v>78556.900000000023</v>
      </c>
      <c r="D24" s="30"/>
      <c r="E24" s="29">
        <f t="shared" si="0"/>
        <v>127864.90000000002</v>
      </c>
      <c r="F24" s="30">
        <v>49375</v>
      </c>
      <c r="G24" s="30">
        <v>63101.1</v>
      </c>
      <c r="H24" s="30" t="s">
        <v>2</v>
      </c>
      <c r="I24" s="30">
        <v>18502.399999999998</v>
      </c>
      <c r="J24" s="30">
        <v>94325</v>
      </c>
      <c r="K24" s="30">
        <v>139584.5</v>
      </c>
      <c r="L24" s="31">
        <f t="shared" si="1"/>
        <v>364888</v>
      </c>
      <c r="M24" s="30">
        <v>146789.10000000003</v>
      </c>
      <c r="N24" s="29">
        <v>13565.2</v>
      </c>
      <c r="O24" s="31">
        <f t="shared" si="2"/>
        <v>204533.69999999995</v>
      </c>
      <c r="P24" s="36">
        <v>16232.4</v>
      </c>
      <c r="Q24" s="31">
        <v>681196.70000000007</v>
      </c>
      <c r="R24" s="31">
        <v>1005.8</v>
      </c>
      <c r="S24" s="29">
        <f t="shared" si="3"/>
        <v>698434.90000000014</v>
      </c>
      <c r="T24" s="33">
        <f t="shared" si="4"/>
        <v>902968.60000000009</v>
      </c>
      <c r="U24" s="29">
        <f t="shared" si="5"/>
        <v>1030833.5000000001</v>
      </c>
    </row>
    <row r="25" spans="1:21" s="35" customFormat="1" ht="15.75">
      <c r="A25" s="39">
        <v>41153</v>
      </c>
      <c r="B25" s="30">
        <v>55414.5</v>
      </c>
      <c r="C25" s="30">
        <v>105595.80000000003</v>
      </c>
      <c r="D25" s="30"/>
      <c r="E25" s="29">
        <f t="shared" si="0"/>
        <v>161010.30000000005</v>
      </c>
      <c r="F25" s="30">
        <v>51763.199999999997</v>
      </c>
      <c r="G25" s="30">
        <v>38166.800000000003</v>
      </c>
      <c r="H25" s="30" t="s">
        <v>2</v>
      </c>
      <c r="I25" s="30">
        <v>13870.5</v>
      </c>
      <c r="J25" s="30">
        <v>108925</v>
      </c>
      <c r="K25" s="30">
        <v>138968.29999999999</v>
      </c>
      <c r="L25" s="31">
        <f t="shared" si="1"/>
        <v>351693.8</v>
      </c>
      <c r="M25" s="30">
        <v>133972.04999999999</v>
      </c>
      <c r="N25" s="29">
        <v>15255.2</v>
      </c>
      <c r="O25" s="31">
        <f t="shared" si="2"/>
        <v>202466.55</v>
      </c>
      <c r="P25" s="36">
        <v>24945.899999999998</v>
      </c>
      <c r="Q25" s="31">
        <v>685471.85000000009</v>
      </c>
      <c r="R25" s="31">
        <v>1059.5</v>
      </c>
      <c r="S25" s="29">
        <f t="shared" si="3"/>
        <v>711477.25000000012</v>
      </c>
      <c r="T25" s="33">
        <f t="shared" si="4"/>
        <v>913943.8</v>
      </c>
      <c r="U25" s="29">
        <f t="shared" si="5"/>
        <v>1074954.1000000001</v>
      </c>
    </row>
    <row r="26" spans="1:21" s="35" customFormat="1" ht="15.75">
      <c r="A26" s="39">
        <v>41244</v>
      </c>
      <c r="B26" s="30">
        <v>66928.900000000023</v>
      </c>
      <c r="C26" s="30">
        <v>129708.8</v>
      </c>
      <c r="D26" s="30"/>
      <c r="E26" s="29">
        <f t="shared" si="0"/>
        <v>196637.7</v>
      </c>
      <c r="F26" s="30">
        <v>155251.9</v>
      </c>
      <c r="G26" s="30">
        <v>49024.3</v>
      </c>
      <c r="H26" s="30"/>
      <c r="I26" s="30">
        <v>17982.599999999999</v>
      </c>
      <c r="J26" s="30">
        <v>117037.4</v>
      </c>
      <c r="K26" s="30">
        <v>137735.70000000001</v>
      </c>
      <c r="L26" s="31">
        <f t="shared" si="1"/>
        <v>477031.9</v>
      </c>
      <c r="M26" s="30">
        <v>182803.7</v>
      </c>
      <c r="N26" s="29">
        <v>18296</v>
      </c>
      <c r="O26" s="31">
        <f t="shared" si="2"/>
        <v>275932.2</v>
      </c>
      <c r="P26" s="36">
        <v>24157.200000000001</v>
      </c>
      <c r="Q26" s="31">
        <v>683891.70000000007</v>
      </c>
      <c r="R26" s="31">
        <v>1057.9000000000001</v>
      </c>
      <c r="S26" s="29">
        <f t="shared" si="3"/>
        <v>709106.8</v>
      </c>
      <c r="T26" s="33">
        <f t="shared" si="4"/>
        <v>985039</v>
      </c>
      <c r="U26" s="29">
        <f t="shared" si="5"/>
        <v>1181676.7</v>
      </c>
    </row>
    <row r="27" spans="1:21" s="35" customFormat="1" ht="15.75">
      <c r="A27" s="39">
        <v>41334</v>
      </c>
      <c r="B27" s="30">
        <v>48746.900000000081</v>
      </c>
      <c r="C27" s="30">
        <v>149107.00000000003</v>
      </c>
      <c r="D27" s="30">
        <v>-24.299999999999997</v>
      </c>
      <c r="E27" s="29">
        <f t="shared" si="0"/>
        <v>197829.60000000012</v>
      </c>
      <c r="F27" s="30" t="s">
        <v>2</v>
      </c>
      <c r="G27" s="30">
        <v>47334.399999999994</v>
      </c>
      <c r="H27" s="30"/>
      <c r="I27" s="30">
        <v>18914.7</v>
      </c>
      <c r="J27" s="30">
        <v>112857.5</v>
      </c>
      <c r="K27" s="30">
        <v>292063.09999999998</v>
      </c>
      <c r="L27" s="31">
        <f t="shared" si="1"/>
        <v>471169.69999999995</v>
      </c>
      <c r="M27" s="30">
        <v>207006.84999999998</v>
      </c>
      <c r="N27" s="29">
        <v>23122.7</v>
      </c>
      <c r="O27" s="31">
        <f t="shared" si="2"/>
        <v>241040.14999999997</v>
      </c>
      <c r="P27" s="36">
        <v>27027.699999999997</v>
      </c>
      <c r="Q27" s="31">
        <v>720855.35</v>
      </c>
      <c r="R27" s="31">
        <v>1398.1999999999998</v>
      </c>
      <c r="S27" s="29">
        <f t="shared" si="3"/>
        <v>749281.24999999988</v>
      </c>
      <c r="T27" s="33">
        <f t="shared" si="4"/>
        <v>990321.39999999991</v>
      </c>
      <c r="U27" s="29">
        <f t="shared" si="5"/>
        <v>1188151</v>
      </c>
    </row>
    <row r="28" spans="1:21" s="35" customFormat="1" ht="15.75">
      <c r="A28" s="39">
        <v>41426</v>
      </c>
      <c r="B28" s="30">
        <v>56965.400000000081</v>
      </c>
      <c r="C28" s="30">
        <v>101928.40000000002</v>
      </c>
      <c r="D28" s="30">
        <v>-48.599999999999994</v>
      </c>
      <c r="E28" s="29">
        <f t="shared" ref="E28:E50" si="6">SUM(B28:D28)</f>
        <v>158845.2000000001</v>
      </c>
      <c r="F28" s="30" t="s">
        <v>2</v>
      </c>
      <c r="G28" s="30">
        <v>70934.600000000006</v>
      </c>
      <c r="H28" s="30"/>
      <c r="I28" s="30">
        <v>18757.3</v>
      </c>
      <c r="J28" s="30">
        <v>108677.6</v>
      </c>
      <c r="K28" s="30">
        <v>291138.8</v>
      </c>
      <c r="L28" s="31">
        <f t="shared" ref="L28:L50" si="7">SUM(F28:K28)</f>
        <v>489508.3</v>
      </c>
      <c r="M28" s="30">
        <v>190482.9</v>
      </c>
      <c r="N28" s="29">
        <v>15910.9</v>
      </c>
      <c r="O28" s="31">
        <f t="shared" ref="O28:O50" si="8">L28-M28-N28</f>
        <v>283114.5</v>
      </c>
      <c r="P28" s="36">
        <v>30429.199999999997</v>
      </c>
      <c r="Q28" s="31">
        <v>726941.90000000014</v>
      </c>
      <c r="R28" s="31">
        <v>1401.7</v>
      </c>
      <c r="S28" s="29">
        <f t="shared" ref="S28:S73" si="9">SUM(P28:R28)</f>
        <v>758772.8</v>
      </c>
      <c r="T28" s="33">
        <f t="shared" ref="T28:T50" si="10">S28+O28</f>
        <v>1041887.3</v>
      </c>
      <c r="U28" s="29">
        <f t="shared" ref="U28:U50" si="11">T28+E28</f>
        <v>1200732.5000000002</v>
      </c>
    </row>
    <row r="29" spans="1:21" s="35" customFormat="1" ht="15.75">
      <c r="A29" s="39">
        <v>41518</v>
      </c>
      <c r="B29" s="30">
        <v>78410.799999999988</v>
      </c>
      <c r="C29" s="30">
        <v>86375.500000000015</v>
      </c>
      <c r="D29" s="30">
        <v>-72.899999999999991</v>
      </c>
      <c r="E29" s="29">
        <f t="shared" si="6"/>
        <v>164713.4</v>
      </c>
      <c r="F29" s="30" t="s">
        <v>2</v>
      </c>
      <c r="G29" s="30">
        <v>104499.4</v>
      </c>
      <c r="H29" s="30"/>
      <c r="I29" s="30">
        <v>22464.7</v>
      </c>
      <c r="J29" s="30">
        <v>107284.3</v>
      </c>
      <c r="K29" s="30">
        <v>290214.40000000002</v>
      </c>
      <c r="L29" s="31">
        <f t="shared" si="7"/>
        <v>524462.80000000005</v>
      </c>
      <c r="M29" s="30">
        <v>213218.7</v>
      </c>
      <c r="N29" s="29">
        <v>21460.2</v>
      </c>
      <c r="O29" s="31">
        <f t="shared" si="8"/>
        <v>289783.90000000002</v>
      </c>
      <c r="P29" s="36">
        <v>36136.950000000004</v>
      </c>
      <c r="Q29" s="31">
        <v>759532.1</v>
      </c>
      <c r="R29" s="31">
        <v>2197.5</v>
      </c>
      <c r="S29" s="29">
        <f t="shared" si="9"/>
        <v>797866.54999999993</v>
      </c>
      <c r="T29" s="33">
        <f t="shared" si="10"/>
        <v>1087650.45</v>
      </c>
      <c r="U29" s="29">
        <f t="shared" si="11"/>
        <v>1252363.8499999999</v>
      </c>
    </row>
    <row r="30" spans="1:21" s="35" customFormat="1" ht="15.75">
      <c r="A30" s="39">
        <v>41609</v>
      </c>
      <c r="B30" s="30">
        <v>118133.79999999993</v>
      </c>
      <c r="C30" s="30">
        <v>111622.29999999997</v>
      </c>
      <c r="D30" s="30">
        <v>-97.2</v>
      </c>
      <c r="E30" s="29">
        <f t="shared" si="6"/>
        <v>229658.89999999991</v>
      </c>
      <c r="F30" s="30" t="s">
        <v>2</v>
      </c>
      <c r="G30" s="30">
        <v>109019.90000000001</v>
      </c>
      <c r="H30" s="30"/>
      <c r="I30" s="30">
        <v>18506.300000000003</v>
      </c>
      <c r="J30" s="30">
        <v>107284.3</v>
      </c>
      <c r="K30" s="30">
        <v>289290</v>
      </c>
      <c r="L30" s="31">
        <f t="shared" si="7"/>
        <v>524100.5</v>
      </c>
      <c r="M30" s="30">
        <v>227012.90000000002</v>
      </c>
      <c r="N30" s="29">
        <v>23790.1</v>
      </c>
      <c r="O30" s="31">
        <f t="shared" si="8"/>
        <v>273297.5</v>
      </c>
      <c r="P30" s="36">
        <v>36129.5</v>
      </c>
      <c r="Q30" s="31">
        <v>743181.20000000019</v>
      </c>
      <c r="R30" s="31">
        <v>2469.1999999999998</v>
      </c>
      <c r="S30" s="29">
        <f t="shared" si="9"/>
        <v>781779.90000000014</v>
      </c>
      <c r="T30" s="33">
        <f t="shared" si="10"/>
        <v>1055077.4000000001</v>
      </c>
      <c r="U30" s="29">
        <f t="shared" si="11"/>
        <v>1284736.3</v>
      </c>
    </row>
    <row r="31" spans="1:21" s="35" customFormat="1" ht="15.75">
      <c r="A31" s="39">
        <v>41699</v>
      </c>
      <c r="B31" s="30">
        <v>95018.600000000035</v>
      </c>
      <c r="C31" s="30">
        <v>115929.5</v>
      </c>
      <c r="D31" s="30">
        <v>-97.15</v>
      </c>
      <c r="E31" s="29">
        <f t="shared" si="6"/>
        <v>210850.95000000004</v>
      </c>
      <c r="F31" s="30">
        <v>8513</v>
      </c>
      <c r="G31" s="30">
        <v>108771.9</v>
      </c>
      <c r="H31" s="30"/>
      <c r="I31" s="30">
        <v>13380.9</v>
      </c>
      <c r="J31" s="30">
        <v>107284.3</v>
      </c>
      <c r="K31" s="30">
        <v>288673.7</v>
      </c>
      <c r="L31" s="31">
        <f t="shared" si="7"/>
        <v>526623.80000000005</v>
      </c>
      <c r="M31" s="30">
        <v>226231.92499999999</v>
      </c>
      <c r="N31" s="29">
        <v>17505.000000000004</v>
      </c>
      <c r="O31" s="31">
        <f t="shared" si="8"/>
        <v>282886.87500000006</v>
      </c>
      <c r="P31" s="36">
        <v>35670.550000000003</v>
      </c>
      <c r="Q31" s="31">
        <v>743101.375</v>
      </c>
      <c r="R31" s="31">
        <v>3128.7000000000003</v>
      </c>
      <c r="S31" s="29">
        <f t="shared" si="9"/>
        <v>781900.625</v>
      </c>
      <c r="T31" s="33">
        <f t="shared" si="10"/>
        <v>1064787.5</v>
      </c>
      <c r="U31" s="29">
        <f t="shared" si="11"/>
        <v>1275638.45</v>
      </c>
    </row>
    <row r="32" spans="1:21" s="35" customFormat="1" ht="15.75">
      <c r="A32" s="39">
        <v>41791</v>
      </c>
      <c r="B32" s="30">
        <v>89071.500000000116</v>
      </c>
      <c r="C32" s="30">
        <v>95701.300000000032</v>
      </c>
      <c r="D32" s="30">
        <v>-97.1</v>
      </c>
      <c r="E32" s="29">
        <f t="shared" si="6"/>
        <v>184675.70000000016</v>
      </c>
      <c r="F32" s="30">
        <v>39309.599999999999</v>
      </c>
      <c r="G32" s="30">
        <v>134209.09999999998</v>
      </c>
      <c r="H32" s="30"/>
      <c r="I32" s="30">
        <v>19161.199999999997</v>
      </c>
      <c r="J32" s="30">
        <v>107284.3</v>
      </c>
      <c r="K32" s="30">
        <v>287441.19999999995</v>
      </c>
      <c r="L32" s="31">
        <f t="shared" si="7"/>
        <v>587405.39999999991</v>
      </c>
      <c r="M32" s="30">
        <v>210539.85</v>
      </c>
      <c r="N32" s="29">
        <v>17287.8</v>
      </c>
      <c r="O32" s="31">
        <f t="shared" si="8"/>
        <v>359577.74999999994</v>
      </c>
      <c r="P32" s="36">
        <v>41979.700000000004</v>
      </c>
      <c r="Q32" s="31">
        <v>766726.45000000007</v>
      </c>
      <c r="R32" s="31">
        <v>3154.2</v>
      </c>
      <c r="S32" s="29">
        <f t="shared" si="9"/>
        <v>811860.35</v>
      </c>
      <c r="T32" s="33">
        <f t="shared" si="10"/>
        <v>1171438.0999999999</v>
      </c>
      <c r="U32" s="29">
        <f t="shared" si="11"/>
        <v>1356113.8</v>
      </c>
    </row>
    <row r="33" spans="1:21" s="35" customFormat="1" ht="15.75">
      <c r="A33" s="39">
        <v>41883</v>
      </c>
      <c r="B33" s="30">
        <v>142837.30000000005</v>
      </c>
      <c r="C33" s="30">
        <v>70021.499999999971</v>
      </c>
      <c r="D33" s="30">
        <v>-72.849999999999994</v>
      </c>
      <c r="E33" s="29">
        <f t="shared" si="6"/>
        <v>212785.95</v>
      </c>
      <c r="F33" s="30">
        <v>27300.1</v>
      </c>
      <c r="G33" s="30">
        <v>151516.40000000002</v>
      </c>
      <c r="H33" s="30"/>
      <c r="I33" s="30">
        <v>22821.449999999997</v>
      </c>
      <c r="J33" s="30">
        <v>107284.3</v>
      </c>
      <c r="K33" s="30">
        <v>286825</v>
      </c>
      <c r="L33" s="31">
        <f t="shared" si="7"/>
        <v>595747.25</v>
      </c>
      <c r="M33" s="30">
        <v>278447.73611111112</v>
      </c>
      <c r="N33" s="29">
        <v>25072.2</v>
      </c>
      <c r="O33" s="31">
        <f t="shared" si="8"/>
        <v>292227.31388888886</v>
      </c>
      <c r="P33" s="36">
        <v>44045.2</v>
      </c>
      <c r="Q33" s="31">
        <v>785180.62499999988</v>
      </c>
      <c r="R33" s="31">
        <v>3642.8999999999996</v>
      </c>
      <c r="S33" s="29">
        <f t="shared" si="9"/>
        <v>832868.72499999986</v>
      </c>
      <c r="T33" s="33">
        <f t="shared" si="10"/>
        <v>1125096.0388888887</v>
      </c>
      <c r="U33" s="29">
        <f t="shared" si="11"/>
        <v>1337881.9888888886</v>
      </c>
    </row>
    <row r="34" spans="1:21" s="35" customFormat="1" ht="15.75">
      <c r="A34" s="39">
        <v>41974</v>
      </c>
      <c r="B34" s="30">
        <v>128675.89999999997</v>
      </c>
      <c r="C34" s="30">
        <v>51849.400000000023</v>
      </c>
      <c r="D34" s="30">
        <v>-48.6</v>
      </c>
      <c r="E34" s="29">
        <f t="shared" si="6"/>
        <v>180476.69999999998</v>
      </c>
      <c r="F34" s="30">
        <v>55186.9</v>
      </c>
      <c r="G34" s="30">
        <v>147702.70000000001</v>
      </c>
      <c r="H34" s="30"/>
      <c r="I34" s="30">
        <v>49269.8</v>
      </c>
      <c r="J34" s="30">
        <v>106976.2</v>
      </c>
      <c r="K34" s="30">
        <v>285900.5</v>
      </c>
      <c r="L34" s="31">
        <f t="shared" si="7"/>
        <v>645036.10000000009</v>
      </c>
      <c r="M34" s="30">
        <v>238856.59999999998</v>
      </c>
      <c r="N34" s="29">
        <v>23004.400000000001</v>
      </c>
      <c r="O34" s="31">
        <f t="shared" si="8"/>
        <v>383175.10000000009</v>
      </c>
      <c r="P34" s="36">
        <v>40818.700000000004</v>
      </c>
      <c r="Q34" s="31">
        <v>814694.39999999991</v>
      </c>
      <c r="R34" s="31">
        <v>3449.2999999999997</v>
      </c>
      <c r="S34" s="29">
        <f t="shared" si="9"/>
        <v>858962.39999999991</v>
      </c>
      <c r="T34" s="33">
        <f t="shared" si="10"/>
        <v>1242137.5</v>
      </c>
      <c r="U34" s="29">
        <f t="shared" si="11"/>
        <v>1422614.2</v>
      </c>
    </row>
    <row r="35" spans="1:21" s="35" customFormat="1" ht="15.75">
      <c r="A35" s="39">
        <v>42064</v>
      </c>
      <c r="B35" s="30">
        <v>115526.40000000002</v>
      </c>
      <c r="C35" s="30">
        <v>45364.599999999977</v>
      </c>
      <c r="D35" s="30">
        <v>-24.300000000000004</v>
      </c>
      <c r="E35" s="29">
        <f t="shared" si="6"/>
        <v>160866.70000000001</v>
      </c>
      <c r="F35" s="30">
        <v>23590.1</v>
      </c>
      <c r="G35" s="30">
        <v>156652.5</v>
      </c>
      <c r="H35" s="30"/>
      <c r="I35" s="30">
        <v>51794.399999999994</v>
      </c>
      <c r="J35" s="30">
        <v>104166</v>
      </c>
      <c r="K35" s="30">
        <v>284644.40000000002</v>
      </c>
      <c r="L35" s="31">
        <f t="shared" si="7"/>
        <v>620847.4</v>
      </c>
      <c r="M35" s="30">
        <v>247417.85000000003</v>
      </c>
      <c r="N35" s="29">
        <v>29000.600000000002</v>
      </c>
      <c r="O35" s="31">
        <f t="shared" si="8"/>
        <v>344428.95</v>
      </c>
      <c r="P35" s="36">
        <v>22882</v>
      </c>
      <c r="Q35" s="31">
        <v>819545.25</v>
      </c>
      <c r="R35" s="31">
        <v>3910.9</v>
      </c>
      <c r="S35" s="29">
        <f t="shared" si="9"/>
        <v>846338.15</v>
      </c>
      <c r="T35" s="33">
        <f t="shared" si="10"/>
        <v>1190767.1000000001</v>
      </c>
      <c r="U35" s="29">
        <f t="shared" si="11"/>
        <v>1351633.8</v>
      </c>
    </row>
    <row r="36" spans="1:21" s="35" customFormat="1" ht="15.75">
      <c r="A36" s="39">
        <v>42156</v>
      </c>
      <c r="B36" s="30">
        <v>11927.5</v>
      </c>
      <c r="C36" s="30">
        <v>53211.099999999977</v>
      </c>
      <c r="D36" s="30" t="s">
        <v>2</v>
      </c>
      <c r="E36" s="29">
        <f t="shared" si="6"/>
        <v>65138.599999999977</v>
      </c>
      <c r="F36" s="30">
        <v>121700.8</v>
      </c>
      <c r="G36" s="30">
        <v>166756.20000000001</v>
      </c>
      <c r="H36" s="30"/>
      <c r="I36" s="30">
        <v>48976.1</v>
      </c>
      <c r="J36" s="30">
        <v>100317.8</v>
      </c>
      <c r="K36" s="30">
        <v>282393.09999999998</v>
      </c>
      <c r="L36" s="31">
        <f t="shared" si="7"/>
        <v>720144</v>
      </c>
      <c r="M36" s="30">
        <v>229581.90000000002</v>
      </c>
      <c r="N36" s="29">
        <v>26258.899999999998</v>
      </c>
      <c r="O36" s="31">
        <f t="shared" si="8"/>
        <v>464303.19999999995</v>
      </c>
      <c r="P36" s="36">
        <v>9628.4</v>
      </c>
      <c r="Q36" s="31">
        <v>856754.29999999981</v>
      </c>
      <c r="R36" s="31">
        <v>3822.2</v>
      </c>
      <c r="S36" s="29">
        <f t="shared" si="9"/>
        <v>870204.89999999979</v>
      </c>
      <c r="T36" s="33">
        <f t="shared" si="10"/>
        <v>1334508.0999999996</v>
      </c>
      <c r="U36" s="29">
        <f t="shared" si="11"/>
        <v>1399646.6999999997</v>
      </c>
    </row>
    <row r="37" spans="1:21" s="35" customFormat="1" ht="15.75">
      <c r="A37" s="39">
        <v>42248</v>
      </c>
      <c r="B37" s="30">
        <v>-77050.099999999977</v>
      </c>
      <c r="C37" s="30">
        <v>43805.499999999942</v>
      </c>
      <c r="D37" s="30" t="s">
        <v>2</v>
      </c>
      <c r="E37" s="29">
        <f t="shared" si="6"/>
        <v>-33244.600000000035</v>
      </c>
      <c r="F37" s="30">
        <v>201450.1</v>
      </c>
      <c r="G37" s="30">
        <v>177101.60000000003</v>
      </c>
      <c r="H37" s="30"/>
      <c r="I37" s="30">
        <v>50077.969444444447</v>
      </c>
      <c r="J37" s="30">
        <v>96137.9</v>
      </c>
      <c r="K37" s="30">
        <v>280473.5</v>
      </c>
      <c r="L37" s="31">
        <f t="shared" si="7"/>
        <v>805241.0694444445</v>
      </c>
      <c r="M37" s="30">
        <v>208852.61944444446</v>
      </c>
      <c r="N37" s="29">
        <v>29497.3</v>
      </c>
      <c r="O37" s="31">
        <f t="shared" si="8"/>
        <v>566891.15</v>
      </c>
      <c r="P37" s="36">
        <v>14965.4</v>
      </c>
      <c r="Q37" s="31">
        <v>865121.3833333333</v>
      </c>
      <c r="R37" s="31">
        <v>3755.9</v>
      </c>
      <c r="S37" s="29">
        <f t="shared" si="9"/>
        <v>883842.68333333335</v>
      </c>
      <c r="T37" s="33">
        <f t="shared" si="10"/>
        <v>1450733.8333333335</v>
      </c>
      <c r="U37" s="29">
        <f t="shared" si="11"/>
        <v>1417489.2333333334</v>
      </c>
    </row>
    <row r="38" spans="1:21" s="35" customFormat="1" ht="15.75">
      <c r="A38" s="39">
        <v>42339</v>
      </c>
      <c r="B38" s="30">
        <v>-132985.60000000001</v>
      </c>
      <c r="C38" s="30">
        <v>57115.499999999971</v>
      </c>
      <c r="D38" s="30" t="s">
        <v>2</v>
      </c>
      <c r="E38" s="29">
        <f t="shared" si="6"/>
        <v>-75870.100000000035</v>
      </c>
      <c r="F38" s="30">
        <v>273246</v>
      </c>
      <c r="G38" s="30">
        <v>254809.2</v>
      </c>
      <c r="H38" s="30"/>
      <c r="I38" s="30">
        <v>50054.3</v>
      </c>
      <c r="J38" s="30">
        <v>90564.7</v>
      </c>
      <c r="K38" s="30">
        <v>277913.90000000002</v>
      </c>
      <c r="L38" s="31">
        <f t="shared" si="7"/>
        <v>946588.1</v>
      </c>
      <c r="M38" s="30">
        <v>233455.5</v>
      </c>
      <c r="N38" s="29">
        <v>26275.999999999996</v>
      </c>
      <c r="O38" s="31">
        <f t="shared" si="8"/>
        <v>686856.6</v>
      </c>
      <c r="P38" s="36">
        <v>6532.0999999999995</v>
      </c>
      <c r="Q38" s="31">
        <v>812972</v>
      </c>
      <c r="R38" s="31">
        <v>27.1</v>
      </c>
      <c r="S38" s="29">
        <f t="shared" si="9"/>
        <v>819531.2</v>
      </c>
      <c r="T38" s="33">
        <f t="shared" si="10"/>
        <v>1506387.7999999998</v>
      </c>
      <c r="U38" s="29">
        <f t="shared" si="11"/>
        <v>1430517.6999999997</v>
      </c>
    </row>
    <row r="39" spans="1:21" s="35" customFormat="1" ht="15.75">
      <c r="A39" s="39">
        <v>42430</v>
      </c>
      <c r="B39" s="30">
        <v>-194954.00000000006</v>
      </c>
      <c r="C39" s="30">
        <v>33930.199999999953</v>
      </c>
      <c r="D39" s="30" t="s">
        <v>2</v>
      </c>
      <c r="E39" s="29">
        <f t="shared" si="6"/>
        <v>-161023.8000000001</v>
      </c>
      <c r="F39" s="30">
        <v>273246</v>
      </c>
      <c r="G39" s="30">
        <v>296894.8</v>
      </c>
      <c r="H39" s="30"/>
      <c r="I39" s="30">
        <v>49389.950000000004</v>
      </c>
      <c r="J39" s="30">
        <v>86384.8</v>
      </c>
      <c r="K39" s="30">
        <v>275994.3</v>
      </c>
      <c r="L39" s="31">
        <f t="shared" si="7"/>
        <v>981909.85000000009</v>
      </c>
      <c r="M39" s="30">
        <v>231671.77500000002</v>
      </c>
      <c r="N39" s="29">
        <v>25784.100000000002</v>
      </c>
      <c r="O39" s="31">
        <f t="shared" si="8"/>
        <v>724453.97500000009</v>
      </c>
      <c r="P39" s="36">
        <v>2767.5</v>
      </c>
      <c r="Q39" s="31">
        <v>832325.4</v>
      </c>
      <c r="R39" s="31">
        <v>22.2</v>
      </c>
      <c r="S39" s="29">
        <f t="shared" si="9"/>
        <v>835115.1</v>
      </c>
      <c r="T39" s="33">
        <f t="shared" si="10"/>
        <v>1559569.0750000002</v>
      </c>
      <c r="U39" s="29">
        <f t="shared" si="11"/>
        <v>1398545.2750000001</v>
      </c>
    </row>
    <row r="40" spans="1:21" s="35" customFormat="1" ht="15.75">
      <c r="A40" s="39">
        <v>42522</v>
      </c>
      <c r="B40" s="30">
        <v>-186003.4</v>
      </c>
      <c r="C40" s="30">
        <v>20116.699999999953</v>
      </c>
      <c r="D40" s="30" t="s">
        <v>2</v>
      </c>
      <c r="E40" s="29">
        <f t="shared" si="6"/>
        <v>-165886.70000000004</v>
      </c>
      <c r="F40" s="30">
        <v>19504.700000000012</v>
      </c>
      <c r="G40" s="30">
        <v>348742.9</v>
      </c>
      <c r="H40" s="30"/>
      <c r="I40" s="30">
        <v>53066.8</v>
      </c>
      <c r="J40" s="30">
        <v>83598.2</v>
      </c>
      <c r="K40" s="30">
        <v>547320.69999999995</v>
      </c>
      <c r="L40" s="31">
        <f t="shared" si="7"/>
        <v>1052233.3</v>
      </c>
      <c r="M40" s="30">
        <v>222571.65000000002</v>
      </c>
      <c r="N40" s="29">
        <v>41471.800000000003</v>
      </c>
      <c r="O40" s="31">
        <f t="shared" si="8"/>
        <v>788189.85</v>
      </c>
      <c r="P40" s="36">
        <v>6427</v>
      </c>
      <c r="Q40" s="31">
        <v>857911.70000000007</v>
      </c>
      <c r="R40" s="31">
        <v>59.2</v>
      </c>
      <c r="S40" s="29">
        <f t="shared" si="9"/>
        <v>864397.9</v>
      </c>
      <c r="T40" s="33">
        <f t="shared" si="10"/>
        <v>1652587.75</v>
      </c>
      <c r="U40" s="29">
        <f t="shared" si="11"/>
        <v>1486701.05</v>
      </c>
    </row>
    <row r="41" spans="1:21" s="35" customFormat="1" ht="15.75">
      <c r="A41" s="39">
        <v>42614</v>
      </c>
      <c r="B41" s="30">
        <v>-181601</v>
      </c>
      <c r="C41" s="30">
        <v>-10844.799999999959</v>
      </c>
      <c r="D41" s="30" t="s">
        <v>2</v>
      </c>
      <c r="E41" s="29">
        <f t="shared" si="6"/>
        <v>-192445.79999999996</v>
      </c>
      <c r="F41" s="30">
        <v>18972.7</v>
      </c>
      <c r="G41" s="30">
        <v>390238.4</v>
      </c>
      <c r="H41" s="30"/>
      <c r="I41" s="30">
        <v>46843.899999999994</v>
      </c>
      <c r="J41" s="30">
        <v>79418.3</v>
      </c>
      <c r="K41" s="30">
        <v>546041</v>
      </c>
      <c r="L41" s="31">
        <f t="shared" si="7"/>
        <v>1081514.3</v>
      </c>
      <c r="M41" s="30">
        <v>220076.07500000001</v>
      </c>
      <c r="N41" s="29">
        <v>34600.5</v>
      </c>
      <c r="O41" s="31">
        <f t="shared" si="8"/>
        <v>826837.72500000009</v>
      </c>
      <c r="P41" s="36">
        <v>11245.4</v>
      </c>
      <c r="Q41" s="31">
        <v>872234.79999999993</v>
      </c>
      <c r="R41" s="31">
        <v>15.5</v>
      </c>
      <c r="S41" s="29">
        <f t="shared" si="9"/>
        <v>883495.7</v>
      </c>
      <c r="T41" s="33">
        <f t="shared" si="10"/>
        <v>1710333.425</v>
      </c>
      <c r="U41" s="29">
        <f t="shared" si="11"/>
        <v>1517887.625</v>
      </c>
    </row>
    <row r="42" spans="1:21" s="35" customFormat="1" ht="15.75">
      <c r="A42" s="39">
        <v>42705</v>
      </c>
      <c r="B42" s="30">
        <v>-162073.80000000002</v>
      </c>
      <c r="C42" s="30">
        <v>-14449.299999999974</v>
      </c>
      <c r="D42" s="30" t="s">
        <v>2</v>
      </c>
      <c r="E42" s="29">
        <f t="shared" si="6"/>
        <v>-176523.09999999998</v>
      </c>
      <c r="F42" s="30">
        <v>134973.1</v>
      </c>
      <c r="G42" s="30">
        <v>438079.6</v>
      </c>
      <c r="H42" s="30"/>
      <c r="I42" s="30">
        <v>37133.1</v>
      </c>
      <c r="J42" s="30">
        <v>73845.100000000006</v>
      </c>
      <c r="K42" s="30">
        <v>543481.59999999998</v>
      </c>
      <c r="L42" s="31">
        <f t="shared" si="7"/>
        <v>1227512.5</v>
      </c>
      <c r="M42" s="30">
        <v>291260.3</v>
      </c>
      <c r="N42" s="29">
        <v>30394.800000000003</v>
      </c>
      <c r="O42" s="31">
        <f t="shared" si="8"/>
        <v>905857.39999999991</v>
      </c>
      <c r="P42" s="36">
        <v>7173.4000000000005</v>
      </c>
      <c r="Q42" s="31">
        <v>854034</v>
      </c>
      <c r="R42" s="31">
        <v>57.6</v>
      </c>
      <c r="S42" s="29">
        <f t="shared" si="9"/>
        <v>861265</v>
      </c>
      <c r="T42" s="33">
        <f t="shared" si="10"/>
        <v>1767122.4</v>
      </c>
      <c r="U42" s="29">
        <f t="shared" si="11"/>
        <v>1590599.2999999998</v>
      </c>
    </row>
    <row r="43" spans="1:21" s="35" customFormat="1" ht="15.75">
      <c r="A43" s="39">
        <v>42825</v>
      </c>
      <c r="B43" s="30">
        <v>-133135.90000000002</v>
      </c>
      <c r="C43" s="30">
        <v>-31494.300000000003</v>
      </c>
      <c r="D43" s="30"/>
      <c r="E43" s="29">
        <f t="shared" si="6"/>
        <v>-164630.20000000001</v>
      </c>
      <c r="F43" s="30">
        <v>130042.5</v>
      </c>
      <c r="G43" s="30">
        <v>474831.29999999993</v>
      </c>
      <c r="H43" s="30"/>
      <c r="I43" s="30">
        <v>48614.55</v>
      </c>
      <c r="J43" s="30">
        <v>69665.100000000006</v>
      </c>
      <c r="K43" s="30">
        <v>541562</v>
      </c>
      <c r="L43" s="31">
        <f t="shared" si="7"/>
        <v>1264715.45</v>
      </c>
      <c r="M43" s="30">
        <v>247676.35</v>
      </c>
      <c r="N43" s="29">
        <v>31886.899999999998</v>
      </c>
      <c r="O43" s="31">
        <f t="shared" si="8"/>
        <v>985152.2</v>
      </c>
      <c r="P43" s="36">
        <v>6812.0999999999995</v>
      </c>
      <c r="Q43" s="31">
        <v>806759.35000000009</v>
      </c>
      <c r="R43" s="31">
        <v>58.6</v>
      </c>
      <c r="S43" s="29">
        <f t="shared" si="9"/>
        <v>813630.05</v>
      </c>
      <c r="T43" s="33">
        <f t="shared" si="10"/>
        <v>1798782.25</v>
      </c>
      <c r="U43" s="29">
        <f t="shared" si="11"/>
        <v>1634152.05</v>
      </c>
    </row>
    <row r="44" spans="1:21" s="35" customFormat="1" ht="15.75">
      <c r="A44" s="39">
        <v>42916</v>
      </c>
      <c r="B44" s="30">
        <v>-140476.99999999994</v>
      </c>
      <c r="C44" s="30">
        <v>-12640.399999999994</v>
      </c>
      <c r="D44" s="30"/>
      <c r="E44" s="29">
        <f t="shared" si="6"/>
        <v>-153117.39999999994</v>
      </c>
      <c r="F44" s="30">
        <v>141652.79999999999</v>
      </c>
      <c r="G44" s="30">
        <v>520961.5</v>
      </c>
      <c r="H44" s="30"/>
      <c r="I44" s="30">
        <v>41050</v>
      </c>
      <c r="J44" s="30">
        <v>66878.5</v>
      </c>
      <c r="K44" s="30">
        <v>540282.30000000005</v>
      </c>
      <c r="L44" s="31">
        <f t="shared" si="7"/>
        <v>1310825.1000000001</v>
      </c>
      <c r="M44" s="30">
        <v>246217.90000000002</v>
      </c>
      <c r="N44" s="29">
        <v>54196.200000000004</v>
      </c>
      <c r="O44" s="31">
        <f t="shared" si="8"/>
        <v>1010411.0000000002</v>
      </c>
      <c r="P44" s="36">
        <v>13580.699999999999</v>
      </c>
      <c r="Q44" s="31">
        <v>857454.3</v>
      </c>
      <c r="R44" s="31">
        <v>33.299999999999997</v>
      </c>
      <c r="S44" s="29">
        <f t="shared" si="9"/>
        <v>871068.3</v>
      </c>
      <c r="T44" s="33">
        <f t="shared" si="10"/>
        <v>1881479.3000000003</v>
      </c>
      <c r="U44" s="29">
        <f t="shared" si="11"/>
        <v>1728361.9000000004</v>
      </c>
    </row>
    <row r="45" spans="1:21" s="35" customFormat="1" ht="15.75">
      <c r="A45" s="39">
        <v>43008</v>
      </c>
      <c r="B45" s="30">
        <v>-134023.79999999999</v>
      </c>
      <c r="C45" s="30">
        <v>-42355.7</v>
      </c>
      <c r="D45" s="30"/>
      <c r="E45" s="29">
        <f t="shared" si="6"/>
        <v>-176379.5</v>
      </c>
      <c r="F45" s="30">
        <v>112382.3</v>
      </c>
      <c r="G45" s="30">
        <v>550738.80000000005</v>
      </c>
      <c r="H45" s="30"/>
      <c r="I45" s="30">
        <v>44013.45</v>
      </c>
      <c r="J45" s="30">
        <v>62698.6</v>
      </c>
      <c r="K45" s="30">
        <v>538362.6</v>
      </c>
      <c r="L45" s="31">
        <f t="shared" si="7"/>
        <v>1308195.75</v>
      </c>
      <c r="M45" s="30">
        <v>234692.7</v>
      </c>
      <c r="N45" s="29">
        <v>36826.199999999997</v>
      </c>
      <c r="O45" s="31">
        <f t="shared" si="8"/>
        <v>1036676.8500000001</v>
      </c>
      <c r="P45" s="36">
        <v>28033</v>
      </c>
      <c r="Q45" s="31">
        <v>893468</v>
      </c>
      <c r="R45" s="31">
        <v>56.1</v>
      </c>
      <c r="S45" s="29">
        <f t="shared" si="9"/>
        <v>921557.1</v>
      </c>
      <c r="T45" s="33">
        <f t="shared" si="10"/>
        <v>1958233.9500000002</v>
      </c>
      <c r="U45" s="29">
        <f t="shared" si="11"/>
        <v>1781854.4500000002</v>
      </c>
    </row>
    <row r="46" spans="1:21" s="35" customFormat="1" ht="15.75">
      <c r="A46" s="39">
        <v>43100</v>
      </c>
      <c r="B46" s="30">
        <v>-144480.39999999997</v>
      </c>
      <c r="C46" s="30">
        <v>-9919.6000000000058</v>
      </c>
      <c r="D46" s="30" t="s">
        <v>2</v>
      </c>
      <c r="E46" s="29">
        <f t="shared" si="6"/>
        <v>-154399.99999999997</v>
      </c>
      <c r="F46" s="30">
        <v>194279.4</v>
      </c>
      <c r="G46" s="30">
        <v>643490.6</v>
      </c>
      <c r="H46" s="30"/>
      <c r="I46" s="30">
        <v>30924.9</v>
      </c>
      <c r="J46" s="30">
        <v>57125.4</v>
      </c>
      <c r="K46" s="30">
        <v>535803.19999999995</v>
      </c>
      <c r="L46" s="31">
        <f t="shared" si="7"/>
        <v>1461623.5</v>
      </c>
      <c r="M46" s="30">
        <v>300060.10000000009</v>
      </c>
      <c r="N46" s="29">
        <v>49349</v>
      </c>
      <c r="O46" s="31">
        <f t="shared" si="8"/>
        <v>1112214.3999999999</v>
      </c>
      <c r="P46" s="36">
        <v>28762.899999999998</v>
      </c>
      <c r="Q46" s="31">
        <v>859051.5</v>
      </c>
      <c r="R46" s="31">
        <v>4937.3999999999996</v>
      </c>
      <c r="S46" s="29">
        <f t="shared" si="9"/>
        <v>892751.8</v>
      </c>
      <c r="T46" s="33">
        <f t="shared" si="10"/>
        <v>2004966.2</v>
      </c>
      <c r="U46" s="29">
        <f t="shared" si="11"/>
        <v>1850566.2</v>
      </c>
    </row>
    <row r="47" spans="1:21" s="35" customFormat="1" ht="15.75">
      <c r="A47" s="39">
        <v>43190</v>
      </c>
      <c r="B47" s="30">
        <v>-180109.99999999997</v>
      </c>
      <c r="C47" s="30">
        <v>10814.499999999913</v>
      </c>
      <c r="D47" s="30" t="s">
        <v>2</v>
      </c>
      <c r="E47" s="29">
        <f t="shared" si="6"/>
        <v>-169295.50000000006</v>
      </c>
      <c r="F47" s="30">
        <v>151279.20000000001</v>
      </c>
      <c r="G47" s="30">
        <v>716057.39999999991</v>
      </c>
      <c r="H47" s="30"/>
      <c r="I47" s="30">
        <v>39655.5</v>
      </c>
      <c r="J47" s="30">
        <v>52945.5</v>
      </c>
      <c r="K47" s="30">
        <v>533314.30000000005</v>
      </c>
      <c r="L47" s="31">
        <f t="shared" si="7"/>
        <v>1493251.9</v>
      </c>
      <c r="M47" s="30">
        <v>290474.59999999998</v>
      </c>
      <c r="N47" s="29">
        <v>56551.900000000009</v>
      </c>
      <c r="O47" s="31">
        <f t="shared" si="8"/>
        <v>1146225.3999999999</v>
      </c>
      <c r="P47" s="36">
        <v>16032.599999999999</v>
      </c>
      <c r="Q47" s="31">
        <v>887426.7</v>
      </c>
      <c r="R47" s="31">
        <v>5422.5</v>
      </c>
      <c r="S47" s="29">
        <f t="shared" si="9"/>
        <v>908881.79999999993</v>
      </c>
      <c r="T47" s="33">
        <f t="shared" si="10"/>
        <v>2055107.1999999997</v>
      </c>
      <c r="U47" s="29">
        <f t="shared" si="11"/>
        <v>1885811.6999999997</v>
      </c>
    </row>
    <row r="48" spans="1:21" s="35" customFormat="1" ht="15.75">
      <c r="A48" s="39">
        <v>43281</v>
      </c>
      <c r="B48" s="30">
        <v>-175279.1</v>
      </c>
      <c r="C48" s="30">
        <v>-25976.599999999977</v>
      </c>
      <c r="D48" s="30" t="s">
        <v>2</v>
      </c>
      <c r="E48" s="29">
        <f t="shared" si="6"/>
        <v>-201255.69999999998</v>
      </c>
      <c r="F48" s="30">
        <v>201181.6</v>
      </c>
      <c r="G48" s="30">
        <v>799117.89999999991</v>
      </c>
      <c r="H48" s="30"/>
      <c r="I48" s="30">
        <v>61935.900000000009</v>
      </c>
      <c r="J48" s="30">
        <v>50158.9</v>
      </c>
      <c r="K48" s="30">
        <v>529117.6</v>
      </c>
      <c r="L48" s="31">
        <f t="shared" si="7"/>
        <v>1641511.9</v>
      </c>
      <c r="M48" s="30">
        <v>398416.1</v>
      </c>
      <c r="N48" s="29">
        <v>53521.5</v>
      </c>
      <c r="O48" s="31">
        <f t="shared" si="8"/>
        <v>1189574.2999999998</v>
      </c>
      <c r="P48" s="36">
        <v>24405.8</v>
      </c>
      <c r="Q48" s="31">
        <v>940441</v>
      </c>
      <c r="R48" s="31">
        <v>5533.2</v>
      </c>
      <c r="S48" s="29">
        <f t="shared" si="9"/>
        <v>970380</v>
      </c>
      <c r="T48" s="33">
        <f t="shared" si="10"/>
        <v>2159954.2999999998</v>
      </c>
      <c r="U48" s="29">
        <f t="shared" si="11"/>
        <v>1958698.5999999999</v>
      </c>
    </row>
    <row r="49" spans="1:21" s="35" customFormat="1" ht="15.75">
      <c r="A49" s="39">
        <v>43373</v>
      </c>
      <c r="B49" s="30">
        <v>-185086.7</v>
      </c>
      <c r="C49" s="30">
        <v>-31906.400000000052</v>
      </c>
      <c r="D49" s="30">
        <v>-291.60000000000002</v>
      </c>
      <c r="E49" s="29">
        <f t="shared" si="6"/>
        <v>-217284.70000000007</v>
      </c>
      <c r="F49" s="30">
        <v>151767</v>
      </c>
      <c r="G49" s="30">
        <v>868808.30000000016</v>
      </c>
      <c r="H49" s="30"/>
      <c r="I49" s="30">
        <v>65477.4</v>
      </c>
      <c r="J49" s="30">
        <v>45979</v>
      </c>
      <c r="K49" s="30">
        <v>526130.1</v>
      </c>
      <c r="L49" s="31">
        <f t="shared" si="7"/>
        <v>1658161.8000000003</v>
      </c>
      <c r="M49" s="30">
        <v>353050.4</v>
      </c>
      <c r="N49" s="29">
        <v>67423.399999999994</v>
      </c>
      <c r="O49" s="31">
        <f t="shared" si="8"/>
        <v>1237688.0000000005</v>
      </c>
      <c r="P49" s="36">
        <v>32676.399999999998</v>
      </c>
      <c r="Q49" s="31">
        <v>989136.8</v>
      </c>
      <c r="R49" s="31">
        <v>5747.6</v>
      </c>
      <c r="S49" s="29">
        <f t="shared" si="9"/>
        <v>1027560.8</v>
      </c>
      <c r="T49" s="33">
        <f t="shared" si="10"/>
        <v>2265248.8000000007</v>
      </c>
      <c r="U49" s="29">
        <f t="shared" si="11"/>
        <v>2047964.1000000006</v>
      </c>
    </row>
    <row r="50" spans="1:21" s="35" customFormat="1" ht="15.75">
      <c r="A50" s="39">
        <v>43465</v>
      </c>
      <c r="B50" s="30">
        <v>-165217.1</v>
      </c>
      <c r="C50" s="30">
        <v>-37983.9</v>
      </c>
      <c r="D50" s="30" t="s">
        <v>2</v>
      </c>
      <c r="E50" s="29">
        <f t="shared" si="6"/>
        <v>-203201</v>
      </c>
      <c r="F50" s="30">
        <v>210409.1</v>
      </c>
      <c r="G50" s="30">
        <v>932439.20000000007</v>
      </c>
      <c r="H50" s="30"/>
      <c r="I50" s="30">
        <v>58884.2</v>
      </c>
      <c r="J50" s="30">
        <v>40405.800000000003</v>
      </c>
      <c r="K50" s="30">
        <v>521293.6</v>
      </c>
      <c r="L50" s="31">
        <f t="shared" si="7"/>
        <v>1763431.9</v>
      </c>
      <c r="M50" s="30">
        <v>353522.4</v>
      </c>
      <c r="N50" s="29">
        <v>72375.499999999985</v>
      </c>
      <c r="O50" s="31">
        <f t="shared" si="8"/>
        <v>1337534</v>
      </c>
      <c r="P50" s="36">
        <v>42063.6</v>
      </c>
      <c r="Q50" s="31">
        <v>983859.20000000019</v>
      </c>
      <c r="R50" s="31">
        <v>6028.8</v>
      </c>
      <c r="S50" s="29">
        <f t="shared" si="9"/>
        <v>1031951.6000000002</v>
      </c>
      <c r="T50" s="33">
        <f t="shared" si="10"/>
        <v>2369485.6</v>
      </c>
      <c r="U50" s="29">
        <f t="shared" si="11"/>
        <v>2166284.6</v>
      </c>
    </row>
    <row r="51" spans="1:21" s="35" customFormat="1" ht="15.75">
      <c r="A51" s="39">
        <v>43555</v>
      </c>
      <c r="B51" s="30">
        <v>-166782.39999999999</v>
      </c>
      <c r="C51" s="30">
        <v>-62620.70000000007</v>
      </c>
      <c r="D51" s="30" t="s">
        <v>2</v>
      </c>
      <c r="E51" s="29">
        <f t="shared" ref="E51:E52" si="12">+SUM(B51:D51)</f>
        <v>-229403.10000000006</v>
      </c>
      <c r="F51" s="30">
        <v>221728.4</v>
      </c>
      <c r="G51" s="30">
        <f>74137.1+941488.5+22035.7</f>
        <v>1037661.2999999999</v>
      </c>
      <c r="H51" s="30"/>
      <c r="I51" s="30">
        <v>66134.8</v>
      </c>
      <c r="J51" s="30">
        <v>36225.9</v>
      </c>
      <c r="K51" s="30">
        <v>518306</v>
      </c>
      <c r="L51" s="31">
        <f t="shared" ref="L51:L73" si="13">+SUM(F51:K51)</f>
        <v>1880056.4</v>
      </c>
      <c r="M51" s="30">
        <v>412450</v>
      </c>
      <c r="N51" s="29">
        <v>58269.8</v>
      </c>
      <c r="O51" s="31">
        <f t="shared" ref="O51:O73" si="14">+L51-M51-N51</f>
        <v>1409336.5999999999</v>
      </c>
      <c r="P51" s="36">
        <v>32296.6</v>
      </c>
      <c r="Q51" s="31">
        <v>1008148.3000000002</v>
      </c>
      <c r="R51" s="31">
        <v>6662.7</v>
      </c>
      <c r="S51" s="29">
        <f t="shared" si="9"/>
        <v>1047107.6000000001</v>
      </c>
      <c r="T51" s="33">
        <f t="shared" ref="T51:T73" si="15">SUM(O51,S51)</f>
        <v>2456444.2000000002</v>
      </c>
      <c r="U51" s="29">
        <f t="shared" ref="U51:U73" si="16">SUM(E51,T51)</f>
        <v>2227041.1</v>
      </c>
    </row>
    <row r="52" spans="1:21" s="35" customFormat="1" ht="15.75">
      <c r="A52" s="39">
        <v>43646</v>
      </c>
      <c r="B52" s="30">
        <f>177153.1-298866.2</f>
        <v>-121713.1</v>
      </c>
      <c r="C52" s="30">
        <f>127120.2-199660</f>
        <v>-72539.8</v>
      </c>
      <c r="D52" s="30" t="s">
        <v>2</v>
      </c>
      <c r="E52" s="29">
        <f t="shared" si="12"/>
        <v>-194252.90000000002</v>
      </c>
      <c r="F52" s="30">
        <v>216009.2</v>
      </c>
      <c r="G52" s="30">
        <f>42174.9+1084518.3+16965</f>
        <v>1143658.2</v>
      </c>
      <c r="H52" s="30"/>
      <c r="I52" s="30">
        <v>59215</v>
      </c>
      <c r="J52" s="30">
        <v>32046</v>
      </c>
      <c r="K52" s="30">
        <v>514038.8</v>
      </c>
      <c r="L52" s="31">
        <f t="shared" si="13"/>
        <v>1964967.2</v>
      </c>
      <c r="M52" s="30">
        <v>427944.6</v>
      </c>
      <c r="N52" s="29">
        <v>62402.2</v>
      </c>
      <c r="O52" s="31">
        <f t="shared" si="14"/>
        <v>1474620.4000000001</v>
      </c>
      <c r="P52" s="36">
        <f>23367.3+101.6</f>
        <v>23468.899999999998</v>
      </c>
      <c r="Q52" s="31">
        <v>1073690.6000000001</v>
      </c>
      <c r="R52" s="31">
        <v>6546.1</v>
      </c>
      <c r="S52" s="29">
        <f t="shared" si="9"/>
        <v>1103705.6000000001</v>
      </c>
      <c r="T52" s="33">
        <f t="shared" si="15"/>
        <v>2578326</v>
      </c>
      <c r="U52" s="29">
        <f t="shared" si="16"/>
        <v>2384073.1</v>
      </c>
    </row>
    <row r="53" spans="1:21" s="35" customFormat="1" ht="15.75">
      <c r="A53" s="39">
        <v>43738</v>
      </c>
      <c r="B53" s="30">
        <f>152229.3-295964.1</f>
        <v>-143734.79999999999</v>
      </c>
      <c r="C53" s="30">
        <f>139248.5-223096</f>
        <v>-83847.5</v>
      </c>
      <c r="D53" s="30" t="s">
        <v>2</v>
      </c>
      <c r="E53" s="29">
        <f t="shared" ref="E53:E56" si="17">+SUM(B53:D53)</f>
        <v>-227582.3</v>
      </c>
      <c r="F53" s="30">
        <v>0</v>
      </c>
      <c r="G53" s="30">
        <f>52783.1+1160384.5+28225</f>
        <v>1241392.6000000001</v>
      </c>
      <c r="H53" s="30"/>
      <c r="I53" s="30">
        <v>65322.7</v>
      </c>
      <c r="J53" s="30">
        <v>29259.4</v>
      </c>
      <c r="K53" s="30">
        <v>727629.7</v>
      </c>
      <c r="L53" s="31">
        <f t="shared" si="13"/>
        <v>2063604.4</v>
      </c>
      <c r="M53" s="30">
        <v>478795.5</v>
      </c>
      <c r="N53" s="29">
        <v>82107.899999999994</v>
      </c>
      <c r="O53" s="31">
        <f t="shared" si="14"/>
        <v>1502701</v>
      </c>
      <c r="P53" s="36">
        <f>25516+101.6</f>
        <v>25617.599999999999</v>
      </c>
      <c r="Q53" s="31">
        <f>1098721+4652.3+44030.8</f>
        <v>1147404.1000000001</v>
      </c>
      <c r="R53" s="31">
        <v>6686.4</v>
      </c>
      <c r="S53" s="29">
        <f t="shared" si="9"/>
        <v>1179708.1000000001</v>
      </c>
      <c r="T53" s="33">
        <f t="shared" si="15"/>
        <v>2682409.1</v>
      </c>
      <c r="U53" s="29">
        <f t="shared" si="16"/>
        <v>2454826.8000000003</v>
      </c>
    </row>
    <row r="54" spans="1:21" s="35" customFormat="1" ht="15.75">
      <c r="A54" s="39">
        <v>43830</v>
      </c>
      <c r="B54" s="30">
        <v>-129390.7</v>
      </c>
      <c r="C54" s="30">
        <v>-76949.600000000006</v>
      </c>
      <c r="D54" s="30" t="s">
        <v>2</v>
      </c>
      <c r="E54" s="29">
        <f t="shared" si="17"/>
        <v>-206340.3</v>
      </c>
      <c r="F54" s="30">
        <v>0</v>
      </c>
      <c r="G54" s="30">
        <v>1341367.1000000001</v>
      </c>
      <c r="H54" s="30"/>
      <c r="I54" s="30">
        <v>70919.799999999988</v>
      </c>
      <c r="J54" s="30">
        <v>23686.2</v>
      </c>
      <c r="K54" s="30">
        <v>722793.2</v>
      </c>
      <c r="L54" s="31">
        <f t="shared" si="13"/>
        <v>2158766.2999999998</v>
      </c>
      <c r="M54" s="30">
        <v>443910.5</v>
      </c>
      <c r="N54" s="29">
        <v>95938.2</v>
      </c>
      <c r="O54" s="31">
        <f t="shared" si="14"/>
        <v>1618917.5999999999</v>
      </c>
      <c r="P54" s="36">
        <f>42076.6+101.6</f>
        <v>42178.2</v>
      </c>
      <c r="Q54" s="31">
        <v>1166031.0000000002</v>
      </c>
      <c r="R54" s="31">
        <v>458.5</v>
      </c>
      <c r="S54" s="29">
        <f t="shared" si="9"/>
        <v>1208667.7000000002</v>
      </c>
      <c r="T54" s="33">
        <f t="shared" si="15"/>
        <v>2827585.3</v>
      </c>
      <c r="U54" s="29">
        <f t="shared" si="16"/>
        <v>2621245</v>
      </c>
    </row>
    <row r="55" spans="1:21" s="35" customFormat="1" ht="15.75">
      <c r="A55" s="39">
        <v>43921</v>
      </c>
      <c r="B55" s="30">
        <f>194289.3-361308.8</f>
        <v>-167019.5</v>
      </c>
      <c r="C55" s="30">
        <f>143352.6-261170.6</f>
        <v>-117818</v>
      </c>
      <c r="D55" s="30" t="s">
        <v>2</v>
      </c>
      <c r="E55" s="29">
        <f t="shared" si="17"/>
        <v>-284837.5</v>
      </c>
      <c r="F55" s="30">
        <v>0</v>
      </c>
      <c r="G55" s="30">
        <v>1381408.1999999997</v>
      </c>
      <c r="H55" s="30"/>
      <c r="I55" s="30">
        <f>20393+103560.4</f>
        <v>123953.4</v>
      </c>
      <c r="J55" s="30">
        <v>19506.2</v>
      </c>
      <c r="K55" s="30">
        <v>719165.8</v>
      </c>
      <c r="L55" s="31">
        <f t="shared" si="13"/>
        <v>2244033.5999999996</v>
      </c>
      <c r="M55" s="30">
        <v>503862</v>
      </c>
      <c r="N55" s="29">
        <v>77027.199999999997</v>
      </c>
      <c r="O55" s="31">
        <f t="shared" si="14"/>
        <v>1663144.3999999997</v>
      </c>
      <c r="P55" s="36">
        <f>32138.3+101.6</f>
        <v>32239.899999999998</v>
      </c>
      <c r="Q55" s="31">
        <v>1212703.5999999999</v>
      </c>
      <c r="R55" s="31">
        <v>342.2</v>
      </c>
      <c r="S55" s="29">
        <f t="shared" si="9"/>
        <v>1245285.6999999997</v>
      </c>
      <c r="T55" s="33">
        <f t="shared" si="15"/>
        <v>2908430.0999999996</v>
      </c>
      <c r="U55" s="29">
        <f t="shared" si="16"/>
        <v>2623592.5999999996</v>
      </c>
    </row>
    <row r="56" spans="1:21" s="35" customFormat="1" ht="15.75">
      <c r="A56" s="39">
        <v>44012</v>
      </c>
      <c r="B56" s="30">
        <f>172739-357357.6</f>
        <v>-184618.59999999998</v>
      </c>
      <c r="C56" s="30">
        <f>128564.4-277077.4</f>
        <v>-148513.00000000003</v>
      </c>
      <c r="D56" s="30" t="s">
        <v>2</v>
      </c>
      <c r="E56" s="29">
        <f t="shared" si="17"/>
        <v>-333131.59999999998</v>
      </c>
      <c r="F56" s="30">
        <v>0</v>
      </c>
      <c r="G56" s="30">
        <v>1468858.5</v>
      </c>
      <c r="H56" s="30"/>
      <c r="I56" s="30">
        <f>16243.7+98487+5357.5</f>
        <v>120088.2</v>
      </c>
      <c r="J56" s="30">
        <v>15326.3</v>
      </c>
      <c r="K56" s="30">
        <v>715538.4</v>
      </c>
      <c r="L56" s="31">
        <f t="shared" si="13"/>
        <v>2319811.4</v>
      </c>
      <c r="M56" s="30">
        <v>441278.2</v>
      </c>
      <c r="N56" s="29">
        <v>86594.1</v>
      </c>
      <c r="O56" s="31">
        <f t="shared" si="14"/>
        <v>1791939.0999999999</v>
      </c>
      <c r="P56" s="36">
        <f>29576.4+101.6</f>
        <v>29678</v>
      </c>
      <c r="Q56" s="31">
        <v>1283209.7000000002</v>
      </c>
      <c r="R56" s="31">
        <v>328.2</v>
      </c>
      <c r="S56" s="29">
        <f t="shared" si="9"/>
        <v>1313215.9000000001</v>
      </c>
      <c r="T56" s="33">
        <f t="shared" si="15"/>
        <v>3105155</v>
      </c>
      <c r="U56" s="29">
        <f t="shared" si="16"/>
        <v>2772023.4</v>
      </c>
    </row>
    <row r="57" spans="1:21" s="35" customFormat="1" ht="16.5" customHeight="1">
      <c r="A57" s="39">
        <v>44104</v>
      </c>
      <c r="B57" s="30">
        <v>-151024.20000000001</v>
      </c>
      <c r="C57" s="30">
        <v>-128888.4</v>
      </c>
      <c r="D57" s="30" t="s">
        <v>2</v>
      </c>
      <c r="E57" s="29">
        <f t="shared" ref="E57" si="18">+SUM(B57:D57)</f>
        <v>-279912.59999999998</v>
      </c>
      <c r="F57" s="30">
        <v>0</v>
      </c>
      <c r="G57" s="30">
        <v>1539157.4000000001</v>
      </c>
      <c r="H57" s="30"/>
      <c r="I57" s="30">
        <f>19611.4+25822.8+124981.5+150000</f>
        <v>320415.7</v>
      </c>
      <c r="J57" s="30">
        <v>12539.7</v>
      </c>
      <c r="K57" s="30">
        <v>713120.2</v>
      </c>
      <c r="L57" s="31">
        <f t="shared" si="13"/>
        <v>2585233</v>
      </c>
      <c r="M57" s="30">
        <v>485147.2</v>
      </c>
      <c r="N57" s="29">
        <v>76753.3</v>
      </c>
      <c r="O57" s="31">
        <f t="shared" si="14"/>
        <v>2023332.4999999998</v>
      </c>
      <c r="P57" s="36">
        <f>30626.8+101.6</f>
        <v>30728.399999999998</v>
      </c>
      <c r="Q57" s="31">
        <v>1349647.4</v>
      </c>
      <c r="R57" s="31">
        <v>311</v>
      </c>
      <c r="S57" s="29">
        <f t="shared" si="9"/>
        <v>1380686.7999999998</v>
      </c>
      <c r="T57" s="33">
        <f t="shared" si="15"/>
        <v>3404019.3</v>
      </c>
      <c r="U57" s="29">
        <f t="shared" si="16"/>
        <v>3124106.6999999997</v>
      </c>
    </row>
    <row r="58" spans="1:21" s="35" customFormat="1" ht="15.75">
      <c r="A58" s="39">
        <v>44196</v>
      </c>
      <c r="B58" s="30">
        <v>-93105.300000000017</v>
      </c>
      <c r="C58" s="30">
        <v>-111910.80000000002</v>
      </c>
      <c r="D58" s="30" t="s">
        <v>2</v>
      </c>
      <c r="E58" s="29">
        <f t="shared" ref="E58" si="19">+SUM(B58:D58)</f>
        <v>-205016.10000000003</v>
      </c>
      <c r="F58" s="30">
        <v>0</v>
      </c>
      <c r="G58" s="30">
        <v>1614167.6</v>
      </c>
      <c r="H58" s="30"/>
      <c r="I58" s="30">
        <f>18210.4+27463+120782.7+150000+2000</f>
        <v>318456.09999999998</v>
      </c>
      <c r="J58" s="30">
        <v>6921.2</v>
      </c>
      <c r="K58" s="30">
        <v>708283.6</v>
      </c>
      <c r="L58" s="31">
        <f t="shared" si="13"/>
        <v>2647828.5</v>
      </c>
      <c r="M58" s="30">
        <v>549158.91651699995</v>
      </c>
      <c r="N58" s="29">
        <v>72918.899999999994</v>
      </c>
      <c r="O58" s="31">
        <f t="shared" si="14"/>
        <v>2025750.6834830004</v>
      </c>
      <c r="P58" s="36">
        <f>22343.7+101.6</f>
        <v>22445.3</v>
      </c>
      <c r="Q58" s="31">
        <v>1413651.5</v>
      </c>
      <c r="R58" s="31">
        <v>1185.1999999999998</v>
      </c>
      <c r="S58" s="29">
        <f t="shared" si="9"/>
        <v>1437282</v>
      </c>
      <c r="T58" s="33">
        <f t="shared" si="15"/>
        <v>3463032.6834830004</v>
      </c>
      <c r="U58" s="29">
        <f t="shared" si="16"/>
        <v>3258016.5834830003</v>
      </c>
    </row>
    <row r="59" spans="1:21" s="35" customFormat="1" ht="15.75">
      <c r="A59" s="39">
        <v>44286</v>
      </c>
      <c r="B59" s="30">
        <v>-119123.90000000002</v>
      </c>
      <c r="C59" s="30">
        <v>-108593.39999999997</v>
      </c>
      <c r="D59" s="30">
        <v>-81.7</v>
      </c>
      <c r="E59" s="29">
        <v>-227799</v>
      </c>
      <c r="F59" s="30">
        <v>0</v>
      </c>
      <c r="G59" s="30">
        <v>1648781.3</v>
      </c>
      <c r="H59" s="30"/>
      <c r="I59" s="30">
        <v>328747.7</v>
      </c>
      <c r="J59" s="30">
        <v>4134.6000000000004</v>
      </c>
      <c r="K59" s="30">
        <v>703262.9</v>
      </c>
      <c r="L59" s="31">
        <f t="shared" si="13"/>
        <v>2684926.5</v>
      </c>
      <c r="M59" s="30">
        <v>570127</v>
      </c>
      <c r="N59" s="29">
        <v>79893.7</v>
      </c>
      <c r="O59" s="31">
        <f t="shared" si="14"/>
        <v>2034905.8</v>
      </c>
      <c r="P59" s="36">
        <v>24688.199999999997</v>
      </c>
      <c r="Q59" s="31">
        <v>1524807.0000000002</v>
      </c>
      <c r="R59" s="31">
        <v>734.60000000000014</v>
      </c>
      <c r="S59" s="29">
        <f t="shared" si="9"/>
        <v>1550229.8000000003</v>
      </c>
      <c r="T59" s="33">
        <f t="shared" si="15"/>
        <v>3585135.6000000006</v>
      </c>
      <c r="U59" s="29">
        <f t="shared" si="16"/>
        <v>3357336.6000000006</v>
      </c>
    </row>
    <row r="60" spans="1:21" s="35" customFormat="1" ht="15.75">
      <c r="A60" s="39">
        <v>44377</v>
      </c>
      <c r="B60" s="30">
        <v>-114588.4</v>
      </c>
      <c r="C60" s="30">
        <v>-190802.4</v>
      </c>
      <c r="D60" s="30">
        <v>-118</v>
      </c>
      <c r="E60" s="29">
        <v>-305508.8</v>
      </c>
      <c r="F60" s="30">
        <v>57076.7</v>
      </c>
      <c r="G60" s="30">
        <v>1719227.5999999999</v>
      </c>
      <c r="H60" s="30"/>
      <c r="I60" s="30">
        <v>347225.00000000006</v>
      </c>
      <c r="J60" s="30">
        <v>0</v>
      </c>
      <c r="K60" s="30">
        <v>701028.8</v>
      </c>
      <c r="L60" s="31">
        <f t="shared" si="13"/>
        <v>2824558.0999999996</v>
      </c>
      <c r="M60" s="30">
        <v>625806.5</v>
      </c>
      <c r="N60" s="29">
        <v>82601.5</v>
      </c>
      <c r="O60" s="31">
        <f t="shared" si="14"/>
        <v>2116150.0999999996</v>
      </c>
      <c r="P60" s="36">
        <v>26228.6</v>
      </c>
      <c r="Q60" s="31">
        <v>1724195.7</v>
      </c>
      <c r="R60" s="31">
        <v>5539.4</v>
      </c>
      <c r="S60" s="29">
        <f t="shared" si="9"/>
        <v>1755963.7</v>
      </c>
      <c r="T60" s="33">
        <f t="shared" si="15"/>
        <v>3872113.8</v>
      </c>
      <c r="U60" s="29">
        <f t="shared" si="16"/>
        <v>3566605</v>
      </c>
    </row>
    <row r="61" spans="1:21" s="35" customFormat="1" ht="15.75">
      <c r="A61" s="39">
        <v>44469</v>
      </c>
      <c r="B61" s="30">
        <v>-150538.59999999998</v>
      </c>
      <c r="C61" s="30">
        <v>-254415.30000000002</v>
      </c>
      <c r="D61" s="30">
        <v>-210</v>
      </c>
      <c r="E61" s="29">
        <v>-405163.9</v>
      </c>
      <c r="F61" s="30">
        <v>0</v>
      </c>
      <c r="G61" s="30">
        <v>1831324.1</v>
      </c>
      <c r="H61" s="30"/>
      <c r="I61" s="30">
        <v>347172.2</v>
      </c>
      <c r="J61" s="30">
        <v>0</v>
      </c>
      <c r="K61" s="30">
        <v>697339.3</v>
      </c>
      <c r="L61" s="31">
        <f t="shared" si="13"/>
        <v>2875835.6000000006</v>
      </c>
      <c r="M61" s="30">
        <v>649481.6</v>
      </c>
      <c r="N61" s="29">
        <v>82805.899999999994</v>
      </c>
      <c r="O61" s="31">
        <f t="shared" si="14"/>
        <v>2143548.1000000006</v>
      </c>
      <c r="P61" s="36">
        <v>25714.199999999997</v>
      </c>
      <c r="Q61" s="31">
        <v>2139643.5</v>
      </c>
      <c r="R61" s="31">
        <v>337.9</v>
      </c>
      <c r="S61" s="29">
        <f t="shared" si="9"/>
        <v>2165695.6</v>
      </c>
      <c r="T61" s="33">
        <f t="shared" si="15"/>
        <v>4309243.7000000011</v>
      </c>
      <c r="U61" s="29">
        <f t="shared" si="16"/>
        <v>3904079.8000000012</v>
      </c>
    </row>
    <row r="62" spans="1:21" s="35" customFormat="1" ht="15.75">
      <c r="A62" s="39">
        <v>44561</v>
      </c>
      <c r="B62" s="30">
        <v>-141348.09999999998</v>
      </c>
      <c r="C62" s="30">
        <v>-181042.40000000002</v>
      </c>
      <c r="D62" s="30">
        <v>0</v>
      </c>
      <c r="E62" s="29">
        <v>-322390.5</v>
      </c>
      <c r="F62" s="30">
        <v>36124.9</v>
      </c>
      <c r="G62" s="30">
        <v>1816057.7</v>
      </c>
      <c r="H62" s="30"/>
      <c r="I62" s="30">
        <v>290056.7</v>
      </c>
      <c r="J62" s="30">
        <v>0</v>
      </c>
      <c r="K62" s="30">
        <v>690961.7</v>
      </c>
      <c r="L62" s="31">
        <f t="shared" si="13"/>
        <v>2833201</v>
      </c>
      <c r="M62" s="30">
        <v>826676.3</v>
      </c>
      <c r="N62" s="29">
        <v>75800.899999999994</v>
      </c>
      <c r="O62" s="31">
        <f t="shared" si="14"/>
        <v>1930723.8</v>
      </c>
      <c r="P62" s="36">
        <v>25121</v>
      </c>
      <c r="Q62" s="31">
        <v>2351611.3000000003</v>
      </c>
      <c r="R62" s="31">
        <v>256.5</v>
      </c>
      <c r="S62" s="29">
        <f t="shared" si="9"/>
        <v>2376988.8000000003</v>
      </c>
      <c r="T62" s="33">
        <f t="shared" si="15"/>
        <v>4307712.6000000006</v>
      </c>
      <c r="U62" s="29">
        <f t="shared" si="16"/>
        <v>3985322.1000000006</v>
      </c>
    </row>
    <row r="63" spans="1:21" s="35" customFormat="1" ht="15.75">
      <c r="A63" s="39">
        <v>44621</v>
      </c>
      <c r="B63" s="30">
        <v>-113493.90000000002</v>
      </c>
      <c r="C63" s="30">
        <v>-194680.9</v>
      </c>
      <c r="D63" s="30">
        <v>0</v>
      </c>
      <c r="E63" s="29">
        <v>-308174.80000000005</v>
      </c>
      <c r="F63" s="30">
        <v>32028.5</v>
      </c>
      <c r="G63" s="30">
        <v>1833166.5</v>
      </c>
      <c r="H63" s="30"/>
      <c r="I63" s="30">
        <v>429373.89999999997</v>
      </c>
      <c r="J63" s="30">
        <v>0</v>
      </c>
      <c r="K63" s="30">
        <v>690433.4</v>
      </c>
      <c r="L63" s="31">
        <f t="shared" si="13"/>
        <v>2985002.3</v>
      </c>
      <c r="M63" s="30">
        <v>950524.7</v>
      </c>
      <c r="N63" s="29">
        <v>118394.9</v>
      </c>
      <c r="O63" s="31">
        <f t="shared" si="14"/>
        <v>1916082.7</v>
      </c>
      <c r="P63" s="36">
        <v>24010.399999999998</v>
      </c>
      <c r="Q63" s="31">
        <v>2537250.1</v>
      </c>
      <c r="R63" s="31">
        <v>238.4</v>
      </c>
      <c r="S63" s="29">
        <f t="shared" si="9"/>
        <v>2561498.9</v>
      </c>
      <c r="T63" s="33">
        <f t="shared" si="15"/>
        <v>4477581.5999999996</v>
      </c>
      <c r="U63" s="29">
        <f t="shared" si="16"/>
        <v>4169406.8</v>
      </c>
    </row>
    <row r="64" spans="1:21" s="35" customFormat="1" ht="15.75">
      <c r="A64" s="39">
        <v>44713</v>
      </c>
      <c r="B64" s="30">
        <v>-232158.59999999998</v>
      </c>
      <c r="C64" s="30">
        <v>-190483.3</v>
      </c>
      <c r="D64" s="30">
        <v>0</v>
      </c>
      <c r="E64" s="29">
        <v>-422641.89999999997</v>
      </c>
      <c r="F64" s="30">
        <v>266435.90000000002</v>
      </c>
      <c r="G64" s="30">
        <v>1777341.7</v>
      </c>
      <c r="H64" s="30"/>
      <c r="I64" s="30">
        <v>524312.9</v>
      </c>
      <c r="J64" s="30">
        <v>0</v>
      </c>
      <c r="K64" s="30">
        <v>686729.1</v>
      </c>
      <c r="L64" s="31">
        <f t="shared" si="13"/>
        <v>3254819.6</v>
      </c>
      <c r="M64" s="30">
        <v>905749</v>
      </c>
      <c r="N64" s="29">
        <v>120078.3</v>
      </c>
      <c r="O64" s="31">
        <f t="shared" si="14"/>
        <v>2228992.3000000003</v>
      </c>
      <c r="P64" s="36">
        <v>24195.1</v>
      </c>
      <c r="Q64" s="31">
        <v>2882825.3</v>
      </c>
      <c r="R64" s="31">
        <v>6839.5000000000009</v>
      </c>
      <c r="S64" s="29">
        <f t="shared" si="9"/>
        <v>2913859.9</v>
      </c>
      <c r="T64" s="33">
        <f t="shared" si="15"/>
        <v>5142852.2</v>
      </c>
      <c r="U64" s="29">
        <f t="shared" si="16"/>
        <v>4720210.3</v>
      </c>
    </row>
    <row r="65" spans="1:22" s="35" customFormat="1" ht="15.75">
      <c r="A65" s="39">
        <v>44805</v>
      </c>
      <c r="B65" s="30">
        <v>-252190.40000000002</v>
      </c>
      <c r="C65" s="30">
        <v>-326772.79999999993</v>
      </c>
      <c r="D65" s="30">
        <v>0</v>
      </c>
      <c r="E65" s="29">
        <v>-578963.19999999995</v>
      </c>
      <c r="F65" s="30">
        <v>82611.8</v>
      </c>
      <c r="G65" s="30">
        <v>1832259.9</v>
      </c>
      <c r="H65" s="30"/>
      <c r="I65" s="30">
        <v>812437.6</v>
      </c>
      <c r="J65" s="30">
        <v>0</v>
      </c>
      <c r="K65" s="30">
        <v>956869.3</v>
      </c>
      <c r="L65" s="31">
        <f t="shared" si="13"/>
        <v>3684178.5999999996</v>
      </c>
      <c r="M65" s="30">
        <v>1027904.5</v>
      </c>
      <c r="N65" s="29">
        <v>123234.2</v>
      </c>
      <c r="O65" s="31">
        <f t="shared" si="14"/>
        <v>2533039.8999999994</v>
      </c>
      <c r="P65" s="36">
        <v>24189.1</v>
      </c>
      <c r="Q65" s="31">
        <v>3203720.8</v>
      </c>
      <c r="R65" s="31">
        <v>829.2</v>
      </c>
      <c r="S65" s="29">
        <f t="shared" si="9"/>
        <v>3228739.1</v>
      </c>
      <c r="T65" s="33">
        <f t="shared" si="15"/>
        <v>5761779</v>
      </c>
      <c r="U65" s="29">
        <f t="shared" si="16"/>
        <v>5182815.8</v>
      </c>
    </row>
    <row r="66" spans="1:22" s="35" customFormat="1" ht="15.75">
      <c r="A66" s="39">
        <v>44896</v>
      </c>
      <c r="B66" s="30">
        <v>-252046.90000000002</v>
      </c>
      <c r="C66" s="30">
        <v>-309521.5</v>
      </c>
      <c r="D66" s="30">
        <v>-357.9</v>
      </c>
      <c r="E66" s="29">
        <v>-561926.30000000005</v>
      </c>
      <c r="F66" s="30">
        <v>3346.5</v>
      </c>
      <c r="G66" s="30">
        <v>1994536.9</v>
      </c>
      <c r="H66" s="30"/>
      <c r="I66" s="30">
        <v>875209.5</v>
      </c>
      <c r="J66" s="30">
        <v>0</v>
      </c>
      <c r="K66" s="30">
        <v>941229</v>
      </c>
      <c r="L66" s="31">
        <f t="shared" si="13"/>
        <v>3814321.9</v>
      </c>
      <c r="M66" s="30">
        <v>1152725.8999999999</v>
      </c>
      <c r="N66" s="29">
        <v>128898.4</v>
      </c>
      <c r="O66" s="31">
        <f t="shared" si="14"/>
        <v>2532697.6</v>
      </c>
      <c r="P66" s="36">
        <v>23718</v>
      </c>
      <c r="Q66" s="31">
        <v>3388341.2</v>
      </c>
      <c r="R66" s="31">
        <v>167.9</v>
      </c>
      <c r="S66" s="29">
        <f t="shared" si="9"/>
        <v>3412227.1</v>
      </c>
      <c r="T66" s="33">
        <f t="shared" si="15"/>
        <v>5944924.7000000002</v>
      </c>
      <c r="U66" s="29">
        <f t="shared" si="16"/>
        <v>5382998.4000000004</v>
      </c>
    </row>
    <row r="67" spans="1:22" s="35" customFormat="1" ht="15.75">
      <c r="A67" s="39">
        <v>44986</v>
      </c>
      <c r="B67" s="30">
        <v>-280639.7</v>
      </c>
      <c r="C67" s="30">
        <v>-304530.80000000005</v>
      </c>
      <c r="D67" s="30">
        <v>0</v>
      </c>
      <c r="E67" s="29">
        <v>-585170.5</v>
      </c>
      <c r="F67" s="30">
        <v>0</v>
      </c>
      <c r="G67" s="30">
        <v>2089393.5000000002</v>
      </c>
      <c r="H67" s="30"/>
      <c r="I67" s="30">
        <v>918452.4</v>
      </c>
      <c r="J67" s="30">
        <v>0</v>
      </c>
      <c r="K67" s="30">
        <v>936198</v>
      </c>
      <c r="L67" s="31">
        <f t="shared" si="13"/>
        <v>3944043.9000000004</v>
      </c>
      <c r="M67" s="30">
        <v>1217275</v>
      </c>
      <c r="N67" s="29">
        <v>92302.1</v>
      </c>
      <c r="O67" s="31">
        <f t="shared" si="14"/>
        <v>2634466.8000000003</v>
      </c>
      <c r="P67" s="36">
        <v>25378.1</v>
      </c>
      <c r="Q67" s="31">
        <v>3467725.1999999997</v>
      </c>
      <c r="R67" s="31">
        <v>301.89999999999998</v>
      </c>
      <c r="S67" s="29">
        <f t="shared" si="9"/>
        <v>3493405.1999999997</v>
      </c>
      <c r="T67" s="33">
        <f t="shared" si="15"/>
        <v>6127872</v>
      </c>
      <c r="U67" s="29">
        <f t="shared" si="16"/>
        <v>5542701.5</v>
      </c>
    </row>
    <row r="68" spans="1:22" s="35" customFormat="1" ht="15.75">
      <c r="A68" s="39">
        <v>45078</v>
      </c>
      <c r="B68" s="30">
        <v>-532892.1</v>
      </c>
      <c r="C68" s="30">
        <v>-459070.50000000006</v>
      </c>
      <c r="D68" s="30">
        <v>-344.1</v>
      </c>
      <c r="E68" s="29">
        <f t="shared" ref="E68" si="20">+SUM(B68:D68)</f>
        <v>-992306.70000000007</v>
      </c>
      <c r="F68" s="30">
        <v>314986.5</v>
      </c>
      <c r="G68" s="30">
        <v>2012225.5</v>
      </c>
      <c r="H68" s="30"/>
      <c r="I68" s="30">
        <v>773286.7</v>
      </c>
      <c r="J68" s="30">
        <v>0</v>
      </c>
      <c r="K68" s="30">
        <v>930266.6</v>
      </c>
      <c r="L68" s="31">
        <f t="shared" si="13"/>
        <v>4030765.3000000003</v>
      </c>
      <c r="M68" s="30">
        <v>1101488.7</v>
      </c>
      <c r="N68" s="29">
        <v>182718.6</v>
      </c>
      <c r="O68" s="31">
        <f t="shared" si="14"/>
        <v>2746558.0000000005</v>
      </c>
      <c r="P68" s="36">
        <v>25644.199999999997</v>
      </c>
      <c r="Q68" s="31">
        <v>3793951.9000000004</v>
      </c>
      <c r="R68" s="31">
        <v>277.5</v>
      </c>
      <c r="S68" s="29">
        <f t="shared" si="9"/>
        <v>3819873.6000000006</v>
      </c>
      <c r="T68" s="33">
        <f t="shared" si="15"/>
        <v>6566431.6000000015</v>
      </c>
      <c r="U68" s="29">
        <f t="shared" si="16"/>
        <v>5574124.9000000013</v>
      </c>
    </row>
    <row r="69" spans="1:22" s="35" customFormat="1" ht="15.75">
      <c r="A69" s="39">
        <v>45170</v>
      </c>
      <c r="B69" s="30">
        <v>-701824.70000000007</v>
      </c>
      <c r="C69" s="30">
        <v>-531861.79999999993</v>
      </c>
      <c r="D69" s="30">
        <v>-378.8</v>
      </c>
      <c r="E69" s="29">
        <v>-1234065.3</v>
      </c>
      <c r="F69" s="30">
        <v>168204</v>
      </c>
      <c r="G69" s="30">
        <v>1986108.3</v>
      </c>
      <c r="H69" s="30"/>
      <c r="I69" s="30">
        <v>698659.5</v>
      </c>
      <c r="J69" s="30">
        <v>0</v>
      </c>
      <c r="K69" s="30">
        <v>1241186.3999999999</v>
      </c>
      <c r="L69" s="31">
        <f t="shared" si="13"/>
        <v>4094158.1999999997</v>
      </c>
      <c r="M69" s="30">
        <v>1123258.5000000002</v>
      </c>
      <c r="N69" s="29">
        <v>168824.19999999998</v>
      </c>
      <c r="O69" s="31">
        <f t="shared" si="14"/>
        <v>2802075.4999999991</v>
      </c>
      <c r="P69" s="36">
        <v>26195.899999999998</v>
      </c>
      <c r="Q69" s="31">
        <v>4279426.6999999993</v>
      </c>
      <c r="R69" s="31">
        <v>1209.8000000000002</v>
      </c>
      <c r="S69" s="29">
        <f t="shared" si="9"/>
        <v>4306832.3999999994</v>
      </c>
      <c r="T69" s="33">
        <f t="shared" si="15"/>
        <v>7108907.8999999985</v>
      </c>
      <c r="U69" s="29">
        <f t="shared" si="16"/>
        <v>5874842.5999999987</v>
      </c>
    </row>
    <row r="70" spans="1:22" s="35" customFormat="1" ht="15.75">
      <c r="A70" s="39">
        <v>45261</v>
      </c>
      <c r="B70" s="30">
        <v>-652621.79999999993</v>
      </c>
      <c r="C70" s="30">
        <v>-442426.50000000006</v>
      </c>
      <c r="D70" s="30">
        <v>-9.9</v>
      </c>
      <c r="E70" s="29">
        <v>-1095058.2</v>
      </c>
      <c r="F70" s="30">
        <v>45365.4</v>
      </c>
      <c r="G70" s="30">
        <v>2068505.1</v>
      </c>
      <c r="H70" s="30"/>
      <c r="I70" s="30">
        <v>819217.39999999991</v>
      </c>
      <c r="J70" s="30">
        <v>0</v>
      </c>
      <c r="K70" s="30">
        <v>1238638.2000000002</v>
      </c>
      <c r="L70" s="31">
        <f t="shared" si="13"/>
        <v>4171726.1</v>
      </c>
      <c r="M70" s="30">
        <v>1084051.7999999998</v>
      </c>
      <c r="N70" s="29">
        <v>172112.80000000002</v>
      </c>
      <c r="O70" s="31">
        <f t="shared" si="14"/>
        <v>2915561.5000000005</v>
      </c>
      <c r="P70" s="36">
        <v>24184.9</v>
      </c>
      <c r="Q70" s="31">
        <v>4425779.3000000007</v>
      </c>
      <c r="R70" s="31">
        <v>1112.6000000000001</v>
      </c>
      <c r="S70" s="29">
        <f t="shared" si="9"/>
        <v>4451076.8000000007</v>
      </c>
      <c r="T70" s="33">
        <f t="shared" si="15"/>
        <v>7366638.3000000007</v>
      </c>
      <c r="U70" s="29">
        <f t="shared" si="16"/>
        <v>6271580.1000000006</v>
      </c>
    </row>
    <row r="71" spans="1:22" s="35" customFormat="1" ht="15.75">
      <c r="A71" s="39">
        <v>45352</v>
      </c>
      <c r="B71" s="30">
        <v>-513773.49999999994</v>
      </c>
      <c r="C71" s="30">
        <v>-687363.49999999988</v>
      </c>
      <c r="D71" s="30">
        <v>-7.6999999999999993</v>
      </c>
      <c r="E71" s="29">
        <v>-1201144.6999999997</v>
      </c>
      <c r="F71" s="30">
        <v>0</v>
      </c>
      <c r="G71" s="30">
        <v>2167505.7000000002</v>
      </c>
      <c r="H71" s="30"/>
      <c r="I71" s="30">
        <v>813199.20000000007</v>
      </c>
      <c r="J71" s="30">
        <v>0</v>
      </c>
      <c r="K71" s="30">
        <v>1233257.3</v>
      </c>
      <c r="L71" s="31">
        <f t="shared" si="13"/>
        <v>4213962.2</v>
      </c>
      <c r="M71" s="30">
        <v>1182403.5</v>
      </c>
      <c r="N71" s="29">
        <v>191157.9</v>
      </c>
      <c r="O71" s="31">
        <f t="shared" si="14"/>
        <v>2840400.8000000003</v>
      </c>
      <c r="P71" s="36">
        <v>25772.1</v>
      </c>
      <c r="Q71" s="31">
        <v>4608774</v>
      </c>
      <c r="R71" s="31">
        <v>1070.1000000000001</v>
      </c>
      <c r="S71" s="29">
        <f t="shared" si="9"/>
        <v>4635616.1999999993</v>
      </c>
      <c r="T71" s="33">
        <f t="shared" si="15"/>
        <v>7476017</v>
      </c>
      <c r="U71" s="29">
        <f t="shared" si="16"/>
        <v>6274872.3000000007</v>
      </c>
    </row>
    <row r="72" spans="1:22" s="35" customFormat="1" ht="15.75">
      <c r="A72" s="39">
        <v>45444</v>
      </c>
      <c r="B72" s="30">
        <v>-533814.59999999986</v>
      </c>
      <c r="C72" s="30">
        <v>-936358.19999999984</v>
      </c>
      <c r="D72" s="30">
        <v>-19.2</v>
      </c>
      <c r="E72" s="29">
        <v>-1470191.9999999998</v>
      </c>
      <c r="F72" s="30">
        <v>153944.29999999999</v>
      </c>
      <c r="G72" s="30">
        <v>2127620.7999999993</v>
      </c>
      <c r="H72" s="30"/>
      <c r="I72" s="30">
        <v>835674.1</v>
      </c>
      <c r="J72" s="30">
        <v>0</v>
      </c>
      <c r="K72" s="30">
        <v>1226068.6000000001</v>
      </c>
      <c r="L72" s="31">
        <f t="shared" si="13"/>
        <v>4343307.7999999989</v>
      </c>
      <c r="M72" s="30">
        <v>1006010.8</v>
      </c>
      <c r="N72" s="29">
        <v>235701.60000000003</v>
      </c>
      <c r="O72" s="31">
        <f t="shared" si="14"/>
        <v>3101595.399999999</v>
      </c>
      <c r="P72" s="36">
        <v>11870.7</v>
      </c>
      <c r="Q72" s="31">
        <v>4939151.63</v>
      </c>
      <c r="R72" s="31">
        <v>1059.1000000000001</v>
      </c>
      <c r="S72" s="29">
        <f t="shared" si="9"/>
        <v>4952081.43</v>
      </c>
      <c r="T72" s="33">
        <f t="shared" si="15"/>
        <v>8053676.8299999982</v>
      </c>
      <c r="U72" s="29">
        <f t="shared" si="16"/>
        <v>6583484.8299999982</v>
      </c>
    </row>
    <row r="73" spans="1:22" s="35" customFormat="1" ht="15.75">
      <c r="A73" s="39">
        <v>45536</v>
      </c>
      <c r="B73" s="30">
        <v>-622133.30000000005</v>
      </c>
      <c r="C73" s="30">
        <v>-947005.40000000014</v>
      </c>
      <c r="D73" s="30">
        <v>0</v>
      </c>
      <c r="E73" s="29">
        <v>-1569138.7000000002</v>
      </c>
      <c r="F73" s="30">
        <v>415256.8</v>
      </c>
      <c r="G73" s="30">
        <v>2047371.7000000002</v>
      </c>
      <c r="H73" s="30"/>
      <c r="I73" s="30">
        <v>879291.1</v>
      </c>
      <c r="J73" s="30">
        <v>0</v>
      </c>
      <c r="K73" s="30">
        <v>1377870.7999999998</v>
      </c>
      <c r="L73" s="31">
        <f t="shared" si="13"/>
        <v>4719790.4000000004</v>
      </c>
      <c r="M73" s="30">
        <v>1122475.2999999998</v>
      </c>
      <c r="N73" s="29">
        <v>233301.19999999998</v>
      </c>
      <c r="O73" s="31">
        <f t="shared" si="14"/>
        <v>3364013.9000000004</v>
      </c>
      <c r="P73" s="36">
        <v>11811.1</v>
      </c>
      <c r="Q73" s="31">
        <v>5292063</v>
      </c>
      <c r="R73" s="31">
        <v>995.5</v>
      </c>
      <c r="S73" s="29">
        <f t="shared" si="9"/>
        <v>5304869.5999999996</v>
      </c>
      <c r="T73" s="33">
        <f t="shared" si="15"/>
        <v>8668883.5</v>
      </c>
      <c r="U73" s="29">
        <f t="shared" si="16"/>
        <v>7099744.7999999998</v>
      </c>
    </row>
    <row r="74" spans="1:22" s="35" customFormat="1" ht="15.75">
      <c r="A74" s="39">
        <v>45627</v>
      </c>
      <c r="B74" s="30">
        <v>-548227.89999999991</v>
      </c>
      <c r="C74" s="30">
        <v>-910786.50000000023</v>
      </c>
      <c r="D74" s="30">
        <v>0</v>
      </c>
      <c r="E74" s="29">
        <v>-1459014.4000000001</v>
      </c>
      <c r="F74" s="30">
        <v>751335.6</v>
      </c>
      <c r="G74" s="30">
        <v>2152489.6</v>
      </c>
      <c r="H74" s="30"/>
      <c r="I74" s="30">
        <v>840020.10000000009</v>
      </c>
      <c r="J74" s="30">
        <v>0</v>
      </c>
      <c r="K74" s="30">
        <v>1371442.2</v>
      </c>
      <c r="L74" s="31">
        <v>5115287.5</v>
      </c>
      <c r="M74" s="30">
        <v>1113896.1000000001</v>
      </c>
      <c r="N74" s="29">
        <v>250593.6</v>
      </c>
      <c r="O74" s="31">
        <v>3750797.8</v>
      </c>
      <c r="P74" s="36">
        <v>13053.900000000001</v>
      </c>
      <c r="Q74" s="31">
        <v>5616498.2000000002</v>
      </c>
      <c r="R74" s="31">
        <v>1170.2</v>
      </c>
      <c r="S74" s="29">
        <v>5630722.3000000007</v>
      </c>
      <c r="T74" s="33">
        <v>9381520.1000000015</v>
      </c>
      <c r="U74" s="29">
        <v>7922505.7000000011</v>
      </c>
    </row>
    <row r="75" spans="1:22" s="35" customFormat="1" ht="15.75">
      <c r="A75" s="39">
        <v>45717</v>
      </c>
      <c r="B75" s="30">
        <v>-692738.10000000009</v>
      </c>
      <c r="C75" s="30">
        <v>-879873.79999999981</v>
      </c>
      <c r="D75" s="30">
        <v>0</v>
      </c>
      <c r="E75" s="29">
        <v>-1572611.9</v>
      </c>
      <c r="F75" s="30">
        <v>629494.5</v>
      </c>
      <c r="G75" s="30">
        <v>2443996.6</v>
      </c>
      <c r="H75" s="30"/>
      <c r="I75" s="30">
        <v>685447.5</v>
      </c>
      <c r="J75" s="30">
        <v>0</v>
      </c>
      <c r="K75" s="30">
        <v>1365759.1</v>
      </c>
      <c r="L75" s="31">
        <v>5124697.7</v>
      </c>
      <c r="M75" s="30">
        <v>1114492.7000000002</v>
      </c>
      <c r="N75" s="29">
        <v>241724.5</v>
      </c>
      <c r="O75" s="31">
        <v>3768480.5</v>
      </c>
      <c r="P75" s="36">
        <v>20127.400000000005</v>
      </c>
      <c r="Q75" s="31">
        <v>5824835.5000000009</v>
      </c>
      <c r="R75" s="31">
        <v>1008.3</v>
      </c>
      <c r="S75" s="29">
        <v>5845971.2000000011</v>
      </c>
      <c r="T75" s="33">
        <v>9614451.7000000011</v>
      </c>
      <c r="U75" s="29">
        <v>8041839.8000000007</v>
      </c>
    </row>
    <row r="76" spans="1:22" s="35" customFormat="1" ht="15.75">
      <c r="A76" s="39">
        <v>45809</v>
      </c>
      <c r="B76" s="30">
        <v>-568852.99999999988</v>
      </c>
      <c r="C76" s="30">
        <v>-1037881.9000000001</v>
      </c>
      <c r="D76" s="30">
        <v>0</v>
      </c>
      <c r="E76" s="29">
        <v>-1606734.9</v>
      </c>
      <c r="F76" s="30">
        <v>1017484.8</v>
      </c>
      <c r="G76" s="30">
        <v>2525337.3000000003</v>
      </c>
      <c r="H76" s="30"/>
      <c r="I76" s="30">
        <v>756190</v>
      </c>
      <c r="J76" s="30">
        <v>0</v>
      </c>
      <c r="K76" s="30">
        <v>1355991.1</v>
      </c>
      <c r="L76" s="31">
        <v>5655003.2000000011</v>
      </c>
      <c r="M76" s="30">
        <v>1203853.3999999999</v>
      </c>
      <c r="N76" s="29">
        <v>292443.99999999994</v>
      </c>
      <c r="O76" s="31">
        <v>4158705.8000000007</v>
      </c>
      <c r="P76" s="36">
        <v>12344.800000000001</v>
      </c>
      <c r="Q76" s="31">
        <v>6267915.6000000006</v>
      </c>
      <c r="R76" s="31">
        <v>858.6</v>
      </c>
      <c r="S76" s="29">
        <v>6281119</v>
      </c>
      <c r="T76" s="33">
        <v>10439824.800000001</v>
      </c>
      <c r="U76" s="29">
        <v>8833089.9000000004</v>
      </c>
    </row>
    <row r="77" spans="1:22" s="35" customFormat="1" ht="15.75">
      <c r="A77" s="39">
        <v>45901</v>
      </c>
      <c r="B77" s="30">
        <v>-687889.89999999991</v>
      </c>
      <c r="C77" s="30">
        <v>-1182789.7000000004</v>
      </c>
      <c r="D77" s="30">
        <v>0</v>
      </c>
      <c r="E77" s="29">
        <v>-1870679.6000000003</v>
      </c>
      <c r="F77" s="30">
        <v>1017484.8</v>
      </c>
      <c r="G77" s="30">
        <v>2590705.1999999997</v>
      </c>
      <c r="H77" s="30"/>
      <c r="I77" s="30">
        <v>1054566.5</v>
      </c>
      <c r="J77" s="30">
        <v>0</v>
      </c>
      <c r="K77" s="30">
        <v>1353643.2000000002</v>
      </c>
      <c r="L77" s="31">
        <v>6016399.7000000002</v>
      </c>
      <c r="M77" s="30">
        <v>1449681.5</v>
      </c>
      <c r="N77" s="29">
        <v>244860.29999999996</v>
      </c>
      <c r="O77" s="31">
        <v>4321857.9000000004</v>
      </c>
      <c r="P77" s="36">
        <v>12869.500000000002</v>
      </c>
      <c r="Q77" s="31">
        <v>6594802.6999999993</v>
      </c>
      <c r="R77" s="31">
        <v>710</v>
      </c>
      <c r="S77" s="29">
        <v>6608382.1999999993</v>
      </c>
      <c r="T77" s="33">
        <v>10930240.1</v>
      </c>
      <c r="U77" s="29">
        <v>9059560.5</v>
      </c>
    </row>
    <row r="78" spans="1:22" s="35" customFormat="1" ht="15.75">
      <c r="A78" s="39">
        <v>45992</v>
      </c>
      <c r="B78" s="30">
        <v>-536353.39999999991</v>
      </c>
      <c r="C78" s="30">
        <v>-1422222.1</v>
      </c>
      <c r="D78" s="30">
        <v>0</v>
      </c>
      <c r="E78" s="29">
        <v>-1958575.5</v>
      </c>
      <c r="F78" s="30">
        <v>132386.20000000001</v>
      </c>
      <c r="G78" s="30">
        <v>2656108.2999999998</v>
      </c>
      <c r="H78" s="30"/>
      <c r="I78" s="30">
        <v>934011.10000000009</v>
      </c>
      <c r="J78" s="30">
        <v>0</v>
      </c>
      <c r="K78" s="30">
        <v>2362001.5</v>
      </c>
      <c r="L78" s="31">
        <v>6084507.0999999996</v>
      </c>
      <c r="M78" s="30">
        <v>1441308.5999999999</v>
      </c>
      <c r="N78" s="29">
        <v>138190.5</v>
      </c>
      <c r="O78" s="31">
        <v>4505008</v>
      </c>
      <c r="P78" s="36">
        <v>12640.9</v>
      </c>
      <c r="Q78" s="31">
        <v>6946023.2000000011</v>
      </c>
      <c r="R78" s="31">
        <v>682</v>
      </c>
      <c r="S78" s="29">
        <v>6959346.1000000015</v>
      </c>
      <c r="T78" s="33">
        <v>11464354.100000001</v>
      </c>
      <c r="U78" s="29">
        <v>9505778.6000000015</v>
      </c>
    </row>
    <row r="79" spans="1:22" s="35" customFormat="1" ht="15.75">
      <c r="A79" s="39">
        <v>46082</v>
      </c>
      <c r="B79" s="30">
        <v>-718552</v>
      </c>
      <c r="C79" s="30">
        <v>-1444673.7000000002</v>
      </c>
      <c r="D79" s="30">
        <v>-299.3</v>
      </c>
      <c r="E79" s="29">
        <v>-2163525</v>
      </c>
      <c r="F79" s="30">
        <v>0</v>
      </c>
      <c r="G79" s="30">
        <v>2739896.5</v>
      </c>
      <c r="H79" s="30"/>
      <c r="I79" s="30">
        <v>904375.60000000009</v>
      </c>
      <c r="J79" s="30">
        <v>0</v>
      </c>
      <c r="K79" s="30">
        <v>2353871.7000000002</v>
      </c>
      <c r="L79" s="31">
        <v>5998143.8000000007</v>
      </c>
      <c r="M79" s="30">
        <v>1277081.3</v>
      </c>
      <c r="N79" s="29">
        <v>217078.89999999997</v>
      </c>
      <c r="O79" s="31">
        <v>4503983.6000000006</v>
      </c>
      <c r="P79" s="36">
        <v>12405.2</v>
      </c>
      <c r="Q79" s="31">
        <v>7067844.6000000006</v>
      </c>
      <c r="R79" s="31">
        <v>612.9</v>
      </c>
      <c r="S79" s="29">
        <v>7080862.7000000011</v>
      </c>
      <c r="T79" s="33">
        <v>11584846.300000001</v>
      </c>
      <c r="U79" s="29">
        <v>9421321.3000000007</v>
      </c>
    </row>
    <row r="80" spans="1:22" s="35" customFormat="1" ht="15.75">
      <c r="A80" s="46" t="s">
        <v>45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8"/>
      <c r="V80" s="34"/>
    </row>
    <row r="81" spans="1:22" s="35" customFormat="1" ht="15.75">
      <c r="A81" s="49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1"/>
      <c r="V81" s="34"/>
    </row>
  </sheetData>
  <mergeCells count="10">
    <mergeCell ref="E2:G2"/>
    <mergeCell ref="A4:A6"/>
    <mergeCell ref="B4:E5"/>
    <mergeCell ref="F4:O4"/>
    <mergeCell ref="P4:T4"/>
    <mergeCell ref="U4:U6"/>
    <mergeCell ref="F5:O5"/>
    <mergeCell ref="P5:S5"/>
    <mergeCell ref="T5:T6"/>
    <mergeCell ref="A80:U81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6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3" sqref="B23:U23"/>
    </sheetView>
  </sheetViews>
  <sheetFormatPr baseColWidth="10" defaultColWidth="11.5546875" defaultRowHeight="18.75"/>
  <cols>
    <col min="1" max="1" width="23" style="1" customWidth="1"/>
    <col min="2" max="2" width="10.44140625" style="1" bestFit="1" customWidth="1"/>
    <col min="3" max="3" width="22.77734375" style="1" bestFit="1" customWidth="1"/>
    <col min="4" max="4" width="11.6640625" style="1" bestFit="1" customWidth="1"/>
    <col min="5" max="5" width="23.6640625" style="1" bestFit="1" customWidth="1"/>
    <col min="6" max="6" width="21.5546875" style="1" bestFit="1" customWidth="1"/>
    <col min="7" max="10" width="11.6640625" style="1" bestFit="1" customWidth="1"/>
    <col min="11" max="11" width="13.77734375" style="1" bestFit="1" customWidth="1"/>
    <col min="12" max="12" width="31.109375" style="1" bestFit="1" customWidth="1"/>
    <col min="13" max="13" width="29.77734375" style="1" bestFit="1" customWidth="1"/>
    <col min="14" max="14" width="23.6640625" style="1" bestFit="1" customWidth="1"/>
    <col min="15" max="15" width="50.5546875" style="1" bestFit="1" customWidth="1"/>
    <col min="16" max="16" width="31.77734375" style="1" bestFit="1" customWidth="1"/>
    <col min="17" max="17" width="11.6640625" style="1" bestFit="1" customWidth="1"/>
    <col min="18" max="18" width="22.5546875" style="1" bestFit="1" customWidth="1"/>
    <col min="19" max="20" width="11.6640625" style="1" bestFit="1" customWidth="1"/>
    <col min="21" max="16384" width="11.5546875" style="1"/>
  </cols>
  <sheetData>
    <row r="1" spans="1:22">
      <c r="A1" s="16" t="s">
        <v>23</v>
      </c>
      <c r="T1" s="21" t="s">
        <v>62</v>
      </c>
    </row>
    <row r="2" spans="1:22" s="2" customFormat="1">
      <c r="E2" s="42" t="s">
        <v>55</v>
      </c>
      <c r="F2" s="42"/>
      <c r="G2" s="42"/>
      <c r="T2" s="21"/>
      <c r="U2" s="21"/>
    </row>
    <row r="3" spans="1:22" s="2" customFormat="1" ht="21" customHeight="1">
      <c r="T3" s="21"/>
      <c r="U3" s="21"/>
    </row>
    <row r="4" spans="1:22" s="23" customFormat="1" ht="15.75" customHeight="1">
      <c r="A4" s="63" t="s">
        <v>46</v>
      </c>
      <c r="B4" s="57" t="s">
        <v>3</v>
      </c>
      <c r="C4" s="58"/>
      <c r="D4" s="58"/>
      <c r="E4" s="59"/>
      <c r="F4" s="43" t="s">
        <v>4</v>
      </c>
      <c r="G4" s="44"/>
      <c r="H4" s="44"/>
      <c r="I4" s="44"/>
      <c r="J4" s="44"/>
      <c r="K4" s="44"/>
      <c r="L4" s="44"/>
      <c r="M4" s="44"/>
      <c r="N4" s="44"/>
      <c r="O4" s="45"/>
      <c r="P4" s="43"/>
      <c r="Q4" s="44"/>
      <c r="R4" s="44"/>
      <c r="S4" s="44"/>
      <c r="T4" s="44"/>
      <c r="U4" s="54" t="s">
        <v>21</v>
      </c>
      <c r="V4" s="22"/>
    </row>
    <row r="5" spans="1:22" s="23" customFormat="1" ht="18">
      <c r="A5" s="64"/>
      <c r="B5" s="60"/>
      <c r="C5" s="61"/>
      <c r="D5" s="61"/>
      <c r="E5" s="62"/>
      <c r="F5" s="43" t="s">
        <v>22</v>
      </c>
      <c r="G5" s="44"/>
      <c r="H5" s="44"/>
      <c r="I5" s="44"/>
      <c r="J5" s="44"/>
      <c r="K5" s="44"/>
      <c r="L5" s="44"/>
      <c r="M5" s="44"/>
      <c r="N5" s="44"/>
      <c r="O5" s="45"/>
      <c r="P5" s="43" t="s">
        <v>7</v>
      </c>
      <c r="Q5" s="44"/>
      <c r="R5" s="44"/>
      <c r="S5" s="44"/>
      <c r="T5" s="52" t="s">
        <v>0</v>
      </c>
      <c r="U5" s="55"/>
      <c r="V5" s="24"/>
    </row>
    <row r="6" spans="1:22" s="23" customFormat="1" ht="90">
      <c r="A6" s="65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53"/>
      <c r="U6" s="56"/>
      <c r="V6" s="25"/>
    </row>
    <row r="7" spans="1:22" s="35" customFormat="1" ht="15.75">
      <c r="A7" s="37">
        <v>2008</v>
      </c>
      <c r="B7" s="29">
        <v>159092.20000000007</v>
      </c>
      <c r="C7" s="29">
        <v>95759.5</v>
      </c>
      <c r="D7" s="29"/>
      <c r="E7" s="29">
        <f t="shared" ref="E7:E15" si="0">SUM(B7:D7)</f>
        <v>254851.70000000007</v>
      </c>
      <c r="F7" s="29">
        <v>170798.9</v>
      </c>
      <c r="G7" s="29">
        <v>58561</v>
      </c>
      <c r="H7" s="29" t="s">
        <v>2</v>
      </c>
      <c r="I7" s="29">
        <v>9544.5</v>
      </c>
      <c r="J7" s="30" t="s">
        <v>2</v>
      </c>
      <c r="K7" s="30" t="s">
        <v>2</v>
      </c>
      <c r="L7" s="31">
        <f t="shared" ref="L7:L15" si="1">SUM(F7:K7)</f>
        <v>238904.4</v>
      </c>
      <c r="M7" s="32">
        <v>125831.59999999999</v>
      </c>
      <c r="N7" s="29">
        <v>11736.2</v>
      </c>
      <c r="O7" s="31">
        <f t="shared" ref="O7:O15" si="2">L7-M7-N7</f>
        <v>101336.6</v>
      </c>
      <c r="P7" s="29">
        <v>21927.199999999997</v>
      </c>
      <c r="Q7" s="29">
        <v>261749.50000000003</v>
      </c>
      <c r="R7" s="31">
        <v>120.8</v>
      </c>
      <c r="S7" s="29">
        <f t="shared" ref="S7:S15" si="3">SUM(P7:R7)</f>
        <v>283797.5</v>
      </c>
      <c r="T7" s="33">
        <f t="shared" ref="T7:T15" si="4">S7+O7</f>
        <v>385134.1</v>
      </c>
      <c r="U7" s="29">
        <f t="shared" ref="U7:U15" si="5">T7+E7</f>
        <v>639985.80000000005</v>
      </c>
      <c r="V7" s="34"/>
    </row>
    <row r="8" spans="1:22" s="35" customFormat="1" ht="15.75">
      <c r="A8" s="37">
        <v>2009</v>
      </c>
      <c r="B8" s="29">
        <v>144966.20000000007</v>
      </c>
      <c r="C8" s="29">
        <v>119531.40000000002</v>
      </c>
      <c r="D8" s="29"/>
      <c r="E8" s="29">
        <f t="shared" si="0"/>
        <v>264497.60000000009</v>
      </c>
      <c r="F8" s="29">
        <v>215622.30000000002</v>
      </c>
      <c r="G8" s="29">
        <v>100072.8</v>
      </c>
      <c r="H8" s="29" t="s">
        <v>2</v>
      </c>
      <c r="I8" s="29">
        <v>11255.3</v>
      </c>
      <c r="J8" s="30" t="s">
        <v>2</v>
      </c>
      <c r="K8" s="30" t="s">
        <v>2</v>
      </c>
      <c r="L8" s="31">
        <f t="shared" si="1"/>
        <v>326950.40000000002</v>
      </c>
      <c r="M8" s="32">
        <v>133925.09999999998</v>
      </c>
      <c r="N8" s="29">
        <v>14842.5</v>
      </c>
      <c r="O8" s="31">
        <f t="shared" si="2"/>
        <v>178182.80000000005</v>
      </c>
      <c r="P8" s="29">
        <v>8440.7000000000007</v>
      </c>
      <c r="Q8" s="29">
        <v>321233.5</v>
      </c>
      <c r="R8" s="31">
        <v>497.1</v>
      </c>
      <c r="S8" s="29">
        <f t="shared" si="3"/>
        <v>330171.3</v>
      </c>
      <c r="T8" s="33">
        <f t="shared" si="4"/>
        <v>508354.10000000003</v>
      </c>
      <c r="U8" s="29">
        <f t="shared" si="5"/>
        <v>772851.70000000019</v>
      </c>
      <c r="V8" s="34"/>
    </row>
    <row r="9" spans="1:22" s="35" customFormat="1" ht="15.75">
      <c r="A9" s="37">
        <v>2010</v>
      </c>
      <c r="B9" s="29">
        <v>141613.59999999998</v>
      </c>
      <c r="C9" s="29">
        <v>112437.40000000001</v>
      </c>
      <c r="D9" s="29"/>
      <c r="E9" s="29">
        <f t="shared" si="0"/>
        <v>254051</v>
      </c>
      <c r="F9" s="29">
        <v>19134.2</v>
      </c>
      <c r="G9" s="29">
        <v>109104.5</v>
      </c>
      <c r="H9" s="29" t="s">
        <v>2</v>
      </c>
      <c r="I9" s="29">
        <v>14177.3</v>
      </c>
      <c r="J9" s="29">
        <v>88925</v>
      </c>
      <c r="K9" s="29">
        <v>145130.9</v>
      </c>
      <c r="L9" s="31">
        <f t="shared" si="1"/>
        <v>376471.9</v>
      </c>
      <c r="M9" s="32">
        <v>154442.40000000002</v>
      </c>
      <c r="N9" s="29">
        <v>11748.2</v>
      </c>
      <c r="O9" s="31">
        <f t="shared" si="2"/>
        <v>210281.3</v>
      </c>
      <c r="P9" s="29">
        <v>8682.2000000000007</v>
      </c>
      <c r="Q9" s="29">
        <v>460562.3</v>
      </c>
      <c r="R9" s="31">
        <v>599.4</v>
      </c>
      <c r="S9" s="29">
        <f t="shared" si="3"/>
        <v>469843.9</v>
      </c>
      <c r="T9" s="33">
        <f t="shared" si="4"/>
        <v>680125.2</v>
      </c>
      <c r="U9" s="29">
        <f t="shared" si="5"/>
        <v>934176.2</v>
      </c>
      <c r="V9" s="34"/>
    </row>
    <row r="10" spans="1:22" s="35" customFormat="1" ht="15.75">
      <c r="A10" s="37">
        <v>2011</v>
      </c>
      <c r="B10" s="29">
        <v>82293.999999999942</v>
      </c>
      <c r="C10" s="29">
        <v>123231.6</v>
      </c>
      <c r="D10" s="29"/>
      <c r="E10" s="29">
        <f t="shared" si="0"/>
        <v>205525.59999999995</v>
      </c>
      <c r="F10" s="29">
        <v>86260.6</v>
      </c>
      <c r="G10" s="29">
        <v>84484.4</v>
      </c>
      <c r="H10" s="29" t="s">
        <v>2</v>
      </c>
      <c r="I10" s="29">
        <v>14746.9</v>
      </c>
      <c r="J10" s="29">
        <v>94325</v>
      </c>
      <c r="K10" s="29">
        <v>141433.29999999999</v>
      </c>
      <c r="L10" s="31">
        <f t="shared" si="1"/>
        <v>421250.2</v>
      </c>
      <c r="M10" s="32">
        <v>175708.5</v>
      </c>
      <c r="N10" s="29">
        <v>14154.1</v>
      </c>
      <c r="O10" s="31">
        <f t="shared" si="2"/>
        <v>231387.6</v>
      </c>
      <c r="P10" s="29">
        <v>4009.9000000000005</v>
      </c>
      <c r="Q10" s="29">
        <v>612267</v>
      </c>
      <c r="R10" s="31">
        <v>1021.9000000000001</v>
      </c>
      <c r="S10" s="29">
        <f t="shared" si="3"/>
        <v>617298.80000000005</v>
      </c>
      <c r="T10" s="33">
        <f t="shared" si="4"/>
        <v>848686.4</v>
      </c>
      <c r="U10" s="29">
        <f t="shared" si="5"/>
        <v>1054212</v>
      </c>
      <c r="V10" s="34"/>
    </row>
    <row r="11" spans="1:22" s="35" customFormat="1" ht="15.75">
      <c r="A11" s="37">
        <v>2012</v>
      </c>
      <c r="B11" s="29">
        <v>66928.900000000023</v>
      </c>
      <c r="C11" s="29">
        <v>129708.8</v>
      </c>
      <c r="D11" s="29"/>
      <c r="E11" s="29">
        <f t="shared" si="0"/>
        <v>196637.7</v>
      </c>
      <c r="F11" s="29">
        <v>155251.9</v>
      </c>
      <c r="G11" s="29">
        <v>49024.3</v>
      </c>
      <c r="H11" s="29"/>
      <c r="I11" s="29">
        <v>17982.599999999999</v>
      </c>
      <c r="J11" s="29">
        <v>117037.4</v>
      </c>
      <c r="K11" s="29">
        <v>137735.70000000001</v>
      </c>
      <c r="L11" s="31">
        <f t="shared" si="1"/>
        <v>477031.9</v>
      </c>
      <c r="M11" s="32">
        <v>182803.7</v>
      </c>
      <c r="N11" s="29">
        <v>18296</v>
      </c>
      <c r="O11" s="31">
        <f t="shared" si="2"/>
        <v>275932.2</v>
      </c>
      <c r="P11" s="29">
        <v>24157.200000000001</v>
      </c>
      <c r="Q11" s="29">
        <v>683891.70000000007</v>
      </c>
      <c r="R11" s="31">
        <v>1057.9000000000001</v>
      </c>
      <c r="S11" s="29">
        <f t="shared" si="3"/>
        <v>709106.8</v>
      </c>
      <c r="T11" s="33">
        <f t="shared" si="4"/>
        <v>985039</v>
      </c>
      <c r="U11" s="29">
        <f t="shared" si="5"/>
        <v>1181676.7</v>
      </c>
      <c r="V11" s="34"/>
    </row>
    <row r="12" spans="1:22" s="35" customFormat="1" ht="15.75">
      <c r="A12" s="37">
        <v>2013</v>
      </c>
      <c r="B12" s="29">
        <v>118133.79999999993</v>
      </c>
      <c r="C12" s="29">
        <v>111622.29999999997</v>
      </c>
      <c r="D12" s="29">
        <v>-97.2</v>
      </c>
      <c r="E12" s="29">
        <f t="shared" si="0"/>
        <v>229658.89999999991</v>
      </c>
      <c r="F12" s="30" t="s">
        <v>2</v>
      </c>
      <c r="G12" s="29">
        <v>109019.90000000001</v>
      </c>
      <c r="H12" s="29"/>
      <c r="I12" s="29">
        <v>18506.300000000003</v>
      </c>
      <c r="J12" s="29">
        <v>107284.3</v>
      </c>
      <c r="K12" s="29">
        <v>289290</v>
      </c>
      <c r="L12" s="31">
        <f t="shared" si="1"/>
        <v>524100.5</v>
      </c>
      <c r="M12" s="32">
        <v>227012.90000000002</v>
      </c>
      <c r="N12" s="29">
        <v>23790.1</v>
      </c>
      <c r="O12" s="31">
        <f t="shared" si="2"/>
        <v>273297.5</v>
      </c>
      <c r="P12" s="29">
        <v>36129.5</v>
      </c>
      <c r="Q12" s="29">
        <v>743181.20000000019</v>
      </c>
      <c r="R12" s="31">
        <v>2469.1999999999998</v>
      </c>
      <c r="S12" s="29">
        <f t="shared" si="3"/>
        <v>781779.90000000014</v>
      </c>
      <c r="T12" s="33">
        <f t="shared" si="4"/>
        <v>1055077.4000000001</v>
      </c>
      <c r="U12" s="29">
        <f t="shared" si="5"/>
        <v>1284736.3</v>
      </c>
      <c r="V12" s="34"/>
    </row>
    <row r="13" spans="1:22" s="35" customFormat="1" ht="15.75">
      <c r="A13" s="37">
        <v>2014</v>
      </c>
      <c r="B13" s="36">
        <v>128675.89999999997</v>
      </c>
      <c r="C13" s="36">
        <v>51849.400000000023</v>
      </c>
      <c r="D13" s="36">
        <v>-48.6</v>
      </c>
      <c r="E13" s="29">
        <f t="shared" si="0"/>
        <v>180476.69999999998</v>
      </c>
      <c r="F13" s="30">
        <v>55186.9</v>
      </c>
      <c r="G13" s="36">
        <v>147702.70000000001</v>
      </c>
      <c r="H13" s="29"/>
      <c r="I13" s="29">
        <v>49269.8</v>
      </c>
      <c r="J13" s="29">
        <v>106976.2</v>
      </c>
      <c r="K13" s="29">
        <v>285900.5</v>
      </c>
      <c r="L13" s="31">
        <f t="shared" si="1"/>
        <v>645036.10000000009</v>
      </c>
      <c r="M13" s="32">
        <v>238856.59999999998</v>
      </c>
      <c r="N13" s="29">
        <v>23004.400000000001</v>
      </c>
      <c r="O13" s="31">
        <f t="shared" si="2"/>
        <v>383175.10000000009</v>
      </c>
      <c r="P13" s="36">
        <v>40818.700000000004</v>
      </c>
      <c r="Q13" s="36">
        <v>814694.39999999991</v>
      </c>
      <c r="R13" s="31">
        <v>3449.2999999999997</v>
      </c>
      <c r="S13" s="29">
        <f t="shared" si="3"/>
        <v>858962.39999999991</v>
      </c>
      <c r="T13" s="33">
        <f t="shared" si="4"/>
        <v>1242137.5</v>
      </c>
      <c r="U13" s="29">
        <f t="shared" si="5"/>
        <v>1422614.2</v>
      </c>
      <c r="V13" s="34"/>
    </row>
    <row r="14" spans="1:22" s="35" customFormat="1" ht="15.75">
      <c r="A14" s="37">
        <v>2015</v>
      </c>
      <c r="B14" s="30">
        <v>-132985.60000000001</v>
      </c>
      <c r="C14" s="30">
        <v>57115.499999999971</v>
      </c>
      <c r="D14" s="30" t="s">
        <v>2</v>
      </c>
      <c r="E14" s="29">
        <f t="shared" si="0"/>
        <v>-75870.100000000035</v>
      </c>
      <c r="F14" s="30">
        <v>273246</v>
      </c>
      <c r="G14" s="30">
        <v>254809.2</v>
      </c>
      <c r="H14" s="30"/>
      <c r="I14" s="29">
        <v>50054.3</v>
      </c>
      <c r="J14" s="30">
        <v>90564.7</v>
      </c>
      <c r="K14" s="30">
        <v>277913.90000000002</v>
      </c>
      <c r="L14" s="31">
        <f t="shared" si="1"/>
        <v>946588.1</v>
      </c>
      <c r="M14" s="30">
        <v>233455.5</v>
      </c>
      <c r="N14" s="29">
        <v>26275.999999999996</v>
      </c>
      <c r="O14" s="31">
        <f t="shared" si="2"/>
        <v>686856.6</v>
      </c>
      <c r="P14" s="36">
        <v>6532.0999999999995</v>
      </c>
      <c r="Q14" s="31">
        <v>812972</v>
      </c>
      <c r="R14" s="31">
        <v>27.1</v>
      </c>
      <c r="S14" s="29">
        <f t="shared" si="3"/>
        <v>819531.2</v>
      </c>
      <c r="T14" s="33">
        <f t="shared" si="4"/>
        <v>1506387.7999999998</v>
      </c>
      <c r="U14" s="29">
        <f t="shared" si="5"/>
        <v>1430517.6999999997</v>
      </c>
      <c r="V14" s="34"/>
    </row>
    <row r="15" spans="1:22" s="35" customFormat="1" ht="15.75">
      <c r="A15" s="37">
        <v>2016</v>
      </c>
      <c r="B15" s="30">
        <v>-162073.80000000002</v>
      </c>
      <c r="C15" s="30">
        <v>-14449.299999999974</v>
      </c>
      <c r="D15" s="30" t="s">
        <v>2</v>
      </c>
      <c r="E15" s="29">
        <f t="shared" si="0"/>
        <v>-176523.09999999998</v>
      </c>
      <c r="F15" s="30">
        <v>134973.1</v>
      </c>
      <c r="G15" s="30">
        <v>438079.6</v>
      </c>
      <c r="H15" s="30"/>
      <c r="I15" s="29">
        <v>37133.1</v>
      </c>
      <c r="J15" s="30">
        <v>73845.100000000006</v>
      </c>
      <c r="K15" s="30">
        <v>543481.59999999998</v>
      </c>
      <c r="L15" s="31">
        <f t="shared" si="1"/>
        <v>1227512.5</v>
      </c>
      <c r="M15" s="30">
        <v>291260.3</v>
      </c>
      <c r="N15" s="29">
        <v>30394.800000000003</v>
      </c>
      <c r="O15" s="31">
        <f t="shared" si="2"/>
        <v>905857.39999999991</v>
      </c>
      <c r="P15" s="36">
        <v>7173.4000000000005</v>
      </c>
      <c r="Q15" s="31">
        <v>854034</v>
      </c>
      <c r="R15" s="31">
        <v>57.6</v>
      </c>
      <c r="S15" s="29">
        <f t="shared" si="3"/>
        <v>861265</v>
      </c>
      <c r="T15" s="33">
        <f t="shared" si="4"/>
        <v>1767122.4</v>
      </c>
      <c r="U15" s="29">
        <f t="shared" si="5"/>
        <v>1590599.2999999998</v>
      </c>
      <c r="V15" s="34"/>
    </row>
    <row r="16" spans="1:22" s="35" customFormat="1" ht="15.75">
      <c r="A16" s="37">
        <v>2017</v>
      </c>
      <c r="B16" s="30">
        <v>-144480.39999999997</v>
      </c>
      <c r="C16" s="30">
        <f>146133-156052.6</f>
        <v>-9919.6000000000058</v>
      </c>
      <c r="D16" s="30" t="s">
        <v>2</v>
      </c>
      <c r="E16" s="29">
        <f t="shared" ref="E16" si="6">+SUM(B16:D16)</f>
        <v>-154399.99999999997</v>
      </c>
      <c r="F16" s="30">
        <v>194279.4</v>
      </c>
      <c r="G16" s="30">
        <f>459750.2+183740.4</f>
        <v>643490.6</v>
      </c>
      <c r="H16" s="30"/>
      <c r="I16" s="29">
        <v>30924.9</v>
      </c>
      <c r="J16" s="30">
        <v>57125.4</v>
      </c>
      <c r="K16" s="30">
        <v>535803.19999999995</v>
      </c>
      <c r="L16" s="31">
        <f t="shared" ref="L16" si="7">+SUM(F16:K16)</f>
        <v>1461623.5</v>
      </c>
      <c r="M16" s="30">
        <v>300060.10000000009</v>
      </c>
      <c r="N16" s="29">
        <v>49349</v>
      </c>
      <c r="O16" s="31">
        <f t="shared" ref="O16:O19" si="8">+L16-M16-N16</f>
        <v>1112214.3999999999</v>
      </c>
      <c r="P16" s="36">
        <f>28633.1+129.8</f>
        <v>28762.899999999998</v>
      </c>
      <c r="Q16" s="31">
        <f>39736.1+3557.9+815757.5</f>
        <v>859051.5</v>
      </c>
      <c r="R16" s="31">
        <v>4937.3999999999996</v>
      </c>
      <c r="S16" s="29">
        <f>SUM(P16:R16)</f>
        <v>892751.8</v>
      </c>
      <c r="T16" s="33">
        <f>SUM(O16,S16)</f>
        <v>2004966.2</v>
      </c>
      <c r="U16" s="29">
        <f>SUM(E16,T16)</f>
        <v>1850566.2</v>
      </c>
      <c r="V16" s="34"/>
    </row>
    <row r="17" spans="1:22" s="35" customFormat="1" ht="15.75">
      <c r="A17" s="37">
        <v>2018</v>
      </c>
      <c r="B17" s="30">
        <v>-165217.1</v>
      </c>
      <c r="C17" s="30">
        <v>-37983.9</v>
      </c>
      <c r="D17" s="30" t="s">
        <v>2</v>
      </c>
      <c r="E17" s="29">
        <f t="shared" ref="E17" si="9">+SUM(B17:D17)</f>
        <v>-203201</v>
      </c>
      <c r="F17" s="30">
        <v>210409.1</v>
      </c>
      <c r="G17" s="30">
        <v>932439.20000000007</v>
      </c>
      <c r="H17" s="30"/>
      <c r="I17" s="29">
        <v>58884.2</v>
      </c>
      <c r="J17" s="30">
        <v>40405.800000000003</v>
      </c>
      <c r="K17" s="30">
        <v>521293.6</v>
      </c>
      <c r="L17" s="31">
        <f t="shared" ref="L17" si="10">+SUM(F17:K17)</f>
        <v>1763431.9</v>
      </c>
      <c r="M17" s="30">
        <v>353522.4</v>
      </c>
      <c r="N17" s="29">
        <v>72375.499999999985</v>
      </c>
      <c r="O17" s="31">
        <f t="shared" si="8"/>
        <v>1337534</v>
      </c>
      <c r="P17" s="36">
        <v>42063.6</v>
      </c>
      <c r="Q17" s="31">
        <v>983859.19999999995</v>
      </c>
      <c r="R17" s="31">
        <v>6028.8</v>
      </c>
      <c r="S17" s="29">
        <f t="shared" ref="S17" si="11">SUM(P17:R17)</f>
        <v>1031951.6</v>
      </c>
      <c r="T17" s="33">
        <f>SUM(O17,S17)</f>
        <v>2369485.6</v>
      </c>
      <c r="U17" s="29">
        <f>SUM(E17,T17)</f>
        <v>2166284.6</v>
      </c>
      <c r="V17" s="34"/>
    </row>
    <row r="18" spans="1:22" s="35" customFormat="1" ht="15.75">
      <c r="A18" s="37">
        <v>2019</v>
      </c>
      <c r="B18" s="30">
        <v>-129390.7</v>
      </c>
      <c r="C18" s="30">
        <v>-76949.600000000006</v>
      </c>
      <c r="D18" s="30" t="s">
        <v>2</v>
      </c>
      <c r="E18" s="29">
        <f t="shared" ref="E18" si="12">+SUM(B18:D18)</f>
        <v>-206340.3</v>
      </c>
      <c r="F18" s="30">
        <v>0</v>
      </c>
      <c r="G18" s="30">
        <v>1341367.1000000001</v>
      </c>
      <c r="H18" s="30"/>
      <c r="I18" s="30">
        <v>70919.799999999988</v>
      </c>
      <c r="J18" s="30">
        <v>23686.2</v>
      </c>
      <c r="K18" s="30">
        <v>722793.2</v>
      </c>
      <c r="L18" s="31">
        <f t="shared" ref="L18" si="13">+SUM(F18:K18)</f>
        <v>2158766.2999999998</v>
      </c>
      <c r="M18" s="30">
        <v>443910.5</v>
      </c>
      <c r="N18" s="29">
        <v>95938.2</v>
      </c>
      <c r="O18" s="31">
        <f t="shared" si="8"/>
        <v>1618917.5999999999</v>
      </c>
      <c r="P18" s="36">
        <f>42076.6+101.6</f>
        <v>42178.2</v>
      </c>
      <c r="Q18" s="31">
        <v>1166031.0000000002</v>
      </c>
      <c r="R18" s="31">
        <v>458.5</v>
      </c>
      <c r="S18" s="29">
        <f t="shared" ref="S18" si="14">SUM(P18:R18)</f>
        <v>1208667.7000000002</v>
      </c>
      <c r="T18" s="33">
        <f t="shared" ref="T18:T19" si="15">SUM(O18,S18)</f>
        <v>2827585.3</v>
      </c>
      <c r="U18" s="29">
        <f t="shared" ref="U18:U24" si="16">SUM(E18,T18)</f>
        <v>2621245</v>
      </c>
    </row>
    <row r="19" spans="1:22" s="35" customFormat="1" ht="15.75">
      <c r="A19" s="37">
        <v>2020</v>
      </c>
      <c r="B19" s="30">
        <v>-93105.300000000017</v>
      </c>
      <c r="C19" s="30">
        <v>-111910.80000000002</v>
      </c>
      <c r="D19" s="30" t="s">
        <v>2</v>
      </c>
      <c r="E19" s="29">
        <f t="shared" ref="E19" si="17">+SUM(B19:D19)</f>
        <v>-205016.10000000003</v>
      </c>
      <c r="F19" s="30">
        <v>0</v>
      </c>
      <c r="G19" s="30">
        <v>1614167.6</v>
      </c>
      <c r="H19" s="30"/>
      <c r="I19" s="30">
        <f>18210.4+27463+120782.7+150000+2000</f>
        <v>318456.09999999998</v>
      </c>
      <c r="J19" s="30">
        <v>6921.2</v>
      </c>
      <c r="K19" s="30">
        <v>708283.6</v>
      </c>
      <c r="L19" s="31">
        <f t="shared" ref="L19" si="18">+SUM(F19:K19)</f>
        <v>2647828.5</v>
      </c>
      <c r="M19" s="30">
        <v>549158.91651699995</v>
      </c>
      <c r="N19" s="29">
        <v>72918.899999999994</v>
      </c>
      <c r="O19" s="31">
        <f t="shared" si="8"/>
        <v>2025750.6834830004</v>
      </c>
      <c r="P19" s="36">
        <f>22343.7+101.6</f>
        <v>22445.3</v>
      </c>
      <c r="Q19" s="31">
        <v>1413651.5</v>
      </c>
      <c r="R19" s="31">
        <v>1185.1999999999998</v>
      </c>
      <c r="S19" s="29">
        <f t="shared" ref="S19" si="19">SUM(P19:R19)</f>
        <v>1437282</v>
      </c>
      <c r="T19" s="33">
        <f t="shared" si="15"/>
        <v>3463032.6834830004</v>
      </c>
      <c r="U19" s="29">
        <f t="shared" si="16"/>
        <v>3258016.5834830003</v>
      </c>
    </row>
    <row r="20" spans="1:22" s="35" customFormat="1" ht="15.75">
      <c r="A20" s="37">
        <v>2021</v>
      </c>
      <c r="B20" s="30">
        <v>-141348.09999999998</v>
      </c>
      <c r="C20" s="30">
        <v>-181042.40000000002</v>
      </c>
      <c r="D20" s="30">
        <v>0</v>
      </c>
      <c r="E20" s="29">
        <v>-322390.5</v>
      </c>
      <c r="F20" s="30">
        <v>36124.9</v>
      </c>
      <c r="G20" s="30">
        <v>1816057.7</v>
      </c>
      <c r="H20" s="30"/>
      <c r="I20" s="30">
        <v>290056.7</v>
      </c>
      <c r="J20" s="30">
        <v>0</v>
      </c>
      <c r="K20" s="30">
        <v>690961.7</v>
      </c>
      <c r="L20" s="31">
        <v>2833201</v>
      </c>
      <c r="M20" s="30">
        <v>826676.3</v>
      </c>
      <c r="N20" s="29">
        <v>75800.899999999994</v>
      </c>
      <c r="O20" s="31">
        <v>1930723.8</v>
      </c>
      <c r="P20" s="36">
        <v>25121</v>
      </c>
      <c r="Q20" s="31">
        <v>2351611.3000000003</v>
      </c>
      <c r="R20" s="31">
        <v>256.5</v>
      </c>
      <c r="S20" s="29">
        <v>2376988.8000000003</v>
      </c>
      <c r="T20" s="33">
        <v>4307712.6000000006</v>
      </c>
      <c r="U20" s="29">
        <f t="shared" si="16"/>
        <v>3985322.1000000006</v>
      </c>
    </row>
    <row r="21" spans="1:22" s="35" customFormat="1" ht="15.75">
      <c r="A21" s="37">
        <v>2022</v>
      </c>
      <c r="B21" s="30">
        <v>-252046.90000000002</v>
      </c>
      <c r="C21" s="30">
        <v>-309521.5</v>
      </c>
      <c r="D21" s="30">
        <v>-357.9</v>
      </c>
      <c r="E21" s="29">
        <v>-561926.30000000005</v>
      </c>
      <c r="F21" s="30">
        <v>3346.5</v>
      </c>
      <c r="G21" s="30">
        <v>1994536.9</v>
      </c>
      <c r="H21" s="30"/>
      <c r="I21" s="30">
        <v>875209.5</v>
      </c>
      <c r="J21" s="30">
        <v>0</v>
      </c>
      <c r="K21" s="30">
        <v>941229</v>
      </c>
      <c r="L21" s="31">
        <v>3814321.9</v>
      </c>
      <c r="M21" s="30">
        <v>1152725.8999999999</v>
      </c>
      <c r="N21" s="29">
        <v>128898.4</v>
      </c>
      <c r="O21" s="31">
        <v>2532697.6</v>
      </c>
      <c r="P21" s="36">
        <v>23718</v>
      </c>
      <c r="Q21" s="31">
        <v>3388341.2</v>
      </c>
      <c r="R21" s="31">
        <v>167.9</v>
      </c>
      <c r="S21" s="29">
        <v>3412227.1</v>
      </c>
      <c r="T21" s="33">
        <v>5944924.7000000002</v>
      </c>
      <c r="U21" s="29">
        <f t="shared" si="16"/>
        <v>5382998.4000000004</v>
      </c>
    </row>
    <row r="22" spans="1:22" s="35" customFormat="1" ht="15.75">
      <c r="A22" s="37">
        <v>2023</v>
      </c>
      <c r="B22" s="30">
        <v>-652621.79999999993</v>
      </c>
      <c r="C22" s="30">
        <v>-442426.50000000006</v>
      </c>
      <c r="D22" s="30">
        <v>-9.9</v>
      </c>
      <c r="E22" s="29">
        <v>-1095058.2</v>
      </c>
      <c r="F22" s="30">
        <v>45365.4</v>
      </c>
      <c r="G22" s="30">
        <v>2068505.1</v>
      </c>
      <c r="H22" s="30"/>
      <c r="I22" s="30">
        <v>819217.39999999991</v>
      </c>
      <c r="J22" s="30">
        <v>0</v>
      </c>
      <c r="K22" s="30">
        <v>1238638.2000000002</v>
      </c>
      <c r="L22" s="31">
        <v>4171726.1</v>
      </c>
      <c r="M22" s="30">
        <v>1084051.7999999998</v>
      </c>
      <c r="N22" s="29">
        <v>172112.80000000002</v>
      </c>
      <c r="O22" s="31">
        <v>2915561.5</v>
      </c>
      <c r="P22" s="36">
        <v>24184.9</v>
      </c>
      <c r="Q22" s="31">
        <v>4425779.3000000007</v>
      </c>
      <c r="R22" s="31">
        <v>1112.6000000000001</v>
      </c>
      <c r="S22" s="29">
        <v>4451076.8000000007</v>
      </c>
      <c r="T22" s="33">
        <v>7366638.3000000007</v>
      </c>
      <c r="U22" s="29">
        <f t="shared" si="16"/>
        <v>6271580.1000000006</v>
      </c>
    </row>
    <row r="23" spans="1:22" s="35" customFormat="1" ht="15.75">
      <c r="A23" s="37">
        <v>2024</v>
      </c>
      <c r="B23" s="30">
        <v>-548227.89999999991</v>
      </c>
      <c r="C23" s="30">
        <v>-910786.50000000023</v>
      </c>
      <c r="D23" s="30">
        <v>0</v>
      </c>
      <c r="E23" s="29">
        <v>-1459014.4000000001</v>
      </c>
      <c r="F23" s="30">
        <v>751335.6</v>
      </c>
      <c r="G23" s="30">
        <v>2152489.6</v>
      </c>
      <c r="H23" s="30"/>
      <c r="I23" s="30">
        <v>840020.10000000009</v>
      </c>
      <c r="J23" s="30">
        <v>0</v>
      </c>
      <c r="K23" s="30">
        <v>1371442.2</v>
      </c>
      <c r="L23" s="31">
        <v>5115287.5</v>
      </c>
      <c r="M23" s="30">
        <v>1113896.1000000001</v>
      </c>
      <c r="N23" s="29">
        <v>250593.6</v>
      </c>
      <c r="O23" s="31">
        <v>3750797.8</v>
      </c>
      <c r="P23" s="36">
        <v>13053.900000000001</v>
      </c>
      <c r="Q23" s="31">
        <v>5616498.2000000002</v>
      </c>
      <c r="R23" s="31">
        <v>1170.2</v>
      </c>
      <c r="S23" s="29">
        <v>5630722.3000000007</v>
      </c>
      <c r="T23" s="33">
        <v>9381520.1000000015</v>
      </c>
      <c r="U23" s="29">
        <v>7922505.7000000011</v>
      </c>
    </row>
    <row r="24" spans="1:22" s="35" customFormat="1" ht="15.75">
      <c r="A24" s="37">
        <v>2025</v>
      </c>
      <c r="B24" s="30">
        <v>-536353.39999999991</v>
      </c>
      <c r="C24" s="30">
        <v>-1422222.1</v>
      </c>
      <c r="D24" s="30">
        <v>0</v>
      </c>
      <c r="E24" s="29">
        <v>-1958575.5</v>
      </c>
      <c r="F24" s="30">
        <v>132386.20000000001</v>
      </c>
      <c r="G24" s="30">
        <v>2656108.2999999998</v>
      </c>
      <c r="H24" s="30"/>
      <c r="I24" s="30">
        <v>934011.10000000009</v>
      </c>
      <c r="J24" s="30">
        <v>0</v>
      </c>
      <c r="K24" s="30">
        <v>2362001.5</v>
      </c>
      <c r="L24" s="31">
        <v>6084507.0999999996</v>
      </c>
      <c r="M24" s="30">
        <v>1441308.5999999999</v>
      </c>
      <c r="N24" s="29">
        <v>138190.5</v>
      </c>
      <c r="O24" s="31">
        <v>4505008</v>
      </c>
      <c r="P24" s="36">
        <v>12640.9</v>
      </c>
      <c r="Q24" s="31">
        <v>6946023.2000000011</v>
      </c>
      <c r="R24" s="31">
        <v>682</v>
      </c>
      <c r="S24" s="29">
        <v>6959346.1000000015</v>
      </c>
      <c r="T24" s="33">
        <v>11464354.100000001</v>
      </c>
      <c r="U24" s="29">
        <f t="shared" si="16"/>
        <v>9505778.6000000015</v>
      </c>
    </row>
    <row r="25" spans="1:22" s="35" customFormat="1" ht="15.75">
      <c r="A25" s="46" t="s">
        <v>45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8"/>
      <c r="V25" s="34"/>
    </row>
    <row r="26" spans="1:22" s="35" customFormat="1" ht="15.7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1"/>
      <c r="V26" s="34"/>
    </row>
  </sheetData>
  <mergeCells count="10">
    <mergeCell ref="E2:G2"/>
    <mergeCell ref="A4:A6"/>
    <mergeCell ref="B4:E5"/>
    <mergeCell ref="F4:O4"/>
    <mergeCell ref="P4:T4"/>
    <mergeCell ref="U4:U6"/>
    <mergeCell ref="F5:O5"/>
    <mergeCell ref="P5:S5"/>
    <mergeCell ref="T5:T6"/>
    <mergeCell ref="A25:U2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GIRIMANA</dc:creator>
  <cp:lastModifiedBy>Yvette NDACAYISABA</cp:lastModifiedBy>
  <cp:lastPrinted>2016-11-30T12:34:59Z</cp:lastPrinted>
  <dcterms:created xsi:type="dcterms:W3CDTF">2000-10-18T12:42:23Z</dcterms:created>
  <dcterms:modified xsi:type="dcterms:W3CDTF">2026-06-04T12:48:32Z</dcterms:modified>
</cp:coreProperties>
</file>