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4\Français\"/>
    </mc:Choice>
  </mc:AlternateContent>
  <bookViews>
    <workbookView xWindow="0" yWindow="0" windowWidth="24000" windowHeight="9000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E325" i="3" l="1"/>
  <c r="D325" i="3"/>
  <c r="B325" i="3"/>
  <c r="C111" i="4" l="1"/>
  <c r="D111" i="4"/>
  <c r="E111" i="4"/>
  <c r="B111" i="4"/>
  <c r="E110" i="4" l="1"/>
  <c r="C110" i="4"/>
  <c r="D110" i="4"/>
  <c r="B110" i="4"/>
  <c r="C108" i="4" l="1"/>
  <c r="D108" i="4"/>
  <c r="E108" i="4"/>
  <c r="B108" i="4"/>
  <c r="C107" i="4" l="1"/>
  <c r="C32" i="5" s="1"/>
  <c r="D107" i="4"/>
  <c r="D32" i="5" s="1"/>
  <c r="E107" i="4"/>
  <c r="E32" i="5" s="1"/>
  <c r="B107" i="4"/>
  <c r="B32" i="5" s="1"/>
  <c r="B103" i="4" l="1"/>
  <c r="C106" i="4"/>
  <c r="D106" i="4"/>
  <c r="E106" i="4"/>
  <c r="B106" i="4"/>
  <c r="C30" i="5" l="1"/>
  <c r="D30" i="5"/>
  <c r="E30" i="5"/>
  <c r="B30" i="5"/>
  <c r="C105" i="4"/>
  <c r="D105" i="4"/>
  <c r="E105" i="4"/>
  <c r="B105" i="4"/>
  <c r="C104" i="4" l="1"/>
  <c r="D104" i="4"/>
  <c r="E104" i="4"/>
  <c r="B104" i="4"/>
  <c r="B31" i="5" s="1"/>
  <c r="C103" i="4" l="1"/>
  <c r="C31" i="5" s="1"/>
  <c r="D103" i="4"/>
  <c r="D31" i="5" s="1"/>
  <c r="E103" i="4"/>
  <c r="E31" i="5" s="1"/>
  <c r="D174" i="3" l="1"/>
  <c r="B174" i="3"/>
  <c r="D173" i="3"/>
  <c r="B173" i="3"/>
  <c r="E172" i="3"/>
  <c r="D172" i="3"/>
  <c r="B172" i="3"/>
  <c r="D171" i="3"/>
  <c r="B171" i="3"/>
  <c r="D170" i="3"/>
  <c r="B170" i="3"/>
  <c r="E169" i="3"/>
  <c r="D169" i="3"/>
  <c r="B169" i="3"/>
  <c r="E168" i="3"/>
  <c r="D168" i="3"/>
  <c r="B168" i="3"/>
  <c r="D166" i="3"/>
  <c r="D165" i="3"/>
  <c r="B165" i="3"/>
  <c r="E164" i="3"/>
  <c r="D164" i="3"/>
  <c r="C164" i="3"/>
  <c r="B164" i="3"/>
  <c r="E163" i="3"/>
  <c r="D163" i="3"/>
  <c r="B163" i="3"/>
  <c r="D162" i="3"/>
  <c r="C162" i="3"/>
  <c r="B162" i="3"/>
  <c r="E161" i="3"/>
  <c r="C161" i="3"/>
  <c r="B161" i="3"/>
  <c r="E160" i="3"/>
  <c r="D160" i="3"/>
  <c r="C160" i="3"/>
  <c r="B160" i="3"/>
  <c r="D159" i="3"/>
  <c r="C159" i="3"/>
  <c r="B159" i="3"/>
  <c r="E158" i="3"/>
  <c r="D158" i="3"/>
  <c r="C158" i="3"/>
  <c r="B158" i="3"/>
  <c r="E157" i="3"/>
  <c r="D157" i="3"/>
  <c r="C157" i="3"/>
  <c r="B157" i="3"/>
  <c r="D156" i="3"/>
  <c r="C156" i="3"/>
  <c r="B156" i="3"/>
  <c r="E155" i="3"/>
  <c r="D155" i="3"/>
  <c r="C155" i="3"/>
  <c r="B155" i="3"/>
  <c r="E154" i="3"/>
  <c r="D154" i="3"/>
  <c r="C154" i="3"/>
  <c r="B154" i="3"/>
  <c r="E153" i="3"/>
  <c r="D153" i="3"/>
  <c r="C153" i="3"/>
  <c r="B153" i="3"/>
  <c r="E152" i="3"/>
  <c r="D152" i="3"/>
  <c r="C152" i="3"/>
  <c r="B152" i="3"/>
  <c r="E151" i="3"/>
  <c r="D151" i="3"/>
  <c r="B151" i="3"/>
  <c r="E150" i="3"/>
  <c r="D150" i="3"/>
  <c r="C150" i="3"/>
  <c r="B150" i="3"/>
  <c r="E148" i="3"/>
  <c r="D148" i="3"/>
  <c r="C148" i="3"/>
  <c r="B148" i="3"/>
  <c r="D147" i="3"/>
  <c r="C147" i="3"/>
  <c r="B147" i="3"/>
  <c r="E146" i="3"/>
  <c r="C146" i="3"/>
  <c r="B146" i="3"/>
  <c r="D145" i="3"/>
  <c r="C145" i="3"/>
  <c r="B145" i="3"/>
  <c r="E144" i="3"/>
  <c r="D144" i="3"/>
  <c r="C144" i="3"/>
  <c r="B144" i="3"/>
  <c r="E142" i="3"/>
  <c r="D142" i="3"/>
  <c r="B142" i="3"/>
  <c r="E141" i="3"/>
  <c r="D141" i="3"/>
  <c r="C141" i="3"/>
  <c r="B141" i="3"/>
  <c r="E140" i="3"/>
  <c r="D140" i="3"/>
  <c r="B140" i="3"/>
  <c r="E139" i="3"/>
  <c r="D139" i="3"/>
  <c r="B139" i="3"/>
  <c r="E134" i="3"/>
  <c r="D134" i="3"/>
  <c r="B134" i="3"/>
  <c r="E133" i="3"/>
  <c r="B133" i="3"/>
  <c r="E132" i="3"/>
  <c r="D132" i="3"/>
  <c r="C132" i="3"/>
  <c r="B132" i="3"/>
  <c r="D131" i="3"/>
  <c r="B131" i="3"/>
  <c r="D130" i="3"/>
  <c r="B130" i="3"/>
  <c r="E129" i="3"/>
  <c r="D129" i="3"/>
  <c r="B129" i="3"/>
  <c r="E128" i="3"/>
  <c r="E127" i="3"/>
  <c r="E121" i="3"/>
  <c r="D121" i="3"/>
  <c r="B121" i="3"/>
  <c r="D120" i="3"/>
  <c r="C120" i="3"/>
  <c r="B120" i="3"/>
  <c r="E119" i="3"/>
  <c r="C119" i="3"/>
  <c r="B119" i="3"/>
  <c r="E118" i="3"/>
  <c r="C118" i="3"/>
  <c r="B118" i="3"/>
  <c r="E117" i="3"/>
  <c r="D116" i="3"/>
  <c r="B116" i="3"/>
  <c r="B115" i="3"/>
  <c r="E114" i="3"/>
  <c r="D114" i="3"/>
  <c r="C114" i="3"/>
  <c r="B114" i="3"/>
  <c r="E113" i="3"/>
  <c r="D113" i="3"/>
  <c r="C113" i="3"/>
  <c r="B113" i="3"/>
  <c r="E112" i="3"/>
  <c r="C112" i="3"/>
  <c r="B112" i="3"/>
  <c r="E111" i="3"/>
  <c r="C111" i="3"/>
  <c r="B111" i="3"/>
  <c r="B110" i="3"/>
  <c r="B109" i="3"/>
  <c r="B108" i="3"/>
  <c r="E107" i="3"/>
  <c r="B107" i="3"/>
  <c r="D54" i="3"/>
  <c r="B54" i="3"/>
  <c r="E53" i="3"/>
  <c r="D53" i="3"/>
  <c r="B53" i="3"/>
  <c r="D52" i="3"/>
  <c r="B52" i="3"/>
  <c r="D51" i="3"/>
  <c r="B51" i="3"/>
  <c r="D50" i="3"/>
  <c r="C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E42" i="3"/>
  <c r="D42" i="3"/>
  <c r="B42" i="3"/>
  <c r="D41" i="3"/>
  <c r="B41" i="3"/>
  <c r="D40" i="3"/>
  <c r="B40" i="3"/>
  <c r="D39" i="3"/>
  <c r="B39" i="3"/>
  <c r="D38" i="3"/>
  <c r="B38" i="3"/>
  <c r="E37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</calcChain>
</file>

<file path=xl/sharedStrings.xml><?xml version="1.0" encoding="utf-8"?>
<sst xmlns="http://schemas.openxmlformats.org/spreadsheetml/2006/main" count="71" uniqueCount="43">
  <si>
    <t xml:space="preserve"> </t>
  </si>
  <si>
    <t xml:space="preserve"> Pétrole</t>
  </si>
  <si>
    <t xml:space="preserve"> Gas oil</t>
  </si>
  <si>
    <t xml:space="preserve">  J.P.1</t>
  </si>
  <si>
    <t>Source: S.E.P.</t>
  </si>
  <si>
    <t xml:space="preserve"> (1): Quantité réceptionnée par la S.E.P. Bujumbura </t>
  </si>
  <si>
    <t xml:space="preserve"> (*): Non compris les données de la S.E.P. Gitega à partir de l'année 2003</t>
  </si>
  <si>
    <t>V.5</t>
  </si>
  <si>
    <t xml:space="preserve"> (2): y compris les données de la S.E.P. Gitega </t>
  </si>
  <si>
    <t xml:space="preserve"> Essence Super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</si>
  <si>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</si>
  <si>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</si>
  <si>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</si>
  <si>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</si>
  <si>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</si>
  <si>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</si>
  <si>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</si>
  <si>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</si>
  <si>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</si>
  <si>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</si>
  <si>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</si>
  <si>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</si>
  <si>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</si>
  <si>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</si>
  <si>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</si>
  <si>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Principaux Produits Pétroliers</t>
  </si>
  <si>
    <t>Essence Super</t>
  </si>
  <si>
    <t xml:space="preserve">   Pétrole</t>
  </si>
  <si>
    <t xml:space="preserve">  Gas oil</t>
  </si>
  <si>
    <t>Consommation des principaux produits pétroliers</t>
  </si>
  <si>
    <t>Consommation des principaux produits pétroliers.xls</t>
  </si>
  <si>
    <t xml:space="preserve">consommation des principaux produits pétroliers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</si>
  <si>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</si>
  <si>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</si>
  <si>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</si>
  <si>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Produit</t>
  </si>
  <si>
    <t xml:space="preserve">   Période</t>
  </si>
  <si>
    <t>déc,-24</t>
  </si>
  <si>
    <t xml:space="preserve"> CONSOMMATION DES PRINCIPAUX PRODUITS PETROLIERS (1)              (en milliers de litres)</t>
  </si>
  <si>
    <t xml:space="preserve"> CONSOMMATION DES PRINCIPAUX PRODUITS PETROLIERS (1) (en milliers de litres)</t>
  </si>
  <si>
    <t>Source: OBR</t>
  </si>
  <si>
    <t>2025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</si>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</sst>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_)"/>
    <numFmt numFmtId="166" formatCode="[$-40C]mmm\-yy;@"/>
    <numFmt numFmtId="167" formatCode="[$-409]dd\-mmm\-yy;@"/>
    <numFmt numFmtId="168" formatCode="General_)"/>
  </numFmts>
  <fonts count="14" x14ac:knownFonts="1">
    <font>
      <sz val="12"/>
      <name val="Helv"/>
    </font>
    <font>
      <u/>
      <sz val="12"/>
      <color indexed="12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6"/>
      <name val="Calibri"/>
      <family val="2"/>
      <scheme val="minor"/>
    </font>
    <font>
      <sz val="12"/>
      <name val="Helv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37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</cellStyleXfs>
  <cellXfs count="95">
    <xf numFmtId="37" fontId="0" fillId="0" borderId="0" xfId="0"/>
    <xf numFmtId="37" fontId="7" fillId="0" borderId="0" xfId="0" applyFont="1"/>
    <xf numFmtId="37" fontId="8" fillId="0" borderId="0" xfId="0" applyFont="1"/>
    <xf numFmtId="37" fontId="9" fillId="0" borderId="0" xfId="0" applyFont="1"/>
    <xf numFmtId="37" fontId="10" fillId="2" borderId="3" xfId="0" applyFont="1" applyFill="1" applyBorder="1"/>
    <xf numFmtId="0" fontId="1" fillId="3" borderId="0" xfId="1" applyFill="1" applyAlignment="1" applyProtection="1"/>
    <xf numFmtId="37" fontId="7" fillId="3" borderId="0" xfId="0" applyFont="1" applyFill="1"/>
    <xf numFmtId="37" fontId="11" fillId="3" borderId="4" xfId="0" applyFont="1" applyFill="1" applyBorder="1"/>
    <xf numFmtId="37" fontId="7" fillId="3" borderId="4" xfId="0" applyFont="1" applyFill="1" applyBorder="1"/>
    <xf numFmtId="167" fontId="7" fillId="0" borderId="0" xfId="0" applyNumberFormat="1" applyFont="1" applyAlignment="1">
      <alignment horizontal="left"/>
    </xf>
    <xf numFmtId="168" fontId="1" fillId="0" borderId="0" xfId="1" applyNumberFormat="1" applyAlignment="1" applyProtection="1"/>
    <xf numFmtId="37" fontId="12" fillId="4" borderId="5" xfId="0" applyFont="1" applyFill="1" applyBorder="1" applyAlignment="1">
      <alignment horizontal="center"/>
    </xf>
    <xf numFmtId="37" fontId="12" fillId="4" borderId="2" xfId="0" applyFont="1" applyFill="1" applyBorder="1" applyAlignment="1">
      <alignment horizontal="center"/>
    </xf>
    <xf numFmtId="37" fontId="12" fillId="4" borderId="6" xfId="0" applyFont="1" applyFill="1" applyBorder="1" applyAlignment="1">
      <alignment horizontal="center"/>
    </xf>
    <xf numFmtId="37" fontId="2" fillId="0" borderId="0" xfId="0" applyFont="1" applyAlignment="1">
      <alignment horizontal="justify" vertical="center"/>
    </xf>
    <xf numFmtId="3" fontId="5" fillId="0" borderId="2" xfId="0" applyNumberFormat="1" applyFont="1" applyFill="1" applyBorder="1" applyAlignment="1">
      <alignment horizontal="center"/>
    </xf>
    <xf numFmtId="37" fontId="5" fillId="0" borderId="0" xfId="0" applyFont="1"/>
    <xf numFmtId="165" fontId="5" fillId="0" borderId="0" xfId="0" applyNumberFormat="1" applyFont="1" applyProtection="1"/>
    <xf numFmtId="37" fontId="5" fillId="0" borderId="0" xfId="0" applyNumberFormat="1" applyFont="1" applyProtection="1"/>
    <xf numFmtId="3" fontId="5" fillId="6" borderId="2" xfId="0" applyNumberFormat="1" applyFont="1" applyFill="1" applyBorder="1" applyAlignment="1">
      <alignment horizontal="center"/>
    </xf>
    <xf numFmtId="166" fontId="5" fillId="6" borderId="0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>
      <alignment horizontal="right"/>
    </xf>
    <xf numFmtId="49" fontId="7" fillId="3" borderId="13" xfId="0" quotePrefix="1" applyNumberFormat="1" applyFont="1" applyFill="1" applyBorder="1" applyAlignment="1">
      <alignment horizontal="right"/>
    </xf>
    <xf numFmtId="37" fontId="7" fillId="3" borderId="14" xfId="0" applyFont="1" applyFill="1" applyBorder="1"/>
    <xf numFmtId="166" fontId="5" fillId="0" borderId="0" xfId="0" applyNumberFormat="1" applyFont="1" applyFill="1" applyBorder="1" applyAlignment="1">
      <alignment horizontal="center"/>
    </xf>
    <xf numFmtId="37" fontId="4" fillId="0" borderId="11" xfId="1" applyNumberFormat="1" applyFont="1" applyFill="1" applyBorder="1" applyAlignment="1" applyProtection="1"/>
    <xf numFmtId="37" fontId="5" fillId="0" borderId="12" xfId="0" applyFont="1" applyFill="1" applyBorder="1" applyAlignment="1"/>
    <xf numFmtId="37" fontId="5" fillId="0" borderId="10" xfId="0" applyFont="1" applyFill="1" applyBorder="1" applyAlignment="1"/>
    <xf numFmtId="37" fontId="4" fillId="0" borderId="1" xfId="1" applyNumberFormat="1" applyFont="1" applyFill="1" applyBorder="1" applyAlignment="1" applyProtection="1"/>
    <xf numFmtId="37" fontId="5" fillId="0" borderId="0" xfId="0" applyFont="1" applyFill="1" applyBorder="1" applyAlignment="1"/>
    <xf numFmtId="37" fontId="5" fillId="0" borderId="13" xfId="0" applyFont="1" applyFill="1" applyBorder="1" applyAlignment="1"/>
    <xf numFmtId="166" fontId="5" fillId="0" borderId="13" xfId="0" applyNumberFormat="1" applyFont="1" applyFill="1" applyBorder="1" applyAlignment="1">
      <alignment horizontal="center"/>
    </xf>
    <xf numFmtId="37" fontId="5" fillId="0" borderId="11" xfId="0" applyFont="1" applyFill="1" applyBorder="1" applyAlignment="1"/>
    <xf numFmtId="37" fontId="5" fillId="0" borderId="1" xfId="0" applyFont="1" applyFill="1" applyBorder="1" applyAlignment="1"/>
    <xf numFmtId="37" fontId="6" fillId="0" borderId="1" xfId="0" applyFont="1" applyFill="1" applyBorder="1" applyAlignment="1"/>
    <xf numFmtId="37" fontId="5" fillId="0" borderId="7" xfId="0" applyFont="1" applyFill="1" applyBorder="1" applyAlignment="1"/>
    <xf numFmtId="165" fontId="5" fillId="0" borderId="8" xfId="0" applyNumberFormat="1" applyFont="1" applyFill="1" applyBorder="1" applyAlignment="1" applyProtection="1"/>
    <xf numFmtId="37" fontId="5" fillId="0" borderId="8" xfId="0" applyFont="1" applyFill="1" applyBorder="1" applyAlignment="1"/>
    <xf numFmtId="37" fontId="5" fillId="0" borderId="9" xfId="0" applyNumberFormat="1" applyFont="1" applyFill="1" applyBorder="1" applyAlignment="1" applyProtection="1"/>
    <xf numFmtId="1" fontId="5" fillId="0" borderId="13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6" borderId="5" xfId="0" applyNumberFormat="1" applyFont="1" applyFill="1" applyBorder="1" applyAlignment="1">
      <alignment horizontal="center"/>
    </xf>
    <xf numFmtId="3" fontId="5" fillId="6" borderId="0" xfId="0" applyNumberFormat="1" applyFont="1" applyFill="1" applyBorder="1" applyAlignment="1">
      <alignment horizontal="center"/>
    </xf>
    <xf numFmtId="3" fontId="5" fillId="6" borderId="13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66" fontId="7" fillId="3" borderId="15" xfId="0" applyNumberFormat="1" applyFont="1" applyFill="1" applyBorder="1" applyAlignment="1">
      <alignment horizontal="right"/>
    </xf>
    <xf numFmtId="37" fontId="6" fillId="0" borderId="13" xfId="0" applyFont="1" applyFill="1" applyBorder="1" applyAlignment="1">
      <alignment horizontal="right"/>
    </xf>
    <xf numFmtId="37" fontId="5" fillId="0" borderId="0" xfId="0" applyFont="1" applyBorder="1" applyAlignment="1">
      <alignment horizontal="left"/>
    </xf>
    <xf numFmtId="37" fontId="5" fillId="0" borderId="1" xfId="0" applyFont="1" applyBorder="1"/>
    <xf numFmtId="37" fontId="5" fillId="6" borderId="1" xfId="0" applyFont="1" applyFill="1" applyBorder="1"/>
    <xf numFmtId="37" fontId="5" fillId="6" borderId="0" xfId="0" applyFont="1" applyFill="1"/>
    <xf numFmtId="37" fontId="6" fillId="5" borderId="10" xfId="0" applyFont="1" applyFill="1" applyBorder="1" applyAlignment="1">
      <alignment horizontal="right"/>
    </xf>
    <xf numFmtId="37" fontId="6" fillId="5" borderId="13" xfId="0" applyFont="1" applyFill="1" applyBorder="1" applyAlignment="1">
      <alignment horizontal="left"/>
    </xf>
    <xf numFmtId="37" fontId="6" fillId="8" borderId="10" xfId="0" applyFont="1" applyFill="1" applyBorder="1" applyAlignment="1">
      <alignment horizontal="right" vertical="center"/>
    </xf>
    <xf numFmtId="37" fontId="6" fillId="8" borderId="10" xfId="0" applyFont="1" applyFill="1" applyBorder="1" applyAlignment="1">
      <alignment horizontal="center" vertical="center"/>
    </xf>
    <xf numFmtId="37" fontId="5" fillId="0" borderId="0" xfId="0" applyFont="1" applyAlignment="1">
      <alignment horizontal="center" vertical="center"/>
    </xf>
    <xf numFmtId="37" fontId="6" fillId="5" borderId="13" xfId="0" applyFont="1" applyFill="1" applyBorder="1" applyAlignment="1">
      <alignment horizontal="right"/>
    </xf>
    <xf numFmtId="37" fontId="5" fillId="8" borderId="9" xfId="0" applyFont="1" applyFill="1" applyBorder="1" applyAlignment="1"/>
    <xf numFmtId="37" fontId="6" fillId="8" borderId="9" xfId="0" applyFont="1" applyFill="1" applyBorder="1" applyAlignment="1">
      <alignment vertical="center"/>
    </xf>
    <xf numFmtId="37" fontId="5" fillId="0" borderId="0" xfId="0" applyFont="1" applyBorder="1"/>
    <xf numFmtId="37" fontId="6" fillId="5" borderId="9" xfId="0" applyFont="1" applyFill="1" applyBorder="1" applyAlignment="1">
      <alignment horizontal="left"/>
    </xf>
    <xf numFmtId="164" fontId="5" fillId="0" borderId="13" xfId="2" applyFont="1" applyFill="1" applyBorder="1" applyAlignment="1">
      <alignment horizontal="center"/>
    </xf>
    <xf numFmtId="164" fontId="5" fillId="0" borderId="12" xfId="2" applyFont="1" applyFill="1" applyBorder="1" applyAlignment="1">
      <alignment horizontal="center"/>
    </xf>
    <xf numFmtId="164" fontId="5" fillId="0" borderId="10" xfId="2" applyFont="1" applyFill="1" applyBorder="1" applyAlignment="1">
      <alignment horizontal="center"/>
    </xf>
    <xf numFmtId="164" fontId="5" fillId="0" borderId="0" xfId="2" applyFont="1" applyFill="1" applyBorder="1" applyAlignment="1">
      <alignment horizontal="center"/>
    </xf>
    <xf numFmtId="164" fontId="6" fillId="0" borderId="13" xfId="2" applyFont="1" applyFill="1" applyBorder="1" applyAlignment="1">
      <alignment horizontal="center"/>
    </xf>
    <xf numFmtId="164" fontId="6" fillId="8" borderId="10" xfId="2" applyFont="1" applyFill="1" applyBorder="1" applyAlignment="1">
      <alignment horizontal="center"/>
    </xf>
    <xf numFmtId="164" fontId="6" fillId="8" borderId="9" xfId="2" applyFont="1" applyFill="1" applyBorder="1" applyAlignment="1">
      <alignment horizontal="center"/>
    </xf>
    <xf numFmtId="164" fontId="5" fillId="0" borderId="10" xfId="2" applyFont="1" applyFill="1" applyBorder="1" applyAlignment="1" applyProtection="1">
      <alignment horizontal="center"/>
    </xf>
    <xf numFmtId="164" fontId="5" fillId="0" borderId="8" xfId="2" applyFont="1" applyFill="1" applyBorder="1" applyAlignment="1" applyProtection="1">
      <alignment horizontal="center"/>
    </xf>
    <xf numFmtId="164" fontId="5" fillId="0" borderId="8" xfId="2" applyFont="1" applyFill="1" applyBorder="1" applyAlignment="1">
      <alignment horizontal="center"/>
    </xf>
    <xf numFmtId="164" fontId="5" fillId="0" borderId="9" xfId="2" applyFont="1" applyFill="1" applyBorder="1" applyAlignment="1" applyProtection="1">
      <alignment horizontal="center"/>
    </xf>
    <xf numFmtId="164" fontId="5" fillId="0" borderId="0" xfId="2" applyFont="1" applyAlignment="1">
      <alignment horizontal="center"/>
    </xf>
    <xf numFmtId="37" fontId="5" fillId="0" borderId="10" xfId="0" applyNumberFormat="1" applyFont="1" applyFill="1" applyBorder="1" applyAlignment="1" applyProtection="1"/>
    <xf numFmtId="37" fontId="6" fillId="0" borderId="11" xfId="0" applyFont="1" applyFill="1" applyBorder="1" applyAlignment="1"/>
    <xf numFmtId="37" fontId="12" fillId="7" borderId="0" xfId="0" applyFont="1" applyFill="1" applyBorder="1" applyAlignment="1">
      <alignment horizontal="center" vertical="center"/>
    </xf>
    <xf numFmtId="37" fontId="12" fillId="7" borderId="8" xfId="0" applyFont="1" applyFill="1" applyBorder="1" applyAlignment="1">
      <alignment horizontal="center" vertical="center"/>
    </xf>
    <xf numFmtId="37" fontId="6" fillId="8" borderId="11" xfId="0" applyFont="1" applyFill="1" applyBorder="1" applyAlignment="1">
      <alignment horizontal="center" wrapText="1"/>
    </xf>
    <xf numFmtId="37" fontId="6" fillId="8" borderId="12" xfId="0" applyFont="1" applyFill="1" applyBorder="1" applyAlignment="1">
      <alignment horizontal="center" wrapText="1"/>
    </xf>
    <xf numFmtId="37" fontId="6" fillId="8" borderId="7" xfId="0" applyFont="1" applyFill="1" applyBorder="1" applyAlignment="1">
      <alignment horizontal="center" wrapText="1"/>
    </xf>
    <xf numFmtId="37" fontId="6" fillId="8" borderId="8" xfId="0" applyFont="1" applyFill="1" applyBorder="1" applyAlignment="1">
      <alignment horizontal="center" wrapText="1"/>
    </xf>
    <xf numFmtId="37" fontId="6" fillId="5" borderId="1" xfId="0" applyFont="1" applyFill="1" applyBorder="1" applyAlignment="1">
      <alignment horizontal="center" vertical="center"/>
    </xf>
    <xf numFmtId="37" fontId="6" fillId="5" borderId="5" xfId="0" applyFont="1" applyFill="1" applyBorder="1" applyAlignment="1">
      <alignment horizontal="center" vertical="center"/>
    </xf>
    <xf numFmtId="37" fontId="6" fillId="5" borderId="6" xfId="0" applyFont="1" applyFill="1" applyBorder="1" applyAlignment="1">
      <alignment horizontal="center" vertical="center"/>
    </xf>
    <xf numFmtId="37" fontId="6" fillId="5" borderId="0" xfId="0" applyFont="1" applyFill="1" applyBorder="1" applyAlignment="1">
      <alignment horizontal="center" vertical="center"/>
    </xf>
    <xf numFmtId="37" fontId="6" fillId="5" borderId="8" xfId="0" applyFont="1" applyFill="1" applyBorder="1" applyAlignment="1">
      <alignment horizontal="center" vertical="center"/>
    </xf>
    <xf numFmtId="37" fontId="6" fillId="5" borderId="12" xfId="0" applyFont="1" applyFill="1" applyBorder="1" applyAlignment="1">
      <alignment horizontal="center" vertical="center"/>
    </xf>
    <xf numFmtId="37" fontId="6" fillId="5" borderId="10" xfId="0" applyFont="1" applyFill="1" applyBorder="1" applyAlignment="1">
      <alignment horizontal="center" vertical="center"/>
    </xf>
    <xf numFmtId="37" fontId="6" fillId="5" borderId="9" xfId="0" applyFont="1" applyFill="1" applyBorder="1" applyAlignment="1">
      <alignment horizontal="center" vertical="center"/>
    </xf>
    <xf numFmtId="37" fontId="6" fillId="8" borderId="11" xfId="0" applyFont="1" applyFill="1" applyBorder="1" applyAlignment="1">
      <alignment horizontal="center" vertical="center" wrapText="1"/>
    </xf>
    <xf numFmtId="37" fontId="6" fillId="8" borderId="12" xfId="0" applyFont="1" applyFill="1" applyBorder="1" applyAlignment="1">
      <alignment horizontal="center" vertical="center" wrapText="1"/>
    </xf>
    <xf numFmtId="37" fontId="6" fillId="8" borderId="7" xfId="0" applyFont="1" applyFill="1" applyBorder="1" applyAlignment="1">
      <alignment horizontal="center" vertical="center" wrapText="1"/>
    </xf>
    <xf numFmtId="37" fontId="6" fillId="8" borderId="8" xfId="0" applyFont="1" applyFill="1" applyBorder="1" applyAlignment="1">
      <alignment horizontal="center" vertical="center" wrapText="1"/>
    </xf>
    <xf numFmtId="164" fontId="6" fillId="5" borderId="5" xfId="2" applyFont="1" applyFill="1" applyBorder="1" applyAlignment="1">
      <alignment horizontal="center" vertical="center"/>
    </xf>
    <xf numFmtId="164" fontId="6" fillId="5" borderId="6" xfId="2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08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2113" name="Connecteur droit 2"/>
        <xdr:cNvCxnSpPr>
          <a:cxnSpLocks noChangeShapeType="1"/>
        </xdr:cNvCxnSpPr>
      </xdr:nvCxnSpPr>
      <xdr:spPr bwMode="auto">
        <a:xfrm>
          <a:off x="57150" y="838200"/>
          <a:ext cx="118110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38100</xdr:rowOff>
    </xdr:from>
    <xdr:to>
      <xdr:col>1</xdr:col>
      <xdr:colOff>57150</xdr:colOff>
      <xdr:row>5</xdr:row>
      <xdr:rowOff>219075</xdr:rowOff>
    </xdr:to>
    <xdr:cxnSp macro="">
      <xdr:nvCxnSpPr>
        <xdr:cNvPr id="3137" name="Connecteur droit 2"/>
        <xdr:cNvCxnSpPr>
          <a:cxnSpLocks noChangeShapeType="1"/>
        </xdr:cNvCxnSpPr>
      </xdr:nvCxnSpPr>
      <xdr:spPr bwMode="auto">
        <a:xfrm>
          <a:off x="57150" y="838200"/>
          <a:ext cx="1428750" cy="419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57150</xdr:rowOff>
    </xdr:from>
    <xdr:to>
      <xdr:col>0</xdr:col>
      <xdr:colOff>2238375</xdr:colOff>
      <xdr:row>5</xdr:row>
      <xdr:rowOff>209550</xdr:rowOff>
    </xdr:to>
    <xdr:cxnSp macro="">
      <xdr:nvCxnSpPr>
        <xdr:cNvPr id="4161" name="Connecteur droit 3"/>
        <xdr:cNvCxnSpPr>
          <a:cxnSpLocks noChangeShapeType="1"/>
        </xdr:cNvCxnSpPr>
      </xdr:nvCxnSpPr>
      <xdr:spPr bwMode="auto">
        <a:xfrm>
          <a:off x="19050" y="857250"/>
          <a:ext cx="1181100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abSelected="1" topLeftCell="C1" workbookViewId="0">
      <selection activeCell="G15" sqref="G15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6" width="15.88671875" style="1" customWidth="1"/>
    <col min="7" max="7" width="16.6640625" style="1" customWidth="1"/>
    <col min="8" max="16384" width="8.88671875" style="1"/>
  </cols>
  <sheetData>
    <row r="2" spans="2:5" x14ac:dyDescent="0.25">
      <c r="B2" s="14" t="s">
        <v>32</v>
      </c>
    </row>
    <row r="3" spans="2:5" x14ac:dyDescent="0.25">
      <c r="B3" s="14"/>
    </row>
    <row r="4" spans="2:5" x14ac:dyDescent="0.25">
      <c r="B4" s="14" t="s">
        <v>33</v>
      </c>
    </row>
    <row r="5" spans="2:5" x14ac:dyDescent="0.25">
      <c r="B5" s="14" t="s">
        <v>34</v>
      </c>
    </row>
    <row r="8" spans="2:5" ht="18.75" x14ac:dyDescent="0.3">
      <c r="B8" s="2" t="s">
        <v>11</v>
      </c>
    </row>
    <row r="9" spans="2:5" ht="18.75" x14ac:dyDescent="0.3">
      <c r="B9" s="3" t="s">
        <v>29</v>
      </c>
    </row>
    <row r="11" spans="2:5" x14ac:dyDescent="0.25">
      <c r="B11" s="1" t="s">
        <v>12</v>
      </c>
    </row>
    <row r="12" spans="2:5" ht="16.5" thickBot="1" x14ac:dyDescent="0.3">
      <c r="B12" s="4" t="s">
        <v>13</v>
      </c>
      <c r="C12" s="4" t="s">
        <v>14</v>
      </c>
      <c r="D12" s="4" t="s">
        <v>15</v>
      </c>
      <c r="E12" s="4" t="s">
        <v>16</v>
      </c>
    </row>
    <row r="13" spans="2:5" x14ac:dyDescent="0.25">
      <c r="B13" s="5" t="s">
        <v>17</v>
      </c>
      <c r="C13" s="6" t="s">
        <v>31</v>
      </c>
      <c r="D13" s="6" t="s">
        <v>17</v>
      </c>
      <c r="E13" s="45">
        <v>46113</v>
      </c>
    </row>
    <row r="14" spans="2:5" x14ac:dyDescent="0.25">
      <c r="B14" s="5" t="s">
        <v>18</v>
      </c>
      <c r="C14" s="6" t="s">
        <v>31</v>
      </c>
      <c r="D14" s="6" t="s">
        <v>18</v>
      </c>
      <c r="E14" s="21" t="s">
        <v>42</v>
      </c>
    </row>
    <row r="15" spans="2:5" x14ac:dyDescent="0.25">
      <c r="B15" s="5" t="s">
        <v>19</v>
      </c>
      <c r="C15" s="6" t="s">
        <v>31</v>
      </c>
      <c r="D15" s="6" t="s">
        <v>19</v>
      </c>
      <c r="E15" s="22" t="s">
        <v>41</v>
      </c>
    </row>
    <row r="16" spans="2:5" ht="16.5" thickBot="1" x14ac:dyDescent="0.3">
      <c r="B16" s="7"/>
      <c r="C16" s="8"/>
      <c r="D16" s="8"/>
      <c r="E16" s="23"/>
    </row>
    <row r="18" spans="2:3" x14ac:dyDescent="0.25">
      <c r="B18" s="1" t="s">
        <v>20</v>
      </c>
      <c r="C18" s="9"/>
    </row>
    <row r="19" spans="2:3" x14ac:dyDescent="0.25">
      <c r="B19" s="1" t="s">
        <v>21</v>
      </c>
      <c r="C19" s="9"/>
    </row>
    <row r="21" spans="2:3" x14ac:dyDescent="0.25">
      <c r="B21" s="1" t="s">
        <v>22</v>
      </c>
      <c r="C21" s="1" t="s">
        <v>30</v>
      </c>
    </row>
    <row r="22" spans="2:3" x14ac:dyDescent="0.25">
      <c r="B22" s="1" t="s">
        <v>23</v>
      </c>
      <c r="C22" s="10" t="s">
        <v>24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ht="21" x14ac:dyDescent="0.35">
      <c r="B29" s="75" t="s">
        <v>25</v>
      </c>
      <c r="C29" s="11" t="s">
        <v>26</v>
      </c>
    </row>
    <row r="30" spans="2:3" ht="21" x14ac:dyDescent="0.35">
      <c r="B30" s="75"/>
      <c r="C30" s="12" t="s">
        <v>27</v>
      </c>
    </row>
    <row r="31" spans="2:3" ht="21" x14ac:dyDescent="0.35">
      <c r="B31" s="75"/>
      <c r="C31" s="12" t="s">
        <v>28</v>
      </c>
    </row>
    <row r="32" spans="2:3" ht="21" x14ac:dyDescent="0.35">
      <c r="B32" s="76"/>
      <c r="C32" s="13" t="s">
        <v>3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37"/>
  <sheetViews>
    <sheetView zoomScaleNormal="100" workbookViewId="0">
      <pane xSplit="1" ySplit="6" topLeftCell="B318" activePane="bottomRight" state="frozen"/>
      <selection activeCell="C99" activeCellId="1" sqref="A1 C99"/>
      <selection pane="topRight" activeCell="C99" activeCellId="1" sqref="A1 C99"/>
      <selection pane="bottomLeft" activeCell="C99" activeCellId="1" sqref="A1 C99"/>
      <selection pane="bottomRight" activeCell="J325" sqref="J325"/>
    </sheetView>
  </sheetViews>
  <sheetFormatPr defaultColWidth="12.6640625" defaultRowHeight="15.75" x14ac:dyDescent="0.25"/>
  <cols>
    <col min="1" max="1" width="16.6640625" style="16" customWidth="1"/>
    <col min="2" max="3" width="13.77734375" style="16" customWidth="1"/>
    <col min="4" max="4" width="15" style="16" customWidth="1"/>
    <col min="5" max="5" width="13.77734375" style="16" customWidth="1"/>
    <col min="6" max="16384" width="12.6640625" style="16"/>
  </cols>
  <sheetData>
    <row r="1" spans="1:7" x14ac:dyDescent="0.25">
      <c r="A1" s="25" t="s">
        <v>10</v>
      </c>
      <c r="B1" s="26"/>
      <c r="C1" s="26"/>
      <c r="D1" s="26"/>
      <c r="E1" s="27"/>
    </row>
    <row r="2" spans="1:7" x14ac:dyDescent="0.25">
      <c r="A2" s="33" t="s">
        <v>0</v>
      </c>
      <c r="B2" s="29"/>
      <c r="C2" s="29"/>
      <c r="D2" s="29"/>
      <c r="E2" s="46"/>
    </row>
    <row r="3" spans="1:7" x14ac:dyDescent="0.25">
      <c r="A3" s="77" t="s">
        <v>39</v>
      </c>
      <c r="B3" s="78"/>
      <c r="C3" s="78"/>
      <c r="D3" s="78"/>
      <c r="E3" s="54" t="s">
        <v>7</v>
      </c>
      <c r="G3" s="55"/>
    </row>
    <row r="4" spans="1:7" x14ac:dyDescent="0.25">
      <c r="A4" s="79"/>
      <c r="B4" s="80"/>
      <c r="C4" s="80"/>
      <c r="D4" s="80"/>
      <c r="E4" s="57"/>
      <c r="F4" s="55"/>
      <c r="G4" s="55"/>
    </row>
    <row r="5" spans="1:7" x14ac:dyDescent="0.25">
      <c r="A5" s="56" t="s">
        <v>35</v>
      </c>
      <c r="B5" s="81" t="s">
        <v>9</v>
      </c>
      <c r="C5" s="82" t="s">
        <v>1</v>
      </c>
      <c r="D5" s="84" t="s">
        <v>2</v>
      </c>
      <c r="E5" s="82" t="s">
        <v>3</v>
      </c>
    </row>
    <row r="6" spans="1:7" x14ac:dyDescent="0.25">
      <c r="A6" s="52" t="s">
        <v>36</v>
      </c>
      <c r="B6" s="81"/>
      <c r="C6" s="83"/>
      <c r="D6" s="85"/>
      <c r="E6" s="83"/>
    </row>
    <row r="7" spans="1:7" x14ac:dyDescent="0.25">
      <c r="A7" s="20">
        <v>36161</v>
      </c>
      <c r="B7" s="41">
        <v>2121</v>
      </c>
      <c r="C7" s="41">
        <v>191</v>
      </c>
      <c r="D7" s="41">
        <v>2446</v>
      </c>
      <c r="E7" s="41">
        <v>242</v>
      </c>
    </row>
    <row r="8" spans="1:7" x14ac:dyDescent="0.25">
      <c r="A8" s="20">
        <v>36192</v>
      </c>
      <c r="B8" s="19">
        <v>2197</v>
      </c>
      <c r="C8" s="19">
        <v>152</v>
      </c>
      <c r="D8" s="19">
        <v>1914</v>
      </c>
      <c r="E8" s="19">
        <v>126</v>
      </c>
    </row>
    <row r="9" spans="1:7" x14ac:dyDescent="0.25">
      <c r="A9" s="20">
        <v>36220</v>
      </c>
      <c r="B9" s="19">
        <v>2296</v>
      </c>
      <c r="C9" s="19">
        <v>179</v>
      </c>
      <c r="D9" s="19">
        <v>2761</v>
      </c>
      <c r="E9" s="19">
        <v>117</v>
      </c>
    </row>
    <row r="10" spans="1:7" x14ac:dyDescent="0.25">
      <c r="A10" s="20">
        <v>36251</v>
      </c>
      <c r="B10" s="19">
        <v>2395</v>
      </c>
      <c r="C10" s="19">
        <v>154</v>
      </c>
      <c r="D10" s="19">
        <v>2507</v>
      </c>
      <c r="E10" s="19">
        <v>23</v>
      </c>
    </row>
    <row r="11" spans="1:7" x14ac:dyDescent="0.25">
      <c r="A11" s="20">
        <v>36281</v>
      </c>
      <c r="B11" s="19">
        <v>2243</v>
      </c>
      <c r="C11" s="19">
        <v>181</v>
      </c>
      <c r="D11" s="19">
        <v>2574</v>
      </c>
      <c r="E11" s="19">
        <v>199</v>
      </c>
    </row>
    <row r="12" spans="1:7" x14ac:dyDescent="0.25">
      <c r="A12" s="20">
        <v>36312</v>
      </c>
      <c r="B12" s="19">
        <v>2998</v>
      </c>
      <c r="C12" s="19">
        <v>284</v>
      </c>
      <c r="D12" s="19">
        <v>2617</v>
      </c>
      <c r="E12" s="19">
        <v>260</v>
      </c>
    </row>
    <row r="13" spans="1:7" x14ac:dyDescent="0.25">
      <c r="A13" s="20">
        <v>36342</v>
      </c>
      <c r="B13" s="19">
        <v>2236</v>
      </c>
      <c r="C13" s="19">
        <v>199</v>
      </c>
      <c r="D13" s="19">
        <v>2337</v>
      </c>
      <c r="E13" s="19">
        <v>237</v>
      </c>
    </row>
    <row r="14" spans="1:7" x14ac:dyDescent="0.25">
      <c r="A14" s="20">
        <v>36373</v>
      </c>
      <c r="B14" s="19">
        <v>1827</v>
      </c>
      <c r="C14" s="19">
        <v>85</v>
      </c>
      <c r="D14" s="19">
        <v>1670</v>
      </c>
      <c r="E14" s="19">
        <v>123</v>
      </c>
    </row>
    <row r="15" spans="1:7" x14ac:dyDescent="0.25">
      <c r="A15" s="20">
        <v>36404</v>
      </c>
      <c r="B15" s="19">
        <f>2570+240</f>
        <v>2810</v>
      </c>
      <c r="C15" s="19">
        <v>49</v>
      </c>
      <c r="D15" s="19">
        <f>2295+444</f>
        <v>2739</v>
      </c>
      <c r="E15" s="19">
        <v>254</v>
      </c>
    </row>
    <row r="16" spans="1:7" x14ac:dyDescent="0.25">
      <c r="A16" s="20">
        <v>36434</v>
      </c>
      <c r="B16" s="19">
        <f>1978+582</f>
        <v>2560</v>
      </c>
      <c r="C16" s="19">
        <v>28</v>
      </c>
      <c r="D16" s="19">
        <f>2627+640</f>
        <v>3267</v>
      </c>
      <c r="E16" s="19">
        <v>288</v>
      </c>
    </row>
    <row r="17" spans="1:7" x14ac:dyDescent="0.25">
      <c r="A17" s="20">
        <v>36465</v>
      </c>
      <c r="B17" s="19">
        <f>2323+296</f>
        <v>2619</v>
      </c>
      <c r="C17" s="19">
        <v>52</v>
      </c>
      <c r="D17" s="19">
        <f>2780+292</f>
        <v>3072</v>
      </c>
      <c r="E17" s="19">
        <v>202</v>
      </c>
    </row>
    <row r="18" spans="1:7" x14ac:dyDescent="0.25">
      <c r="A18" s="20">
        <v>36495</v>
      </c>
      <c r="B18" s="19">
        <f>2856+63</f>
        <v>2919</v>
      </c>
      <c r="C18" s="19">
        <v>94</v>
      </c>
      <c r="D18" s="19">
        <f>2350+82</f>
        <v>2432</v>
      </c>
      <c r="E18" s="19">
        <v>189</v>
      </c>
    </row>
    <row r="19" spans="1:7" x14ac:dyDescent="0.25">
      <c r="A19" s="20">
        <v>36526</v>
      </c>
      <c r="B19" s="19">
        <f>2452+167</f>
        <v>2619</v>
      </c>
      <c r="C19" s="19">
        <v>231</v>
      </c>
      <c r="D19" s="19">
        <f>1494+142</f>
        <v>1636</v>
      </c>
      <c r="E19" s="19">
        <v>170</v>
      </c>
    </row>
    <row r="20" spans="1:7" x14ac:dyDescent="0.25">
      <c r="A20" s="20">
        <v>36557</v>
      </c>
      <c r="B20" s="19">
        <f>2283+46</f>
        <v>2329</v>
      </c>
      <c r="C20" s="19">
        <v>99</v>
      </c>
      <c r="D20" s="19">
        <f>2779+162</f>
        <v>2941</v>
      </c>
      <c r="E20" s="19">
        <v>115</v>
      </c>
    </row>
    <row r="21" spans="1:7" x14ac:dyDescent="0.25">
      <c r="A21" s="20">
        <v>36586</v>
      </c>
      <c r="B21" s="19">
        <f>1625+81</f>
        <v>1706</v>
      </c>
      <c r="C21" s="19">
        <v>234</v>
      </c>
      <c r="D21" s="19">
        <f>2743+146</f>
        <v>2889</v>
      </c>
      <c r="E21" s="19">
        <v>11</v>
      </c>
    </row>
    <row r="22" spans="1:7" x14ac:dyDescent="0.25">
      <c r="A22" s="20">
        <v>36617</v>
      </c>
      <c r="B22" s="19">
        <f>2140+6</f>
        <v>2146</v>
      </c>
      <c r="C22" s="19">
        <v>140</v>
      </c>
      <c r="D22" s="19">
        <f>2368+7</f>
        <v>2375</v>
      </c>
      <c r="E22" s="19">
        <v>57</v>
      </c>
    </row>
    <row r="23" spans="1:7" x14ac:dyDescent="0.25">
      <c r="A23" s="20">
        <v>36647</v>
      </c>
      <c r="B23" s="19">
        <f>2359+289</f>
        <v>2648</v>
      </c>
      <c r="C23" s="19">
        <v>267</v>
      </c>
      <c r="D23" s="19">
        <f>2853+104</f>
        <v>2957</v>
      </c>
      <c r="E23" s="19">
        <v>281</v>
      </c>
    </row>
    <row r="24" spans="1:7" x14ac:dyDescent="0.25">
      <c r="A24" s="20">
        <v>36678</v>
      </c>
      <c r="B24" s="19">
        <f>1735+16+919</f>
        <v>2670</v>
      </c>
      <c r="C24" s="19">
        <v>258</v>
      </c>
      <c r="D24" s="19">
        <f>2449+527</f>
        <v>2976</v>
      </c>
      <c r="E24" s="19">
        <v>262</v>
      </c>
    </row>
    <row r="25" spans="1:7" x14ac:dyDescent="0.25">
      <c r="A25" s="20">
        <v>36708</v>
      </c>
      <c r="B25" s="19">
        <f>1551+1147</f>
        <v>2698</v>
      </c>
      <c r="C25" s="19">
        <v>223</v>
      </c>
      <c r="D25" s="19">
        <f>1763+680</f>
        <v>2443</v>
      </c>
      <c r="E25" s="19">
        <v>96</v>
      </c>
      <c r="G25" s="47"/>
    </row>
    <row r="26" spans="1:7" x14ac:dyDescent="0.25">
      <c r="A26" s="20">
        <v>36739</v>
      </c>
      <c r="B26" s="19">
        <f>1856+916</f>
        <v>2772</v>
      </c>
      <c r="C26" s="19">
        <v>253</v>
      </c>
      <c r="D26" s="19">
        <f>1996+757</f>
        <v>2753</v>
      </c>
      <c r="E26" s="19">
        <v>277</v>
      </c>
    </row>
    <row r="27" spans="1:7" x14ac:dyDescent="0.25">
      <c r="A27" s="20">
        <v>36770</v>
      </c>
      <c r="B27" s="19">
        <f>2087+14+514</f>
        <v>2615</v>
      </c>
      <c r="C27" s="19">
        <v>211</v>
      </c>
      <c r="D27" s="19">
        <f>2334+522</f>
        <v>2856</v>
      </c>
      <c r="E27" s="19">
        <v>123</v>
      </c>
    </row>
    <row r="28" spans="1:7" x14ac:dyDescent="0.25">
      <c r="A28" s="20">
        <v>36800</v>
      </c>
      <c r="B28" s="19">
        <f>2051+509</f>
        <v>2560</v>
      </c>
      <c r="C28" s="19">
        <v>179</v>
      </c>
      <c r="D28" s="19">
        <f>2469+521</f>
        <v>2990</v>
      </c>
      <c r="E28" s="19">
        <v>162</v>
      </c>
    </row>
    <row r="29" spans="1:7" x14ac:dyDescent="0.25">
      <c r="A29" s="20">
        <v>36831</v>
      </c>
      <c r="B29" s="19">
        <f>1665+752</f>
        <v>2417</v>
      </c>
      <c r="C29" s="19">
        <v>153</v>
      </c>
      <c r="D29" s="19">
        <f>1829+363</f>
        <v>2192</v>
      </c>
      <c r="E29" s="19">
        <v>14</v>
      </c>
    </row>
    <row r="30" spans="1:7" x14ac:dyDescent="0.25">
      <c r="A30" s="20">
        <v>36861</v>
      </c>
      <c r="B30" s="19">
        <f>1809+695</f>
        <v>2504</v>
      </c>
      <c r="C30" s="19">
        <v>153</v>
      </c>
      <c r="D30" s="19">
        <f>2174+529</f>
        <v>2703</v>
      </c>
      <c r="E30" s="19">
        <v>161</v>
      </c>
    </row>
    <row r="31" spans="1:7" x14ac:dyDescent="0.25">
      <c r="A31" s="20">
        <v>36892</v>
      </c>
      <c r="B31" s="19">
        <f>2253+228</f>
        <v>2481</v>
      </c>
      <c r="C31" s="19">
        <v>160</v>
      </c>
      <c r="D31" s="19">
        <f>2535+256</f>
        <v>2791</v>
      </c>
      <c r="E31" s="19">
        <v>49</v>
      </c>
    </row>
    <row r="32" spans="1:7" x14ac:dyDescent="0.25">
      <c r="A32" s="20">
        <v>36923</v>
      </c>
      <c r="B32" s="19">
        <f>1913+416</f>
        <v>2329</v>
      </c>
      <c r="C32" s="19">
        <v>118</v>
      </c>
      <c r="D32" s="19">
        <f>1906+365</f>
        <v>2271</v>
      </c>
      <c r="E32" s="19">
        <v>57</v>
      </c>
    </row>
    <row r="33" spans="1:5" x14ac:dyDescent="0.25">
      <c r="A33" s="20">
        <v>36951</v>
      </c>
      <c r="B33" s="19">
        <f>1785+648</f>
        <v>2433</v>
      </c>
      <c r="C33" s="19">
        <v>185</v>
      </c>
      <c r="D33" s="19">
        <f>1808+455</f>
        <v>2263</v>
      </c>
      <c r="E33" s="19">
        <v>237</v>
      </c>
    </row>
    <row r="34" spans="1:5" x14ac:dyDescent="0.25">
      <c r="A34" s="20">
        <v>36982</v>
      </c>
      <c r="B34" s="19">
        <f>1649+658</f>
        <v>2307</v>
      </c>
      <c r="C34" s="19">
        <v>145</v>
      </c>
      <c r="D34" s="19">
        <f>2028+642</f>
        <v>2670</v>
      </c>
      <c r="E34" s="19">
        <v>57</v>
      </c>
    </row>
    <row r="35" spans="1:5" x14ac:dyDescent="0.25">
      <c r="A35" s="20">
        <v>37012</v>
      </c>
      <c r="B35" s="19">
        <f>1495+14+965</f>
        <v>2474</v>
      </c>
      <c r="C35" s="19">
        <v>156</v>
      </c>
      <c r="D35" s="19">
        <f>2118+9+502</f>
        <v>2629</v>
      </c>
      <c r="E35" s="19">
        <v>190</v>
      </c>
    </row>
    <row r="36" spans="1:5" x14ac:dyDescent="0.25">
      <c r="A36" s="20">
        <v>37043</v>
      </c>
      <c r="B36" s="19">
        <f>1797+612</f>
        <v>2409</v>
      </c>
      <c r="C36" s="19">
        <v>173</v>
      </c>
      <c r="D36" s="19">
        <f>2197+624</f>
        <v>2821</v>
      </c>
      <c r="E36" s="19">
        <v>96</v>
      </c>
    </row>
    <row r="37" spans="1:5" x14ac:dyDescent="0.25">
      <c r="A37" s="20">
        <v>37073</v>
      </c>
      <c r="B37" s="19">
        <f>2093+372</f>
        <v>2465</v>
      </c>
      <c r="C37" s="19">
        <v>167</v>
      </c>
      <c r="D37" s="19">
        <f>2757+505</f>
        <v>3262</v>
      </c>
      <c r="E37" s="19">
        <f>116+427</f>
        <v>543</v>
      </c>
    </row>
    <row r="38" spans="1:5" x14ac:dyDescent="0.25">
      <c r="A38" s="20">
        <v>37104</v>
      </c>
      <c r="B38" s="19">
        <f>2591+437</f>
        <v>3028</v>
      </c>
      <c r="C38" s="19">
        <v>242</v>
      </c>
      <c r="D38" s="19">
        <f>2527+605</f>
        <v>3132</v>
      </c>
      <c r="E38" s="19">
        <v>163</v>
      </c>
    </row>
    <row r="39" spans="1:5" x14ac:dyDescent="0.25">
      <c r="A39" s="20">
        <v>37135</v>
      </c>
      <c r="B39" s="19">
        <f>1916+341</f>
        <v>2257</v>
      </c>
      <c r="C39" s="19">
        <v>156</v>
      </c>
      <c r="D39" s="19">
        <f>2190+493</f>
        <v>2683</v>
      </c>
      <c r="E39" s="19">
        <v>108</v>
      </c>
    </row>
    <row r="40" spans="1:5" x14ac:dyDescent="0.25">
      <c r="A40" s="20">
        <v>37165</v>
      </c>
      <c r="B40" s="19">
        <f>2246+417</f>
        <v>2663</v>
      </c>
      <c r="C40" s="19">
        <v>176</v>
      </c>
      <c r="D40" s="19">
        <f>2425+634</f>
        <v>3059</v>
      </c>
      <c r="E40" s="19">
        <v>454</v>
      </c>
    </row>
    <row r="41" spans="1:5" x14ac:dyDescent="0.25">
      <c r="A41" s="20">
        <v>37196</v>
      </c>
      <c r="B41" s="19">
        <f>1932+428</f>
        <v>2360</v>
      </c>
      <c r="C41" s="19">
        <v>180</v>
      </c>
      <c r="D41" s="19">
        <f>2441+501</f>
        <v>2942</v>
      </c>
      <c r="E41" s="19">
        <v>268</v>
      </c>
    </row>
    <row r="42" spans="1:5" x14ac:dyDescent="0.25">
      <c r="A42" s="20">
        <v>37226</v>
      </c>
      <c r="B42" s="19">
        <f>1872+18+442</f>
        <v>2332</v>
      </c>
      <c r="C42" s="19">
        <v>162</v>
      </c>
      <c r="D42" s="19">
        <f>1745+1+508</f>
        <v>2254</v>
      </c>
      <c r="E42" s="19">
        <f>227+1</f>
        <v>228</v>
      </c>
    </row>
    <row r="43" spans="1:5" x14ac:dyDescent="0.25">
      <c r="A43" s="20">
        <v>37257</v>
      </c>
      <c r="B43" s="19">
        <f>2094+464</f>
        <v>2558</v>
      </c>
      <c r="C43" s="19">
        <v>216</v>
      </c>
      <c r="D43" s="19">
        <f>2455+368</f>
        <v>2823</v>
      </c>
      <c r="E43" s="19">
        <v>210</v>
      </c>
    </row>
    <row r="44" spans="1:5" x14ac:dyDescent="0.25">
      <c r="A44" s="20">
        <v>37288</v>
      </c>
      <c r="B44" s="19">
        <f>1983+335</f>
        <v>2318</v>
      </c>
      <c r="C44" s="19">
        <v>176</v>
      </c>
      <c r="D44" s="19">
        <f>2119+451</f>
        <v>2570</v>
      </c>
      <c r="E44" s="19">
        <v>870</v>
      </c>
    </row>
    <row r="45" spans="1:5" x14ac:dyDescent="0.25">
      <c r="A45" s="20">
        <v>37316</v>
      </c>
      <c r="B45" s="19">
        <f>1844+515</f>
        <v>2359</v>
      </c>
      <c r="C45" s="19">
        <v>172</v>
      </c>
      <c r="D45" s="19">
        <f>2107+825</f>
        <v>2932</v>
      </c>
      <c r="E45" s="19">
        <v>496</v>
      </c>
    </row>
    <row r="46" spans="1:5" x14ac:dyDescent="0.25">
      <c r="A46" s="20">
        <v>37347</v>
      </c>
      <c r="B46" s="19">
        <f>1873+787</f>
        <v>2660</v>
      </c>
      <c r="C46" s="19">
        <v>126</v>
      </c>
      <c r="D46" s="19">
        <f>2580+789</f>
        <v>3369</v>
      </c>
      <c r="E46" s="19">
        <v>392</v>
      </c>
    </row>
    <row r="47" spans="1:5" x14ac:dyDescent="0.25">
      <c r="A47" s="20">
        <v>37377</v>
      </c>
      <c r="B47" s="19">
        <f>2108+869</f>
        <v>2977</v>
      </c>
      <c r="C47" s="19">
        <v>177</v>
      </c>
      <c r="D47" s="19">
        <f>2394+991</f>
        <v>3385</v>
      </c>
      <c r="E47" s="19">
        <v>434</v>
      </c>
    </row>
    <row r="48" spans="1:5" x14ac:dyDescent="0.25">
      <c r="A48" s="20">
        <v>37408</v>
      </c>
      <c r="B48" s="19">
        <f>1926+8+452+14</f>
        <v>2400</v>
      </c>
      <c r="C48" s="19">
        <v>203</v>
      </c>
      <c r="D48" s="19">
        <f>2460+543+5</f>
        <v>3008</v>
      </c>
      <c r="E48" s="19">
        <v>296</v>
      </c>
    </row>
    <row r="49" spans="1:5" x14ac:dyDescent="0.25">
      <c r="A49" s="20">
        <v>37438</v>
      </c>
      <c r="B49" s="19">
        <f>2680+404</f>
        <v>3084</v>
      </c>
      <c r="C49" s="19">
        <v>205</v>
      </c>
      <c r="D49" s="19">
        <f>2754+337</f>
        <v>3091</v>
      </c>
      <c r="E49" s="19">
        <v>415</v>
      </c>
    </row>
    <row r="50" spans="1:5" x14ac:dyDescent="0.25">
      <c r="A50" s="20">
        <v>37469</v>
      </c>
      <c r="B50" s="19">
        <f>2548+297</f>
        <v>2845</v>
      </c>
      <c r="C50" s="19">
        <f>207</f>
        <v>207</v>
      </c>
      <c r="D50" s="19">
        <f>2827+347</f>
        <v>3174</v>
      </c>
      <c r="E50" s="19">
        <v>206</v>
      </c>
    </row>
    <row r="51" spans="1:5" x14ac:dyDescent="0.25">
      <c r="A51" s="20">
        <v>37500</v>
      </c>
      <c r="B51" s="19">
        <f>2633+14</f>
        <v>2647</v>
      </c>
      <c r="C51" s="19">
        <v>95</v>
      </c>
      <c r="D51" s="19">
        <f>2649+27</f>
        <v>2676</v>
      </c>
      <c r="E51" s="19">
        <v>274</v>
      </c>
    </row>
    <row r="52" spans="1:5" x14ac:dyDescent="0.25">
      <c r="A52" s="20">
        <v>37530</v>
      </c>
      <c r="B52" s="19">
        <f>2945+85</f>
        <v>3030</v>
      </c>
      <c r="C52" s="19">
        <v>210</v>
      </c>
      <c r="D52" s="19">
        <f>3224+1</f>
        <v>3225</v>
      </c>
      <c r="E52" s="19">
        <v>401</v>
      </c>
    </row>
    <row r="53" spans="1:5" x14ac:dyDescent="0.25">
      <c r="A53" s="20">
        <v>37561</v>
      </c>
      <c r="B53" s="19">
        <f>2366+23</f>
        <v>2389</v>
      </c>
      <c r="C53" s="19">
        <v>238</v>
      </c>
      <c r="D53" s="19">
        <f>2614+6</f>
        <v>2620</v>
      </c>
      <c r="E53" s="19">
        <f>302+24</f>
        <v>326</v>
      </c>
    </row>
    <row r="54" spans="1:5" x14ac:dyDescent="0.25">
      <c r="A54" s="20">
        <v>37591</v>
      </c>
      <c r="B54" s="19">
        <f>2810+12</f>
        <v>2822</v>
      </c>
      <c r="C54" s="19">
        <v>178</v>
      </c>
      <c r="D54" s="19">
        <f>2338+1</f>
        <v>2339</v>
      </c>
      <c r="E54" s="19">
        <v>302</v>
      </c>
    </row>
    <row r="55" spans="1:5" x14ac:dyDescent="0.25">
      <c r="A55" s="20">
        <v>37622</v>
      </c>
      <c r="B55" s="19">
        <v>2387</v>
      </c>
      <c r="C55" s="19">
        <v>191</v>
      </c>
      <c r="D55" s="19">
        <v>2599</v>
      </c>
      <c r="E55" s="19">
        <v>250</v>
      </c>
    </row>
    <row r="56" spans="1:5" x14ac:dyDescent="0.25">
      <c r="A56" s="20">
        <v>37653</v>
      </c>
      <c r="B56" s="19">
        <v>2236</v>
      </c>
      <c r="C56" s="19">
        <v>192</v>
      </c>
      <c r="D56" s="19">
        <v>2243</v>
      </c>
      <c r="E56" s="19">
        <v>390</v>
      </c>
    </row>
    <row r="57" spans="1:5" x14ac:dyDescent="0.25">
      <c r="A57" s="20">
        <v>37681</v>
      </c>
      <c r="B57" s="19">
        <v>2519</v>
      </c>
      <c r="C57" s="19">
        <v>161</v>
      </c>
      <c r="D57" s="19">
        <v>2672</v>
      </c>
      <c r="E57" s="19">
        <v>266</v>
      </c>
    </row>
    <row r="58" spans="1:5" x14ac:dyDescent="0.25">
      <c r="A58" s="20">
        <v>37712</v>
      </c>
      <c r="B58" s="19">
        <v>2180</v>
      </c>
      <c r="C58" s="19">
        <v>88</v>
      </c>
      <c r="D58" s="19">
        <v>2747</v>
      </c>
      <c r="E58" s="19">
        <v>244</v>
      </c>
    </row>
    <row r="59" spans="1:5" x14ac:dyDescent="0.25">
      <c r="A59" s="20">
        <v>37742</v>
      </c>
      <c r="B59" s="19">
        <v>1937</v>
      </c>
      <c r="C59" s="19">
        <v>84</v>
      </c>
      <c r="D59" s="19">
        <v>1778</v>
      </c>
      <c r="E59" s="19">
        <v>199</v>
      </c>
    </row>
    <row r="60" spans="1:5" x14ac:dyDescent="0.25">
      <c r="A60" s="20">
        <v>37773</v>
      </c>
      <c r="B60" s="19">
        <v>2335</v>
      </c>
      <c r="C60" s="19">
        <v>210</v>
      </c>
      <c r="D60" s="19">
        <v>2266</v>
      </c>
      <c r="E60" s="19">
        <v>400</v>
      </c>
    </row>
    <row r="61" spans="1:5" x14ac:dyDescent="0.25">
      <c r="A61" s="20">
        <v>37803</v>
      </c>
      <c r="B61" s="19">
        <v>2307</v>
      </c>
      <c r="C61" s="19">
        <v>176</v>
      </c>
      <c r="D61" s="19">
        <v>2086</v>
      </c>
      <c r="E61" s="19">
        <v>531</v>
      </c>
    </row>
    <row r="62" spans="1:5" x14ac:dyDescent="0.25">
      <c r="A62" s="20">
        <v>37834</v>
      </c>
      <c r="B62" s="19">
        <v>2280</v>
      </c>
      <c r="C62" s="19">
        <v>172</v>
      </c>
      <c r="D62" s="19">
        <v>1880</v>
      </c>
      <c r="E62" s="19">
        <v>436</v>
      </c>
    </row>
    <row r="63" spans="1:5" x14ac:dyDescent="0.25">
      <c r="A63" s="20">
        <v>37865</v>
      </c>
      <c r="B63" s="19">
        <v>2067</v>
      </c>
      <c r="C63" s="19">
        <v>169</v>
      </c>
      <c r="D63" s="19">
        <v>2167</v>
      </c>
      <c r="E63" s="19">
        <v>434</v>
      </c>
    </row>
    <row r="64" spans="1:5" x14ac:dyDescent="0.25">
      <c r="A64" s="20">
        <v>37895</v>
      </c>
      <c r="B64" s="19">
        <v>2176</v>
      </c>
      <c r="C64" s="19">
        <v>103</v>
      </c>
      <c r="D64" s="19">
        <v>2072</v>
      </c>
      <c r="E64" s="19">
        <v>690</v>
      </c>
    </row>
    <row r="65" spans="1:5" x14ac:dyDescent="0.25">
      <c r="A65" s="20">
        <v>37926</v>
      </c>
      <c r="B65" s="19">
        <v>1833</v>
      </c>
      <c r="C65" s="19">
        <v>47</v>
      </c>
      <c r="D65" s="19">
        <v>1513</v>
      </c>
      <c r="E65" s="19">
        <v>471</v>
      </c>
    </row>
    <row r="66" spans="1:5" x14ac:dyDescent="0.25">
      <c r="A66" s="20">
        <v>37956</v>
      </c>
      <c r="B66" s="19">
        <v>2179</v>
      </c>
      <c r="C66" s="19">
        <v>79</v>
      </c>
      <c r="D66" s="19">
        <v>1586</v>
      </c>
      <c r="E66" s="19">
        <v>679</v>
      </c>
    </row>
    <row r="67" spans="1:5" x14ac:dyDescent="0.25">
      <c r="A67" s="20">
        <v>37987</v>
      </c>
      <c r="B67" s="19">
        <v>2485</v>
      </c>
      <c r="C67" s="19">
        <v>160</v>
      </c>
      <c r="D67" s="19">
        <v>2780</v>
      </c>
      <c r="E67" s="19">
        <v>641</v>
      </c>
    </row>
    <row r="68" spans="1:5" x14ac:dyDescent="0.25">
      <c r="A68" s="20">
        <v>38018</v>
      </c>
      <c r="B68" s="19">
        <v>2132</v>
      </c>
      <c r="C68" s="19">
        <v>122</v>
      </c>
      <c r="D68" s="19">
        <v>2704</v>
      </c>
      <c r="E68" s="19">
        <v>697</v>
      </c>
    </row>
    <row r="69" spans="1:5" x14ac:dyDescent="0.25">
      <c r="A69" s="20">
        <v>38047</v>
      </c>
      <c r="B69" s="19">
        <v>2547</v>
      </c>
      <c r="C69" s="19">
        <v>26</v>
      </c>
      <c r="D69" s="19">
        <v>2801</v>
      </c>
      <c r="E69" s="19">
        <v>815</v>
      </c>
    </row>
    <row r="70" spans="1:5" x14ac:dyDescent="0.25">
      <c r="A70" s="20">
        <v>38078</v>
      </c>
      <c r="B70" s="19">
        <v>2343</v>
      </c>
      <c r="C70" s="19">
        <v>104</v>
      </c>
      <c r="D70" s="19">
        <v>2795</v>
      </c>
      <c r="E70" s="19">
        <v>1105</v>
      </c>
    </row>
    <row r="71" spans="1:5" x14ac:dyDescent="0.25">
      <c r="A71" s="20">
        <v>38108</v>
      </c>
      <c r="B71" s="19">
        <v>2441</v>
      </c>
      <c r="C71" s="19">
        <v>98</v>
      </c>
      <c r="D71" s="19">
        <v>2602</v>
      </c>
      <c r="E71" s="19">
        <v>436</v>
      </c>
    </row>
    <row r="72" spans="1:5" x14ac:dyDescent="0.25">
      <c r="A72" s="20">
        <v>38139</v>
      </c>
      <c r="B72" s="19">
        <v>2273</v>
      </c>
      <c r="C72" s="19">
        <v>116</v>
      </c>
      <c r="D72" s="19">
        <v>2607</v>
      </c>
      <c r="E72" s="19">
        <v>909</v>
      </c>
    </row>
    <row r="73" spans="1:5" x14ac:dyDescent="0.25">
      <c r="A73" s="20">
        <v>38169</v>
      </c>
      <c r="B73" s="19">
        <v>2398</v>
      </c>
      <c r="C73" s="19">
        <v>63</v>
      </c>
      <c r="D73" s="19">
        <v>2830</v>
      </c>
      <c r="E73" s="19">
        <v>1055</v>
      </c>
    </row>
    <row r="74" spans="1:5" x14ac:dyDescent="0.25">
      <c r="A74" s="20">
        <v>38200</v>
      </c>
      <c r="B74" s="19">
        <v>2683</v>
      </c>
      <c r="C74" s="19">
        <v>178</v>
      </c>
      <c r="D74" s="19">
        <v>2977</v>
      </c>
      <c r="E74" s="19">
        <v>388</v>
      </c>
    </row>
    <row r="75" spans="1:5" x14ac:dyDescent="0.25">
      <c r="A75" s="20">
        <v>38231</v>
      </c>
      <c r="B75" s="19">
        <v>2225</v>
      </c>
      <c r="C75" s="19">
        <v>56</v>
      </c>
      <c r="D75" s="19">
        <v>3035</v>
      </c>
      <c r="E75" s="19">
        <v>568</v>
      </c>
    </row>
    <row r="76" spans="1:5" x14ac:dyDescent="0.25">
      <c r="A76" s="20">
        <v>38261</v>
      </c>
      <c r="B76" s="19">
        <v>2328</v>
      </c>
      <c r="C76" s="19">
        <v>43</v>
      </c>
      <c r="D76" s="19">
        <v>2868</v>
      </c>
      <c r="E76" s="19">
        <v>610</v>
      </c>
    </row>
    <row r="77" spans="1:5" x14ac:dyDescent="0.25">
      <c r="A77" s="20">
        <v>38292</v>
      </c>
      <c r="B77" s="19">
        <v>2366</v>
      </c>
      <c r="C77" s="19">
        <v>44</v>
      </c>
      <c r="D77" s="19">
        <v>2869</v>
      </c>
      <c r="E77" s="19">
        <v>342</v>
      </c>
    </row>
    <row r="78" spans="1:5" x14ac:dyDescent="0.25">
      <c r="A78" s="20">
        <v>38322</v>
      </c>
      <c r="B78" s="19">
        <v>2447</v>
      </c>
      <c r="C78" s="19">
        <v>117</v>
      </c>
      <c r="D78" s="19">
        <v>2604</v>
      </c>
      <c r="E78" s="19">
        <v>542</v>
      </c>
    </row>
    <row r="79" spans="1:5" x14ac:dyDescent="0.25">
      <c r="A79" s="20">
        <v>38353</v>
      </c>
      <c r="B79" s="19">
        <v>2366</v>
      </c>
      <c r="C79" s="19">
        <v>117</v>
      </c>
      <c r="D79" s="19">
        <v>2679</v>
      </c>
      <c r="E79" s="19">
        <v>395</v>
      </c>
    </row>
    <row r="80" spans="1:5" x14ac:dyDescent="0.25">
      <c r="A80" s="20">
        <v>38384</v>
      </c>
      <c r="B80" s="19">
        <v>2126</v>
      </c>
      <c r="C80" s="19">
        <v>36</v>
      </c>
      <c r="D80" s="19">
        <v>2416</v>
      </c>
      <c r="E80" s="19">
        <v>658</v>
      </c>
    </row>
    <row r="81" spans="1:6" x14ac:dyDescent="0.25">
      <c r="A81" s="20">
        <v>38412</v>
      </c>
      <c r="B81" s="19">
        <v>2355</v>
      </c>
      <c r="C81" s="19">
        <v>64</v>
      </c>
      <c r="D81" s="19">
        <v>2800</v>
      </c>
      <c r="E81" s="19">
        <v>600</v>
      </c>
    </row>
    <row r="82" spans="1:6" x14ac:dyDescent="0.25">
      <c r="A82" s="20">
        <v>38443</v>
      </c>
      <c r="B82" s="19">
        <v>2521</v>
      </c>
      <c r="C82" s="19">
        <v>95</v>
      </c>
      <c r="D82" s="19">
        <v>2723</v>
      </c>
      <c r="E82" s="19">
        <v>995</v>
      </c>
    </row>
    <row r="83" spans="1:6" x14ac:dyDescent="0.25">
      <c r="A83" s="20">
        <v>38473</v>
      </c>
      <c r="B83" s="19">
        <v>2286</v>
      </c>
      <c r="C83" s="19">
        <v>131</v>
      </c>
      <c r="D83" s="19">
        <v>2769</v>
      </c>
      <c r="E83" s="19">
        <v>806</v>
      </c>
    </row>
    <row r="84" spans="1:6" x14ac:dyDescent="0.25">
      <c r="A84" s="20">
        <v>38504</v>
      </c>
      <c r="B84" s="19">
        <v>1763</v>
      </c>
      <c r="C84" s="19">
        <v>127</v>
      </c>
      <c r="D84" s="19">
        <v>2248</v>
      </c>
      <c r="E84" s="19">
        <v>413</v>
      </c>
    </row>
    <row r="85" spans="1:6" x14ac:dyDescent="0.25">
      <c r="A85" s="20">
        <v>38534</v>
      </c>
      <c r="B85" s="19">
        <v>2031</v>
      </c>
      <c r="C85" s="19">
        <v>180</v>
      </c>
      <c r="D85" s="19">
        <v>2812</v>
      </c>
      <c r="E85" s="19">
        <v>516</v>
      </c>
    </row>
    <row r="86" spans="1:6" x14ac:dyDescent="0.25">
      <c r="A86" s="20">
        <v>38565</v>
      </c>
      <c r="B86" s="19">
        <v>3110</v>
      </c>
      <c r="C86" s="19">
        <v>158</v>
      </c>
      <c r="D86" s="19">
        <v>3437</v>
      </c>
      <c r="E86" s="19">
        <v>560</v>
      </c>
    </row>
    <row r="87" spans="1:6" x14ac:dyDescent="0.25">
      <c r="A87" s="20">
        <v>38596</v>
      </c>
      <c r="B87" s="19">
        <v>2945</v>
      </c>
      <c r="C87" s="19">
        <v>148</v>
      </c>
      <c r="D87" s="19">
        <v>3493</v>
      </c>
      <c r="E87" s="19">
        <v>627</v>
      </c>
    </row>
    <row r="88" spans="1:6" x14ac:dyDescent="0.25">
      <c r="A88" s="20">
        <v>38626</v>
      </c>
      <c r="B88" s="19">
        <v>2967</v>
      </c>
      <c r="C88" s="19">
        <v>103</v>
      </c>
      <c r="D88" s="19">
        <v>3478</v>
      </c>
      <c r="E88" s="19">
        <v>491</v>
      </c>
    </row>
    <row r="89" spans="1:6" x14ac:dyDescent="0.25">
      <c r="A89" s="20">
        <v>38657</v>
      </c>
      <c r="B89" s="19">
        <v>2572</v>
      </c>
      <c r="C89" s="19">
        <v>140</v>
      </c>
      <c r="D89" s="19">
        <v>2876</v>
      </c>
      <c r="E89" s="19">
        <v>647</v>
      </c>
    </row>
    <row r="90" spans="1:6" x14ac:dyDescent="0.25">
      <c r="A90" s="20">
        <v>38687</v>
      </c>
      <c r="B90" s="19">
        <v>2398</v>
      </c>
      <c r="C90" s="19">
        <v>56</v>
      </c>
      <c r="D90" s="19">
        <v>2481</v>
      </c>
      <c r="E90" s="19">
        <v>627</v>
      </c>
      <c r="F90" s="48"/>
    </row>
    <row r="91" spans="1:6" x14ac:dyDescent="0.25">
      <c r="A91" s="20">
        <v>38718</v>
      </c>
      <c r="B91" s="19">
        <v>2199</v>
      </c>
      <c r="C91" s="19">
        <v>69</v>
      </c>
      <c r="D91" s="19">
        <v>2525</v>
      </c>
      <c r="E91" s="19">
        <v>266</v>
      </c>
      <c r="F91" s="48"/>
    </row>
    <row r="92" spans="1:6" x14ac:dyDescent="0.25">
      <c r="A92" s="20">
        <v>38749</v>
      </c>
      <c r="B92" s="19">
        <v>2105</v>
      </c>
      <c r="C92" s="19">
        <v>22</v>
      </c>
      <c r="D92" s="19">
        <v>1951</v>
      </c>
      <c r="E92" s="19">
        <v>495</v>
      </c>
      <c r="F92" s="48"/>
    </row>
    <row r="93" spans="1:6" x14ac:dyDescent="0.25">
      <c r="A93" s="20">
        <v>38777</v>
      </c>
      <c r="B93" s="19">
        <v>2328</v>
      </c>
      <c r="C93" s="19">
        <v>100</v>
      </c>
      <c r="D93" s="19">
        <v>2630</v>
      </c>
      <c r="E93" s="19">
        <v>828</v>
      </c>
      <c r="F93" s="48"/>
    </row>
    <row r="94" spans="1:6" x14ac:dyDescent="0.25">
      <c r="A94" s="20">
        <v>38808</v>
      </c>
      <c r="B94" s="19">
        <v>2617</v>
      </c>
      <c r="C94" s="19">
        <v>92</v>
      </c>
      <c r="D94" s="19">
        <v>2846</v>
      </c>
      <c r="E94" s="19">
        <v>588</v>
      </c>
      <c r="F94" s="48"/>
    </row>
    <row r="95" spans="1:6" x14ac:dyDescent="0.25">
      <c r="A95" s="20">
        <v>38838</v>
      </c>
      <c r="B95" s="19">
        <v>2306</v>
      </c>
      <c r="C95" s="19">
        <v>117</v>
      </c>
      <c r="D95" s="19">
        <v>2534</v>
      </c>
      <c r="E95" s="19">
        <v>250</v>
      </c>
      <c r="F95" s="48"/>
    </row>
    <row r="96" spans="1:6" x14ac:dyDescent="0.25">
      <c r="A96" s="20">
        <v>38869</v>
      </c>
      <c r="B96" s="19">
        <v>2693</v>
      </c>
      <c r="C96" s="19">
        <v>130</v>
      </c>
      <c r="D96" s="19">
        <v>3041</v>
      </c>
      <c r="E96" s="19">
        <v>770</v>
      </c>
      <c r="F96" s="48"/>
    </row>
    <row r="97" spans="1:6" x14ac:dyDescent="0.25">
      <c r="A97" s="20">
        <v>38899</v>
      </c>
      <c r="B97" s="19">
        <v>2913</v>
      </c>
      <c r="C97" s="19">
        <v>184</v>
      </c>
      <c r="D97" s="19">
        <v>2599</v>
      </c>
      <c r="E97" s="19">
        <v>855</v>
      </c>
      <c r="F97" s="48"/>
    </row>
    <row r="98" spans="1:6" x14ac:dyDescent="0.25">
      <c r="A98" s="20">
        <v>38930</v>
      </c>
      <c r="B98" s="19">
        <v>2776</v>
      </c>
      <c r="C98" s="19">
        <v>146</v>
      </c>
      <c r="D98" s="19">
        <v>2869</v>
      </c>
      <c r="E98" s="19">
        <v>755</v>
      </c>
      <c r="F98" s="48"/>
    </row>
    <row r="99" spans="1:6" x14ac:dyDescent="0.25">
      <c r="A99" s="20">
        <v>38961</v>
      </c>
      <c r="B99" s="19">
        <v>2817</v>
      </c>
      <c r="C99" s="19">
        <v>91</v>
      </c>
      <c r="D99" s="19">
        <v>2772</v>
      </c>
      <c r="E99" s="19">
        <v>586</v>
      </c>
      <c r="F99" s="48"/>
    </row>
    <row r="100" spans="1:6" x14ac:dyDescent="0.25">
      <c r="A100" s="20">
        <v>38991</v>
      </c>
      <c r="B100" s="19">
        <v>2670</v>
      </c>
      <c r="C100" s="19">
        <v>328</v>
      </c>
      <c r="D100" s="19">
        <v>2706</v>
      </c>
      <c r="E100" s="19">
        <v>847</v>
      </c>
      <c r="F100" s="48"/>
    </row>
    <row r="101" spans="1:6" x14ac:dyDescent="0.25">
      <c r="A101" s="20">
        <v>39022</v>
      </c>
      <c r="B101" s="19">
        <v>2330</v>
      </c>
      <c r="C101" s="19">
        <v>246</v>
      </c>
      <c r="D101" s="19">
        <v>2987</v>
      </c>
      <c r="E101" s="19">
        <v>597</v>
      </c>
      <c r="F101" s="48"/>
    </row>
    <row r="102" spans="1:6" x14ac:dyDescent="0.25">
      <c r="A102" s="20">
        <v>39052</v>
      </c>
      <c r="B102" s="19">
        <v>2982</v>
      </c>
      <c r="C102" s="19">
        <v>185</v>
      </c>
      <c r="D102" s="19">
        <v>2802</v>
      </c>
      <c r="E102" s="19">
        <v>419</v>
      </c>
      <c r="F102" s="48"/>
    </row>
    <row r="103" spans="1:6" x14ac:dyDescent="0.25">
      <c r="A103" s="20">
        <v>39083</v>
      </c>
      <c r="B103" s="19">
        <v>2430</v>
      </c>
      <c r="C103" s="19">
        <v>239</v>
      </c>
      <c r="D103" s="19">
        <v>2321</v>
      </c>
      <c r="E103" s="19">
        <v>596</v>
      </c>
      <c r="F103" s="48"/>
    </row>
    <row r="104" spans="1:6" x14ac:dyDescent="0.25">
      <c r="A104" s="20">
        <v>39114</v>
      </c>
      <c r="B104" s="19">
        <v>2321</v>
      </c>
      <c r="C104" s="19">
        <v>243</v>
      </c>
      <c r="D104" s="19">
        <v>2325</v>
      </c>
      <c r="E104" s="19">
        <v>443</v>
      </c>
      <c r="F104" s="48"/>
    </row>
    <row r="105" spans="1:6" x14ac:dyDescent="0.25">
      <c r="A105" s="20">
        <v>39142</v>
      </c>
      <c r="B105" s="19">
        <v>2818</v>
      </c>
      <c r="C105" s="19">
        <v>249</v>
      </c>
      <c r="D105" s="19">
        <v>2599</v>
      </c>
      <c r="E105" s="19">
        <v>452</v>
      </c>
      <c r="F105" s="48"/>
    </row>
    <row r="106" spans="1:6" x14ac:dyDescent="0.25">
      <c r="A106" s="20">
        <v>39173</v>
      </c>
      <c r="B106" s="19">
        <v>2746</v>
      </c>
      <c r="C106" s="19">
        <v>229</v>
      </c>
      <c r="D106" s="19">
        <v>2731</v>
      </c>
      <c r="E106" s="19">
        <v>426</v>
      </c>
      <c r="F106" s="48"/>
    </row>
    <row r="107" spans="1:6" x14ac:dyDescent="0.25">
      <c r="A107" s="20">
        <v>39203</v>
      </c>
      <c r="B107" s="19">
        <f>2275+11</f>
        <v>2286</v>
      </c>
      <c r="C107" s="19">
        <v>183</v>
      </c>
      <c r="D107" s="19">
        <v>1931</v>
      </c>
      <c r="E107" s="19">
        <f>565+1</f>
        <v>566</v>
      </c>
      <c r="F107" s="48"/>
    </row>
    <row r="108" spans="1:6" x14ac:dyDescent="0.25">
      <c r="A108" s="20">
        <v>39234</v>
      </c>
      <c r="B108" s="19">
        <f>2870+16</f>
        <v>2886</v>
      </c>
      <c r="C108" s="19">
        <v>454</v>
      </c>
      <c r="D108" s="19">
        <v>2459</v>
      </c>
      <c r="E108" s="19">
        <v>301</v>
      </c>
      <c r="F108" s="48"/>
    </row>
    <row r="109" spans="1:6" ht="16.5" customHeight="1" x14ac:dyDescent="0.25">
      <c r="A109" s="20">
        <v>39264</v>
      </c>
      <c r="B109" s="19">
        <f>2815+18</f>
        <v>2833</v>
      </c>
      <c r="C109" s="19">
        <v>231</v>
      </c>
      <c r="D109" s="19">
        <v>2704</v>
      </c>
      <c r="E109" s="19">
        <v>517</v>
      </c>
      <c r="F109" s="48"/>
    </row>
    <row r="110" spans="1:6" x14ac:dyDescent="0.25">
      <c r="A110" s="20">
        <v>39295</v>
      </c>
      <c r="B110" s="19">
        <f>2934+15</f>
        <v>2949</v>
      </c>
      <c r="C110" s="19">
        <v>452</v>
      </c>
      <c r="D110" s="19">
        <v>2985</v>
      </c>
      <c r="E110" s="19">
        <v>535</v>
      </c>
      <c r="F110" s="48"/>
    </row>
    <row r="111" spans="1:6" x14ac:dyDescent="0.25">
      <c r="A111" s="20">
        <v>39326</v>
      </c>
      <c r="B111" s="19">
        <f>3149+2</f>
        <v>3151</v>
      </c>
      <c r="C111" s="19">
        <f>323+2</f>
        <v>325</v>
      </c>
      <c r="D111" s="19">
        <v>2557</v>
      </c>
      <c r="E111" s="19">
        <f>264+2</f>
        <v>266</v>
      </c>
      <c r="F111" s="48"/>
    </row>
    <row r="112" spans="1:6" x14ac:dyDescent="0.25">
      <c r="A112" s="20">
        <v>39356</v>
      </c>
      <c r="B112" s="19">
        <f>2329+6</f>
        <v>2335</v>
      </c>
      <c r="C112" s="19">
        <f>261+1</f>
        <v>262</v>
      </c>
      <c r="D112" s="19">
        <v>2303</v>
      </c>
      <c r="E112" s="19">
        <f>410+1</f>
        <v>411</v>
      </c>
      <c r="F112" s="48"/>
    </row>
    <row r="113" spans="1:6" x14ac:dyDescent="0.25">
      <c r="A113" s="20">
        <v>39387</v>
      </c>
      <c r="B113" s="19">
        <f>2641+21</f>
        <v>2662</v>
      </c>
      <c r="C113" s="19">
        <f>258+5</f>
        <v>263</v>
      </c>
      <c r="D113" s="19">
        <f>2453+39</f>
        <v>2492</v>
      </c>
      <c r="E113" s="19">
        <f>603+3</f>
        <v>606</v>
      </c>
      <c r="F113" s="48"/>
    </row>
    <row r="114" spans="1:6" x14ac:dyDescent="0.25">
      <c r="A114" s="20">
        <v>39417</v>
      </c>
      <c r="B114" s="19">
        <f>3398+33</f>
        <v>3431</v>
      </c>
      <c r="C114" s="19">
        <f>280+4</f>
        <v>284</v>
      </c>
      <c r="D114" s="19">
        <f>3541+53</f>
        <v>3594</v>
      </c>
      <c r="E114" s="19">
        <f>490+3</f>
        <v>493</v>
      </c>
      <c r="F114" s="48"/>
    </row>
    <row r="115" spans="1:6" x14ac:dyDescent="0.25">
      <c r="A115" s="20">
        <v>39448</v>
      </c>
      <c r="B115" s="19">
        <f>2191+27</f>
        <v>2218</v>
      </c>
      <c r="C115" s="19">
        <v>245</v>
      </c>
      <c r="D115" s="19">
        <v>2493</v>
      </c>
      <c r="E115" s="19">
        <v>525</v>
      </c>
      <c r="F115" s="48"/>
    </row>
    <row r="116" spans="1:6" x14ac:dyDescent="0.25">
      <c r="A116" s="20">
        <v>39479</v>
      </c>
      <c r="B116" s="19">
        <f>2219+1</f>
        <v>2220</v>
      </c>
      <c r="C116" s="19">
        <v>186</v>
      </c>
      <c r="D116" s="19">
        <f>2651+2</f>
        <v>2653</v>
      </c>
      <c r="E116" s="19">
        <v>435</v>
      </c>
      <c r="F116" s="48"/>
    </row>
    <row r="117" spans="1:6" x14ac:dyDescent="0.25">
      <c r="A117" s="20">
        <v>39508</v>
      </c>
      <c r="B117" s="19">
        <v>2837</v>
      </c>
      <c r="C117" s="19">
        <v>210</v>
      </c>
      <c r="D117" s="19">
        <v>2921</v>
      </c>
      <c r="E117" s="19">
        <f>379+4</f>
        <v>383</v>
      </c>
      <c r="F117" s="48"/>
    </row>
    <row r="118" spans="1:6" x14ac:dyDescent="0.25">
      <c r="A118" s="20">
        <v>39539</v>
      </c>
      <c r="B118" s="19">
        <f>2970+9</f>
        <v>2979</v>
      </c>
      <c r="C118" s="19">
        <f>267+4</f>
        <v>271</v>
      </c>
      <c r="D118" s="19">
        <v>2776</v>
      </c>
      <c r="E118" s="19">
        <f>444+5</f>
        <v>449</v>
      </c>
      <c r="F118" s="48"/>
    </row>
    <row r="119" spans="1:6" x14ac:dyDescent="0.25">
      <c r="A119" s="20">
        <v>39569</v>
      </c>
      <c r="B119" s="19">
        <f>2560+26</f>
        <v>2586</v>
      </c>
      <c r="C119" s="19">
        <f>282+4</f>
        <v>286</v>
      </c>
      <c r="D119" s="19">
        <v>2756</v>
      </c>
      <c r="E119" s="19">
        <f>456+8</f>
        <v>464</v>
      </c>
      <c r="F119" s="48"/>
    </row>
    <row r="120" spans="1:6" x14ac:dyDescent="0.25">
      <c r="A120" s="20">
        <v>39600</v>
      </c>
      <c r="B120" s="19">
        <f>3491+30</f>
        <v>3521</v>
      </c>
      <c r="C120" s="19">
        <f>288+2</f>
        <v>290</v>
      </c>
      <c r="D120" s="19">
        <f>2922+5</f>
        <v>2927</v>
      </c>
      <c r="E120" s="19">
        <v>600</v>
      </c>
      <c r="F120" s="48"/>
    </row>
    <row r="121" spans="1:6" x14ac:dyDescent="0.25">
      <c r="A121" s="20">
        <v>39630</v>
      </c>
      <c r="B121" s="19">
        <f>3098+8</f>
        <v>3106</v>
      </c>
      <c r="C121" s="19">
        <v>304</v>
      </c>
      <c r="D121" s="19">
        <f>2911+13</f>
        <v>2924</v>
      </c>
      <c r="E121" s="19">
        <f>382+1</f>
        <v>383</v>
      </c>
      <c r="F121" s="48"/>
    </row>
    <row r="122" spans="1:6" x14ac:dyDescent="0.25">
      <c r="A122" s="20">
        <v>39661</v>
      </c>
      <c r="B122" s="19">
        <v>2595</v>
      </c>
      <c r="C122" s="19">
        <v>294</v>
      </c>
      <c r="D122" s="19">
        <v>3122</v>
      </c>
      <c r="E122" s="19">
        <v>646</v>
      </c>
      <c r="F122" s="48"/>
    </row>
    <row r="123" spans="1:6" x14ac:dyDescent="0.25">
      <c r="A123" s="20">
        <v>39692</v>
      </c>
      <c r="B123" s="19">
        <v>3770</v>
      </c>
      <c r="C123" s="19">
        <v>274</v>
      </c>
      <c r="D123" s="19">
        <v>3280</v>
      </c>
      <c r="E123" s="19">
        <v>342</v>
      </c>
      <c r="F123" s="48"/>
    </row>
    <row r="124" spans="1:6" x14ac:dyDescent="0.25">
      <c r="A124" s="20">
        <v>39722</v>
      </c>
      <c r="B124" s="19">
        <v>3407</v>
      </c>
      <c r="C124" s="19">
        <v>274</v>
      </c>
      <c r="D124" s="19">
        <v>3260</v>
      </c>
      <c r="E124" s="19">
        <v>264</v>
      </c>
      <c r="F124" s="48"/>
    </row>
    <row r="125" spans="1:6" x14ac:dyDescent="0.25">
      <c r="A125" s="20">
        <v>39753</v>
      </c>
      <c r="B125" s="19">
        <v>3542</v>
      </c>
      <c r="C125" s="19">
        <v>361</v>
      </c>
      <c r="D125" s="19">
        <v>3161</v>
      </c>
      <c r="E125" s="19">
        <v>567</v>
      </c>
      <c r="F125" s="48"/>
    </row>
    <row r="126" spans="1:6" x14ac:dyDescent="0.25">
      <c r="A126" s="20">
        <v>39783</v>
      </c>
      <c r="B126" s="19">
        <v>3780</v>
      </c>
      <c r="C126" s="19">
        <v>364</v>
      </c>
      <c r="D126" s="19">
        <v>3154</v>
      </c>
      <c r="E126" s="19">
        <v>348</v>
      </c>
      <c r="F126" s="48"/>
    </row>
    <row r="127" spans="1:6" x14ac:dyDescent="0.25">
      <c r="A127" s="20">
        <v>39814</v>
      </c>
      <c r="B127" s="19">
        <v>3619</v>
      </c>
      <c r="C127" s="19">
        <v>341</v>
      </c>
      <c r="D127" s="19">
        <v>2939</v>
      </c>
      <c r="E127" s="19">
        <f>251+55</f>
        <v>306</v>
      </c>
      <c r="F127" s="48"/>
    </row>
    <row r="128" spans="1:6" x14ac:dyDescent="0.25">
      <c r="A128" s="20">
        <v>39845</v>
      </c>
      <c r="B128" s="19">
        <v>3312</v>
      </c>
      <c r="C128" s="19">
        <v>254</v>
      </c>
      <c r="D128" s="19">
        <v>2803</v>
      </c>
      <c r="E128" s="19">
        <f>366+133</f>
        <v>499</v>
      </c>
      <c r="F128" s="48"/>
    </row>
    <row r="129" spans="1:6" x14ac:dyDescent="0.25">
      <c r="A129" s="20">
        <v>39873</v>
      </c>
      <c r="B129" s="19">
        <f>3460+10</f>
        <v>3470</v>
      </c>
      <c r="C129" s="19">
        <v>37</v>
      </c>
      <c r="D129" s="19">
        <f>3026+10</f>
        <v>3036</v>
      </c>
      <c r="E129" s="19">
        <f>419+1</f>
        <v>420</v>
      </c>
      <c r="F129" s="48"/>
    </row>
    <row r="130" spans="1:6" x14ac:dyDescent="0.25">
      <c r="A130" s="20">
        <v>39904</v>
      </c>
      <c r="B130" s="19">
        <f>3922+12</f>
        <v>3934</v>
      </c>
      <c r="C130" s="19">
        <v>249</v>
      </c>
      <c r="D130" s="19">
        <f>3091+9</f>
        <v>3100</v>
      </c>
      <c r="E130" s="19">
        <v>387</v>
      </c>
      <c r="F130" s="48"/>
    </row>
    <row r="131" spans="1:6" x14ac:dyDescent="0.25">
      <c r="A131" s="20">
        <v>39934</v>
      </c>
      <c r="B131" s="19">
        <f>3601+22</f>
        <v>3623</v>
      </c>
      <c r="C131" s="19">
        <v>32</v>
      </c>
      <c r="D131" s="19">
        <f>3093+8</f>
        <v>3101</v>
      </c>
      <c r="E131" s="19">
        <v>319</v>
      </c>
      <c r="F131" s="48"/>
    </row>
    <row r="132" spans="1:6" x14ac:dyDescent="0.25">
      <c r="A132" s="20">
        <v>39965</v>
      </c>
      <c r="B132" s="19">
        <f>4369+22</f>
        <v>4391</v>
      </c>
      <c r="C132" s="19">
        <f>305+4</f>
        <v>309</v>
      </c>
      <c r="D132" s="19">
        <f>3188+4</f>
        <v>3192</v>
      </c>
      <c r="E132" s="19">
        <f>426+4</f>
        <v>430</v>
      </c>
      <c r="F132" s="48"/>
    </row>
    <row r="133" spans="1:6" x14ac:dyDescent="0.25">
      <c r="A133" s="20">
        <v>39995</v>
      </c>
      <c r="B133" s="19">
        <f>4159</f>
        <v>4159</v>
      </c>
      <c r="C133" s="19">
        <v>358</v>
      </c>
      <c r="D133" s="19">
        <v>3322</v>
      </c>
      <c r="E133" s="19">
        <f>341+2</f>
        <v>343</v>
      </c>
      <c r="F133" s="48"/>
    </row>
    <row r="134" spans="1:6" x14ac:dyDescent="0.25">
      <c r="A134" s="20">
        <v>40026</v>
      </c>
      <c r="B134" s="19">
        <f>4712+20</f>
        <v>4732</v>
      </c>
      <c r="C134" s="19">
        <v>245</v>
      </c>
      <c r="D134" s="19">
        <f>3785+19</f>
        <v>3804</v>
      </c>
      <c r="E134" s="19">
        <f>522+8</f>
        <v>530</v>
      </c>
      <c r="F134" s="48"/>
    </row>
    <row r="135" spans="1:6" x14ac:dyDescent="0.25">
      <c r="A135" s="20">
        <v>40057</v>
      </c>
      <c r="B135" s="19">
        <v>3685</v>
      </c>
      <c r="C135" s="19">
        <v>275</v>
      </c>
      <c r="D135" s="19">
        <v>3121</v>
      </c>
      <c r="E135" s="19">
        <v>342</v>
      </c>
      <c r="F135" s="48"/>
    </row>
    <row r="136" spans="1:6" x14ac:dyDescent="0.25">
      <c r="A136" s="20">
        <v>40087</v>
      </c>
      <c r="B136" s="19">
        <v>3161</v>
      </c>
      <c r="C136" s="19">
        <v>304</v>
      </c>
      <c r="D136" s="19">
        <v>2757</v>
      </c>
      <c r="E136" s="19">
        <v>296</v>
      </c>
      <c r="F136" s="48"/>
    </row>
    <row r="137" spans="1:6" x14ac:dyDescent="0.25">
      <c r="A137" s="20">
        <v>40118</v>
      </c>
      <c r="B137" s="19">
        <v>2848</v>
      </c>
      <c r="C137" s="19">
        <v>300</v>
      </c>
      <c r="D137" s="19">
        <v>2696</v>
      </c>
      <c r="E137" s="19">
        <v>380</v>
      </c>
      <c r="F137" s="48"/>
    </row>
    <row r="138" spans="1:6" x14ac:dyDescent="0.25">
      <c r="A138" s="20">
        <v>40148</v>
      </c>
      <c r="B138" s="19">
        <v>2682</v>
      </c>
      <c r="C138" s="19">
        <v>230</v>
      </c>
      <c r="D138" s="19">
        <v>2129</v>
      </c>
      <c r="E138" s="19">
        <v>570</v>
      </c>
      <c r="F138" s="48"/>
    </row>
    <row r="139" spans="1:6" x14ac:dyDescent="0.25">
      <c r="A139" s="20">
        <v>40179</v>
      </c>
      <c r="B139" s="19">
        <f>2712+13</f>
        <v>2725</v>
      </c>
      <c r="C139" s="19">
        <v>258</v>
      </c>
      <c r="D139" s="19">
        <f>2352+7</f>
        <v>2359</v>
      </c>
      <c r="E139" s="19">
        <f>342+1</f>
        <v>343</v>
      </c>
      <c r="F139" s="48"/>
    </row>
    <row r="140" spans="1:6" x14ac:dyDescent="0.25">
      <c r="A140" s="20">
        <v>40210</v>
      </c>
      <c r="B140" s="19">
        <f>2257+11</f>
        <v>2268</v>
      </c>
      <c r="C140" s="19">
        <v>234</v>
      </c>
      <c r="D140" s="19">
        <f>2437+7</f>
        <v>2444</v>
      </c>
      <c r="E140" s="19">
        <f>455+1</f>
        <v>456</v>
      </c>
      <c r="F140" s="48"/>
    </row>
    <row r="141" spans="1:6" x14ac:dyDescent="0.25">
      <c r="A141" s="20">
        <v>40238</v>
      </c>
      <c r="B141" s="19">
        <f>2344+12</f>
        <v>2356</v>
      </c>
      <c r="C141" s="19">
        <f>360+1</f>
        <v>361</v>
      </c>
      <c r="D141" s="19">
        <f>2902+9</f>
        <v>2911</v>
      </c>
      <c r="E141" s="19">
        <f>380+1</f>
        <v>381</v>
      </c>
      <c r="F141" s="48"/>
    </row>
    <row r="142" spans="1:6" x14ac:dyDescent="0.25">
      <c r="A142" s="20">
        <v>40269</v>
      </c>
      <c r="B142" s="19">
        <f>2912+11</f>
        <v>2923</v>
      </c>
      <c r="C142" s="19">
        <v>280</v>
      </c>
      <c r="D142" s="19">
        <f>2504+8</f>
        <v>2512</v>
      </c>
      <c r="E142" s="19">
        <f>493+1</f>
        <v>494</v>
      </c>
      <c r="F142" s="48"/>
    </row>
    <row r="143" spans="1:6" x14ac:dyDescent="0.25">
      <c r="A143" s="20">
        <v>40299</v>
      </c>
      <c r="B143" s="19">
        <v>3066</v>
      </c>
      <c r="C143" s="19">
        <v>233</v>
      </c>
      <c r="D143" s="19">
        <v>2583</v>
      </c>
      <c r="E143" s="19">
        <v>438</v>
      </c>
      <c r="F143" s="48"/>
    </row>
    <row r="144" spans="1:6" x14ac:dyDescent="0.25">
      <c r="A144" s="20">
        <v>40330</v>
      </c>
      <c r="B144" s="19">
        <f>3023-25</f>
        <v>2998</v>
      </c>
      <c r="C144" s="19">
        <f>277-21</f>
        <v>256</v>
      </c>
      <c r="D144" s="19">
        <f>2657-48</f>
        <v>2609</v>
      </c>
      <c r="E144" s="19">
        <f>620-15</f>
        <v>605</v>
      </c>
      <c r="F144" s="48"/>
    </row>
    <row r="145" spans="1:6" x14ac:dyDescent="0.25">
      <c r="A145" s="20">
        <v>40360</v>
      </c>
      <c r="B145" s="19">
        <f>3844+19</f>
        <v>3863</v>
      </c>
      <c r="C145" s="19">
        <f>324+2</f>
        <v>326</v>
      </c>
      <c r="D145" s="19">
        <f>3186+3</f>
        <v>3189</v>
      </c>
      <c r="E145" s="19">
        <v>395</v>
      </c>
      <c r="F145" s="48"/>
    </row>
    <row r="146" spans="1:6" x14ac:dyDescent="0.25">
      <c r="A146" s="20">
        <v>40391</v>
      </c>
      <c r="B146" s="19">
        <f>5783+29</f>
        <v>5812</v>
      </c>
      <c r="C146" s="19">
        <f>351+1</f>
        <v>352</v>
      </c>
      <c r="D146" s="19">
        <v>4450</v>
      </c>
      <c r="E146" s="19">
        <f>633+3</f>
        <v>636</v>
      </c>
      <c r="F146" s="48"/>
    </row>
    <row r="147" spans="1:6" x14ac:dyDescent="0.25">
      <c r="A147" s="20">
        <v>40422</v>
      </c>
      <c r="B147" s="19">
        <f>3340+16</f>
        <v>3356</v>
      </c>
      <c r="C147" s="19">
        <f>288+2</f>
        <v>290</v>
      </c>
      <c r="D147" s="19">
        <f>2440+12</f>
        <v>2452</v>
      </c>
      <c r="E147" s="19">
        <v>228</v>
      </c>
      <c r="F147" s="48"/>
    </row>
    <row r="148" spans="1:6" x14ac:dyDescent="0.25">
      <c r="A148" s="20">
        <v>40452</v>
      </c>
      <c r="B148" s="19">
        <f>3352+16</f>
        <v>3368</v>
      </c>
      <c r="C148" s="19">
        <f>330+2+86</f>
        <v>418</v>
      </c>
      <c r="D148" s="19">
        <f>2262+11</f>
        <v>2273</v>
      </c>
      <c r="E148" s="19">
        <f>304+2+86</f>
        <v>392</v>
      </c>
      <c r="F148" s="48"/>
    </row>
    <row r="149" spans="1:6" x14ac:dyDescent="0.25">
      <c r="A149" s="20">
        <v>40483</v>
      </c>
      <c r="B149" s="19">
        <v>2556</v>
      </c>
      <c r="C149" s="19">
        <v>313</v>
      </c>
      <c r="D149" s="19">
        <v>1777</v>
      </c>
      <c r="E149" s="19">
        <v>490</v>
      </c>
      <c r="F149" s="48"/>
    </row>
    <row r="150" spans="1:6" x14ac:dyDescent="0.25">
      <c r="A150" s="20">
        <v>40513</v>
      </c>
      <c r="B150" s="19">
        <f>3538+26</f>
        <v>3564</v>
      </c>
      <c r="C150" s="19">
        <f>319+4</f>
        <v>323</v>
      </c>
      <c r="D150" s="19">
        <f>2185+11</f>
        <v>2196</v>
      </c>
      <c r="E150" s="19">
        <f>428+1+4</f>
        <v>433</v>
      </c>
      <c r="F150" s="48"/>
    </row>
    <row r="151" spans="1:6" x14ac:dyDescent="0.25">
      <c r="A151" s="20">
        <v>40544</v>
      </c>
      <c r="B151" s="19">
        <f>3136+16</f>
        <v>3152</v>
      </c>
      <c r="C151" s="19">
        <v>278</v>
      </c>
      <c r="D151" s="19">
        <f>2045+1</f>
        <v>2046</v>
      </c>
      <c r="E151" s="19">
        <f>341+1</f>
        <v>342</v>
      </c>
      <c r="F151" s="48"/>
    </row>
    <row r="152" spans="1:6" x14ac:dyDescent="0.25">
      <c r="A152" s="20">
        <v>40575</v>
      </c>
      <c r="B152" s="19">
        <f>2870+18</f>
        <v>2888</v>
      </c>
      <c r="C152" s="19">
        <f>275+3</f>
        <v>278</v>
      </c>
      <c r="D152" s="19">
        <f>2272-3</f>
        <v>2269</v>
      </c>
      <c r="E152" s="19">
        <f>264-2</f>
        <v>262</v>
      </c>
      <c r="F152" s="48"/>
    </row>
    <row r="153" spans="1:6" x14ac:dyDescent="0.25">
      <c r="A153" s="20">
        <v>40603</v>
      </c>
      <c r="B153" s="19">
        <f>2890+21</f>
        <v>2911</v>
      </c>
      <c r="C153" s="19">
        <f>208+1</f>
        <v>209</v>
      </c>
      <c r="D153" s="19">
        <f>2409+9</f>
        <v>2418</v>
      </c>
      <c r="E153" s="19">
        <f>263+8</f>
        <v>271</v>
      </c>
      <c r="F153" s="48"/>
    </row>
    <row r="154" spans="1:6" x14ac:dyDescent="0.25">
      <c r="A154" s="20">
        <v>40634</v>
      </c>
      <c r="B154" s="19">
        <f>3073+10</f>
        <v>3083</v>
      </c>
      <c r="C154" s="19">
        <f>214+0.03</f>
        <v>214.03</v>
      </c>
      <c r="D154" s="19">
        <f>2782+6</f>
        <v>2788</v>
      </c>
      <c r="E154" s="19">
        <f>339+1</f>
        <v>340</v>
      </c>
      <c r="F154" s="48"/>
    </row>
    <row r="155" spans="1:6" x14ac:dyDescent="0.25">
      <c r="A155" s="20">
        <v>40664</v>
      </c>
      <c r="B155" s="19">
        <f>2973+7</f>
        <v>2980</v>
      </c>
      <c r="C155" s="19">
        <f>135+2+0.25</f>
        <v>137.25</v>
      </c>
      <c r="D155" s="19">
        <f>3140+10</f>
        <v>3150</v>
      </c>
      <c r="E155" s="19">
        <f>631+0.25</f>
        <v>631.25</v>
      </c>
      <c r="F155" s="48"/>
    </row>
    <row r="156" spans="1:6" x14ac:dyDescent="0.25">
      <c r="A156" s="20">
        <v>40695</v>
      </c>
      <c r="B156" s="19">
        <f>3103+9</f>
        <v>3112</v>
      </c>
      <c r="C156" s="19">
        <f>87+0.3</f>
        <v>87.3</v>
      </c>
      <c r="D156" s="19">
        <f>2361+4</f>
        <v>2365</v>
      </c>
      <c r="E156" s="19">
        <v>493</v>
      </c>
      <c r="F156" s="48"/>
    </row>
    <row r="157" spans="1:6" x14ac:dyDescent="0.25">
      <c r="A157" s="20">
        <v>40725</v>
      </c>
      <c r="B157" s="19">
        <f>2945+7</f>
        <v>2952</v>
      </c>
      <c r="C157" s="19">
        <f>106+1</f>
        <v>107</v>
      </c>
      <c r="D157" s="19">
        <f>2586+0.2</f>
        <v>2586.1999999999998</v>
      </c>
      <c r="E157" s="19">
        <f>688+1</f>
        <v>689</v>
      </c>
      <c r="F157" s="48"/>
    </row>
    <row r="158" spans="1:6" x14ac:dyDescent="0.25">
      <c r="A158" s="20">
        <v>40756</v>
      </c>
      <c r="B158" s="19">
        <f>3259+3</f>
        <v>3262</v>
      </c>
      <c r="C158" s="19">
        <f>67+0.5</f>
        <v>67.5</v>
      </c>
      <c r="D158" s="19">
        <f>2738+2</f>
        <v>2740</v>
      </c>
      <c r="E158" s="19">
        <f>706+6</f>
        <v>712</v>
      </c>
      <c r="F158" s="48"/>
    </row>
    <row r="159" spans="1:6" x14ac:dyDescent="0.25">
      <c r="A159" s="20">
        <v>40787</v>
      </c>
      <c r="B159" s="19">
        <f>3293+5</f>
        <v>3298</v>
      </c>
      <c r="C159" s="19">
        <f>87+1</f>
        <v>88</v>
      </c>
      <c r="D159" s="19">
        <f>2677+11-8</f>
        <v>2680</v>
      </c>
      <c r="E159" s="19">
        <v>482</v>
      </c>
      <c r="F159" s="48"/>
    </row>
    <row r="160" spans="1:6" x14ac:dyDescent="0.25">
      <c r="A160" s="20">
        <v>40817</v>
      </c>
      <c r="B160" s="19">
        <f>3315+7-58</f>
        <v>3264</v>
      </c>
      <c r="C160" s="19">
        <f>60+0.6-6</f>
        <v>54.6</v>
      </c>
      <c r="D160" s="19">
        <f>3089+7-143</f>
        <v>2953</v>
      </c>
      <c r="E160" s="19">
        <f>315+0-11</f>
        <v>304</v>
      </c>
      <c r="F160" s="48"/>
    </row>
    <row r="161" spans="1:6" x14ac:dyDescent="0.25">
      <c r="A161" s="20">
        <v>40848</v>
      </c>
      <c r="B161" s="19">
        <f>2803+4-55</f>
        <v>2752</v>
      </c>
      <c r="C161" s="19">
        <f>8.4-0.1-1</f>
        <v>7.3000000000000007</v>
      </c>
      <c r="D161" s="19">
        <v>2290</v>
      </c>
      <c r="E161" s="19">
        <f>304+2+2</f>
        <v>308</v>
      </c>
      <c r="F161" s="48"/>
    </row>
    <row r="162" spans="1:6" x14ac:dyDescent="0.25">
      <c r="A162" s="20">
        <v>40878</v>
      </c>
      <c r="B162" s="19">
        <f>3728+3-72</f>
        <v>3659</v>
      </c>
      <c r="C162" s="19">
        <f>38+0.9</f>
        <v>38.9</v>
      </c>
      <c r="D162" s="19">
        <f>2612-52</f>
        <v>2560</v>
      </c>
      <c r="E162" s="19">
        <v>412</v>
      </c>
      <c r="F162" s="48"/>
    </row>
    <row r="163" spans="1:6" x14ac:dyDescent="0.25">
      <c r="A163" s="24">
        <v>40909</v>
      </c>
      <c r="B163" s="15">
        <f>2755+1</f>
        <v>2756</v>
      </c>
      <c r="C163" s="15">
        <v>0</v>
      </c>
      <c r="D163" s="15">
        <f>2264+5</f>
        <v>2269</v>
      </c>
      <c r="E163" s="15">
        <f>550+1</f>
        <v>551</v>
      </c>
      <c r="F163" s="48"/>
    </row>
    <row r="164" spans="1:6" x14ac:dyDescent="0.25">
      <c r="A164" s="24">
        <v>40940</v>
      </c>
      <c r="B164" s="15">
        <f>2716+5-78</f>
        <v>2643</v>
      </c>
      <c r="C164" s="15">
        <f>34-3</f>
        <v>31</v>
      </c>
      <c r="D164" s="15">
        <f>2139+5-38</f>
        <v>2106</v>
      </c>
      <c r="E164" s="15">
        <f>400+3</f>
        <v>403</v>
      </c>
      <c r="F164" s="48"/>
    </row>
    <row r="165" spans="1:6" x14ac:dyDescent="0.25">
      <c r="A165" s="24">
        <v>40969</v>
      </c>
      <c r="B165" s="15">
        <f>2473+6</f>
        <v>2479</v>
      </c>
      <c r="C165" s="15">
        <v>59</v>
      </c>
      <c r="D165" s="15">
        <f>2209+4</f>
        <v>2213</v>
      </c>
      <c r="E165" s="15">
        <v>302</v>
      </c>
      <c r="F165" s="48"/>
    </row>
    <row r="166" spans="1:6" x14ac:dyDescent="0.25">
      <c r="A166" s="24">
        <v>41000</v>
      </c>
      <c r="B166" s="15">
        <v>1964</v>
      </c>
      <c r="C166" s="15">
        <v>20</v>
      </c>
      <c r="D166" s="15">
        <f>1884</f>
        <v>1884</v>
      </c>
      <c r="E166" s="15">
        <v>377</v>
      </c>
      <c r="F166" s="48"/>
    </row>
    <row r="167" spans="1:6" x14ac:dyDescent="0.25">
      <c r="A167" s="24">
        <v>41030</v>
      </c>
      <c r="B167" s="15">
        <v>1517</v>
      </c>
      <c r="C167" s="15">
        <v>26</v>
      </c>
      <c r="D167" s="15">
        <v>1322</v>
      </c>
      <c r="E167" s="15">
        <v>293</v>
      </c>
      <c r="F167" s="48"/>
    </row>
    <row r="168" spans="1:6" x14ac:dyDescent="0.25">
      <c r="A168" s="24">
        <v>41061</v>
      </c>
      <c r="B168" s="15">
        <f>2823+1</f>
        <v>2824</v>
      </c>
      <c r="C168" s="15">
        <v>28</v>
      </c>
      <c r="D168" s="15">
        <f>1840-3</f>
        <v>1837</v>
      </c>
      <c r="E168" s="15">
        <f>361+3</f>
        <v>364</v>
      </c>
      <c r="F168" s="48"/>
    </row>
    <row r="169" spans="1:6" x14ac:dyDescent="0.25">
      <c r="A169" s="24">
        <v>41091</v>
      </c>
      <c r="B169" s="15">
        <f>2403+2</f>
        <v>2405</v>
      </c>
      <c r="C169" s="15">
        <v>34</v>
      </c>
      <c r="D169" s="15">
        <f>1751-3</f>
        <v>1748</v>
      </c>
      <c r="E169" s="15">
        <f>216-1</f>
        <v>215</v>
      </c>
      <c r="F169" s="48"/>
    </row>
    <row r="170" spans="1:6" x14ac:dyDescent="0.25">
      <c r="A170" s="24">
        <v>41122</v>
      </c>
      <c r="B170" s="15">
        <f>2721+1</f>
        <v>2722</v>
      </c>
      <c r="C170" s="15">
        <v>40</v>
      </c>
      <c r="D170" s="15">
        <f>1601+4</f>
        <v>1605</v>
      </c>
      <c r="E170" s="15">
        <v>188</v>
      </c>
      <c r="F170" s="48"/>
    </row>
    <row r="171" spans="1:6" x14ac:dyDescent="0.25">
      <c r="A171" s="24">
        <v>41153</v>
      </c>
      <c r="B171" s="15">
        <f>2945+1</f>
        <v>2946</v>
      </c>
      <c r="C171" s="15">
        <v>80</v>
      </c>
      <c r="D171" s="15">
        <f>2147+4</f>
        <v>2151</v>
      </c>
      <c r="E171" s="15">
        <v>263</v>
      </c>
      <c r="F171" s="48"/>
    </row>
    <row r="172" spans="1:6" x14ac:dyDescent="0.25">
      <c r="A172" s="24">
        <v>41183</v>
      </c>
      <c r="B172" s="15">
        <f>2884+4</f>
        <v>2888</v>
      </c>
      <c r="C172" s="15">
        <v>67</v>
      </c>
      <c r="D172" s="15">
        <f>1932+4</f>
        <v>1936</v>
      </c>
      <c r="E172" s="15">
        <f>227+2</f>
        <v>229</v>
      </c>
      <c r="F172" s="48"/>
    </row>
    <row r="173" spans="1:6" x14ac:dyDescent="0.25">
      <c r="A173" s="24">
        <v>41214</v>
      </c>
      <c r="B173" s="15">
        <f>3295+6</f>
        <v>3301</v>
      </c>
      <c r="C173" s="15">
        <v>58</v>
      </c>
      <c r="D173" s="15">
        <f>1996+3</f>
        <v>1999</v>
      </c>
      <c r="E173" s="15">
        <v>227</v>
      </c>
      <c r="F173" s="48"/>
    </row>
    <row r="174" spans="1:6" x14ac:dyDescent="0.25">
      <c r="A174" s="24">
        <v>41244</v>
      </c>
      <c r="B174" s="15">
        <f>3124+3-35</f>
        <v>3092</v>
      </c>
      <c r="C174" s="15">
        <v>67</v>
      </c>
      <c r="D174" s="15">
        <f>2057-5</f>
        <v>2052</v>
      </c>
      <c r="E174" s="15">
        <v>76</v>
      </c>
      <c r="F174" s="48"/>
    </row>
    <row r="175" spans="1:6" s="50" customFormat="1" x14ac:dyDescent="0.25">
      <c r="A175" s="20">
        <v>41275</v>
      </c>
      <c r="B175" s="19">
        <v>2712</v>
      </c>
      <c r="C175" s="19">
        <v>258</v>
      </c>
      <c r="D175" s="19">
        <v>2352</v>
      </c>
      <c r="E175" s="19">
        <v>342</v>
      </c>
      <c r="F175" s="49"/>
    </row>
    <row r="176" spans="1:6" s="50" customFormat="1" x14ac:dyDescent="0.25">
      <c r="A176" s="20">
        <v>41306</v>
      </c>
      <c r="B176" s="19">
        <v>2257</v>
      </c>
      <c r="C176" s="19">
        <v>234</v>
      </c>
      <c r="D176" s="19">
        <v>2437</v>
      </c>
      <c r="E176" s="19">
        <v>455</v>
      </c>
      <c r="F176" s="49"/>
    </row>
    <row r="177" spans="1:6" s="50" customFormat="1" x14ac:dyDescent="0.25">
      <c r="A177" s="20">
        <v>41334</v>
      </c>
      <c r="B177" s="19">
        <v>2344</v>
      </c>
      <c r="C177" s="19">
        <v>360</v>
      </c>
      <c r="D177" s="19">
        <v>2902</v>
      </c>
      <c r="E177" s="19">
        <v>380</v>
      </c>
      <c r="F177" s="49"/>
    </row>
    <row r="178" spans="1:6" s="50" customFormat="1" x14ac:dyDescent="0.25">
      <c r="A178" s="20">
        <v>41365</v>
      </c>
      <c r="B178" s="19">
        <v>2912</v>
      </c>
      <c r="C178" s="19">
        <v>280</v>
      </c>
      <c r="D178" s="19">
        <v>2504</v>
      </c>
      <c r="E178" s="19">
        <v>493</v>
      </c>
      <c r="F178" s="49"/>
    </row>
    <row r="179" spans="1:6" s="50" customFormat="1" x14ac:dyDescent="0.25">
      <c r="A179" s="20">
        <v>41395</v>
      </c>
      <c r="B179" s="19">
        <v>3066</v>
      </c>
      <c r="C179" s="19">
        <v>233</v>
      </c>
      <c r="D179" s="19">
        <v>2583</v>
      </c>
      <c r="E179" s="19">
        <v>438</v>
      </c>
      <c r="F179" s="49"/>
    </row>
    <row r="180" spans="1:6" s="50" customFormat="1" x14ac:dyDescent="0.25">
      <c r="A180" s="20">
        <v>41426</v>
      </c>
      <c r="B180" s="19">
        <v>3023</v>
      </c>
      <c r="C180" s="19">
        <v>277</v>
      </c>
      <c r="D180" s="19">
        <v>2657</v>
      </c>
      <c r="E180" s="19">
        <v>620</v>
      </c>
      <c r="F180" s="49"/>
    </row>
    <row r="181" spans="1:6" s="50" customFormat="1" x14ac:dyDescent="0.25">
      <c r="A181" s="20">
        <v>41456</v>
      </c>
      <c r="B181" s="19">
        <v>3844</v>
      </c>
      <c r="C181" s="19">
        <v>324</v>
      </c>
      <c r="D181" s="19">
        <v>3186</v>
      </c>
      <c r="E181" s="19">
        <v>395</v>
      </c>
      <c r="F181" s="49"/>
    </row>
    <row r="182" spans="1:6" s="50" customFormat="1" x14ac:dyDescent="0.25">
      <c r="A182" s="20">
        <v>41487</v>
      </c>
      <c r="B182" s="19">
        <v>5783</v>
      </c>
      <c r="C182" s="19">
        <v>351</v>
      </c>
      <c r="D182" s="19">
        <v>4450</v>
      </c>
      <c r="E182" s="19">
        <v>633</v>
      </c>
      <c r="F182" s="49"/>
    </row>
    <row r="183" spans="1:6" s="50" customFormat="1" x14ac:dyDescent="0.25">
      <c r="A183" s="20">
        <v>41518</v>
      </c>
      <c r="B183" s="19">
        <v>3340</v>
      </c>
      <c r="C183" s="19">
        <v>288</v>
      </c>
      <c r="D183" s="19">
        <v>2440</v>
      </c>
      <c r="E183" s="19">
        <v>228</v>
      </c>
    </row>
    <row r="184" spans="1:6" s="50" customFormat="1" x14ac:dyDescent="0.25">
      <c r="A184" s="20">
        <v>41548</v>
      </c>
      <c r="B184" s="19">
        <v>3352</v>
      </c>
      <c r="C184" s="19">
        <v>330</v>
      </c>
      <c r="D184" s="19">
        <v>2262</v>
      </c>
      <c r="E184" s="19">
        <v>304</v>
      </c>
    </row>
    <row r="185" spans="1:6" s="50" customFormat="1" x14ac:dyDescent="0.25">
      <c r="A185" s="20">
        <v>41579</v>
      </c>
      <c r="B185" s="19">
        <v>2556</v>
      </c>
      <c r="C185" s="19">
        <v>313</v>
      </c>
      <c r="D185" s="19">
        <v>1777</v>
      </c>
      <c r="E185" s="19">
        <v>490</v>
      </c>
    </row>
    <row r="186" spans="1:6" s="50" customFormat="1" x14ac:dyDescent="0.25">
      <c r="A186" s="20">
        <v>41609</v>
      </c>
      <c r="B186" s="19">
        <v>3538</v>
      </c>
      <c r="C186" s="19">
        <v>318</v>
      </c>
      <c r="D186" s="19">
        <v>2185</v>
      </c>
      <c r="E186" s="19">
        <v>428</v>
      </c>
    </row>
    <row r="187" spans="1:6" s="50" customFormat="1" x14ac:dyDescent="0.25">
      <c r="A187" s="20">
        <v>41640</v>
      </c>
      <c r="B187" s="19">
        <v>3136</v>
      </c>
      <c r="C187" s="19">
        <v>278</v>
      </c>
      <c r="D187" s="19">
        <v>2045</v>
      </c>
      <c r="E187" s="19">
        <v>341</v>
      </c>
    </row>
    <row r="188" spans="1:6" s="50" customFormat="1" x14ac:dyDescent="0.25">
      <c r="A188" s="20">
        <v>41671</v>
      </c>
      <c r="B188" s="19">
        <v>2870</v>
      </c>
      <c r="C188" s="19">
        <v>275</v>
      </c>
      <c r="D188" s="19">
        <v>2272</v>
      </c>
      <c r="E188" s="19">
        <v>264</v>
      </c>
    </row>
    <row r="189" spans="1:6" s="50" customFormat="1" x14ac:dyDescent="0.25">
      <c r="A189" s="20">
        <v>41699</v>
      </c>
      <c r="B189" s="19">
        <v>2890</v>
      </c>
      <c r="C189" s="19">
        <v>208</v>
      </c>
      <c r="D189" s="19">
        <v>2409</v>
      </c>
      <c r="E189" s="19">
        <v>263</v>
      </c>
    </row>
    <row r="190" spans="1:6" s="50" customFormat="1" x14ac:dyDescent="0.25">
      <c r="A190" s="20">
        <v>41730</v>
      </c>
      <c r="B190" s="19">
        <v>3073</v>
      </c>
      <c r="C190" s="19">
        <v>214</v>
      </c>
      <c r="D190" s="19">
        <v>2782</v>
      </c>
      <c r="E190" s="19">
        <v>339</v>
      </c>
    </row>
    <row r="191" spans="1:6" s="50" customFormat="1" x14ac:dyDescent="0.25">
      <c r="A191" s="20">
        <v>41760</v>
      </c>
      <c r="B191" s="19">
        <v>2973</v>
      </c>
      <c r="C191" s="19">
        <v>135</v>
      </c>
      <c r="D191" s="19">
        <v>3140</v>
      </c>
      <c r="E191" s="19">
        <v>631</v>
      </c>
    </row>
    <row r="192" spans="1:6" s="50" customFormat="1" x14ac:dyDescent="0.25">
      <c r="A192" s="20">
        <v>41791</v>
      </c>
      <c r="B192" s="19">
        <v>3103</v>
      </c>
      <c r="C192" s="19">
        <v>87</v>
      </c>
      <c r="D192" s="19">
        <v>2361</v>
      </c>
      <c r="E192" s="19">
        <v>493</v>
      </c>
    </row>
    <row r="193" spans="1:5" s="50" customFormat="1" x14ac:dyDescent="0.25">
      <c r="A193" s="20">
        <v>41821</v>
      </c>
      <c r="B193" s="19">
        <v>2945</v>
      </c>
      <c r="C193" s="19">
        <v>106</v>
      </c>
      <c r="D193" s="19">
        <v>2586</v>
      </c>
      <c r="E193" s="19">
        <v>688</v>
      </c>
    </row>
    <row r="194" spans="1:5" s="50" customFormat="1" x14ac:dyDescent="0.25">
      <c r="A194" s="20">
        <v>41852</v>
      </c>
      <c r="B194" s="19">
        <v>3259</v>
      </c>
      <c r="C194" s="19">
        <v>67</v>
      </c>
      <c r="D194" s="19">
        <v>2738</v>
      </c>
      <c r="E194" s="19">
        <v>706</v>
      </c>
    </row>
    <row r="195" spans="1:5" s="50" customFormat="1" x14ac:dyDescent="0.25">
      <c r="A195" s="20">
        <v>41883</v>
      </c>
      <c r="B195" s="19">
        <v>3293</v>
      </c>
      <c r="C195" s="19">
        <v>87</v>
      </c>
      <c r="D195" s="19">
        <v>2677</v>
      </c>
      <c r="E195" s="19">
        <v>482</v>
      </c>
    </row>
    <row r="196" spans="1:5" s="50" customFormat="1" x14ac:dyDescent="0.25">
      <c r="A196" s="20">
        <v>41913</v>
      </c>
      <c r="B196" s="19">
        <v>3315</v>
      </c>
      <c r="C196" s="19">
        <v>60</v>
      </c>
      <c r="D196" s="19">
        <v>3089</v>
      </c>
      <c r="E196" s="19">
        <v>315</v>
      </c>
    </row>
    <row r="197" spans="1:5" s="50" customFormat="1" x14ac:dyDescent="0.25">
      <c r="A197" s="20">
        <v>41944</v>
      </c>
      <c r="B197" s="19">
        <v>2803</v>
      </c>
      <c r="C197" s="19">
        <v>84</v>
      </c>
      <c r="D197" s="19">
        <v>2290</v>
      </c>
      <c r="E197" s="19">
        <v>304</v>
      </c>
    </row>
    <row r="198" spans="1:5" s="50" customFormat="1" x14ac:dyDescent="0.25">
      <c r="A198" s="20">
        <v>41974</v>
      </c>
      <c r="B198" s="19">
        <v>3728</v>
      </c>
      <c r="C198" s="19">
        <v>38</v>
      </c>
      <c r="D198" s="19">
        <v>2612</v>
      </c>
      <c r="E198" s="19">
        <v>410</v>
      </c>
    </row>
    <row r="199" spans="1:5" s="50" customFormat="1" x14ac:dyDescent="0.25">
      <c r="A199" s="20">
        <v>42005</v>
      </c>
      <c r="B199" s="19">
        <v>2755</v>
      </c>
      <c r="C199" s="19">
        <v>0</v>
      </c>
      <c r="D199" s="19">
        <v>2264</v>
      </c>
      <c r="E199" s="19">
        <v>550</v>
      </c>
    </row>
    <row r="200" spans="1:5" s="50" customFormat="1" x14ac:dyDescent="0.25">
      <c r="A200" s="20">
        <v>42036</v>
      </c>
      <c r="B200" s="19">
        <v>2716</v>
      </c>
      <c r="C200" s="19">
        <v>34</v>
      </c>
      <c r="D200" s="19">
        <v>2139</v>
      </c>
      <c r="E200" s="19">
        <v>400</v>
      </c>
    </row>
    <row r="201" spans="1:5" s="50" customFormat="1" x14ac:dyDescent="0.25">
      <c r="A201" s="20">
        <v>42064</v>
      </c>
      <c r="B201" s="19">
        <v>2473</v>
      </c>
      <c r="C201" s="19">
        <v>59</v>
      </c>
      <c r="D201" s="19">
        <v>2209</v>
      </c>
      <c r="E201" s="19">
        <v>302</v>
      </c>
    </row>
    <row r="202" spans="1:5" s="50" customFormat="1" x14ac:dyDescent="0.25">
      <c r="A202" s="20">
        <v>42095</v>
      </c>
      <c r="B202" s="19">
        <v>1954</v>
      </c>
      <c r="C202" s="19">
        <v>20</v>
      </c>
      <c r="D202" s="19">
        <v>1889</v>
      </c>
      <c r="E202" s="19">
        <v>377</v>
      </c>
    </row>
    <row r="203" spans="1:5" s="50" customFormat="1" x14ac:dyDescent="0.25">
      <c r="A203" s="20">
        <v>42125</v>
      </c>
      <c r="B203" s="19">
        <v>1514</v>
      </c>
      <c r="C203" s="19">
        <v>26</v>
      </c>
      <c r="D203" s="19">
        <v>1326</v>
      </c>
      <c r="E203" s="19">
        <v>293</v>
      </c>
    </row>
    <row r="204" spans="1:5" s="50" customFormat="1" x14ac:dyDescent="0.25">
      <c r="A204" s="20">
        <v>42156</v>
      </c>
      <c r="B204" s="19">
        <v>2823</v>
      </c>
      <c r="C204" s="19">
        <v>28</v>
      </c>
      <c r="D204" s="19">
        <v>1840</v>
      </c>
      <c r="E204" s="19">
        <v>361</v>
      </c>
    </row>
    <row r="205" spans="1:5" s="50" customFormat="1" x14ac:dyDescent="0.25">
      <c r="A205" s="20">
        <v>42186</v>
      </c>
      <c r="B205" s="19">
        <v>2403</v>
      </c>
      <c r="C205" s="19">
        <v>34</v>
      </c>
      <c r="D205" s="19">
        <v>1751</v>
      </c>
      <c r="E205" s="19">
        <v>216</v>
      </c>
    </row>
    <row r="206" spans="1:5" s="50" customFormat="1" x14ac:dyDescent="0.25">
      <c r="A206" s="20">
        <v>42217</v>
      </c>
      <c r="B206" s="19">
        <v>2721</v>
      </c>
      <c r="C206" s="19">
        <v>40</v>
      </c>
      <c r="D206" s="19">
        <v>1601</v>
      </c>
      <c r="E206" s="19">
        <v>188</v>
      </c>
    </row>
    <row r="207" spans="1:5" s="50" customFormat="1" x14ac:dyDescent="0.25">
      <c r="A207" s="20">
        <v>42248</v>
      </c>
      <c r="B207" s="19">
        <v>2945</v>
      </c>
      <c r="C207" s="19">
        <v>80</v>
      </c>
      <c r="D207" s="19">
        <v>2147</v>
      </c>
      <c r="E207" s="19">
        <v>263</v>
      </c>
    </row>
    <row r="208" spans="1:5" s="50" customFormat="1" x14ac:dyDescent="0.25">
      <c r="A208" s="20">
        <v>42278</v>
      </c>
      <c r="B208" s="19">
        <v>2884</v>
      </c>
      <c r="C208" s="19">
        <v>67</v>
      </c>
      <c r="D208" s="19">
        <v>1932</v>
      </c>
      <c r="E208" s="19">
        <v>227</v>
      </c>
    </row>
    <row r="209" spans="1:5" s="50" customFormat="1" x14ac:dyDescent="0.25">
      <c r="A209" s="20">
        <v>42309</v>
      </c>
      <c r="B209" s="19">
        <v>3295</v>
      </c>
      <c r="C209" s="19">
        <v>58</v>
      </c>
      <c r="D209" s="19">
        <v>1996</v>
      </c>
      <c r="E209" s="19">
        <v>227</v>
      </c>
    </row>
    <row r="210" spans="1:5" s="50" customFormat="1" x14ac:dyDescent="0.25">
      <c r="A210" s="20">
        <v>42339</v>
      </c>
      <c r="B210" s="19">
        <v>3124</v>
      </c>
      <c r="C210" s="19">
        <v>67</v>
      </c>
      <c r="D210" s="19">
        <v>2057</v>
      </c>
      <c r="E210" s="19">
        <v>76</v>
      </c>
    </row>
    <row r="211" spans="1:5" s="50" customFormat="1" x14ac:dyDescent="0.25">
      <c r="A211" s="20">
        <v>42370</v>
      </c>
      <c r="B211" s="19">
        <v>2763</v>
      </c>
      <c r="C211" s="19">
        <v>30</v>
      </c>
      <c r="D211" s="19">
        <v>1207</v>
      </c>
      <c r="E211" s="19">
        <v>189</v>
      </c>
    </row>
    <row r="212" spans="1:5" s="50" customFormat="1" x14ac:dyDescent="0.25">
      <c r="A212" s="20">
        <v>42401</v>
      </c>
      <c r="B212" s="19">
        <v>1613</v>
      </c>
      <c r="C212" s="19">
        <v>48</v>
      </c>
      <c r="D212" s="19">
        <v>1657</v>
      </c>
      <c r="E212" s="19">
        <v>190</v>
      </c>
    </row>
    <row r="213" spans="1:5" s="50" customFormat="1" x14ac:dyDescent="0.25">
      <c r="A213" s="20">
        <v>42430</v>
      </c>
      <c r="B213" s="19">
        <v>2504</v>
      </c>
      <c r="C213" s="19">
        <v>0</v>
      </c>
      <c r="D213" s="19">
        <v>2156</v>
      </c>
      <c r="E213" s="19">
        <v>179</v>
      </c>
    </row>
    <row r="214" spans="1:5" s="50" customFormat="1" x14ac:dyDescent="0.25">
      <c r="A214" s="20">
        <v>42461</v>
      </c>
      <c r="B214" s="19">
        <v>1166</v>
      </c>
      <c r="C214" s="19">
        <v>55</v>
      </c>
      <c r="D214" s="19">
        <v>1037</v>
      </c>
      <c r="E214" s="19">
        <v>301</v>
      </c>
    </row>
    <row r="215" spans="1:5" s="50" customFormat="1" x14ac:dyDescent="0.25">
      <c r="A215" s="20">
        <v>42491</v>
      </c>
      <c r="B215" s="19">
        <v>432</v>
      </c>
      <c r="C215" s="19">
        <v>27</v>
      </c>
      <c r="D215" s="19">
        <v>716</v>
      </c>
      <c r="E215" s="19">
        <v>108</v>
      </c>
    </row>
    <row r="216" spans="1:5" s="50" customFormat="1" x14ac:dyDescent="0.25">
      <c r="A216" s="20">
        <v>42522</v>
      </c>
      <c r="B216" s="19">
        <v>1044</v>
      </c>
      <c r="C216" s="19">
        <v>39</v>
      </c>
      <c r="D216" s="19">
        <v>743</v>
      </c>
      <c r="E216" s="19">
        <v>189</v>
      </c>
    </row>
    <row r="217" spans="1:5" s="50" customFormat="1" x14ac:dyDescent="0.25">
      <c r="A217" s="20">
        <v>42552</v>
      </c>
      <c r="B217" s="19">
        <v>1498</v>
      </c>
      <c r="C217" s="19">
        <v>16</v>
      </c>
      <c r="D217" s="19">
        <v>1288</v>
      </c>
      <c r="E217" s="19">
        <v>229</v>
      </c>
    </row>
    <row r="218" spans="1:5" s="50" customFormat="1" x14ac:dyDescent="0.25">
      <c r="A218" s="20">
        <v>42583</v>
      </c>
      <c r="B218" s="19">
        <v>2283</v>
      </c>
      <c r="C218" s="19">
        <v>40</v>
      </c>
      <c r="D218" s="19">
        <v>1998</v>
      </c>
      <c r="E218" s="19">
        <v>102</v>
      </c>
    </row>
    <row r="219" spans="1:5" s="50" customFormat="1" x14ac:dyDescent="0.25">
      <c r="A219" s="20">
        <v>42614</v>
      </c>
      <c r="B219" s="19">
        <v>2790</v>
      </c>
      <c r="C219" s="19">
        <v>3</v>
      </c>
      <c r="D219" s="19">
        <v>2466</v>
      </c>
      <c r="E219" s="19">
        <v>179</v>
      </c>
    </row>
    <row r="220" spans="1:5" s="50" customFormat="1" x14ac:dyDescent="0.25">
      <c r="A220" s="20">
        <v>42644</v>
      </c>
      <c r="B220" s="19">
        <v>1915</v>
      </c>
      <c r="C220" s="19">
        <v>28</v>
      </c>
      <c r="D220" s="19">
        <v>1695</v>
      </c>
      <c r="E220" s="19">
        <v>113</v>
      </c>
    </row>
    <row r="221" spans="1:5" s="50" customFormat="1" x14ac:dyDescent="0.25">
      <c r="A221" s="20">
        <v>42675</v>
      </c>
      <c r="B221" s="19">
        <v>2823</v>
      </c>
      <c r="C221" s="19">
        <v>5</v>
      </c>
      <c r="D221" s="19">
        <v>2180</v>
      </c>
      <c r="E221" s="19">
        <v>110</v>
      </c>
    </row>
    <row r="222" spans="1:5" s="50" customFormat="1" x14ac:dyDescent="0.25">
      <c r="A222" s="20">
        <v>42705</v>
      </c>
      <c r="B222" s="19">
        <v>2446</v>
      </c>
      <c r="C222" s="19">
        <v>45</v>
      </c>
      <c r="D222" s="19">
        <v>2360</v>
      </c>
      <c r="E222" s="19">
        <v>76</v>
      </c>
    </row>
    <row r="223" spans="1:5" s="50" customFormat="1" x14ac:dyDescent="0.25">
      <c r="A223" s="20">
        <v>42736</v>
      </c>
      <c r="B223" s="19">
        <v>2441</v>
      </c>
      <c r="C223" s="19">
        <v>19</v>
      </c>
      <c r="D223" s="19">
        <v>1881</v>
      </c>
      <c r="E223" s="19">
        <v>113</v>
      </c>
    </row>
    <row r="224" spans="1:5" s="50" customFormat="1" x14ac:dyDescent="0.25">
      <c r="A224" s="20">
        <v>42767</v>
      </c>
      <c r="B224" s="19">
        <v>1924</v>
      </c>
      <c r="C224" s="19">
        <v>17</v>
      </c>
      <c r="D224" s="19">
        <v>1527</v>
      </c>
      <c r="E224" s="19">
        <v>186</v>
      </c>
    </row>
    <row r="225" spans="1:5" s="50" customFormat="1" x14ac:dyDescent="0.25">
      <c r="A225" s="20">
        <v>42795</v>
      </c>
      <c r="B225" s="19">
        <v>3226</v>
      </c>
      <c r="C225" s="19">
        <v>34</v>
      </c>
      <c r="D225" s="19">
        <v>2673</v>
      </c>
      <c r="E225" s="19">
        <v>151</v>
      </c>
    </row>
    <row r="226" spans="1:5" s="50" customFormat="1" x14ac:dyDescent="0.25">
      <c r="A226" s="20">
        <v>42826</v>
      </c>
      <c r="B226" s="19">
        <v>3180</v>
      </c>
      <c r="C226" s="19">
        <v>42</v>
      </c>
      <c r="D226" s="19">
        <v>3540</v>
      </c>
      <c r="E226" s="19">
        <v>75</v>
      </c>
    </row>
    <row r="227" spans="1:5" s="50" customFormat="1" x14ac:dyDescent="0.25">
      <c r="A227" s="20">
        <v>42856</v>
      </c>
      <c r="B227" s="19">
        <v>3255</v>
      </c>
      <c r="C227" s="19">
        <v>19</v>
      </c>
      <c r="D227" s="19">
        <v>2896</v>
      </c>
      <c r="E227" s="19">
        <v>226</v>
      </c>
    </row>
    <row r="228" spans="1:5" s="50" customFormat="1" x14ac:dyDescent="0.25">
      <c r="A228" s="20">
        <v>42887</v>
      </c>
      <c r="B228" s="19">
        <v>3288</v>
      </c>
      <c r="C228" s="19">
        <v>26</v>
      </c>
      <c r="D228" s="19">
        <v>3771</v>
      </c>
      <c r="E228" s="19">
        <v>301</v>
      </c>
    </row>
    <row r="229" spans="1:5" s="50" customFormat="1" x14ac:dyDescent="0.25">
      <c r="A229" s="20">
        <v>42917</v>
      </c>
      <c r="B229" s="19">
        <v>2178</v>
      </c>
      <c r="C229" s="19">
        <v>48</v>
      </c>
      <c r="D229" s="19">
        <v>3384</v>
      </c>
      <c r="E229" s="19">
        <v>465</v>
      </c>
    </row>
    <row r="230" spans="1:5" s="50" customFormat="1" x14ac:dyDescent="0.25">
      <c r="A230" s="20">
        <v>42948</v>
      </c>
      <c r="B230" s="19">
        <v>4271</v>
      </c>
      <c r="C230" s="19">
        <v>42</v>
      </c>
      <c r="D230" s="19">
        <v>4269</v>
      </c>
      <c r="E230" s="19">
        <v>226</v>
      </c>
    </row>
    <row r="231" spans="1:5" s="50" customFormat="1" x14ac:dyDescent="0.25">
      <c r="A231" s="20">
        <v>42979</v>
      </c>
      <c r="B231" s="19">
        <v>2696</v>
      </c>
      <c r="C231" s="19">
        <v>34</v>
      </c>
      <c r="D231" s="19">
        <v>4709</v>
      </c>
      <c r="E231" s="19">
        <v>490</v>
      </c>
    </row>
    <row r="232" spans="1:5" s="50" customFormat="1" x14ac:dyDescent="0.25">
      <c r="A232" s="20">
        <v>43009</v>
      </c>
      <c r="B232" s="19">
        <v>3547</v>
      </c>
      <c r="C232" s="19">
        <v>29</v>
      </c>
      <c r="D232" s="19">
        <v>5536</v>
      </c>
      <c r="E232" s="19">
        <v>658</v>
      </c>
    </row>
    <row r="233" spans="1:5" s="50" customFormat="1" x14ac:dyDescent="0.25">
      <c r="A233" s="20">
        <v>43040</v>
      </c>
      <c r="B233" s="19">
        <v>3421</v>
      </c>
      <c r="C233" s="19">
        <v>23</v>
      </c>
      <c r="D233" s="19">
        <v>6277</v>
      </c>
      <c r="E233" s="19">
        <v>566</v>
      </c>
    </row>
    <row r="234" spans="1:5" s="50" customFormat="1" x14ac:dyDescent="0.25">
      <c r="A234" s="20">
        <v>43070</v>
      </c>
      <c r="B234" s="19">
        <v>4219</v>
      </c>
      <c r="C234" s="19">
        <v>16</v>
      </c>
      <c r="D234" s="19">
        <v>6740</v>
      </c>
      <c r="E234" s="19">
        <v>188</v>
      </c>
    </row>
    <row r="235" spans="1:5" s="50" customFormat="1" x14ac:dyDescent="0.25">
      <c r="A235" s="20">
        <v>43101</v>
      </c>
      <c r="B235" s="19">
        <v>3963</v>
      </c>
      <c r="C235" s="19">
        <v>58</v>
      </c>
      <c r="D235" s="19">
        <v>5495</v>
      </c>
      <c r="E235" s="19">
        <v>189</v>
      </c>
    </row>
    <row r="236" spans="1:5" s="50" customFormat="1" x14ac:dyDescent="0.25">
      <c r="A236" s="20">
        <v>43132</v>
      </c>
      <c r="B236" s="19">
        <v>4112</v>
      </c>
      <c r="C236" s="19">
        <v>27</v>
      </c>
      <c r="D236" s="19">
        <v>5520</v>
      </c>
      <c r="E236" s="19">
        <v>266</v>
      </c>
    </row>
    <row r="237" spans="1:5" s="50" customFormat="1" x14ac:dyDescent="0.25">
      <c r="A237" s="20">
        <v>43160</v>
      </c>
      <c r="B237" s="19">
        <v>4024</v>
      </c>
      <c r="C237" s="19">
        <v>26</v>
      </c>
      <c r="D237" s="19">
        <v>6014</v>
      </c>
      <c r="E237" s="19">
        <v>454</v>
      </c>
    </row>
    <row r="238" spans="1:5" s="50" customFormat="1" x14ac:dyDescent="0.25">
      <c r="A238" s="20">
        <v>43191</v>
      </c>
      <c r="B238" s="19">
        <v>4613</v>
      </c>
      <c r="C238" s="19">
        <v>32</v>
      </c>
      <c r="D238" s="19">
        <v>6036</v>
      </c>
      <c r="E238" s="19">
        <v>415</v>
      </c>
    </row>
    <row r="239" spans="1:5" s="50" customFormat="1" x14ac:dyDescent="0.25">
      <c r="A239" s="20">
        <v>43221</v>
      </c>
      <c r="B239" s="19">
        <v>5570</v>
      </c>
      <c r="C239" s="19">
        <v>20</v>
      </c>
      <c r="D239" s="19">
        <v>5862</v>
      </c>
      <c r="E239" s="19">
        <v>522</v>
      </c>
    </row>
    <row r="240" spans="1:5" s="50" customFormat="1" x14ac:dyDescent="0.25">
      <c r="A240" s="20">
        <v>43252</v>
      </c>
      <c r="B240" s="19">
        <v>5326</v>
      </c>
      <c r="C240" s="19">
        <v>23</v>
      </c>
      <c r="D240" s="19">
        <v>7030</v>
      </c>
      <c r="E240" s="19">
        <v>264</v>
      </c>
    </row>
    <row r="241" spans="1:5" s="50" customFormat="1" x14ac:dyDescent="0.25">
      <c r="A241" s="20">
        <v>43282</v>
      </c>
      <c r="B241" s="19">
        <v>4515</v>
      </c>
      <c r="C241" s="19">
        <v>24</v>
      </c>
      <c r="D241" s="19">
        <v>6452</v>
      </c>
      <c r="E241" s="19">
        <v>415</v>
      </c>
    </row>
    <row r="242" spans="1:5" s="50" customFormat="1" x14ac:dyDescent="0.25">
      <c r="A242" s="20">
        <v>43313</v>
      </c>
      <c r="B242" s="19">
        <v>4038</v>
      </c>
      <c r="C242" s="19">
        <v>27</v>
      </c>
      <c r="D242" s="19">
        <v>5465</v>
      </c>
      <c r="E242" s="19">
        <v>526</v>
      </c>
    </row>
    <row r="243" spans="1:5" s="50" customFormat="1" x14ac:dyDescent="0.25">
      <c r="A243" s="20">
        <v>43344</v>
      </c>
      <c r="B243" s="19">
        <v>4166</v>
      </c>
      <c r="C243" s="19">
        <v>26</v>
      </c>
      <c r="D243" s="19">
        <v>6351</v>
      </c>
      <c r="E243" s="19">
        <v>454</v>
      </c>
    </row>
    <row r="244" spans="1:5" s="50" customFormat="1" x14ac:dyDescent="0.25">
      <c r="A244" s="20">
        <v>43374</v>
      </c>
      <c r="B244" s="19">
        <v>4087</v>
      </c>
      <c r="C244" s="19">
        <v>15</v>
      </c>
      <c r="D244" s="19">
        <v>5639</v>
      </c>
      <c r="E244" s="19">
        <v>274</v>
      </c>
    </row>
    <row r="245" spans="1:5" s="50" customFormat="1" x14ac:dyDescent="0.25">
      <c r="A245" s="20">
        <v>43405</v>
      </c>
      <c r="B245" s="42">
        <v>3788</v>
      </c>
      <c r="C245" s="19">
        <v>2</v>
      </c>
      <c r="D245" s="19">
        <v>4178</v>
      </c>
      <c r="E245" s="19">
        <v>713</v>
      </c>
    </row>
    <row r="246" spans="1:5" s="50" customFormat="1" x14ac:dyDescent="0.25">
      <c r="A246" s="20">
        <v>43435</v>
      </c>
      <c r="B246" s="42">
        <v>5060</v>
      </c>
      <c r="C246" s="19">
        <v>6</v>
      </c>
      <c r="D246" s="19">
        <v>5701</v>
      </c>
      <c r="E246" s="19">
        <v>264</v>
      </c>
    </row>
    <row r="247" spans="1:5" s="50" customFormat="1" x14ac:dyDescent="0.25">
      <c r="A247" s="20">
        <v>43466</v>
      </c>
      <c r="B247" s="19">
        <v>5030</v>
      </c>
      <c r="C247" s="19">
        <v>7</v>
      </c>
      <c r="D247" s="19">
        <v>6079</v>
      </c>
      <c r="E247" s="19">
        <v>296</v>
      </c>
    </row>
    <row r="248" spans="1:5" s="50" customFormat="1" x14ac:dyDescent="0.25">
      <c r="A248" s="20">
        <v>43497</v>
      </c>
      <c r="B248" s="19">
        <v>3497</v>
      </c>
      <c r="C248" s="19">
        <v>13</v>
      </c>
      <c r="D248" s="19">
        <v>4931</v>
      </c>
      <c r="E248" s="19">
        <v>226</v>
      </c>
    </row>
    <row r="249" spans="1:5" s="50" customFormat="1" x14ac:dyDescent="0.25">
      <c r="A249" s="20">
        <v>43525</v>
      </c>
      <c r="B249" s="42">
        <v>4702</v>
      </c>
      <c r="C249" s="19">
        <v>14</v>
      </c>
      <c r="D249" s="19">
        <v>6184</v>
      </c>
      <c r="E249" s="19">
        <v>328</v>
      </c>
    </row>
    <row r="250" spans="1:5" s="50" customFormat="1" x14ac:dyDescent="0.25">
      <c r="A250" s="20">
        <v>43556</v>
      </c>
      <c r="B250" s="19">
        <v>4624</v>
      </c>
      <c r="C250" s="19">
        <v>55</v>
      </c>
      <c r="D250" s="19">
        <v>7393</v>
      </c>
      <c r="E250" s="19">
        <v>185</v>
      </c>
    </row>
    <row r="251" spans="1:5" s="50" customFormat="1" x14ac:dyDescent="0.25">
      <c r="A251" s="20">
        <v>43586</v>
      </c>
      <c r="B251" s="19">
        <v>4506</v>
      </c>
      <c r="C251" s="19">
        <v>5</v>
      </c>
      <c r="D251" s="19">
        <v>5253</v>
      </c>
      <c r="E251" s="19">
        <v>636</v>
      </c>
    </row>
    <row r="252" spans="1:5" s="50" customFormat="1" x14ac:dyDescent="0.25">
      <c r="A252" s="20">
        <v>43617</v>
      </c>
      <c r="B252" s="19">
        <v>3944</v>
      </c>
      <c r="C252" s="19">
        <v>16</v>
      </c>
      <c r="D252" s="19">
        <v>5971</v>
      </c>
      <c r="E252" s="19">
        <v>376</v>
      </c>
    </row>
    <row r="253" spans="1:5" s="50" customFormat="1" x14ac:dyDescent="0.25">
      <c r="A253" s="20">
        <v>43647</v>
      </c>
      <c r="B253" s="19">
        <v>4585</v>
      </c>
      <c r="C253" s="19">
        <v>30</v>
      </c>
      <c r="D253" s="19">
        <v>6847</v>
      </c>
      <c r="E253" s="19">
        <v>406</v>
      </c>
    </row>
    <row r="254" spans="1:5" s="50" customFormat="1" x14ac:dyDescent="0.25">
      <c r="A254" s="20">
        <v>43678</v>
      </c>
      <c r="B254" s="19">
        <v>4198</v>
      </c>
      <c r="C254" s="19">
        <v>63</v>
      </c>
      <c r="D254" s="19">
        <v>6934</v>
      </c>
      <c r="E254" s="19">
        <v>414</v>
      </c>
    </row>
    <row r="255" spans="1:5" s="50" customFormat="1" x14ac:dyDescent="0.25">
      <c r="A255" s="20">
        <v>43709</v>
      </c>
      <c r="B255" s="19">
        <v>5132</v>
      </c>
      <c r="C255" s="19">
        <v>13</v>
      </c>
      <c r="D255" s="19">
        <v>6749</v>
      </c>
      <c r="E255" s="19">
        <v>415</v>
      </c>
    </row>
    <row r="256" spans="1:5" s="50" customFormat="1" x14ac:dyDescent="0.25">
      <c r="A256" s="20">
        <v>43739</v>
      </c>
      <c r="B256" s="19">
        <v>5036</v>
      </c>
      <c r="C256" s="19">
        <v>16</v>
      </c>
      <c r="D256" s="19">
        <v>6020</v>
      </c>
      <c r="E256" s="19">
        <v>339</v>
      </c>
    </row>
    <row r="257" spans="1:5" s="50" customFormat="1" x14ac:dyDescent="0.25">
      <c r="A257" s="20">
        <v>43770</v>
      </c>
      <c r="B257" s="19">
        <v>4627</v>
      </c>
      <c r="C257" s="19">
        <v>59</v>
      </c>
      <c r="D257" s="19">
        <v>5629</v>
      </c>
      <c r="E257" s="19">
        <v>405</v>
      </c>
    </row>
    <row r="258" spans="1:5" s="50" customFormat="1" x14ac:dyDescent="0.25">
      <c r="A258" s="20">
        <v>43800</v>
      </c>
      <c r="B258" s="19">
        <v>4040</v>
      </c>
      <c r="C258" s="19">
        <v>12</v>
      </c>
      <c r="D258" s="19">
        <v>5247</v>
      </c>
      <c r="E258" s="19">
        <v>377</v>
      </c>
    </row>
    <row r="259" spans="1:5" s="50" customFormat="1" x14ac:dyDescent="0.25">
      <c r="A259" s="20">
        <v>43831</v>
      </c>
      <c r="B259" s="19">
        <v>3978</v>
      </c>
      <c r="C259" s="19">
        <v>15</v>
      </c>
      <c r="D259" s="19">
        <v>4612</v>
      </c>
      <c r="E259" s="19">
        <v>405</v>
      </c>
    </row>
    <row r="260" spans="1:5" s="50" customFormat="1" x14ac:dyDescent="0.25">
      <c r="A260" s="20">
        <v>43862</v>
      </c>
      <c r="B260" s="19">
        <v>3006</v>
      </c>
      <c r="C260" s="19">
        <v>17</v>
      </c>
      <c r="D260" s="19">
        <v>4033</v>
      </c>
      <c r="E260" s="19">
        <v>340</v>
      </c>
    </row>
    <row r="261" spans="1:5" s="50" customFormat="1" x14ac:dyDescent="0.25">
      <c r="A261" s="20">
        <v>43891</v>
      </c>
      <c r="B261" s="19">
        <v>3042</v>
      </c>
      <c r="C261" s="19">
        <v>12</v>
      </c>
      <c r="D261" s="19">
        <v>3405</v>
      </c>
      <c r="E261" s="19">
        <v>340</v>
      </c>
    </row>
    <row r="262" spans="1:5" s="50" customFormat="1" x14ac:dyDescent="0.25">
      <c r="A262" s="20">
        <v>43922</v>
      </c>
      <c r="B262" s="19">
        <v>2208</v>
      </c>
      <c r="C262" s="19">
        <v>12</v>
      </c>
      <c r="D262" s="19">
        <v>3580</v>
      </c>
      <c r="E262" s="19">
        <v>75</v>
      </c>
    </row>
    <row r="263" spans="1:5" s="50" customFormat="1" x14ac:dyDescent="0.25">
      <c r="A263" s="20">
        <v>43952</v>
      </c>
      <c r="B263" s="19">
        <v>3003</v>
      </c>
      <c r="C263" s="19">
        <v>5</v>
      </c>
      <c r="D263" s="19">
        <v>2661</v>
      </c>
      <c r="E263" s="19">
        <v>38</v>
      </c>
    </row>
    <row r="264" spans="1:5" s="50" customFormat="1" x14ac:dyDescent="0.25">
      <c r="A264" s="20">
        <v>43983</v>
      </c>
      <c r="B264" s="19">
        <v>2113</v>
      </c>
      <c r="C264" s="19">
        <v>9</v>
      </c>
      <c r="D264" s="19">
        <v>3454</v>
      </c>
      <c r="E264" s="19">
        <v>216</v>
      </c>
    </row>
    <row r="265" spans="1:5" s="50" customFormat="1" x14ac:dyDescent="0.25">
      <c r="A265" s="20">
        <v>44013</v>
      </c>
      <c r="B265" s="19">
        <v>1061</v>
      </c>
      <c r="C265" s="19">
        <v>0</v>
      </c>
      <c r="D265" s="19">
        <v>5354</v>
      </c>
      <c r="E265" s="19">
        <v>182</v>
      </c>
    </row>
    <row r="266" spans="1:5" s="50" customFormat="1" x14ac:dyDescent="0.25">
      <c r="A266" s="20">
        <v>44044</v>
      </c>
      <c r="B266" s="19">
        <v>2177</v>
      </c>
      <c r="C266" s="19">
        <v>0</v>
      </c>
      <c r="D266" s="19">
        <v>5125</v>
      </c>
      <c r="E266" s="19">
        <v>178</v>
      </c>
    </row>
    <row r="267" spans="1:5" s="50" customFormat="1" x14ac:dyDescent="0.25">
      <c r="A267" s="20">
        <v>44075</v>
      </c>
      <c r="B267" s="19">
        <v>2284</v>
      </c>
      <c r="C267" s="19">
        <v>59</v>
      </c>
      <c r="D267" s="19">
        <v>5167</v>
      </c>
      <c r="E267" s="19">
        <v>156</v>
      </c>
    </row>
    <row r="268" spans="1:5" s="50" customFormat="1" x14ac:dyDescent="0.25">
      <c r="A268" s="20">
        <v>44105</v>
      </c>
      <c r="B268" s="43">
        <v>2739</v>
      </c>
      <c r="C268" s="19">
        <v>18</v>
      </c>
      <c r="D268" s="19">
        <v>4266</v>
      </c>
      <c r="E268" s="43">
        <v>115</v>
      </c>
    </row>
    <row r="269" spans="1:5" s="50" customFormat="1" x14ac:dyDescent="0.25">
      <c r="A269" s="20">
        <v>44136</v>
      </c>
      <c r="B269" s="43">
        <v>1588</v>
      </c>
      <c r="C269" s="19">
        <v>0</v>
      </c>
      <c r="D269" s="19">
        <v>4036</v>
      </c>
      <c r="E269" s="43">
        <v>365</v>
      </c>
    </row>
    <row r="270" spans="1:5" s="50" customFormat="1" x14ac:dyDescent="0.25">
      <c r="A270" s="20">
        <v>44166</v>
      </c>
      <c r="B270" s="43">
        <v>3152</v>
      </c>
      <c r="C270" s="19">
        <v>0</v>
      </c>
      <c r="D270" s="19">
        <v>3386</v>
      </c>
      <c r="E270" s="43">
        <v>319</v>
      </c>
    </row>
    <row r="271" spans="1:5" s="50" customFormat="1" x14ac:dyDescent="0.25">
      <c r="A271" s="20">
        <v>44197</v>
      </c>
      <c r="B271" s="43">
        <v>1770</v>
      </c>
      <c r="C271" s="19">
        <v>0</v>
      </c>
      <c r="D271" s="19">
        <v>2281</v>
      </c>
      <c r="E271" s="43">
        <v>198</v>
      </c>
    </row>
    <row r="272" spans="1:5" s="50" customFormat="1" x14ac:dyDescent="0.25">
      <c r="A272" s="20">
        <v>44228</v>
      </c>
      <c r="B272" s="43">
        <v>1592</v>
      </c>
      <c r="C272" s="19">
        <v>0</v>
      </c>
      <c r="D272" s="19">
        <v>2650</v>
      </c>
      <c r="E272" s="43">
        <v>238</v>
      </c>
    </row>
    <row r="273" spans="1:5" s="50" customFormat="1" x14ac:dyDescent="0.25">
      <c r="A273" s="20">
        <v>44256</v>
      </c>
      <c r="B273" s="43">
        <v>2647</v>
      </c>
      <c r="C273" s="19">
        <v>40</v>
      </c>
      <c r="D273" s="19">
        <v>3809</v>
      </c>
      <c r="E273" s="43">
        <v>232</v>
      </c>
    </row>
    <row r="274" spans="1:5" s="50" customFormat="1" x14ac:dyDescent="0.25">
      <c r="A274" s="20">
        <v>44287</v>
      </c>
      <c r="B274" s="43">
        <v>2132</v>
      </c>
      <c r="C274" s="19">
        <v>16</v>
      </c>
      <c r="D274" s="19">
        <v>4760</v>
      </c>
      <c r="E274" s="43">
        <v>151</v>
      </c>
    </row>
    <row r="275" spans="1:5" s="50" customFormat="1" x14ac:dyDescent="0.25">
      <c r="A275" s="20">
        <v>44317</v>
      </c>
      <c r="B275" s="43">
        <v>1664</v>
      </c>
      <c r="C275" s="19">
        <v>7</v>
      </c>
      <c r="D275" s="19">
        <v>5656</v>
      </c>
      <c r="E275" s="43">
        <v>375</v>
      </c>
    </row>
    <row r="276" spans="1:5" s="50" customFormat="1" x14ac:dyDescent="0.25">
      <c r="A276" s="20">
        <v>44348</v>
      </c>
      <c r="B276" s="43">
        <v>3524</v>
      </c>
      <c r="C276" s="19">
        <v>54</v>
      </c>
      <c r="D276" s="19">
        <v>4751</v>
      </c>
      <c r="E276" s="43">
        <v>172</v>
      </c>
    </row>
    <row r="277" spans="1:5" s="50" customFormat="1" x14ac:dyDescent="0.25">
      <c r="A277" s="20">
        <v>44378</v>
      </c>
      <c r="B277" s="43">
        <v>1584</v>
      </c>
      <c r="C277" s="19">
        <v>15</v>
      </c>
      <c r="D277" s="19">
        <v>4653</v>
      </c>
      <c r="E277" s="43">
        <v>151</v>
      </c>
    </row>
    <row r="278" spans="1:5" s="50" customFormat="1" x14ac:dyDescent="0.25">
      <c r="A278" s="20">
        <v>44409</v>
      </c>
      <c r="B278" s="43">
        <v>1900</v>
      </c>
      <c r="C278" s="19">
        <v>15</v>
      </c>
      <c r="D278" s="19">
        <v>5214</v>
      </c>
      <c r="E278" s="43">
        <v>265</v>
      </c>
    </row>
    <row r="279" spans="1:5" s="50" customFormat="1" x14ac:dyDescent="0.25">
      <c r="A279" s="20">
        <v>44440</v>
      </c>
      <c r="B279" s="43">
        <v>2109</v>
      </c>
      <c r="C279" s="43">
        <v>17</v>
      </c>
      <c r="D279" s="43">
        <v>6897</v>
      </c>
      <c r="E279" s="43">
        <v>269</v>
      </c>
    </row>
    <row r="280" spans="1:5" s="50" customFormat="1" x14ac:dyDescent="0.25">
      <c r="A280" s="20">
        <v>44470</v>
      </c>
      <c r="B280" s="43">
        <v>3192</v>
      </c>
      <c r="C280" s="43">
        <v>14</v>
      </c>
      <c r="D280" s="43">
        <v>4399</v>
      </c>
      <c r="E280" s="43">
        <v>188</v>
      </c>
    </row>
    <row r="281" spans="1:5" s="50" customFormat="1" x14ac:dyDescent="0.25">
      <c r="A281" s="20">
        <v>44501</v>
      </c>
      <c r="B281" s="43">
        <v>2402</v>
      </c>
      <c r="C281" s="43">
        <v>3</v>
      </c>
      <c r="D281" s="43">
        <v>5746</v>
      </c>
      <c r="E281" s="43">
        <v>339</v>
      </c>
    </row>
    <row r="282" spans="1:5" x14ac:dyDescent="0.25">
      <c r="A282" s="24">
        <v>44531</v>
      </c>
      <c r="B282" s="40">
        <v>2304</v>
      </c>
      <c r="C282" s="40">
        <v>32</v>
      </c>
      <c r="D282" s="40">
        <v>4770</v>
      </c>
      <c r="E282" s="40">
        <v>509</v>
      </c>
    </row>
    <row r="283" spans="1:5" x14ac:dyDescent="0.25">
      <c r="A283" s="24">
        <v>44562</v>
      </c>
      <c r="B283" s="40">
        <v>2081</v>
      </c>
      <c r="C283" s="40">
        <v>6</v>
      </c>
      <c r="D283" s="40">
        <v>4317</v>
      </c>
      <c r="E283" s="40">
        <v>226</v>
      </c>
    </row>
    <row r="284" spans="1:5" x14ac:dyDescent="0.25">
      <c r="A284" s="24">
        <v>44593</v>
      </c>
      <c r="B284" s="40">
        <v>2481</v>
      </c>
      <c r="C284" s="40">
        <v>33</v>
      </c>
      <c r="D284" s="40">
        <v>3891</v>
      </c>
      <c r="E284" s="40">
        <v>226</v>
      </c>
    </row>
    <row r="285" spans="1:5" x14ac:dyDescent="0.25">
      <c r="A285" s="24">
        <v>44621</v>
      </c>
      <c r="B285" s="40">
        <v>2776</v>
      </c>
      <c r="C285" s="40">
        <v>65</v>
      </c>
      <c r="D285" s="40">
        <v>4852</v>
      </c>
      <c r="E285" s="40">
        <v>489</v>
      </c>
    </row>
    <row r="286" spans="1:5" x14ac:dyDescent="0.25">
      <c r="A286" s="24">
        <v>44652</v>
      </c>
      <c r="B286" s="40">
        <v>1847</v>
      </c>
      <c r="C286" s="40">
        <v>0</v>
      </c>
      <c r="D286" s="40">
        <v>4059</v>
      </c>
      <c r="E286" s="40">
        <v>677</v>
      </c>
    </row>
    <row r="287" spans="1:5" x14ac:dyDescent="0.25">
      <c r="A287" s="24">
        <v>44682</v>
      </c>
      <c r="B287" s="40">
        <v>3431</v>
      </c>
      <c r="C287" s="40">
        <v>19</v>
      </c>
      <c r="D287" s="40">
        <v>4802</v>
      </c>
      <c r="E287" s="40">
        <v>414</v>
      </c>
    </row>
    <row r="288" spans="1:5" x14ac:dyDescent="0.25">
      <c r="A288" s="24">
        <v>44713</v>
      </c>
      <c r="B288" s="40">
        <v>2956</v>
      </c>
      <c r="C288" s="40">
        <v>48</v>
      </c>
      <c r="D288" s="40">
        <v>4679</v>
      </c>
      <c r="E288" s="40">
        <v>558</v>
      </c>
    </row>
    <row r="289" spans="1:5" x14ac:dyDescent="0.25">
      <c r="A289" s="24">
        <v>44743</v>
      </c>
      <c r="B289" s="40">
        <v>1660</v>
      </c>
      <c r="C289" s="40">
        <v>54</v>
      </c>
      <c r="D289" s="40">
        <v>3645</v>
      </c>
      <c r="E289" s="40">
        <v>452</v>
      </c>
    </row>
    <row r="290" spans="1:5" x14ac:dyDescent="0.25">
      <c r="A290" s="24">
        <v>44774</v>
      </c>
      <c r="B290" s="40">
        <v>1840</v>
      </c>
      <c r="C290" s="40">
        <v>19</v>
      </c>
      <c r="D290" s="40">
        <v>1725</v>
      </c>
      <c r="E290" s="40">
        <v>301</v>
      </c>
    </row>
    <row r="291" spans="1:5" x14ac:dyDescent="0.25">
      <c r="A291" s="24">
        <v>44805</v>
      </c>
      <c r="B291" s="40">
        <v>1413</v>
      </c>
      <c r="C291" s="40">
        <v>69</v>
      </c>
      <c r="D291" s="40">
        <v>1828</v>
      </c>
      <c r="E291" s="40">
        <v>301</v>
      </c>
    </row>
    <row r="292" spans="1:5" x14ac:dyDescent="0.25">
      <c r="A292" s="24">
        <v>44835</v>
      </c>
      <c r="B292" s="40">
        <v>3361</v>
      </c>
      <c r="C292" s="40">
        <v>15</v>
      </c>
      <c r="D292" s="40">
        <v>3875</v>
      </c>
      <c r="E292" s="40">
        <v>262</v>
      </c>
    </row>
    <row r="293" spans="1:5" x14ac:dyDescent="0.25">
      <c r="A293" s="24">
        <v>44866</v>
      </c>
      <c r="B293" s="40">
        <v>2975</v>
      </c>
      <c r="C293" s="40">
        <v>0</v>
      </c>
      <c r="D293" s="40">
        <v>3284</v>
      </c>
      <c r="E293" s="40">
        <v>304</v>
      </c>
    </row>
    <row r="294" spans="1:5" x14ac:dyDescent="0.25">
      <c r="A294" s="24">
        <v>44896</v>
      </c>
      <c r="B294" s="40">
        <v>3004</v>
      </c>
      <c r="C294" s="40">
        <v>0</v>
      </c>
      <c r="D294" s="40">
        <v>3668</v>
      </c>
      <c r="E294" s="40">
        <v>491</v>
      </c>
    </row>
    <row r="295" spans="1:5" x14ac:dyDescent="0.25">
      <c r="A295" s="24">
        <v>44927</v>
      </c>
      <c r="B295" s="40">
        <v>4141</v>
      </c>
      <c r="C295" s="40">
        <v>0</v>
      </c>
      <c r="D295" s="40">
        <v>2684</v>
      </c>
      <c r="E295" s="40">
        <v>361</v>
      </c>
    </row>
    <row r="296" spans="1:5" x14ac:dyDescent="0.25">
      <c r="A296" s="24">
        <v>44958</v>
      </c>
      <c r="B296" s="40">
        <v>3423</v>
      </c>
      <c r="C296" s="40">
        <v>0</v>
      </c>
      <c r="D296" s="40">
        <v>1148</v>
      </c>
      <c r="E296" s="40">
        <v>220</v>
      </c>
    </row>
    <row r="297" spans="1:5" x14ac:dyDescent="0.25">
      <c r="A297" s="24">
        <v>44986</v>
      </c>
      <c r="B297" s="40">
        <v>4608</v>
      </c>
      <c r="C297" s="40">
        <v>48</v>
      </c>
      <c r="D297" s="40">
        <v>3409</v>
      </c>
      <c r="E297" s="40">
        <v>226</v>
      </c>
    </row>
    <row r="298" spans="1:5" x14ac:dyDescent="0.25">
      <c r="A298" s="24">
        <v>45017</v>
      </c>
      <c r="B298" s="40">
        <v>294</v>
      </c>
      <c r="C298" s="40">
        <v>59</v>
      </c>
      <c r="D298" s="40">
        <v>2913</v>
      </c>
      <c r="E298" s="40">
        <v>150</v>
      </c>
    </row>
    <row r="299" spans="1:5" x14ac:dyDescent="0.25">
      <c r="A299" s="24">
        <v>45047</v>
      </c>
      <c r="B299" s="40">
        <v>366</v>
      </c>
      <c r="C299" s="40">
        <v>6</v>
      </c>
      <c r="D299" s="40">
        <v>1909</v>
      </c>
      <c r="E299" s="40">
        <v>492</v>
      </c>
    </row>
    <row r="300" spans="1:5" x14ac:dyDescent="0.25">
      <c r="A300" s="24">
        <v>45078</v>
      </c>
      <c r="B300" s="40">
        <v>0</v>
      </c>
      <c r="C300" s="40">
        <v>0</v>
      </c>
      <c r="D300" s="40">
        <v>1964</v>
      </c>
      <c r="E300" s="40">
        <v>371</v>
      </c>
    </row>
    <row r="301" spans="1:5" x14ac:dyDescent="0.25">
      <c r="A301" s="24">
        <v>45108</v>
      </c>
      <c r="B301" s="40">
        <v>0</v>
      </c>
      <c r="C301" s="40">
        <v>0</v>
      </c>
      <c r="D301" s="40">
        <v>2543</v>
      </c>
      <c r="E301" s="40">
        <v>414</v>
      </c>
    </row>
    <row r="302" spans="1:5" x14ac:dyDescent="0.25">
      <c r="A302" s="24">
        <v>45139</v>
      </c>
      <c r="B302" s="40">
        <v>85</v>
      </c>
      <c r="C302" s="40">
        <v>0</v>
      </c>
      <c r="D302" s="40">
        <v>4335</v>
      </c>
      <c r="E302" s="40">
        <v>339</v>
      </c>
    </row>
    <row r="303" spans="1:5" x14ac:dyDescent="0.25">
      <c r="A303" s="24">
        <v>45170</v>
      </c>
      <c r="B303" s="40">
        <v>687</v>
      </c>
      <c r="C303" s="40">
        <v>0</v>
      </c>
      <c r="D303" s="40">
        <v>3389</v>
      </c>
      <c r="E303" s="40">
        <v>236</v>
      </c>
    </row>
    <row r="304" spans="1:5" x14ac:dyDescent="0.25">
      <c r="A304" s="24">
        <v>45200</v>
      </c>
      <c r="B304" s="40">
        <v>1276</v>
      </c>
      <c r="C304" s="40">
        <v>0</v>
      </c>
      <c r="D304" s="40">
        <v>1334</v>
      </c>
      <c r="E304" s="40">
        <v>338</v>
      </c>
    </row>
    <row r="305" spans="1:5" x14ac:dyDescent="0.25">
      <c r="A305" s="24">
        <v>45231</v>
      </c>
      <c r="B305" s="40">
        <v>90</v>
      </c>
      <c r="C305" s="40">
        <v>0</v>
      </c>
      <c r="D305" s="40">
        <v>591</v>
      </c>
      <c r="E305" s="40">
        <v>363</v>
      </c>
    </row>
    <row r="306" spans="1:5" x14ac:dyDescent="0.25">
      <c r="A306" s="24">
        <v>45261</v>
      </c>
      <c r="B306" s="40">
        <v>449</v>
      </c>
      <c r="C306" s="40">
        <v>0</v>
      </c>
      <c r="D306" s="40">
        <v>31</v>
      </c>
      <c r="E306" s="40">
        <v>376</v>
      </c>
    </row>
    <row r="307" spans="1:5" x14ac:dyDescent="0.25">
      <c r="A307" s="24">
        <v>45292</v>
      </c>
      <c r="B307" s="40">
        <v>597</v>
      </c>
      <c r="C307" s="40">
        <v>0</v>
      </c>
      <c r="D307" s="40">
        <v>1158</v>
      </c>
      <c r="E307" s="40">
        <v>278</v>
      </c>
    </row>
    <row r="308" spans="1:5" x14ac:dyDescent="0.25">
      <c r="A308" s="24">
        <v>45323</v>
      </c>
      <c r="B308" s="40">
        <v>1363</v>
      </c>
      <c r="C308" s="40">
        <v>0</v>
      </c>
      <c r="D308" s="40">
        <v>2932</v>
      </c>
      <c r="E308" s="40">
        <v>337</v>
      </c>
    </row>
    <row r="309" spans="1:5" x14ac:dyDescent="0.25">
      <c r="A309" s="24">
        <v>45352</v>
      </c>
      <c r="B309" s="40">
        <v>841</v>
      </c>
      <c r="C309" s="40">
        <v>0</v>
      </c>
      <c r="D309" s="40">
        <v>33</v>
      </c>
      <c r="E309" s="40">
        <v>340</v>
      </c>
    </row>
    <row r="310" spans="1:5" x14ac:dyDescent="0.25">
      <c r="A310" s="24">
        <v>45383</v>
      </c>
      <c r="B310" s="40">
        <v>0</v>
      </c>
      <c r="C310" s="40">
        <v>0</v>
      </c>
      <c r="D310" s="40">
        <v>29</v>
      </c>
      <c r="E310" s="40">
        <v>150</v>
      </c>
    </row>
    <row r="311" spans="1:5" x14ac:dyDescent="0.25">
      <c r="A311" s="24">
        <v>45413</v>
      </c>
      <c r="B311" s="40">
        <v>1115</v>
      </c>
      <c r="C311" s="40">
        <v>0</v>
      </c>
      <c r="D311" s="40">
        <v>1869</v>
      </c>
      <c r="E311" s="40">
        <v>407</v>
      </c>
    </row>
    <row r="312" spans="1:5" x14ac:dyDescent="0.25">
      <c r="A312" s="24">
        <v>45444</v>
      </c>
      <c r="B312" s="40">
        <v>462</v>
      </c>
      <c r="C312" s="40">
        <v>0</v>
      </c>
      <c r="D312" s="40">
        <v>525</v>
      </c>
      <c r="E312" s="40">
        <v>300</v>
      </c>
    </row>
    <row r="313" spans="1:5" x14ac:dyDescent="0.25">
      <c r="A313" s="24">
        <v>45474</v>
      </c>
      <c r="B313" s="40">
        <v>488</v>
      </c>
      <c r="C313" s="40">
        <v>0</v>
      </c>
      <c r="D313" s="40">
        <v>183</v>
      </c>
      <c r="E313" s="40">
        <v>225</v>
      </c>
    </row>
    <row r="314" spans="1:5" x14ac:dyDescent="0.25">
      <c r="A314" s="24">
        <v>45505</v>
      </c>
      <c r="B314" s="40">
        <v>3</v>
      </c>
      <c r="C314" s="40">
        <v>0</v>
      </c>
      <c r="D314" s="15">
        <v>736</v>
      </c>
      <c r="E314" s="40">
        <v>344</v>
      </c>
    </row>
    <row r="315" spans="1:5" x14ac:dyDescent="0.25">
      <c r="A315" s="24">
        <v>45536</v>
      </c>
      <c r="B315" s="40">
        <v>3061</v>
      </c>
      <c r="C315" s="40">
        <v>0</v>
      </c>
      <c r="D315" s="15">
        <v>780</v>
      </c>
      <c r="E315" s="40">
        <v>263</v>
      </c>
    </row>
    <row r="316" spans="1:5" x14ac:dyDescent="0.25">
      <c r="A316" s="24">
        <v>45567</v>
      </c>
      <c r="B316" s="40">
        <v>1589</v>
      </c>
      <c r="C316" s="40">
        <v>14</v>
      </c>
      <c r="D316" s="15">
        <v>834</v>
      </c>
      <c r="E316" s="40">
        <v>263</v>
      </c>
    </row>
    <row r="317" spans="1:5" x14ac:dyDescent="0.25">
      <c r="A317" s="24">
        <v>45597</v>
      </c>
      <c r="B317" s="40">
        <v>1062</v>
      </c>
      <c r="C317" s="15">
        <v>0</v>
      </c>
      <c r="D317" s="15">
        <v>863</v>
      </c>
      <c r="E317" s="40">
        <v>226</v>
      </c>
    </row>
    <row r="318" spans="1:5" x14ac:dyDescent="0.25">
      <c r="A318" s="24" t="s">
        <v>37</v>
      </c>
      <c r="B318" s="40">
        <v>885</v>
      </c>
      <c r="C318" s="15">
        <v>5</v>
      </c>
      <c r="D318" s="15">
        <v>1030</v>
      </c>
      <c r="E318" s="40">
        <v>225</v>
      </c>
    </row>
    <row r="319" spans="1:5" x14ac:dyDescent="0.25">
      <c r="A319" s="24">
        <v>45658</v>
      </c>
      <c r="B319" s="40">
        <v>193</v>
      </c>
      <c r="C319" s="15">
        <v>0</v>
      </c>
      <c r="D319" s="15">
        <v>1323</v>
      </c>
      <c r="E319" s="40">
        <v>166</v>
      </c>
    </row>
    <row r="320" spans="1:5" x14ac:dyDescent="0.25">
      <c r="A320" s="24">
        <v>45690</v>
      </c>
      <c r="B320" s="40">
        <v>615</v>
      </c>
      <c r="C320" s="15">
        <v>79</v>
      </c>
      <c r="D320" s="15">
        <v>1374</v>
      </c>
      <c r="E320" s="40">
        <v>188</v>
      </c>
    </row>
    <row r="321" spans="1:5" x14ac:dyDescent="0.25">
      <c r="A321" s="24">
        <v>45719</v>
      </c>
      <c r="B321" s="40">
        <v>319</v>
      </c>
      <c r="C321" s="15">
        <v>0</v>
      </c>
      <c r="D321" s="15">
        <v>225</v>
      </c>
      <c r="E321" s="40">
        <v>271</v>
      </c>
    </row>
    <row r="322" spans="1:5" x14ac:dyDescent="0.25">
      <c r="A322" s="24">
        <v>45751</v>
      </c>
      <c r="B322" s="44">
        <v>3312.3220000000001</v>
      </c>
      <c r="C322" s="15">
        <v>0</v>
      </c>
      <c r="D322" s="44">
        <v>6296.0320000000002</v>
      </c>
      <c r="E322" s="15">
        <v>196.03200000000001</v>
      </c>
    </row>
    <row r="323" spans="1:5" x14ac:dyDescent="0.25">
      <c r="A323" s="24">
        <v>45782</v>
      </c>
      <c r="B323" s="44">
        <v>4839.2460000000001</v>
      </c>
      <c r="C323" s="15">
        <v>0</v>
      </c>
      <c r="D323" s="44">
        <v>5896.259</v>
      </c>
      <c r="E323" s="15">
        <v>279.76400000000001</v>
      </c>
    </row>
    <row r="324" spans="1:5" x14ac:dyDescent="0.25">
      <c r="A324" s="24">
        <v>45814</v>
      </c>
      <c r="B324" s="44">
        <v>4787.34</v>
      </c>
      <c r="C324" s="15">
        <v>0</v>
      </c>
      <c r="D324" s="44">
        <v>7707.0640000000003</v>
      </c>
      <c r="E324" s="15">
        <v>160.03100000000001</v>
      </c>
    </row>
    <row r="325" spans="1:5" x14ac:dyDescent="0.25">
      <c r="A325" s="24">
        <v>45845</v>
      </c>
      <c r="B325" s="44">
        <f>1116469/1000</f>
        <v>1116.4690000000001</v>
      </c>
      <c r="C325" s="15">
        <v>0</v>
      </c>
      <c r="D325" s="44">
        <f>4285140/1000</f>
        <v>4285.1400000000003</v>
      </c>
      <c r="E325" s="15">
        <f>467335/1000</f>
        <v>467.33499999999998</v>
      </c>
    </row>
    <row r="326" spans="1:5" x14ac:dyDescent="0.25">
      <c r="A326" s="24">
        <v>45877</v>
      </c>
      <c r="B326" s="44">
        <v>3214.1979999999999</v>
      </c>
      <c r="C326" s="15">
        <v>0</v>
      </c>
      <c r="D326" s="44">
        <v>5878.2879999999996</v>
      </c>
      <c r="E326" s="15">
        <v>594.70000000000005</v>
      </c>
    </row>
    <row r="327" spans="1:5" x14ac:dyDescent="0.25">
      <c r="A327" s="24">
        <v>45904</v>
      </c>
      <c r="B327" s="44">
        <v>2114.029</v>
      </c>
      <c r="C327" s="15">
        <v>0</v>
      </c>
      <c r="D327" s="44">
        <v>6423.5309999999999</v>
      </c>
      <c r="E327" s="15">
        <v>611.35400000000004</v>
      </c>
    </row>
    <row r="328" spans="1:5" x14ac:dyDescent="0.25">
      <c r="A328" s="24">
        <v>45935</v>
      </c>
      <c r="B328" s="44">
        <v>5654.4030000000002</v>
      </c>
      <c r="C328" s="15">
        <v>19.324000000000002</v>
      </c>
      <c r="D328" s="44">
        <v>8499.9789999999994</v>
      </c>
      <c r="E328" s="15">
        <v>318.26299999999998</v>
      </c>
    </row>
    <row r="329" spans="1:5" x14ac:dyDescent="0.25">
      <c r="A329" s="24">
        <v>45967</v>
      </c>
      <c r="B329" s="44">
        <v>7092.6689999999999</v>
      </c>
      <c r="C329" s="15">
        <v>0</v>
      </c>
      <c r="D329" s="44">
        <v>7806.6329999999998</v>
      </c>
      <c r="E329" s="15">
        <v>397.97500000000002</v>
      </c>
    </row>
    <row r="330" spans="1:5" x14ac:dyDescent="0.25">
      <c r="A330" s="24">
        <v>45999</v>
      </c>
      <c r="B330" s="44">
        <v>5373.7529999999997</v>
      </c>
      <c r="C330" s="15">
        <v>0</v>
      </c>
      <c r="D330" s="44">
        <v>7944.6139999999996</v>
      </c>
      <c r="E330" s="15">
        <v>469.21499999999997</v>
      </c>
    </row>
    <row r="331" spans="1:5" x14ac:dyDescent="0.25">
      <c r="A331" s="24">
        <v>46023</v>
      </c>
      <c r="B331" s="44">
        <v>1973.0730000000001</v>
      </c>
      <c r="C331" s="15">
        <v>0</v>
      </c>
      <c r="D331" s="44">
        <v>1395.877</v>
      </c>
      <c r="E331" s="15">
        <v>0</v>
      </c>
    </row>
    <row r="332" spans="1:5" x14ac:dyDescent="0.25">
      <c r="A332" s="24">
        <v>46054</v>
      </c>
      <c r="B332" s="44">
        <v>504.416</v>
      </c>
      <c r="C332" s="15">
        <v>0</v>
      </c>
      <c r="D332" s="44">
        <v>893.69799999999998</v>
      </c>
      <c r="E332" s="15">
        <v>0</v>
      </c>
    </row>
    <row r="333" spans="1:5" x14ac:dyDescent="0.25">
      <c r="A333" s="24">
        <v>46082</v>
      </c>
      <c r="B333" s="44">
        <v>5144.0450000000001</v>
      </c>
      <c r="C333" s="15">
        <v>0</v>
      </c>
      <c r="D333" s="44">
        <v>5550.0929999999998</v>
      </c>
      <c r="E333" s="15">
        <v>614.53599999999994</v>
      </c>
    </row>
    <row r="334" spans="1:5" x14ac:dyDescent="0.25">
      <c r="A334" s="24">
        <v>46113</v>
      </c>
      <c r="B334" s="44">
        <v>2649.45</v>
      </c>
      <c r="C334" s="15">
        <v>0</v>
      </c>
      <c r="D334" s="44">
        <v>4369.232</v>
      </c>
      <c r="E334" s="15">
        <v>274.97800000000001</v>
      </c>
    </row>
    <row r="335" spans="1:5" x14ac:dyDescent="0.25">
      <c r="A335" s="33"/>
      <c r="B335" s="44"/>
      <c r="C335" s="15"/>
      <c r="D335" s="44"/>
      <c r="E335" s="15"/>
    </row>
    <row r="336" spans="1:5" x14ac:dyDescent="0.25">
      <c r="A336" s="74" t="s">
        <v>40</v>
      </c>
      <c r="B336" s="26"/>
      <c r="C336" s="26"/>
      <c r="D336" s="26"/>
      <c r="E336" s="27"/>
    </row>
    <row r="337" spans="1:5" x14ac:dyDescent="0.25">
      <c r="A337" s="35"/>
      <c r="B337" s="36"/>
      <c r="C337" s="36"/>
      <c r="D337" s="37"/>
      <c r="E337" s="38"/>
    </row>
  </sheetData>
  <mergeCells count="5">
    <mergeCell ref="A3:D4"/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123"/>
  <sheetViews>
    <sheetView zoomScaleNormal="100" workbookViewId="0">
      <pane xSplit="1" ySplit="6" topLeftCell="B104" activePane="bottomRight" state="frozen"/>
      <selection pane="topRight" activeCell="B1" sqref="B1"/>
      <selection pane="bottomLeft" activeCell="A7" sqref="A7"/>
      <selection pane="bottomRight" activeCell="D118" sqref="D118"/>
    </sheetView>
  </sheetViews>
  <sheetFormatPr defaultColWidth="12.6640625" defaultRowHeight="15.75" x14ac:dyDescent="0.25"/>
  <cols>
    <col min="1" max="4" width="16.6640625" style="16" customWidth="1"/>
    <col min="5" max="5" width="11.44140625" style="16" customWidth="1"/>
    <col min="6" max="16384" width="12.6640625" style="16"/>
  </cols>
  <sheetData>
    <row r="1" spans="1:5" x14ac:dyDescent="0.25">
      <c r="A1" s="25" t="s">
        <v>10</v>
      </c>
      <c r="B1" s="26"/>
      <c r="C1" s="26"/>
      <c r="D1" s="26"/>
      <c r="E1" s="27"/>
    </row>
    <row r="2" spans="1:5" x14ac:dyDescent="0.25">
      <c r="A2" s="28"/>
      <c r="B2" s="29"/>
      <c r="C2" s="29"/>
      <c r="D2" s="29"/>
      <c r="E2" s="30"/>
    </row>
    <row r="3" spans="1:5" x14ac:dyDescent="0.25">
      <c r="A3" s="89" t="s">
        <v>38</v>
      </c>
      <c r="B3" s="90"/>
      <c r="C3" s="90"/>
      <c r="D3" s="90"/>
      <c r="E3" s="53" t="s">
        <v>7</v>
      </c>
    </row>
    <row r="4" spans="1:5" x14ac:dyDescent="0.25">
      <c r="A4" s="91"/>
      <c r="B4" s="92"/>
      <c r="C4" s="92"/>
      <c r="D4" s="92"/>
      <c r="E4" s="58"/>
    </row>
    <row r="5" spans="1:5" x14ac:dyDescent="0.25">
      <c r="A5" s="51" t="s">
        <v>35</v>
      </c>
      <c r="B5" s="82" t="s">
        <v>9</v>
      </c>
      <c r="C5" s="86" t="s">
        <v>1</v>
      </c>
      <c r="D5" s="82" t="s">
        <v>2</v>
      </c>
      <c r="E5" s="87" t="s">
        <v>3</v>
      </c>
    </row>
    <row r="6" spans="1:5" x14ac:dyDescent="0.25">
      <c r="A6" s="52" t="s">
        <v>36</v>
      </c>
      <c r="B6" s="83"/>
      <c r="C6" s="85"/>
      <c r="D6" s="83"/>
      <c r="E6" s="88"/>
    </row>
    <row r="7" spans="1:5" x14ac:dyDescent="0.25">
      <c r="A7" s="20">
        <v>36220</v>
      </c>
      <c r="B7" s="19">
        <v>6614</v>
      </c>
      <c r="C7" s="19">
        <v>522</v>
      </c>
      <c r="D7" s="19">
        <v>7121</v>
      </c>
      <c r="E7" s="19">
        <v>485</v>
      </c>
    </row>
    <row r="8" spans="1:5" x14ac:dyDescent="0.25">
      <c r="A8" s="20">
        <v>36312</v>
      </c>
      <c r="B8" s="19">
        <v>7636</v>
      </c>
      <c r="C8" s="19">
        <v>619</v>
      </c>
      <c r="D8" s="19">
        <v>7698</v>
      </c>
      <c r="E8" s="19">
        <v>482</v>
      </c>
    </row>
    <row r="9" spans="1:5" x14ac:dyDescent="0.25">
      <c r="A9" s="20">
        <v>36404</v>
      </c>
      <c r="B9" s="19">
        <v>6873</v>
      </c>
      <c r="C9" s="19">
        <v>333</v>
      </c>
      <c r="D9" s="19">
        <v>6746</v>
      </c>
      <c r="E9" s="19">
        <v>614</v>
      </c>
    </row>
    <row r="10" spans="1:5" x14ac:dyDescent="0.25">
      <c r="A10" s="20">
        <v>36495</v>
      </c>
      <c r="B10" s="19">
        <v>8098</v>
      </c>
      <c r="C10" s="19">
        <v>174</v>
      </c>
      <c r="D10" s="19">
        <v>8771</v>
      </c>
      <c r="E10" s="19">
        <v>679</v>
      </c>
    </row>
    <row r="11" spans="1:5" x14ac:dyDescent="0.25">
      <c r="A11" s="20">
        <v>36586</v>
      </c>
      <c r="B11" s="19">
        <v>6654</v>
      </c>
      <c r="C11" s="19">
        <v>564</v>
      </c>
      <c r="D11" s="19">
        <v>7466</v>
      </c>
      <c r="E11" s="19">
        <v>296</v>
      </c>
    </row>
    <row r="12" spans="1:5" x14ac:dyDescent="0.25">
      <c r="A12" s="20">
        <v>36678</v>
      </c>
      <c r="B12" s="19">
        <v>7464</v>
      </c>
      <c r="C12" s="19">
        <v>665</v>
      </c>
      <c r="D12" s="19">
        <v>8308</v>
      </c>
      <c r="E12" s="19">
        <v>600</v>
      </c>
    </row>
    <row r="13" spans="1:5" x14ac:dyDescent="0.25">
      <c r="A13" s="20">
        <v>36770</v>
      </c>
      <c r="B13" s="19">
        <v>8085</v>
      </c>
      <c r="C13" s="19">
        <v>687</v>
      </c>
      <c r="D13" s="19">
        <v>8052</v>
      </c>
      <c r="E13" s="19">
        <v>496</v>
      </c>
    </row>
    <row r="14" spans="1:5" x14ac:dyDescent="0.25">
      <c r="A14" s="20">
        <v>36861</v>
      </c>
      <c r="B14" s="19">
        <v>7481</v>
      </c>
      <c r="C14" s="19">
        <v>485</v>
      </c>
      <c r="D14" s="19">
        <v>7885</v>
      </c>
      <c r="E14" s="19">
        <v>337</v>
      </c>
    </row>
    <row r="15" spans="1:5" x14ac:dyDescent="0.25">
      <c r="A15" s="20">
        <v>36951</v>
      </c>
      <c r="B15" s="19">
        <v>7243</v>
      </c>
      <c r="C15" s="19">
        <v>463</v>
      </c>
      <c r="D15" s="19">
        <v>7325</v>
      </c>
      <c r="E15" s="19">
        <v>343</v>
      </c>
    </row>
    <row r="16" spans="1:5" x14ac:dyDescent="0.25">
      <c r="A16" s="20">
        <v>37043</v>
      </c>
      <c r="B16" s="19">
        <v>7190</v>
      </c>
      <c r="C16" s="19">
        <v>474</v>
      </c>
      <c r="D16" s="19">
        <v>8120</v>
      </c>
      <c r="E16" s="19">
        <v>343</v>
      </c>
    </row>
    <row r="17" spans="1:7" x14ac:dyDescent="0.25">
      <c r="A17" s="20">
        <v>37135</v>
      </c>
      <c r="B17" s="19">
        <v>7750</v>
      </c>
      <c r="C17" s="19">
        <v>565</v>
      </c>
      <c r="D17" s="19">
        <v>9077</v>
      </c>
      <c r="E17" s="19">
        <v>814</v>
      </c>
    </row>
    <row r="18" spans="1:7" x14ac:dyDescent="0.25">
      <c r="A18" s="20">
        <v>37226</v>
      </c>
      <c r="B18" s="19">
        <v>7355</v>
      </c>
      <c r="C18" s="19">
        <v>518</v>
      </c>
      <c r="D18" s="19">
        <v>8255</v>
      </c>
      <c r="E18" s="19">
        <v>950</v>
      </c>
    </row>
    <row r="19" spans="1:7" x14ac:dyDescent="0.25">
      <c r="A19" s="20">
        <v>37316</v>
      </c>
      <c r="B19" s="19">
        <v>7235</v>
      </c>
      <c r="C19" s="19">
        <v>564</v>
      </c>
      <c r="D19" s="19">
        <v>8325</v>
      </c>
      <c r="E19" s="19">
        <v>1576</v>
      </c>
    </row>
    <row r="20" spans="1:7" x14ac:dyDescent="0.25">
      <c r="A20" s="20">
        <v>37408</v>
      </c>
      <c r="B20" s="19">
        <v>8037</v>
      </c>
      <c r="C20" s="19">
        <v>506</v>
      </c>
      <c r="D20" s="19">
        <v>9762</v>
      </c>
      <c r="E20" s="19">
        <v>1122</v>
      </c>
    </row>
    <row r="21" spans="1:7" x14ac:dyDescent="0.25">
      <c r="A21" s="20">
        <v>37500</v>
      </c>
      <c r="B21" s="19">
        <v>8576</v>
      </c>
      <c r="C21" s="19">
        <v>507</v>
      </c>
      <c r="D21" s="19">
        <v>8941</v>
      </c>
      <c r="E21" s="19">
        <v>895</v>
      </c>
    </row>
    <row r="22" spans="1:7" x14ac:dyDescent="0.25">
      <c r="A22" s="20">
        <v>37591</v>
      </c>
      <c r="B22" s="19">
        <v>8241</v>
      </c>
      <c r="C22" s="19">
        <v>626</v>
      </c>
      <c r="D22" s="19">
        <v>8184</v>
      </c>
      <c r="E22" s="19">
        <v>1029</v>
      </c>
    </row>
    <row r="23" spans="1:7" x14ac:dyDescent="0.25">
      <c r="A23" s="20">
        <v>37681</v>
      </c>
      <c r="B23" s="19">
        <v>7142</v>
      </c>
      <c r="C23" s="19">
        <v>544</v>
      </c>
      <c r="D23" s="19">
        <v>7514</v>
      </c>
      <c r="E23" s="19">
        <v>906</v>
      </c>
    </row>
    <row r="24" spans="1:7" x14ac:dyDescent="0.25">
      <c r="A24" s="20">
        <v>37773</v>
      </c>
      <c r="B24" s="19">
        <v>6452</v>
      </c>
      <c r="C24" s="19">
        <v>382</v>
      </c>
      <c r="D24" s="19">
        <v>6791</v>
      </c>
      <c r="E24" s="19">
        <v>843</v>
      </c>
    </row>
    <row r="25" spans="1:7" x14ac:dyDescent="0.25">
      <c r="A25" s="20">
        <v>37865</v>
      </c>
      <c r="B25" s="19">
        <v>6654</v>
      </c>
      <c r="C25" s="19">
        <v>517</v>
      </c>
      <c r="D25" s="19">
        <v>6133</v>
      </c>
      <c r="E25" s="19">
        <v>1401</v>
      </c>
      <c r="G25" s="47"/>
    </row>
    <row r="26" spans="1:7" x14ac:dyDescent="0.25">
      <c r="A26" s="20">
        <v>37956</v>
      </c>
      <c r="B26" s="19">
        <v>6188</v>
      </c>
      <c r="C26" s="19">
        <v>229</v>
      </c>
      <c r="D26" s="19">
        <v>5171</v>
      </c>
      <c r="E26" s="19">
        <v>1840</v>
      </c>
      <c r="G26" s="19"/>
    </row>
    <row r="27" spans="1:7" x14ac:dyDescent="0.25">
      <c r="A27" s="20">
        <v>38047</v>
      </c>
      <c r="B27" s="19">
        <v>7164</v>
      </c>
      <c r="C27" s="19">
        <v>308</v>
      </c>
      <c r="D27" s="19">
        <v>8285</v>
      </c>
      <c r="E27" s="19">
        <v>1589</v>
      </c>
    </row>
    <row r="28" spans="1:7" x14ac:dyDescent="0.25">
      <c r="A28" s="20">
        <v>38139</v>
      </c>
      <c r="B28" s="19">
        <v>7057</v>
      </c>
      <c r="C28" s="19">
        <v>318</v>
      </c>
      <c r="D28" s="19">
        <v>8004</v>
      </c>
      <c r="E28" s="19">
        <v>2041</v>
      </c>
    </row>
    <row r="29" spans="1:7" x14ac:dyDescent="0.25">
      <c r="A29" s="20">
        <v>38231</v>
      </c>
      <c r="B29" s="19">
        <v>7306</v>
      </c>
      <c r="C29" s="19">
        <v>297</v>
      </c>
      <c r="D29" s="19">
        <v>8842</v>
      </c>
      <c r="E29" s="19">
        <v>1870</v>
      </c>
    </row>
    <row r="30" spans="1:7" x14ac:dyDescent="0.25">
      <c r="A30" s="20">
        <v>38322</v>
      </c>
      <c r="B30" s="19">
        <v>7141</v>
      </c>
      <c r="C30" s="19">
        <v>204</v>
      </c>
      <c r="D30" s="19">
        <v>8341</v>
      </c>
      <c r="E30" s="19">
        <v>2431</v>
      </c>
    </row>
    <row r="31" spans="1:7" x14ac:dyDescent="0.25">
      <c r="A31" s="20">
        <v>38412</v>
      </c>
      <c r="B31" s="19">
        <v>6847</v>
      </c>
      <c r="C31" s="19">
        <v>217</v>
      </c>
      <c r="D31" s="19">
        <v>7895</v>
      </c>
      <c r="E31" s="19">
        <v>2469</v>
      </c>
    </row>
    <row r="32" spans="1:7" x14ac:dyDescent="0.25">
      <c r="A32" s="20">
        <v>38504</v>
      </c>
      <c r="B32" s="19">
        <v>6570</v>
      </c>
      <c r="C32" s="19">
        <v>353</v>
      </c>
      <c r="D32" s="19">
        <v>7740</v>
      </c>
      <c r="E32" s="19">
        <v>1532</v>
      </c>
    </row>
    <row r="33" spans="1:5" x14ac:dyDescent="0.25">
      <c r="A33" s="20">
        <v>38596</v>
      </c>
      <c r="B33" s="19">
        <v>8086</v>
      </c>
      <c r="C33" s="19">
        <v>486</v>
      </c>
      <c r="D33" s="19">
        <v>9742</v>
      </c>
      <c r="E33" s="19">
        <v>1810</v>
      </c>
    </row>
    <row r="34" spans="1:5" x14ac:dyDescent="0.25">
      <c r="A34" s="20">
        <v>38687</v>
      </c>
      <c r="B34" s="19">
        <v>7937</v>
      </c>
      <c r="C34" s="19">
        <v>299</v>
      </c>
      <c r="D34" s="19">
        <v>8835</v>
      </c>
      <c r="E34" s="19">
        <v>2559</v>
      </c>
    </row>
    <row r="35" spans="1:5" x14ac:dyDescent="0.25">
      <c r="A35" s="20">
        <v>38777</v>
      </c>
      <c r="B35" s="19">
        <v>6632</v>
      </c>
      <c r="C35" s="19">
        <v>191</v>
      </c>
      <c r="D35" s="19">
        <v>7106</v>
      </c>
      <c r="E35" s="19">
        <v>2153</v>
      </c>
    </row>
    <row r="36" spans="1:5" x14ac:dyDescent="0.25">
      <c r="A36" s="20">
        <v>38869</v>
      </c>
      <c r="B36" s="19">
        <v>7616</v>
      </c>
      <c r="C36" s="19">
        <v>339</v>
      </c>
      <c r="D36" s="19">
        <v>8421</v>
      </c>
      <c r="E36" s="19">
        <v>2450</v>
      </c>
    </row>
    <row r="37" spans="1:5" x14ac:dyDescent="0.25">
      <c r="A37" s="20">
        <v>38961</v>
      </c>
      <c r="B37" s="19">
        <v>8506</v>
      </c>
      <c r="C37" s="19">
        <v>421</v>
      </c>
      <c r="D37" s="19">
        <v>8240</v>
      </c>
      <c r="E37" s="19">
        <v>2011</v>
      </c>
    </row>
    <row r="38" spans="1:5" x14ac:dyDescent="0.25">
      <c r="A38" s="20">
        <v>39052</v>
      </c>
      <c r="B38" s="19">
        <v>7982</v>
      </c>
      <c r="C38" s="19">
        <v>759</v>
      </c>
      <c r="D38" s="19">
        <v>8495</v>
      </c>
      <c r="E38" s="19">
        <v>1494</v>
      </c>
    </row>
    <row r="39" spans="1:5" x14ac:dyDescent="0.25">
      <c r="A39" s="20">
        <v>39142</v>
      </c>
      <c r="B39" s="19">
        <v>7569</v>
      </c>
      <c r="C39" s="19">
        <v>731</v>
      </c>
      <c r="D39" s="19">
        <v>7245</v>
      </c>
      <c r="E39" s="19">
        <v>1653</v>
      </c>
    </row>
    <row r="40" spans="1:5" x14ac:dyDescent="0.25">
      <c r="A40" s="24">
        <v>39234</v>
      </c>
      <c r="B40" s="15">
        <v>7918</v>
      </c>
      <c r="C40" s="15">
        <v>866</v>
      </c>
      <c r="D40" s="15">
        <v>7121</v>
      </c>
      <c r="E40" s="15">
        <v>2214</v>
      </c>
    </row>
    <row r="41" spans="1:5" x14ac:dyDescent="0.25">
      <c r="A41" s="24">
        <v>39326</v>
      </c>
      <c r="B41" s="15">
        <v>8933</v>
      </c>
      <c r="C41" s="15">
        <v>1008</v>
      </c>
      <c r="D41" s="15">
        <v>8246</v>
      </c>
      <c r="E41" s="15">
        <v>1703</v>
      </c>
    </row>
    <row r="42" spans="1:5" x14ac:dyDescent="0.25">
      <c r="A42" s="24">
        <v>39417</v>
      </c>
      <c r="B42" s="15">
        <v>8428</v>
      </c>
      <c r="C42" s="15">
        <v>809</v>
      </c>
      <c r="D42" s="15">
        <v>8389</v>
      </c>
      <c r="E42" s="15">
        <v>1765</v>
      </c>
    </row>
    <row r="43" spans="1:5" x14ac:dyDescent="0.25">
      <c r="A43" s="24">
        <v>39508</v>
      </c>
      <c r="B43" s="15">
        <v>7275</v>
      </c>
      <c r="C43" s="15">
        <v>641</v>
      </c>
      <c r="D43" s="15">
        <v>8067</v>
      </c>
      <c r="E43" s="15">
        <v>1852</v>
      </c>
    </row>
    <row r="44" spans="1:5" x14ac:dyDescent="0.25">
      <c r="A44" s="24">
        <v>39600</v>
      </c>
      <c r="B44" s="15">
        <v>9086</v>
      </c>
      <c r="C44" s="15">
        <v>847</v>
      </c>
      <c r="D44" s="15">
        <v>8459</v>
      </c>
      <c r="E44" s="15">
        <v>1909</v>
      </c>
    </row>
    <row r="45" spans="1:5" x14ac:dyDescent="0.25">
      <c r="A45" s="24">
        <v>39692</v>
      </c>
      <c r="B45" s="15">
        <v>9471</v>
      </c>
      <c r="C45" s="15">
        <v>872</v>
      </c>
      <c r="D45" s="15">
        <v>9326</v>
      </c>
      <c r="E45" s="15">
        <v>1513</v>
      </c>
    </row>
    <row r="46" spans="1:5" x14ac:dyDescent="0.25">
      <c r="A46" s="24">
        <v>39783</v>
      </c>
      <c r="B46" s="15">
        <v>10729</v>
      </c>
      <c r="C46" s="15">
        <v>999</v>
      </c>
      <c r="D46" s="15">
        <v>9575</v>
      </c>
      <c r="E46" s="15">
        <v>1714</v>
      </c>
    </row>
    <row r="47" spans="1:5" x14ac:dyDescent="0.25">
      <c r="A47" s="24">
        <v>39873</v>
      </c>
      <c r="B47" s="15">
        <v>10401</v>
      </c>
      <c r="C47" s="15">
        <v>632</v>
      </c>
      <c r="D47" s="15">
        <v>8778</v>
      </c>
      <c r="E47" s="15">
        <v>1589</v>
      </c>
    </row>
    <row r="48" spans="1:5" x14ac:dyDescent="0.25">
      <c r="A48" s="24">
        <v>39965</v>
      </c>
      <c r="B48" s="15">
        <v>11948</v>
      </c>
      <c r="C48" s="15">
        <v>590</v>
      </c>
      <c r="D48" s="15">
        <v>9393</v>
      </c>
      <c r="E48" s="15">
        <v>1608</v>
      </c>
    </row>
    <row r="49" spans="1:5" x14ac:dyDescent="0.25">
      <c r="A49" s="24">
        <v>40057</v>
      </c>
      <c r="B49" s="15">
        <v>12576</v>
      </c>
      <c r="C49" s="15">
        <v>878</v>
      </c>
      <c r="D49" s="15">
        <v>10247</v>
      </c>
      <c r="E49" s="15">
        <v>2196</v>
      </c>
    </row>
    <row r="50" spans="1:5" x14ac:dyDescent="0.25">
      <c r="A50" s="24">
        <v>40148</v>
      </c>
      <c r="B50" s="15">
        <v>8691</v>
      </c>
      <c r="C50" s="15">
        <v>834</v>
      </c>
      <c r="D50" s="15">
        <v>7582</v>
      </c>
      <c r="E50" s="15">
        <v>1863</v>
      </c>
    </row>
    <row r="51" spans="1:5" x14ac:dyDescent="0.25">
      <c r="A51" s="24">
        <v>40238</v>
      </c>
      <c r="B51" s="15">
        <v>7349</v>
      </c>
      <c r="C51" s="15">
        <v>853</v>
      </c>
      <c r="D51" s="15">
        <v>7714</v>
      </c>
      <c r="E51" s="15">
        <v>1491</v>
      </c>
    </row>
    <row r="52" spans="1:5" x14ac:dyDescent="0.25">
      <c r="A52" s="24">
        <v>40330</v>
      </c>
      <c r="B52" s="15">
        <v>8987</v>
      </c>
      <c r="C52" s="15">
        <v>769</v>
      </c>
      <c r="D52" s="15">
        <v>7704</v>
      </c>
      <c r="E52" s="15">
        <v>1293</v>
      </c>
    </row>
    <row r="53" spans="1:5" x14ac:dyDescent="0.25">
      <c r="A53" s="24">
        <v>40422</v>
      </c>
      <c r="B53" s="15">
        <v>13031</v>
      </c>
      <c r="C53" s="15">
        <v>968</v>
      </c>
      <c r="D53" s="15">
        <v>10091</v>
      </c>
      <c r="E53" s="15">
        <v>1318</v>
      </c>
    </row>
    <row r="54" spans="1:5" x14ac:dyDescent="0.25">
      <c r="A54" s="24">
        <v>40513</v>
      </c>
      <c r="B54" s="15">
        <v>9488</v>
      </c>
      <c r="C54" s="15">
        <v>1054</v>
      </c>
      <c r="D54" s="15">
        <v>6246</v>
      </c>
      <c r="E54" s="15">
        <v>1510</v>
      </c>
    </row>
    <row r="55" spans="1:5" x14ac:dyDescent="0.25">
      <c r="A55" s="24">
        <v>40603</v>
      </c>
      <c r="B55" s="15">
        <v>8951</v>
      </c>
      <c r="C55" s="15">
        <v>765</v>
      </c>
      <c r="D55" s="15">
        <v>6733</v>
      </c>
      <c r="E55" s="15">
        <v>1343</v>
      </c>
    </row>
    <row r="56" spans="1:5" x14ac:dyDescent="0.25">
      <c r="A56" s="24">
        <v>40695</v>
      </c>
      <c r="B56" s="15">
        <v>9175</v>
      </c>
      <c r="C56" s="15">
        <v>438.58</v>
      </c>
      <c r="D56" s="15">
        <v>8303</v>
      </c>
      <c r="E56" s="15">
        <v>1513</v>
      </c>
    </row>
    <row r="57" spans="1:5" x14ac:dyDescent="0.25">
      <c r="A57" s="24">
        <v>40787</v>
      </c>
      <c r="B57" s="15">
        <v>9512</v>
      </c>
      <c r="C57" s="15">
        <v>262.5</v>
      </c>
      <c r="D57" s="15">
        <v>8006.2</v>
      </c>
      <c r="E57" s="15">
        <v>1371</v>
      </c>
    </row>
    <row r="58" spans="1:5" x14ac:dyDescent="0.25">
      <c r="A58" s="24">
        <v>40878</v>
      </c>
      <c r="B58" s="15">
        <v>9675</v>
      </c>
      <c r="C58" s="15">
        <v>100.80000000000001</v>
      </c>
      <c r="D58" s="15">
        <v>7803</v>
      </c>
      <c r="E58" s="15">
        <v>1179</v>
      </c>
    </row>
    <row r="59" spans="1:5" x14ac:dyDescent="0.25">
      <c r="A59" s="24">
        <v>40969</v>
      </c>
      <c r="B59" s="15">
        <v>7878</v>
      </c>
      <c r="C59" s="15">
        <v>90</v>
      </c>
      <c r="D59" s="15">
        <v>6588</v>
      </c>
      <c r="E59" s="15">
        <v>1225</v>
      </c>
    </row>
    <row r="60" spans="1:5" x14ac:dyDescent="0.25">
      <c r="A60" s="24">
        <v>41061</v>
      </c>
      <c r="B60" s="15">
        <v>6305</v>
      </c>
      <c r="C60" s="15">
        <v>74</v>
      </c>
      <c r="D60" s="15">
        <v>5043</v>
      </c>
      <c r="E60" s="15">
        <v>1136</v>
      </c>
    </row>
    <row r="61" spans="1:5" x14ac:dyDescent="0.25">
      <c r="A61" s="24">
        <v>41153</v>
      </c>
      <c r="B61" s="15">
        <v>8073</v>
      </c>
      <c r="C61" s="15">
        <v>154</v>
      </c>
      <c r="D61" s="15">
        <v>5504</v>
      </c>
      <c r="E61" s="15">
        <v>1215</v>
      </c>
    </row>
    <row r="62" spans="1:5" x14ac:dyDescent="0.25">
      <c r="A62" s="24">
        <v>41244</v>
      </c>
      <c r="B62" s="15">
        <v>9281</v>
      </c>
      <c r="C62" s="15">
        <v>192</v>
      </c>
      <c r="D62" s="15">
        <v>5987</v>
      </c>
      <c r="E62" s="15">
        <v>1246</v>
      </c>
    </row>
    <row r="63" spans="1:5" x14ac:dyDescent="0.25">
      <c r="A63" s="24">
        <v>41334</v>
      </c>
      <c r="B63" s="15">
        <v>7313</v>
      </c>
      <c r="C63" s="15">
        <v>852</v>
      </c>
      <c r="D63" s="15">
        <v>7691</v>
      </c>
      <c r="E63" s="15">
        <v>1177</v>
      </c>
    </row>
    <row r="64" spans="1:5" x14ac:dyDescent="0.25">
      <c r="A64" s="24">
        <v>41426</v>
      </c>
      <c r="B64" s="15">
        <v>9001</v>
      </c>
      <c r="C64" s="15">
        <v>790</v>
      </c>
      <c r="D64" s="15">
        <v>7744</v>
      </c>
      <c r="E64" s="15">
        <v>1551</v>
      </c>
    </row>
    <row r="65" spans="1:5" x14ac:dyDescent="0.25">
      <c r="A65" s="24">
        <v>41518</v>
      </c>
      <c r="B65" s="15">
        <v>12967</v>
      </c>
      <c r="C65" s="15">
        <v>963</v>
      </c>
      <c r="D65" s="15">
        <v>10076</v>
      </c>
      <c r="E65" s="15">
        <v>1256</v>
      </c>
    </row>
    <row r="66" spans="1:5" x14ac:dyDescent="0.25">
      <c r="A66" s="24">
        <v>41609</v>
      </c>
      <c r="B66" s="15">
        <v>9446</v>
      </c>
      <c r="C66" s="15">
        <v>961</v>
      </c>
      <c r="D66" s="15">
        <v>6224</v>
      </c>
      <c r="E66" s="15">
        <v>1222</v>
      </c>
    </row>
    <row r="67" spans="1:5" x14ac:dyDescent="0.25">
      <c r="A67" s="24">
        <v>41699</v>
      </c>
      <c r="B67" s="15">
        <v>8896</v>
      </c>
      <c r="C67" s="15">
        <v>761</v>
      </c>
      <c r="D67" s="15">
        <v>6726</v>
      </c>
      <c r="E67" s="15">
        <v>868</v>
      </c>
    </row>
    <row r="68" spans="1:5" x14ac:dyDescent="0.25">
      <c r="A68" s="24">
        <v>41791</v>
      </c>
      <c r="B68" s="15">
        <v>9149</v>
      </c>
      <c r="C68" s="15">
        <v>436</v>
      </c>
      <c r="D68" s="15">
        <v>8283</v>
      </c>
      <c r="E68" s="15">
        <v>1463</v>
      </c>
    </row>
    <row r="69" spans="1:5" x14ac:dyDescent="0.25">
      <c r="A69" s="24">
        <v>41883</v>
      </c>
      <c r="B69" s="15">
        <v>9497</v>
      </c>
      <c r="C69" s="15">
        <v>260</v>
      </c>
      <c r="D69" s="15">
        <v>8001</v>
      </c>
      <c r="E69" s="15">
        <v>1876</v>
      </c>
    </row>
    <row r="70" spans="1:5" x14ac:dyDescent="0.25">
      <c r="A70" s="24">
        <v>41974</v>
      </c>
      <c r="B70" s="15">
        <v>9846</v>
      </c>
      <c r="C70" s="15">
        <v>182</v>
      </c>
      <c r="D70" s="15">
        <v>7991</v>
      </c>
      <c r="E70" s="15">
        <v>1029</v>
      </c>
    </row>
    <row r="71" spans="1:5" x14ac:dyDescent="0.25">
      <c r="A71" s="24">
        <v>42064</v>
      </c>
      <c r="B71" s="15">
        <v>7944</v>
      </c>
      <c r="C71" s="15">
        <v>93</v>
      </c>
      <c r="D71" s="15">
        <v>6612</v>
      </c>
      <c r="E71" s="15">
        <v>1252</v>
      </c>
    </row>
    <row r="72" spans="1:5" x14ac:dyDescent="0.25">
      <c r="A72" s="24">
        <v>42156</v>
      </c>
      <c r="B72" s="15">
        <v>6291</v>
      </c>
      <c r="C72" s="15">
        <v>74</v>
      </c>
      <c r="D72" s="15">
        <v>5055</v>
      </c>
      <c r="E72" s="15">
        <v>1031</v>
      </c>
    </row>
    <row r="73" spans="1:5" x14ac:dyDescent="0.25">
      <c r="A73" s="24">
        <v>42248</v>
      </c>
      <c r="B73" s="15">
        <v>8069</v>
      </c>
      <c r="C73" s="15">
        <v>154</v>
      </c>
      <c r="D73" s="15">
        <v>5499</v>
      </c>
      <c r="E73" s="15">
        <v>667</v>
      </c>
    </row>
    <row r="74" spans="1:5" x14ac:dyDescent="0.25">
      <c r="A74" s="24">
        <v>42339</v>
      </c>
      <c r="B74" s="15">
        <v>9303</v>
      </c>
      <c r="C74" s="15">
        <v>192</v>
      </c>
      <c r="D74" s="15">
        <v>5985</v>
      </c>
      <c r="E74" s="15">
        <v>530</v>
      </c>
    </row>
    <row r="75" spans="1:5" x14ac:dyDescent="0.25">
      <c r="A75" s="24">
        <v>42430</v>
      </c>
      <c r="B75" s="15">
        <v>6880</v>
      </c>
      <c r="C75" s="15">
        <v>78</v>
      </c>
      <c r="D75" s="15">
        <v>5020</v>
      </c>
      <c r="E75" s="15">
        <v>558</v>
      </c>
    </row>
    <row r="76" spans="1:5" x14ac:dyDescent="0.25">
      <c r="A76" s="24">
        <v>42522</v>
      </c>
      <c r="B76" s="15">
        <v>2642</v>
      </c>
      <c r="C76" s="15">
        <v>121</v>
      </c>
      <c r="D76" s="15">
        <v>2496</v>
      </c>
      <c r="E76" s="15">
        <v>598</v>
      </c>
    </row>
    <row r="77" spans="1:5" x14ac:dyDescent="0.25">
      <c r="A77" s="24">
        <v>42614</v>
      </c>
      <c r="B77" s="15">
        <v>6571</v>
      </c>
      <c r="C77" s="15">
        <v>59</v>
      </c>
      <c r="D77" s="15">
        <v>5752</v>
      </c>
      <c r="E77" s="15">
        <v>510</v>
      </c>
    </row>
    <row r="78" spans="1:5" x14ac:dyDescent="0.25">
      <c r="A78" s="24">
        <v>42705</v>
      </c>
      <c r="B78" s="15">
        <v>7184</v>
      </c>
      <c r="C78" s="15">
        <v>78</v>
      </c>
      <c r="D78" s="15">
        <v>6235</v>
      </c>
      <c r="E78" s="15">
        <v>299</v>
      </c>
    </row>
    <row r="79" spans="1:5" x14ac:dyDescent="0.25">
      <c r="A79" s="24">
        <v>42795</v>
      </c>
      <c r="B79" s="15">
        <v>7591</v>
      </c>
      <c r="C79" s="15">
        <v>70</v>
      </c>
      <c r="D79" s="15">
        <v>6081</v>
      </c>
      <c r="E79" s="15">
        <v>450</v>
      </c>
    </row>
    <row r="80" spans="1:5" x14ac:dyDescent="0.25">
      <c r="A80" s="24">
        <v>42887</v>
      </c>
      <c r="B80" s="15">
        <v>9723</v>
      </c>
      <c r="C80" s="15">
        <v>87</v>
      </c>
      <c r="D80" s="15">
        <v>10207</v>
      </c>
      <c r="E80" s="15">
        <v>602</v>
      </c>
    </row>
    <row r="81" spans="1:5" x14ac:dyDescent="0.25">
      <c r="A81" s="24">
        <v>42979</v>
      </c>
      <c r="B81" s="15">
        <v>9145</v>
      </c>
      <c r="C81" s="15">
        <v>124</v>
      </c>
      <c r="D81" s="15">
        <v>12362</v>
      </c>
      <c r="E81" s="15">
        <v>1181</v>
      </c>
    </row>
    <row r="82" spans="1:5" x14ac:dyDescent="0.25">
      <c r="A82" s="24">
        <v>43070</v>
      </c>
      <c r="B82" s="15">
        <v>11187</v>
      </c>
      <c r="C82" s="15">
        <v>68</v>
      </c>
      <c r="D82" s="15">
        <v>18553</v>
      </c>
      <c r="E82" s="15">
        <v>1412</v>
      </c>
    </row>
    <row r="83" spans="1:5" x14ac:dyDescent="0.25">
      <c r="A83" s="31">
        <v>43160</v>
      </c>
      <c r="B83" s="15">
        <v>12099</v>
      </c>
      <c r="C83" s="15">
        <v>111</v>
      </c>
      <c r="D83" s="15">
        <v>17029</v>
      </c>
      <c r="E83" s="15">
        <v>909</v>
      </c>
    </row>
    <row r="84" spans="1:5" x14ac:dyDescent="0.25">
      <c r="A84" s="24">
        <v>43252</v>
      </c>
      <c r="B84" s="15">
        <v>15509</v>
      </c>
      <c r="C84" s="15">
        <v>75</v>
      </c>
      <c r="D84" s="15">
        <v>18928</v>
      </c>
      <c r="E84" s="15">
        <v>1201</v>
      </c>
    </row>
    <row r="85" spans="1:5" x14ac:dyDescent="0.25">
      <c r="A85" s="31">
        <v>43344</v>
      </c>
      <c r="B85" s="15">
        <v>12719</v>
      </c>
      <c r="C85" s="15">
        <v>77</v>
      </c>
      <c r="D85" s="15">
        <v>18268</v>
      </c>
      <c r="E85" s="15">
        <v>1395</v>
      </c>
    </row>
    <row r="86" spans="1:5" x14ac:dyDescent="0.25">
      <c r="A86" s="24">
        <v>43435</v>
      </c>
      <c r="B86" s="15">
        <v>12935</v>
      </c>
      <c r="C86" s="15">
        <v>23</v>
      </c>
      <c r="D86" s="15">
        <v>15518</v>
      </c>
      <c r="E86" s="15">
        <v>1251</v>
      </c>
    </row>
    <row r="87" spans="1:5" x14ac:dyDescent="0.25">
      <c r="A87" s="31">
        <v>43525</v>
      </c>
      <c r="B87" s="15">
        <v>13229</v>
      </c>
      <c r="C87" s="15">
        <v>34</v>
      </c>
      <c r="D87" s="15">
        <v>17194</v>
      </c>
      <c r="E87" s="15">
        <v>850</v>
      </c>
    </row>
    <row r="88" spans="1:5" x14ac:dyDescent="0.25">
      <c r="A88" s="31">
        <v>43617</v>
      </c>
      <c r="B88" s="15">
        <v>13074</v>
      </c>
      <c r="C88" s="15">
        <v>76</v>
      </c>
      <c r="D88" s="15">
        <v>18617</v>
      </c>
      <c r="E88" s="15">
        <v>1197</v>
      </c>
    </row>
    <row r="89" spans="1:5" x14ac:dyDescent="0.25">
      <c r="A89" s="31">
        <v>43709</v>
      </c>
      <c r="B89" s="15">
        <v>13915</v>
      </c>
      <c r="C89" s="15">
        <v>106</v>
      </c>
      <c r="D89" s="15">
        <v>20530</v>
      </c>
      <c r="E89" s="15">
        <v>1235</v>
      </c>
    </row>
    <row r="90" spans="1:5" x14ac:dyDescent="0.25">
      <c r="A90" s="31">
        <v>43800</v>
      </c>
      <c r="B90" s="15">
        <v>13703</v>
      </c>
      <c r="C90" s="15">
        <v>87</v>
      </c>
      <c r="D90" s="15">
        <v>16896</v>
      </c>
      <c r="E90" s="15">
        <v>1121</v>
      </c>
    </row>
    <row r="91" spans="1:5" x14ac:dyDescent="0.25">
      <c r="A91" s="31">
        <v>43891</v>
      </c>
      <c r="B91" s="15">
        <v>10026</v>
      </c>
      <c r="C91" s="15">
        <v>44</v>
      </c>
      <c r="D91" s="15">
        <v>12050</v>
      </c>
      <c r="E91" s="15">
        <v>1085</v>
      </c>
    </row>
    <row r="92" spans="1:5" x14ac:dyDescent="0.25">
      <c r="A92" s="31">
        <v>43983</v>
      </c>
      <c r="B92" s="15">
        <v>7324</v>
      </c>
      <c r="C92" s="15">
        <v>26</v>
      </c>
      <c r="D92" s="15">
        <v>9695</v>
      </c>
      <c r="E92" s="15">
        <v>329</v>
      </c>
    </row>
    <row r="93" spans="1:5" x14ac:dyDescent="0.25">
      <c r="A93" s="31">
        <v>44075</v>
      </c>
      <c r="B93" s="15">
        <v>5522</v>
      </c>
      <c r="C93" s="15">
        <v>59</v>
      </c>
      <c r="D93" s="15">
        <v>15646</v>
      </c>
      <c r="E93" s="15">
        <v>516</v>
      </c>
    </row>
    <row r="94" spans="1:5" x14ac:dyDescent="0.25">
      <c r="A94" s="31">
        <v>44167</v>
      </c>
      <c r="B94" s="15">
        <v>7479</v>
      </c>
      <c r="C94" s="15">
        <v>18</v>
      </c>
      <c r="D94" s="15">
        <v>11688</v>
      </c>
      <c r="E94" s="15">
        <v>799</v>
      </c>
    </row>
    <row r="95" spans="1:5" x14ac:dyDescent="0.25">
      <c r="A95" s="31">
        <v>44256</v>
      </c>
      <c r="B95" s="15">
        <v>6009</v>
      </c>
      <c r="C95" s="15">
        <v>40</v>
      </c>
      <c r="D95" s="15">
        <v>8740</v>
      </c>
      <c r="E95" s="15">
        <v>668</v>
      </c>
    </row>
    <row r="96" spans="1:5" x14ac:dyDescent="0.25">
      <c r="A96" s="20">
        <v>44348</v>
      </c>
      <c r="B96" s="15">
        <v>7320</v>
      </c>
      <c r="C96" s="15">
        <v>77</v>
      </c>
      <c r="D96" s="15">
        <v>15167</v>
      </c>
      <c r="E96" s="15">
        <v>698</v>
      </c>
    </row>
    <row r="97" spans="1:6" x14ac:dyDescent="0.25">
      <c r="A97" s="24">
        <v>44440</v>
      </c>
      <c r="B97" s="15">
        <v>5593</v>
      </c>
      <c r="C97" s="15">
        <v>47</v>
      </c>
      <c r="D97" s="15">
        <v>16764</v>
      </c>
      <c r="E97" s="15">
        <v>685</v>
      </c>
    </row>
    <row r="98" spans="1:6" x14ac:dyDescent="0.25">
      <c r="A98" s="24">
        <v>44532</v>
      </c>
      <c r="B98" s="15">
        <v>7898</v>
      </c>
      <c r="C98" s="15">
        <v>49</v>
      </c>
      <c r="D98" s="15">
        <v>14915</v>
      </c>
      <c r="E98" s="15">
        <v>1036</v>
      </c>
    </row>
    <row r="99" spans="1:6" x14ac:dyDescent="0.25">
      <c r="A99" s="24">
        <v>44621</v>
      </c>
      <c r="B99" s="15">
        <v>7338</v>
      </c>
      <c r="C99" s="15">
        <v>104</v>
      </c>
      <c r="D99" s="15">
        <v>13060</v>
      </c>
      <c r="E99" s="15">
        <v>941</v>
      </c>
    </row>
    <row r="100" spans="1:6" x14ac:dyDescent="0.25">
      <c r="A100" s="24">
        <v>44713</v>
      </c>
      <c r="B100" s="15">
        <v>8234</v>
      </c>
      <c r="C100" s="15">
        <v>67</v>
      </c>
      <c r="D100" s="15">
        <v>13540</v>
      </c>
      <c r="E100" s="15">
        <v>1649</v>
      </c>
    </row>
    <row r="101" spans="1:6" x14ac:dyDescent="0.25">
      <c r="A101" s="24">
        <v>44805</v>
      </c>
      <c r="B101" s="15">
        <v>4913</v>
      </c>
      <c r="C101" s="40">
        <v>142</v>
      </c>
      <c r="D101" s="15">
        <v>7198</v>
      </c>
      <c r="E101" s="15">
        <v>1054</v>
      </c>
    </row>
    <row r="102" spans="1:6" x14ac:dyDescent="0.25">
      <c r="A102" s="24">
        <v>44896</v>
      </c>
      <c r="B102" s="15">
        <v>9340</v>
      </c>
      <c r="C102" s="15">
        <v>15</v>
      </c>
      <c r="D102" s="40">
        <v>10827</v>
      </c>
      <c r="E102" s="15">
        <v>1057</v>
      </c>
    </row>
    <row r="103" spans="1:6" x14ac:dyDescent="0.25">
      <c r="A103" s="24">
        <v>44986</v>
      </c>
      <c r="B103" s="40">
        <f>+Données_mensuelles!B295+Données_mensuelles!B296+Données_mensuelles!B297</f>
        <v>12172</v>
      </c>
      <c r="C103" s="15">
        <f>+Données_mensuelles!C295+Données_mensuelles!C296+Données_mensuelles!C297</f>
        <v>48</v>
      </c>
      <c r="D103" s="15">
        <f>+Données_mensuelles!D295+Données_mensuelles!D296+Données_mensuelles!D297</f>
        <v>7241</v>
      </c>
      <c r="E103" s="15">
        <f>+Données_mensuelles!E295+Données_mensuelles!E296+Données_mensuelles!E297</f>
        <v>807</v>
      </c>
    </row>
    <row r="104" spans="1:6" x14ac:dyDescent="0.25">
      <c r="A104" s="24">
        <v>45078</v>
      </c>
      <c r="B104" s="40">
        <f>+Données_mensuelles!B298+Données_mensuelles!B299+Données_mensuelles!B300</f>
        <v>660</v>
      </c>
      <c r="C104" s="15">
        <f>+Données_mensuelles!C298+Données_mensuelles!C299+Données_mensuelles!C300</f>
        <v>65</v>
      </c>
      <c r="D104" s="15">
        <f>+Données_mensuelles!D298+Données_mensuelles!D299+Données_mensuelles!D300</f>
        <v>6786</v>
      </c>
      <c r="E104" s="15">
        <f>+Données_mensuelles!E298+Données_mensuelles!E299+Données_mensuelles!E300</f>
        <v>1013</v>
      </c>
    </row>
    <row r="105" spans="1:6" x14ac:dyDescent="0.25">
      <c r="A105" s="24">
        <v>45170</v>
      </c>
      <c r="B105" s="40">
        <f>+Données_mensuelles!B301+Données_mensuelles!B302+Données_mensuelles!B303</f>
        <v>772</v>
      </c>
      <c r="C105" s="15">
        <f>+Données_mensuelles!C301+Données_mensuelles!C302+Données_mensuelles!C303</f>
        <v>0</v>
      </c>
      <c r="D105" s="15">
        <f>+Données_mensuelles!D301+Données_mensuelles!D302+Données_mensuelles!D303</f>
        <v>10267</v>
      </c>
      <c r="E105" s="15">
        <f>+Données_mensuelles!E301+Données_mensuelles!E302+Données_mensuelles!E303</f>
        <v>989</v>
      </c>
    </row>
    <row r="106" spans="1:6" x14ac:dyDescent="0.25">
      <c r="A106" s="24">
        <v>45261</v>
      </c>
      <c r="B106" s="40">
        <f>+Données_mensuelles!B304+Données_mensuelles!B305+Données_mensuelles!B306</f>
        <v>1815</v>
      </c>
      <c r="C106" s="15">
        <f>+Données_mensuelles!C304+Données_mensuelles!C305+Données_mensuelles!C306</f>
        <v>0</v>
      </c>
      <c r="D106" s="15">
        <f>+Données_mensuelles!D304+Données_mensuelles!D305+Données_mensuelles!D306</f>
        <v>1956</v>
      </c>
      <c r="E106" s="15">
        <f>+Données_mensuelles!E304+Données_mensuelles!E305+Données_mensuelles!E306</f>
        <v>1077</v>
      </c>
    </row>
    <row r="107" spans="1:6" x14ac:dyDescent="0.25">
      <c r="A107" s="24">
        <v>45352</v>
      </c>
      <c r="B107" s="40">
        <f>+Données_mensuelles!B307+Données_mensuelles!B308+Données_mensuelles!B309</f>
        <v>2801</v>
      </c>
      <c r="C107" s="15">
        <f>+Données_mensuelles!C307+Données_mensuelles!C308+Données_mensuelles!C309</f>
        <v>0</v>
      </c>
      <c r="D107" s="15">
        <f>+Données_mensuelles!D307+Données_mensuelles!D308+Données_mensuelles!D309</f>
        <v>4123</v>
      </c>
      <c r="E107" s="15">
        <f>+Données_mensuelles!E307+Données_mensuelles!E308+Données_mensuelles!E309</f>
        <v>955</v>
      </c>
    </row>
    <row r="108" spans="1:6" x14ac:dyDescent="0.25">
      <c r="A108" s="24">
        <v>45444</v>
      </c>
      <c r="B108" s="40">
        <f>+SUM(Données_mensuelles!B310:B312)</f>
        <v>1577</v>
      </c>
      <c r="C108" s="15">
        <f>+SUM(Données_mensuelles!C310:C312)</f>
        <v>0</v>
      </c>
      <c r="D108" s="15">
        <f>+SUM(Données_mensuelles!D310:D312)</f>
        <v>2423</v>
      </c>
      <c r="E108" s="15">
        <f>+SUM(Données_mensuelles!E310:E312)</f>
        <v>857</v>
      </c>
    </row>
    <row r="109" spans="1:6" x14ac:dyDescent="0.25">
      <c r="A109" s="24">
        <v>45536</v>
      </c>
      <c r="B109" s="40">
        <v>3552</v>
      </c>
      <c r="C109" s="15">
        <v>0</v>
      </c>
      <c r="D109" s="15">
        <v>1699</v>
      </c>
      <c r="E109" s="15">
        <v>832</v>
      </c>
    </row>
    <row r="110" spans="1:6" x14ac:dyDescent="0.25">
      <c r="A110" s="24">
        <v>45627</v>
      </c>
      <c r="B110" s="40">
        <f>Données_mensuelles!B316+Données_mensuelles!B317+Données_mensuelles!B318</f>
        <v>3536</v>
      </c>
      <c r="C110" s="15">
        <f>Données_mensuelles!C316+Données_mensuelles!C317+Données_mensuelles!C318</f>
        <v>19</v>
      </c>
      <c r="D110" s="15">
        <f>Données_mensuelles!D316+Données_mensuelles!D317+Données_mensuelles!D318</f>
        <v>2727</v>
      </c>
      <c r="E110" s="15">
        <f>Données_mensuelles!E316+Données_mensuelles!E317+Données_mensuelles!E318</f>
        <v>714</v>
      </c>
      <c r="F110" s="59"/>
    </row>
    <row r="111" spans="1:6" x14ac:dyDescent="0.25">
      <c r="A111" s="24">
        <v>45717</v>
      </c>
      <c r="B111" s="40">
        <f>Données_mensuelles!B319+Données_mensuelles!B320+Données_mensuelles!B321</f>
        <v>1127</v>
      </c>
      <c r="C111" s="15">
        <f>Données_mensuelles!C319+Données_mensuelles!C320+Données_mensuelles!C321</f>
        <v>79</v>
      </c>
      <c r="D111" s="15">
        <f>Données_mensuelles!D319+Données_mensuelles!D320+Données_mensuelles!D321</f>
        <v>2922</v>
      </c>
      <c r="E111" s="15">
        <f>Données_mensuelles!E319+Données_mensuelles!E320+Données_mensuelles!E321</f>
        <v>625</v>
      </c>
      <c r="F111" s="59"/>
    </row>
    <row r="112" spans="1:6" x14ac:dyDescent="0.25">
      <c r="A112" s="24">
        <v>45809</v>
      </c>
      <c r="B112" s="40">
        <v>12938.907999999999</v>
      </c>
      <c r="C112" s="15">
        <v>0</v>
      </c>
      <c r="D112" s="15">
        <v>19899.355000000003</v>
      </c>
      <c r="E112" s="15">
        <v>635.827</v>
      </c>
      <c r="F112" s="59"/>
    </row>
    <row r="113" spans="1:9" x14ac:dyDescent="0.25">
      <c r="A113" s="24">
        <v>45901</v>
      </c>
      <c r="B113" s="40">
        <v>6444.6959999999999</v>
      </c>
      <c r="C113" s="15">
        <v>0</v>
      </c>
      <c r="D113" s="15">
        <v>16586.958999999999</v>
      </c>
      <c r="E113" s="15">
        <v>1673.3890000000001</v>
      </c>
      <c r="F113" s="59"/>
    </row>
    <row r="114" spans="1:9" x14ac:dyDescent="0.25">
      <c r="A114" s="24">
        <v>45992</v>
      </c>
      <c r="B114" s="40">
        <v>18120.825000000001</v>
      </c>
      <c r="C114" s="15">
        <v>19.324000000000002</v>
      </c>
      <c r="D114" s="15">
        <v>24251.225999999999</v>
      </c>
      <c r="E114" s="15">
        <v>1185.453</v>
      </c>
      <c r="F114" s="59"/>
    </row>
    <row r="115" spans="1:9" x14ac:dyDescent="0.25">
      <c r="A115" s="24">
        <v>46082</v>
      </c>
      <c r="B115" s="40">
        <v>7621.5339999999997</v>
      </c>
      <c r="C115" s="15">
        <v>0</v>
      </c>
      <c r="D115" s="15">
        <v>7839.6679999999997</v>
      </c>
      <c r="E115" s="15">
        <v>614.53599999999994</v>
      </c>
      <c r="F115" s="59"/>
    </row>
    <row r="116" spans="1:9" x14ac:dyDescent="0.25">
      <c r="A116" s="24"/>
      <c r="B116" s="40"/>
      <c r="C116" s="15"/>
      <c r="D116" s="15"/>
      <c r="E116" s="15"/>
      <c r="F116" s="59"/>
      <c r="G116" s="59"/>
      <c r="H116" s="59"/>
      <c r="I116" s="59"/>
    </row>
    <row r="117" spans="1:9" x14ac:dyDescent="0.25">
      <c r="A117" s="32" t="s">
        <v>5</v>
      </c>
      <c r="B117" s="26"/>
      <c r="C117" s="26"/>
      <c r="D117" s="26"/>
      <c r="E117" s="73"/>
      <c r="F117" s="59"/>
      <c r="G117" s="59"/>
      <c r="H117" s="59"/>
      <c r="I117" s="59"/>
    </row>
    <row r="118" spans="1:9" x14ac:dyDescent="0.25">
      <c r="A118" s="33" t="s">
        <v>8</v>
      </c>
      <c r="B118" s="29"/>
      <c r="C118" s="29"/>
      <c r="D118" s="29"/>
      <c r="E118" s="30"/>
      <c r="F118" s="59"/>
      <c r="G118" s="59"/>
      <c r="H118" s="59"/>
      <c r="I118" s="59"/>
    </row>
    <row r="119" spans="1:9" x14ac:dyDescent="0.25">
      <c r="A119" s="33" t="s">
        <v>6</v>
      </c>
      <c r="B119" s="29"/>
      <c r="C119" s="29"/>
      <c r="D119" s="29"/>
      <c r="E119" s="30"/>
      <c r="F119" s="59"/>
      <c r="G119" s="59"/>
      <c r="H119" s="59"/>
      <c r="I119" s="59"/>
    </row>
    <row r="120" spans="1:9" x14ac:dyDescent="0.25">
      <c r="A120" s="34" t="s">
        <v>4</v>
      </c>
      <c r="B120" s="29"/>
      <c r="C120" s="29"/>
      <c r="D120" s="29"/>
      <c r="E120" s="30"/>
      <c r="F120" s="59"/>
      <c r="G120" s="59"/>
      <c r="H120" s="59"/>
      <c r="I120" s="59"/>
    </row>
    <row r="121" spans="1:9" x14ac:dyDescent="0.25">
      <c r="A121" s="35"/>
      <c r="B121" s="36"/>
      <c r="C121" s="36"/>
      <c r="D121" s="37"/>
      <c r="E121" s="38"/>
      <c r="F121" s="59"/>
      <c r="G121" s="59"/>
      <c r="H121" s="59"/>
      <c r="I121" s="59"/>
    </row>
    <row r="122" spans="1:9" x14ac:dyDescent="0.25">
      <c r="B122" s="17"/>
      <c r="C122" s="17"/>
      <c r="E122" s="18"/>
      <c r="F122" s="59"/>
      <c r="G122" s="59"/>
      <c r="H122" s="59"/>
      <c r="I122" s="59"/>
    </row>
    <row r="123" spans="1:9" x14ac:dyDescent="0.25">
      <c r="E123" s="18"/>
      <c r="F123" s="59"/>
      <c r="G123" s="59"/>
      <c r="H123" s="59"/>
      <c r="I123" s="59"/>
    </row>
  </sheetData>
  <mergeCells count="5">
    <mergeCell ref="B5:B6"/>
    <mergeCell ref="C5:C6"/>
    <mergeCell ref="D5:D6"/>
    <mergeCell ref="E5:E6"/>
    <mergeCell ref="A3:D4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0"/>
  <sheetViews>
    <sheetView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D30" sqref="D30"/>
    </sheetView>
  </sheetViews>
  <sheetFormatPr defaultColWidth="12.6640625" defaultRowHeight="15.75" x14ac:dyDescent="0.25"/>
  <cols>
    <col min="1" max="1" width="15.6640625" style="16" customWidth="1"/>
    <col min="2" max="3" width="14" style="72" customWidth="1"/>
    <col min="4" max="4" width="15.5546875" style="72" customWidth="1"/>
    <col min="5" max="5" width="14" style="72" customWidth="1"/>
    <col min="6" max="16384" width="12.6640625" style="16"/>
  </cols>
  <sheetData>
    <row r="1" spans="1:5" x14ac:dyDescent="0.25">
      <c r="A1" s="25" t="s">
        <v>10</v>
      </c>
      <c r="B1" s="62"/>
      <c r="C1" s="62"/>
      <c r="D1" s="62"/>
      <c r="E1" s="63"/>
    </row>
    <row r="2" spans="1:5" x14ac:dyDescent="0.25">
      <c r="A2" s="33" t="s">
        <v>0</v>
      </c>
      <c r="B2" s="64"/>
      <c r="C2" s="64"/>
      <c r="D2" s="64"/>
      <c r="E2" s="65"/>
    </row>
    <row r="3" spans="1:5" x14ac:dyDescent="0.25">
      <c r="A3" s="89" t="s">
        <v>38</v>
      </c>
      <c r="B3" s="90"/>
      <c r="C3" s="90"/>
      <c r="D3" s="90"/>
      <c r="E3" s="66" t="s">
        <v>7</v>
      </c>
    </row>
    <row r="4" spans="1:5" x14ac:dyDescent="0.25">
      <c r="A4" s="91"/>
      <c r="B4" s="92"/>
      <c r="C4" s="92"/>
      <c r="D4" s="92"/>
      <c r="E4" s="67"/>
    </row>
    <row r="5" spans="1:5" x14ac:dyDescent="0.25">
      <c r="A5" s="51" t="s">
        <v>35</v>
      </c>
      <c r="B5" s="93" t="s">
        <v>9</v>
      </c>
      <c r="C5" s="93" t="s">
        <v>1</v>
      </c>
      <c r="D5" s="93" t="s">
        <v>2</v>
      </c>
      <c r="E5" s="93" t="s">
        <v>3</v>
      </c>
    </row>
    <row r="6" spans="1:5" x14ac:dyDescent="0.25">
      <c r="A6" s="60" t="s">
        <v>36</v>
      </c>
      <c r="B6" s="94"/>
      <c r="C6" s="94"/>
      <c r="D6" s="94"/>
      <c r="E6" s="94"/>
    </row>
    <row r="7" spans="1:5" x14ac:dyDescent="0.25">
      <c r="A7" s="39">
        <v>1999</v>
      </c>
      <c r="B7" s="19">
        <v>29221</v>
      </c>
      <c r="C7" s="19">
        <v>1648</v>
      </c>
      <c r="D7" s="19">
        <v>30336</v>
      </c>
      <c r="E7" s="19">
        <v>2260</v>
      </c>
    </row>
    <row r="8" spans="1:5" x14ac:dyDescent="0.25">
      <c r="A8" s="39">
        <v>2000</v>
      </c>
      <c r="B8" s="19">
        <v>29684</v>
      </c>
      <c r="C8" s="19">
        <v>2401</v>
      </c>
      <c r="D8" s="19">
        <v>31711</v>
      </c>
      <c r="E8" s="19">
        <v>1729</v>
      </c>
    </row>
    <row r="9" spans="1:5" x14ac:dyDescent="0.25">
      <c r="A9" s="39">
        <v>2001</v>
      </c>
      <c r="B9" s="19">
        <v>29538</v>
      </c>
      <c r="C9" s="19">
        <v>2020</v>
      </c>
      <c r="D9" s="19">
        <v>32777</v>
      </c>
      <c r="E9" s="19">
        <v>2450</v>
      </c>
    </row>
    <row r="10" spans="1:5" x14ac:dyDescent="0.25">
      <c r="A10" s="39">
        <v>2002</v>
      </c>
      <c r="B10" s="19">
        <v>32089</v>
      </c>
      <c r="C10" s="19">
        <v>2203</v>
      </c>
      <c r="D10" s="19">
        <v>35212</v>
      </c>
      <c r="E10" s="19">
        <v>4622</v>
      </c>
    </row>
    <row r="11" spans="1:5" x14ac:dyDescent="0.25">
      <c r="A11" s="39">
        <v>2003</v>
      </c>
      <c r="B11" s="19">
        <v>26436</v>
      </c>
      <c r="C11" s="19">
        <v>1672</v>
      </c>
      <c r="D11" s="19">
        <v>25609</v>
      </c>
      <c r="E11" s="19">
        <v>4990</v>
      </c>
    </row>
    <row r="12" spans="1:5" x14ac:dyDescent="0.25">
      <c r="A12" s="39">
        <v>2004</v>
      </c>
      <c r="B12" s="19">
        <v>28668</v>
      </c>
      <c r="C12" s="19">
        <v>1127</v>
      </c>
      <c r="D12" s="19">
        <v>33472</v>
      </c>
      <c r="E12" s="19">
        <v>7931</v>
      </c>
    </row>
    <row r="13" spans="1:5" x14ac:dyDescent="0.25">
      <c r="A13" s="39">
        <v>2005</v>
      </c>
      <c r="B13" s="19">
        <v>29440</v>
      </c>
      <c r="C13" s="19">
        <v>1355</v>
      </c>
      <c r="D13" s="19">
        <v>34212</v>
      </c>
      <c r="E13" s="19">
        <v>8370</v>
      </c>
    </row>
    <row r="14" spans="1:5" x14ac:dyDescent="0.25">
      <c r="A14" s="39">
        <v>2006</v>
      </c>
      <c r="B14" s="19">
        <v>30736</v>
      </c>
      <c r="C14" s="19">
        <v>1710</v>
      </c>
      <c r="D14" s="19">
        <v>32262</v>
      </c>
      <c r="E14" s="19">
        <v>8108</v>
      </c>
    </row>
    <row r="15" spans="1:5" x14ac:dyDescent="0.25">
      <c r="A15" s="39">
        <v>2007</v>
      </c>
      <c r="B15" s="19">
        <v>32848</v>
      </c>
      <c r="C15" s="19">
        <v>3414</v>
      </c>
      <c r="D15" s="19">
        <v>31001</v>
      </c>
      <c r="E15" s="19">
        <v>7335</v>
      </c>
    </row>
    <row r="16" spans="1:5" x14ac:dyDescent="0.25">
      <c r="A16" s="39">
        <v>2008</v>
      </c>
      <c r="B16" s="19">
        <v>36561</v>
      </c>
      <c r="C16" s="19">
        <v>3359</v>
      </c>
      <c r="D16" s="19">
        <v>35427</v>
      </c>
      <c r="E16" s="19">
        <v>6988</v>
      </c>
    </row>
    <row r="17" spans="1:7" x14ac:dyDescent="0.25">
      <c r="A17" s="39">
        <v>2009</v>
      </c>
      <c r="B17" s="19">
        <v>43616</v>
      </c>
      <c r="C17" s="19">
        <v>2934</v>
      </c>
      <c r="D17" s="19">
        <v>36000</v>
      </c>
      <c r="E17" s="19">
        <v>7256</v>
      </c>
    </row>
    <row r="18" spans="1:7" x14ac:dyDescent="0.25">
      <c r="A18" s="39">
        <v>2010</v>
      </c>
      <c r="B18" s="19">
        <v>38855</v>
      </c>
      <c r="C18" s="19">
        <v>3644</v>
      </c>
      <c r="D18" s="19">
        <v>31755</v>
      </c>
      <c r="E18" s="19">
        <v>5612</v>
      </c>
    </row>
    <row r="19" spans="1:7" x14ac:dyDescent="0.25">
      <c r="A19" s="39">
        <v>2011</v>
      </c>
      <c r="B19" s="19">
        <v>37313</v>
      </c>
      <c r="C19" s="19">
        <v>1566.8799999999999</v>
      </c>
      <c r="D19" s="19">
        <v>30845.200000000001</v>
      </c>
      <c r="E19" s="19">
        <v>5406</v>
      </c>
    </row>
    <row r="20" spans="1:7" x14ac:dyDescent="0.25">
      <c r="A20" s="39">
        <v>2012</v>
      </c>
      <c r="B20" s="19">
        <v>31537</v>
      </c>
      <c r="C20" s="19">
        <v>510</v>
      </c>
      <c r="D20" s="19">
        <v>23122</v>
      </c>
      <c r="E20" s="19">
        <v>4822</v>
      </c>
    </row>
    <row r="21" spans="1:7" x14ac:dyDescent="0.25">
      <c r="A21" s="39">
        <v>2013</v>
      </c>
      <c r="B21" s="19">
        <v>38727</v>
      </c>
      <c r="C21" s="19">
        <v>3566</v>
      </c>
      <c r="D21" s="19">
        <v>31735</v>
      </c>
      <c r="E21" s="19">
        <v>5206</v>
      </c>
      <c r="G21" s="47"/>
    </row>
    <row r="22" spans="1:7" x14ac:dyDescent="0.25">
      <c r="A22" s="39">
        <v>2014</v>
      </c>
      <c r="B22" s="19">
        <v>37388</v>
      </c>
      <c r="C22" s="19">
        <v>1639</v>
      </c>
      <c r="D22" s="19">
        <v>31001</v>
      </c>
      <c r="E22" s="19">
        <v>5236</v>
      </c>
    </row>
    <row r="23" spans="1:7" x14ac:dyDescent="0.25">
      <c r="A23" s="39">
        <v>2015</v>
      </c>
      <c r="B23" s="19">
        <v>31607</v>
      </c>
      <c r="C23" s="19">
        <v>513</v>
      </c>
      <c r="D23" s="19">
        <v>23151</v>
      </c>
      <c r="E23" s="19">
        <v>3480</v>
      </c>
    </row>
    <row r="24" spans="1:7" x14ac:dyDescent="0.25">
      <c r="A24" s="39">
        <v>2016</v>
      </c>
      <c r="B24" s="19">
        <v>23277</v>
      </c>
      <c r="C24" s="19">
        <v>336</v>
      </c>
      <c r="D24" s="19">
        <v>19503</v>
      </c>
      <c r="E24" s="19">
        <v>1965</v>
      </c>
    </row>
    <row r="25" spans="1:7" x14ac:dyDescent="0.25">
      <c r="A25" s="39">
        <v>2017</v>
      </c>
      <c r="B25" s="19">
        <v>37646</v>
      </c>
      <c r="C25" s="19">
        <v>349</v>
      </c>
      <c r="D25" s="19">
        <v>47203</v>
      </c>
      <c r="E25" s="19">
        <v>3645</v>
      </c>
    </row>
    <row r="26" spans="1:7" x14ac:dyDescent="0.25">
      <c r="A26" s="39">
        <v>2018</v>
      </c>
      <c r="B26" s="19">
        <v>53262</v>
      </c>
      <c r="C26" s="19">
        <v>286</v>
      </c>
      <c r="D26" s="19">
        <v>69743</v>
      </c>
      <c r="E26" s="19">
        <v>4756</v>
      </c>
    </row>
    <row r="27" spans="1:7" x14ac:dyDescent="0.25">
      <c r="A27" s="39">
        <v>2019</v>
      </c>
      <c r="B27" s="19">
        <v>53921</v>
      </c>
      <c r="C27" s="19">
        <v>303</v>
      </c>
      <c r="D27" s="19">
        <v>73237</v>
      </c>
      <c r="E27" s="19">
        <v>4403</v>
      </c>
    </row>
    <row r="28" spans="1:7" x14ac:dyDescent="0.25">
      <c r="A28" s="39">
        <v>2020</v>
      </c>
      <c r="B28" s="19">
        <v>30351</v>
      </c>
      <c r="C28" s="19">
        <v>147</v>
      </c>
      <c r="D28" s="19">
        <v>49079</v>
      </c>
      <c r="E28" s="19">
        <v>2729</v>
      </c>
    </row>
    <row r="29" spans="1:7" x14ac:dyDescent="0.25">
      <c r="A29" s="39">
        <v>2021</v>
      </c>
      <c r="B29" s="19">
        <v>26820</v>
      </c>
      <c r="C29" s="19">
        <v>213</v>
      </c>
      <c r="D29" s="19">
        <v>55586</v>
      </c>
      <c r="E29" s="19">
        <v>3087</v>
      </c>
    </row>
    <row r="30" spans="1:7" x14ac:dyDescent="0.25">
      <c r="A30" s="39">
        <v>2022</v>
      </c>
      <c r="B30" s="19">
        <f>+Données_trimestrielles!B99+Données_trimestrielles!B100+Données_trimestrielles!B101+Données_trimestrielles!B102</f>
        <v>29825</v>
      </c>
      <c r="C30" s="19">
        <f>+Données_trimestrielles!C99+Données_trimestrielles!C100+Données_trimestrielles!C101+Données_trimestrielles!C102</f>
        <v>328</v>
      </c>
      <c r="D30" s="19">
        <f>+Données_trimestrielles!D99+Données_trimestrielles!D100+Données_trimestrielles!D101+Données_trimestrielles!D102</f>
        <v>44625</v>
      </c>
      <c r="E30" s="19">
        <f>+Données_trimestrielles!E99+Données_trimestrielles!E100+Données_trimestrielles!E101+Données_trimestrielles!E102</f>
        <v>4701</v>
      </c>
    </row>
    <row r="31" spans="1:7" x14ac:dyDescent="0.25">
      <c r="A31" s="39">
        <v>2023</v>
      </c>
      <c r="B31" s="19">
        <f>+Données_trimestrielles!B103+Données_trimestrielles!B104+Données_trimestrielles!B105+Données_trimestrielles!B106</f>
        <v>15419</v>
      </c>
      <c r="C31" s="19">
        <f>+Données_trimestrielles!C103+Données_trimestrielles!C104+Données_trimestrielles!C105+Données_trimestrielles!C106</f>
        <v>113</v>
      </c>
      <c r="D31" s="19">
        <f>+Données_trimestrielles!D103+Données_trimestrielles!D104+Données_trimestrielles!D105+Données_trimestrielles!D106</f>
        <v>26250</v>
      </c>
      <c r="E31" s="19">
        <f>+Données_trimestrielles!E103+Données_trimestrielles!E104+Données_trimestrielles!E105+Données_trimestrielles!E106</f>
        <v>3886</v>
      </c>
    </row>
    <row r="32" spans="1:7" x14ac:dyDescent="0.25">
      <c r="A32" s="39">
        <v>2024</v>
      </c>
      <c r="B32" s="19">
        <f>Données_trimestrielles!B107+Données_trimestrielles!B108+Données_trimestrielles!B109+Données_trimestrielles!B110</f>
        <v>11466</v>
      </c>
      <c r="C32" s="19">
        <f>Données_trimestrielles!C107+Données_trimestrielles!C108+Données_trimestrielles!C109+Données_trimestrielles!C110</f>
        <v>19</v>
      </c>
      <c r="D32" s="19">
        <f>Données_trimestrielles!D107+Données_trimestrielles!D108+Données_trimestrielles!D109+Données_trimestrielles!D110</f>
        <v>10972</v>
      </c>
      <c r="E32" s="19">
        <f>Données_trimestrielles!E107+Données_trimestrielles!E108+Données_trimestrielles!E109+Données_trimestrielles!E110</f>
        <v>3358</v>
      </c>
    </row>
    <row r="33" spans="1:5" x14ac:dyDescent="0.25">
      <c r="A33" s="39">
        <v>2025</v>
      </c>
      <c r="B33" s="19">
        <v>38631.428999999996</v>
      </c>
      <c r="C33" s="19">
        <v>98.323999999999998</v>
      </c>
      <c r="D33" s="19">
        <v>63659.54</v>
      </c>
      <c r="E33" s="19">
        <v>4119.6689999999999</v>
      </c>
    </row>
    <row r="34" spans="1:5" x14ac:dyDescent="0.25">
      <c r="A34" s="39"/>
      <c r="B34" s="19"/>
      <c r="C34" s="19"/>
      <c r="D34" s="19"/>
      <c r="E34" s="19"/>
    </row>
    <row r="35" spans="1:5" x14ac:dyDescent="0.25">
      <c r="A35" s="32" t="s">
        <v>5</v>
      </c>
      <c r="B35" s="62"/>
      <c r="C35" s="62"/>
      <c r="D35" s="62"/>
      <c r="E35" s="68"/>
    </row>
    <row r="36" spans="1:5" x14ac:dyDescent="0.25">
      <c r="A36" s="33" t="s">
        <v>8</v>
      </c>
      <c r="B36" s="64"/>
      <c r="C36" s="64"/>
      <c r="D36" s="64"/>
      <c r="E36" s="61"/>
    </row>
    <row r="37" spans="1:5" x14ac:dyDescent="0.25">
      <c r="A37" s="33" t="s">
        <v>6</v>
      </c>
      <c r="B37" s="64"/>
      <c r="C37" s="64"/>
      <c r="D37" s="64"/>
      <c r="E37" s="61"/>
    </row>
    <row r="38" spans="1:5" x14ac:dyDescent="0.25">
      <c r="A38" s="33"/>
      <c r="B38" s="64"/>
      <c r="C38" s="64"/>
      <c r="D38" s="64"/>
      <c r="E38" s="61"/>
    </row>
    <row r="39" spans="1:5" x14ac:dyDescent="0.25">
      <c r="A39" s="34" t="s">
        <v>4</v>
      </c>
      <c r="B39" s="64"/>
      <c r="C39" s="64"/>
      <c r="D39" s="64"/>
      <c r="E39" s="61"/>
    </row>
    <row r="40" spans="1:5" x14ac:dyDescent="0.25">
      <c r="A40" s="35"/>
      <c r="B40" s="69"/>
      <c r="C40" s="69"/>
      <c r="D40" s="70"/>
      <c r="E40" s="71"/>
    </row>
  </sheetData>
  <mergeCells count="5">
    <mergeCell ref="A3:D4"/>
    <mergeCell ref="B5:B6"/>
    <mergeCell ref="C5:C6"/>
    <mergeCell ref="D5:D6"/>
    <mergeCell ref="E5:E6"/>
  </mergeCells>
  <hyperlinks>
    <hyperlink ref="A1" location="Table_de_matière!A1" display="Retour à la table de matièr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NDUWIMANA Bernard</cp:lastModifiedBy>
  <cp:lastPrinted>2014-05-27T09:18:33Z</cp:lastPrinted>
  <dcterms:created xsi:type="dcterms:W3CDTF">2000-08-22T08:22:46Z</dcterms:created>
  <dcterms:modified xsi:type="dcterms:W3CDTF">2026-05-29T12:43:07Z</dcterms:modified>
</cp:coreProperties>
</file>