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675" activeTab="0"/>
  </bookViews>
  <sheets>
    <sheet name="I.5 Français" sheetId="1" r:id="rId1"/>
  </sheets>
  <definedNames>
    <definedName name="_xlnm.Print_Area" localSheetId="0">'I.5 Français'!$A$1:$FH$62</definedName>
    <definedName name="Zone_impres_MI">'I.5 Français'!$HS$1:$IC$65</definedName>
  </definedNames>
  <calcPr fullCalcOnLoad="1"/>
</workbook>
</file>

<file path=xl/sharedStrings.xml><?xml version="1.0" encoding="utf-8"?>
<sst xmlns="http://schemas.openxmlformats.org/spreadsheetml/2006/main" count="610" uniqueCount="88">
  <si>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</si>
  <si>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</si>
  <si>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</si>
  <si>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</si>
  <si>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</si>
  <si>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</si>
  <si>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</si>
  <si>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</si>
  <si>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</si>
  <si>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</si>
  <si>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</si>
  <si>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</si>
  <si>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</si>
  <si>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</si>
  <si>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</si>
  <si>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</si>
  <si>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</si>
  <si>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</si>
  <si>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</si>
  <si>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</si>
  <si>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</si>
  <si>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</si>
  <si>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</si>
  <si>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</si>
  <si>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</si>
  <si>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</si>
  <si>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</si>
  <si>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</si>
  <si>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</si>
  <si>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</si>
  <si>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</si>
  <si>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</si>
  <si>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</si>
  <si>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</si>
  <si>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</si>
  <si>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</si>
  <si>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</si>
  <si>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</si>
  <si>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</si>
  <si>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</si>
  <si>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</si>
  <si>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</si>
  <si>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</si>
  <si>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</si>
  <si>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</si>
  <si>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</si>
  <si>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</si>
  <si>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</si>
  <si>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</si>
  <si>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</si>
  <si>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</si>
  <si>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</si>
  <si>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</si>
  <si>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</si>
  <si>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</si>
  <si>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</si>
  <si>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</si>
  <si>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</si>
  <si>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</si>
  <si>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</si>
  <si>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</si>
  <si>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</si>
  <si>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</si>
  <si>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>Produit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</si>
  <si>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</si>
  <si>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</si>
  <si>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</si>
  <si>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</si>
  <si>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</si>
  <si>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</si>
  <si>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</si>
  <si>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</si>
  <si>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</si>
  <si>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mars</t>
  </si>
  <si>
    <t xml:space="preserve">   Profilés (m) (1)</t>
  </si>
  <si>
    <t>Jan-déc.</t>
  </si>
  <si>
    <t xml:space="preserve">            -</t>
  </si>
  <si>
    <t>Jan-Déc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</si>
  <si>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</si>
  <si>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</si>
  <si>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</si>
  <si>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</si>
  <si>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r>
      <t xml:space="preserve">   Oxygène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</si>
  <si>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 xml:space="preserve">  ð Profilés (m) (1) exprimé en m à partir de 2007 (changement du système informatique)</t>
  </si>
  <si>
    <t>janvier</t>
  </si>
  <si>
    <t>février</t>
  </si>
  <si>
    <t xml:space="preserve">   Mousse (unités)</t>
  </si>
  <si>
    <t>Jan-déc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</si>
</sst>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_-* #,##0.0000\ _F_-;\-* #,##0.0000\ _F_-;_-* &quot;-&quot;??\ _F_-;_-@_-"/>
    <numFmt numFmtId="202" formatCode="_-* #,##0.00000\ _F_-;\-* #,##0.00000\ _F_-;_-* &quot;-&quot;??\ _F_-;_-@_-"/>
    <numFmt numFmtId="203" formatCode="0.00_)"/>
    <numFmt numFmtId="204" formatCode="0.000_)"/>
    <numFmt numFmtId="205" formatCode="0.0000_)"/>
    <numFmt numFmtId="206" formatCode="0.0"/>
    <numFmt numFmtId="207" formatCode="_-* #,##0.000000\ _F_-;\-* #,##0.000000\ _F_-;_-* &quot;-&quot;??\ _F_-;_-@_-"/>
    <numFmt numFmtId="208" formatCode="#,##0.000000000"/>
    <numFmt numFmtId="209" formatCode="#,##0.000_);\(#,##0.000\)"/>
    <numFmt numFmtId="210" formatCode="#,##0.0000_);\(#,##0.0000\)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  <numFmt numFmtId="214" formatCode="#,##0.00_ ;\-#,##0.00\ "/>
    <numFmt numFmtId="215" formatCode="#,##0.000_ ;\-#,##0.000\ "/>
  </numFmts>
  <fonts count="5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sz val="14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17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 horizontal="right"/>
    </xf>
    <xf numFmtId="190" fontId="0" fillId="0" borderId="10" xfId="0" applyBorder="1" applyAlignment="1">
      <alignment/>
    </xf>
    <xf numFmtId="190" fontId="0" fillId="0" borderId="11" xfId="0" applyBorder="1" applyAlignment="1">
      <alignment/>
    </xf>
    <xf numFmtId="190" fontId="0" fillId="0" borderId="12" xfId="0" applyBorder="1" applyAlignment="1">
      <alignment/>
    </xf>
    <xf numFmtId="190" fontId="0" fillId="0" borderId="13" xfId="0" applyBorder="1" applyAlignment="1">
      <alignment/>
    </xf>
    <xf numFmtId="190" fontId="6" fillId="0" borderId="0" xfId="0" applyFont="1" applyBorder="1" applyAlignment="1">
      <alignment horizontal="right"/>
    </xf>
    <xf numFmtId="190" fontId="6" fillId="0" borderId="10" xfId="0" applyFont="1" applyBorder="1" applyAlignment="1">
      <alignment horizontal="right"/>
    </xf>
    <xf numFmtId="190" fontId="0" fillId="0" borderId="0" xfId="0" applyFill="1" applyAlignment="1">
      <alignment/>
    </xf>
    <xf numFmtId="190" fontId="9" fillId="0" borderId="0" xfId="0" applyFont="1" applyBorder="1" applyAlignment="1">
      <alignment/>
    </xf>
    <xf numFmtId="190" fontId="9" fillId="0" borderId="14" xfId="0" applyFont="1" applyBorder="1" applyAlignment="1">
      <alignment/>
    </xf>
    <xf numFmtId="3" fontId="9" fillId="0" borderId="0" xfId="0" applyNumberFormat="1" applyFont="1" applyBorder="1" applyAlignment="1">
      <alignment/>
    </xf>
    <xf numFmtId="190" fontId="9" fillId="0" borderId="11" xfId="0" applyFont="1" applyBorder="1" applyAlignment="1">
      <alignment/>
    </xf>
    <xf numFmtId="190" fontId="9" fillId="0" borderId="0" xfId="0" applyFont="1" applyBorder="1" applyAlignment="1">
      <alignment horizontal="left"/>
    </xf>
    <xf numFmtId="190" fontId="9" fillId="0" borderId="0" xfId="0" applyFont="1" applyBorder="1" applyAlignment="1">
      <alignment horizontal="fill"/>
    </xf>
    <xf numFmtId="190" fontId="9" fillId="0" borderId="14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190" fontId="9" fillId="0" borderId="15" xfId="0" applyFont="1" applyBorder="1" applyAlignment="1">
      <alignment horizontal="fill"/>
    </xf>
    <xf numFmtId="190" fontId="9" fillId="0" borderId="11" xfId="0" applyFont="1" applyBorder="1" applyAlignment="1">
      <alignment horizontal="fill"/>
    </xf>
    <xf numFmtId="190" fontId="27" fillId="0" borderId="11" xfId="0" applyFont="1" applyBorder="1" applyAlignment="1">
      <alignment horizontal="fill"/>
    </xf>
    <xf numFmtId="190" fontId="28" fillId="0" borderId="11" xfId="0" applyFont="1" applyBorder="1" applyAlignment="1">
      <alignment horizontal="right"/>
    </xf>
    <xf numFmtId="190" fontId="28" fillId="0" borderId="11" xfId="0" applyFont="1" applyBorder="1" applyAlignment="1">
      <alignment/>
    </xf>
    <xf numFmtId="190" fontId="28" fillId="0" borderId="16" xfId="0" applyFont="1" applyBorder="1" applyAlignment="1">
      <alignment/>
    </xf>
    <xf numFmtId="190" fontId="28" fillId="0" borderId="17" xfId="0" applyFont="1" applyBorder="1" applyAlignment="1">
      <alignment/>
    </xf>
    <xf numFmtId="190" fontId="28" fillId="0" borderId="0" xfId="0" applyFont="1" applyBorder="1" applyAlignment="1">
      <alignment/>
    </xf>
    <xf numFmtId="190" fontId="9" fillId="0" borderId="10" xfId="0" applyFont="1" applyBorder="1" applyAlignment="1">
      <alignment/>
    </xf>
    <xf numFmtId="190" fontId="9" fillId="0" borderId="17" xfId="0" applyFont="1" applyBorder="1" applyAlignment="1">
      <alignment horizontal="right"/>
    </xf>
    <xf numFmtId="190" fontId="29" fillId="0" borderId="0" xfId="0" applyFont="1" applyBorder="1" applyAlignment="1">
      <alignment/>
    </xf>
    <xf numFmtId="190" fontId="9" fillId="33" borderId="0" xfId="0" applyFont="1" applyFill="1" applyBorder="1" applyAlignment="1">
      <alignment/>
    </xf>
    <xf numFmtId="190" fontId="29" fillId="33" borderId="0" xfId="0" applyFont="1" applyFill="1" applyBorder="1" applyAlignment="1">
      <alignment/>
    </xf>
    <xf numFmtId="190" fontId="29" fillId="0" borderId="0" xfId="0" applyFont="1" applyBorder="1" applyAlignment="1">
      <alignment horizontal="center"/>
    </xf>
    <xf numFmtId="190" fontId="29" fillId="0" borderId="0" xfId="0" applyFont="1" applyBorder="1" applyAlignment="1">
      <alignment horizontal="right"/>
    </xf>
    <xf numFmtId="190" fontId="28" fillId="0" borderId="0" xfId="0" applyFont="1" applyBorder="1" applyAlignment="1">
      <alignment horizontal="right"/>
    </xf>
    <xf numFmtId="187" fontId="9" fillId="0" borderId="0" xfId="47" applyFont="1" applyBorder="1" applyAlignment="1">
      <alignment/>
    </xf>
    <xf numFmtId="190" fontId="30" fillId="0" borderId="17" xfId="0" applyFont="1" applyBorder="1" applyAlignment="1">
      <alignment horizontal="left"/>
    </xf>
    <xf numFmtId="190" fontId="30" fillId="0" borderId="0" xfId="0" applyFont="1" applyBorder="1" applyAlignment="1">
      <alignment horizontal="left"/>
    </xf>
    <xf numFmtId="190" fontId="31" fillId="0" borderId="0" xfId="0" applyFont="1" applyBorder="1" applyAlignment="1">
      <alignment/>
    </xf>
    <xf numFmtId="190" fontId="31" fillId="33" borderId="0" xfId="0" applyFont="1" applyFill="1" applyBorder="1" applyAlignment="1">
      <alignment/>
    </xf>
    <xf numFmtId="190" fontId="9" fillId="0" borderId="18" xfId="0" applyFont="1" applyBorder="1" applyAlignment="1">
      <alignment horizontal="fill"/>
    </xf>
    <xf numFmtId="190" fontId="9" fillId="0" borderId="14" xfId="0" applyFont="1" applyBorder="1" applyAlignment="1">
      <alignment horizontal="fill"/>
    </xf>
    <xf numFmtId="190" fontId="9" fillId="0" borderId="19" xfId="0" applyFont="1" applyBorder="1" applyAlignment="1">
      <alignment/>
    </xf>
    <xf numFmtId="190" fontId="9" fillId="0" borderId="13" xfId="0" applyFont="1" applyBorder="1" applyAlignment="1">
      <alignment horizontal="right"/>
    </xf>
    <xf numFmtId="190" fontId="9" fillId="0" borderId="0" xfId="0" applyFont="1" applyBorder="1" applyAlignment="1">
      <alignment horizontal="right"/>
    </xf>
    <xf numFmtId="190" fontId="9" fillId="0" borderId="13" xfId="0" applyFont="1" applyBorder="1" applyAlignment="1">
      <alignment/>
    </xf>
    <xf numFmtId="190" fontId="9" fillId="0" borderId="12" xfId="0" applyFont="1" applyBorder="1" applyAlignment="1">
      <alignment/>
    </xf>
    <xf numFmtId="190" fontId="9" fillId="33" borderId="12" xfId="0" applyFont="1" applyFill="1" applyBorder="1" applyAlignment="1">
      <alignment/>
    </xf>
    <xf numFmtId="190" fontId="9" fillId="0" borderId="16" xfId="0" applyFont="1" applyBorder="1" applyAlignment="1">
      <alignment/>
    </xf>
    <xf numFmtId="190" fontId="9" fillId="0" borderId="15" xfId="0" applyFont="1" applyBorder="1" applyAlignment="1">
      <alignment/>
    </xf>
    <xf numFmtId="190" fontId="9" fillId="0" borderId="16" xfId="0" applyFont="1" applyBorder="1" applyAlignment="1">
      <alignment/>
    </xf>
    <xf numFmtId="190" fontId="9" fillId="0" borderId="15" xfId="0" applyFont="1" applyBorder="1" applyAlignment="1">
      <alignment/>
    </xf>
    <xf numFmtId="190" fontId="9" fillId="0" borderId="11" xfId="0" applyFont="1" applyBorder="1" applyAlignment="1">
      <alignment/>
    </xf>
    <xf numFmtId="190" fontId="9" fillId="0" borderId="17" xfId="0" applyFont="1" applyBorder="1" applyAlignment="1" quotePrefix="1">
      <alignment horizontal="right"/>
    </xf>
    <xf numFmtId="190" fontId="9" fillId="0" borderId="10" xfId="0" applyFont="1" applyBorder="1" applyAlignment="1">
      <alignment/>
    </xf>
    <xf numFmtId="190" fontId="9" fillId="0" borderId="18" xfId="0" applyFont="1" applyBorder="1" applyAlignment="1">
      <alignment horizontal="right"/>
    </xf>
    <xf numFmtId="190" fontId="9" fillId="0" borderId="14" xfId="0" applyFont="1" applyBorder="1" applyAlignment="1">
      <alignment horizontal="right"/>
    </xf>
    <xf numFmtId="190" fontId="9" fillId="0" borderId="14" xfId="0" applyFont="1" applyBorder="1" applyAlignment="1">
      <alignment/>
    </xf>
    <xf numFmtId="190" fontId="9" fillId="0" borderId="18" xfId="0" applyFont="1" applyBorder="1" applyAlignment="1">
      <alignment/>
    </xf>
    <xf numFmtId="190" fontId="9" fillId="0" borderId="13" xfId="0" applyFont="1" applyBorder="1" applyAlignment="1">
      <alignment horizontal="center"/>
    </xf>
    <xf numFmtId="190" fontId="9" fillId="0" borderId="20" xfId="0" applyFont="1" applyBorder="1" applyAlignment="1">
      <alignment/>
    </xf>
    <xf numFmtId="190" fontId="9" fillId="0" borderId="20" xfId="0" applyFont="1" applyBorder="1" applyAlignment="1">
      <alignment horizontal="fill"/>
    </xf>
    <xf numFmtId="190" fontId="9" fillId="0" borderId="19" xfId="0" applyFont="1" applyBorder="1" applyAlignment="1">
      <alignment horizontal="fill"/>
    </xf>
    <xf numFmtId="190" fontId="28" fillId="0" borderId="20" xfId="0" applyFont="1" applyBorder="1" applyAlignment="1">
      <alignment horizontal="fill"/>
    </xf>
    <xf numFmtId="190" fontId="9" fillId="0" borderId="17" xfId="0" applyFont="1" applyBorder="1" applyAlignment="1">
      <alignment/>
    </xf>
    <xf numFmtId="190" fontId="9" fillId="0" borderId="13" xfId="0" applyFont="1" applyBorder="1" applyAlignment="1">
      <alignment horizontal="left"/>
    </xf>
    <xf numFmtId="3" fontId="9" fillId="0" borderId="17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90" fontId="9" fillId="0" borderId="13" xfId="0" applyNumberFormat="1" applyFont="1" applyBorder="1" applyAlignment="1">
      <alignment/>
    </xf>
    <xf numFmtId="3" fontId="9" fillId="0" borderId="0" xfId="47" applyNumberFormat="1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192" fontId="9" fillId="0" borderId="0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 applyProtection="1">
      <alignment/>
      <protection/>
    </xf>
    <xf numFmtId="3" fontId="9" fillId="0" borderId="13" xfId="47" applyNumberFormat="1" applyFont="1" applyBorder="1" applyAlignment="1" applyProtection="1">
      <alignment/>
      <protection/>
    </xf>
    <xf numFmtId="3" fontId="9" fillId="0" borderId="10" xfId="47" applyNumberFormat="1" applyFont="1" applyFill="1" applyBorder="1" applyAlignment="1" applyProtection="1">
      <alignment/>
      <protection/>
    </xf>
    <xf numFmtId="3" fontId="9" fillId="0" borderId="10" xfId="47" applyNumberFormat="1" applyFont="1" applyBorder="1" applyAlignment="1" applyProtection="1">
      <alignment/>
      <protection/>
    </xf>
    <xf numFmtId="3" fontId="9" fillId="0" borderId="13" xfId="47" applyNumberFormat="1" applyFont="1" applyBorder="1" applyAlignment="1" applyProtection="1">
      <alignment/>
      <protection/>
    </xf>
    <xf numFmtId="3" fontId="9" fillId="0" borderId="13" xfId="47" applyNumberFormat="1" applyFont="1" applyFill="1" applyBorder="1" applyAlignment="1" applyProtection="1">
      <alignment/>
      <protection/>
    </xf>
    <xf numFmtId="3" fontId="9" fillId="0" borderId="13" xfId="47" applyNumberFormat="1" applyFont="1" applyBorder="1" applyAlignment="1">
      <alignment/>
    </xf>
    <xf numFmtId="3" fontId="9" fillId="0" borderId="13" xfId="47" applyNumberFormat="1" applyFont="1" applyFill="1" applyBorder="1" applyAlignment="1">
      <alignment/>
    </xf>
    <xf numFmtId="3" fontId="9" fillId="0" borderId="13" xfId="47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10" xfId="47" applyNumberFormat="1" applyFont="1" applyBorder="1" applyAlignment="1">
      <alignment/>
    </xf>
    <xf numFmtId="3" fontId="9" fillId="0" borderId="13" xfId="47" applyNumberFormat="1" applyFont="1" applyBorder="1" applyAlignment="1">
      <alignment/>
    </xf>
    <xf numFmtId="3" fontId="9" fillId="0" borderId="13" xfId="47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47" applyNumberFormat="1" applyFont="1" applyBorder="1" applyAlignment="1">
      <alignment/>
    </xf>
    <xf numFmtId="3" fontId="9" fillId="0" borderId="13" xfId="47" applyNumberFormat="1" applyFont="1" applyFill="1" applyBorder="1" applyAlignment="1">
      <alignment/>
    </xf>
    <xf numFmtId="37" fontId="9" fillId="0" borderId="0" xfId="0" applyNumberFormat="1" applyFont="1" applyBorder="1" applyAlignment="1" applyProtection="1">
      <alignment horizontal="right"/>
      <protection/>
    </xf>
    <xf numFmtId="3" fontId="9" fillId="0" borderId="13" xfId="47" applyNumberFormat="1" applyFont="1" applyBorder="1" applyAlignment="1" applyProtection="1">
      <alignment horizontal="left"/>
      <protection/>
    </xf>
    <xf numFmtId="3" fontId="9" fillId="0" borderId="13" xfId="47" applyNumberFormat="1" applyFont="1" applyBorder="1" applyAlignment="1" applyProtection="1">
      <alignment horizontal="center"/>
      <protection/>
    </xf>
    <xf numFmtId="3" fontId="9" fillId="0" borderId="10" xfId="47" applyNumberFormat="1" applyFont="1" applyBorder="1" applyAlignment="1" applyProtection="1">
      <alignment horizontal="center"/>
      <protection/>
    </xf>
    <xf numFmtId="3" fontId="9" fillId="0" borderId="10" xfId="47" applyNumberFormat="1" applyFont="1" applyBorder="1" applyAlignment="1" applyProtection="1">
      <alignment horizontal="left"/>
      <protection/>
    </xf>
    <xf numFmtId="3" fontId="32" fillId="0" borderId="10" xfId="47" applyNumberFormat="1" applyFont="1" applyBorder="1" applyAlignment="1" applyProtection="1">
      <alignment horizontal="center"/>
      <protection/>
    </xf>
    <xf numFmtId="192" fontId="9" fillId="0" borderId="0" xfId="47" applyNumberFormat="1" applyFont="1" applyBorder="1" applyAlignment="1" applyProtection="1">
      <alignment horizontal="center"/>
      <protection/>
    </xf>
    <xf numFmtId="3" fontId="9" fillId="0" borderId="0" xfId="47" applyNumberFormat="1" applyFont="1" applyBorder="1" applyAlignment="1" applyProtection="1">
      <alignment horizontal="center"/>
      <protection/>
    </xf>
    <xf numFmtId="3" fontId="9" fillId="0" borderId="13" xfId="47" applyNumberFormat="1" applyFont="1" applyBorder="1" applyAlignment="1" applyProtection="1">
      <alignment horizontal="right"/>
      <protection/>
    </xf>
    <xf numFmtId="3" fontId="9" fillId="0" borderId="0" xfId="47" applyNumberFormat="1" applyFont="1" applyBorder="1" applyAlignment="1" applyProtection="1">
      <alignment horizontal="right"/>
      <protection/>
    </xf>
    <xf numFmtId="3" fontId="9" fillId="0" borderId="10" xfId="47" applyNumberFormat="1" applyFont="1" applyBorder="1" applyAlignment="1" applyProtection="1">
      <alignment horizontal="right"/>
      <protection/>
    </xf>
    <xf numFmtId="3" fontId="9" fillId="0" borderId="10" xfId="47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9" fillId="0" borderId="17" xfId="0" applyNumberFormat="1" applyFont="1" applyFill="1" applyBorder="1" applyAlignment="1">
      <alignment/>
    </xf>
    <xf numFmtId="3" fontId="9" fillId="0" borderId="13" xfId="47" applyNumberFormat="1" applyFont="1" applyFill="1" applyBorder="1" applyAlignment="1" applyProtection="1">
      <alignment/>
      <protection/>
    </xf>
    <xf numFmtId="49" fontId="9" fillId="0" borderId="13" xfId="0" applyNumberFormat="1" applyFont="1" applyBorder="1" applyAlignment="1">
      <alignment horizontal="left"/>
    </xf>
    <xf numFmtId="3" fontId="9" fillId="34" borderId="10" xfId="0" applyNumberFormat="1" applyFont="1" applyFill="1" applyBorder="1" applyAlignment="1" applyProtection="1">
      <alignment horizontal="right" wrapText="1"/>
      <protection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28" fillId="0" borderId="13" xfId="47" applyNumberFormat="1" applyFont="1" applyBorder="1" applyAlignment="1" applyProtection="1">
      <alignment horizontal="left"/>
      <protection/>
    </xf>
    <xf numFmtId="3" fontId="9" fillId="35" borderId="13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9" fillId="36" borderId="17" xfId="0" applyNumberFormat="1" applyFont="1" applyFill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91" fontId="9" fillId="0" borderId="0" xfId="47" applyNumberFormat="1" applyFont="1" applyBorder="1" applyAlignment="1" applyProtection="1">
      <alignment/>
      <protection/>
    </xf>
    <xf numFmtId="3" fontId="9" fillId="0" borderId="13" xfId="0" applyNumberFormat="1" applyFont="1" applyBorder="1" applyAlignment="1">
      <alignment horizontal="left"/>
    </xf>
    <xf numFmtId="37" fontId="9" fillId="0" borderId="13" xfId="0" applyNumberFormat="1" applyFont="1" applyFill="1" applyBorder="1" applyAlignment="1">
      <alignment/>
    </xf>
    <xf numFmtId="3" fontId="9" fillId="0" borderId="10" xfId="47" applyNumberFormat="1" applyFont="1" applyFill="1" applyBorder="1" applyAlignment="1">
      <alignment/>
    </xf>
    <xf numFmtId="194" fontId="9" fillId="0" borderId="13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 applyProtection="1">
      <alignment horizontal="left"/>
      <protection/>
    </xf>
    <xf numFmtId="3" fontId="9" fillId="0" borderId="13" xfId="47" applyNumberFormat="1" applyFont="1" applyFill="1" applyBorder="1" applyAlignment="1" applyProtection="1">
      <alignment horizontal="right"/>
      <protection/>
    </xf>
    <xf numFmtId="190" fontId="9" fillId="0" borderId="13" xfId="0" applyFont="1" applyFill="1" applyBorder="1" applyAlignment="1">
      <alignment/>
    </xf>
    <xf numFmtId="190" fontId="9" fillId="0" borderId="0" xfId="0" applyFont="1" applyFill="1" applyAlignment="1">
      <alignment/>
    </xf>
    <xf numFmtId="3" fontId="9" fillId="0" borderId="17" xfId="47" applyNumberFormat="1" applyFont="1" applyBorder="1" applyAlignment="1" applyProtection="1">
      <alignment horizontal="center"/>
      <protection/>
    </xf>
    <xf numFmtId="3" fontId="9" fillId="0" borderId="13" xfId="47" applyNumberFormat="1" applyFont="1" applyFill="1" applyBorder="1" applyAlignment="1" applyProtection="1">
      <alignment horizontal="center"/>
      <protection/>
    </xf>
    <xf numFmtId="3" fontId="33" fillId="0" borderId="10" xfId="47" applyNumberFormat="1" applyFont="1" applyBorder="1" applyAlignment="1" applyProtection="1">
      <alignment horizontal="left"/>
      <protection/>
    </xf>
    <xf numFmtId="3" fontId="33" fillId="0" borderId="13" xfId="47" applyNumberFormat="1" applyFont="1" applyBorder="1" applyAlignment="1" applyProtection="1">
      <alignment horizontal="left"/>
      <protection/>
    </xf>
    <xf numFmtId="3" fontId="9" fillId="35" borderId="13" xfId="47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" fontId="9" fillId="0" borderId="20" xfId="47" applyNumberFormat="1" applyFont="1" applyBorder="1" applyAlignment="1" applyProtection="1">
      <alignment/>
      <protection/>
    </xf>
    <xf numFmtId="3" fontId="9" fillId="0" borderId="19" xfId="47" applyNumberFormat="1" applyFont="1" applyBorder="1" applyAlignment="1" applyProtection="1">
      <alignment/>
      <protection/>
    </xf>
    <xf numFmtId="190" fontId="9" fillId="0" borderId="13" xfId="0" applyFont="1" applyBorder="1" applyAlignment="1">
      <alignment horizontal="fill"/>
    </xf>
    <xf numFmtId="37" fontId="9" fillId="0" borderId="0" xfId="0" applyNumberFormat="1" applyFont="1" applyBorder="1" applyAlignment="1" applyProtection="1">
      <alignment horizontal="fill"/>
      <protection/>
    </xf>
    <xf numFmtId="3" fontId="9" fillId="0" borderId="0" xfId="0" applyNumberFormat="1" applyFont="1" applyBorder="1" applyAlignment="1" applyProtection="1">
      <alignment horizontal="fill"/>
      <protection/>
    </xf>
    <xf numFmtId="3" fontId="9" fillId="0" borderId="13" xfId="0" applyNumberFormat="1" applyFont="1" applyBorder="1" applyAlignment="1" applyProtection="1">
      <alignment horizontal="fill"/>
      <protection/>
    </xf>
    <xf numFmtId="3" fontId="9" fillId="0" borderId="13" xfId="0" applyNumberFormat="1" applyFont="1" applyBorder="1" applyAlignment="1">
      <alignment horizontal="fill"/>
    </xf>
    <xf numFmtId="3" fontId="9" fillId="0" borderId="10" xfId="0" applyNumberFormat="1" applyFont="1" applyBorder="1" applyAlignment="1">
      <alignment horizontal="fill"/>
    </xf>
    <xf numFmtId="3" fontId="9" fillId="0" borderId="13" xfId="47" applyNumberFormat="1" applyFont="1" applyBorder="1" applyAlignment="1">
      <alignment horizontal="fill"/>
    </xf>
    <xf numFmtId="3" fontId="9" fillId="0" borderId="10" xfId="0" applyNumberFormat="1" applyFont="1" applyBorder="1" applyAlignment="1" applyProtection="1">
      <alignment horizontal="fill"/>
      <protection/>
    </xf>
    <xf numFmtId="37" fontId="9" fillId="0" borderId="11" xfId="0" applyNumberFormat="1" applyFont="1" applyBorder="1" applyAlignment="1" applyProtection="1">
      <alignment/>
      <protection/>
    </xf>
    <xf numFmtId="3" fontId="9" fillId="0" borderId="11" xfId="47" applyNumberFormat="1" applyFont="1" applyBorder="1" applyAlignment="1">
      <alignment/>
    </xf>
    <xf numFmtId="190" fontId="9" fillId="0" borderId="17" xfId="0" applyFont="1" applyBorder="1" applyAlignment="1">
      <alignment horizontal="left"/>
    </xf>
    <xf numFmtId="37" fontId="9" fillId="0" borderId="14" xfId="0" applyNumberFormat="1" applyFont="1" applyBorder="1" applyAlignment="1" applyProtection="1">
      <alignment horizontal="fill"/>
      <protection/>
    </xf>
    <xf numFmtId="37" fontId="9" fillId="0" borderId="19" xfId="0" applyNumberFormat="1" applyFont="1" applyBorder="1" applyAlignment="1" applyProtection="1">
      <alignment horizontal="fill"/>
      <protection/>
    </xf>
    <xf numFmtId="190" fontId="9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190" fontId="28" fillId="0" borderId="13" xfId="0" applyFont="1" applyBorder="1" applyAlignment="1">
      <alignment horizontal="left"/>
    </xf>
    <xf numFmtId="190" fontId="28" fillId="0" borderId="0" xfId="0" applyFont="1" applyAlignment="1">
      <alignment/>
    </xf>
    <xf numFmtId="41" fontId="9" fillId="0" borderId="13" xfId="0" applyNumberFormat="1" applyFont="1" applyFill="1" applyBorder="1" applyAlignment="1">
      <alignment/>
    </xf>
    <xf numFmtId="190" fontId="9" fillId="0" borderId="0" xfId="0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41" fontId="9" fillId="0" borderId="1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195" fontId="9" fillId="0" borderId="13" xfId="0" applyNumberFormat="1" applyFont="1" applyBorder="1" applyAlignment="1">
      <alignment/>
    </xf>
    <xf numFmtId="190" fontId="0" fillId="0" borderId="15" xfId="0" applyBorder="1" applyAlignment="1">
      <alignment horizontal="center"/>
    </xf>
    <xf numFmtId="190" fontId="9" fillId="0" borderId="14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8" xfId="0" applyFont="1" applyBorder="1" applyAlignment="1">
      <alignment horizontal="center"/>
    </xf>
    <xf numFmtId="190" fontId="9" fillId="0" borderId="0" xfId="0" applyFont="1" applyBorder="1" applyAlignment="1">
      <alignment horizontal="center"/>
    </xf>
    <xf numFmtId="190" fontId="9" fillId="0" borderId="0" xfId="0" applyFont="1" applyBorder="1" applyAlignment="1">
      <alignment/>
    </xf>
    <xf numFmtId="190" fontId="9" fillId="0" borderId="12" xfId="0" applyFont="1" applyBorder="1" applyAlignment="1">
      <alignment horizontal="center"/>
    </xf>
    <xf numFmtId="190" fontId="9" fillId="0" borderId="20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3" fontId="9" fillId="0" borderId="13" xfId="47" applyNumberFormat="1" applyFont="1" applyFill="1" applyBorder="1" applyAlignment="1" applyProtection="1">
      <alignment horizontal="left"/>
      <protection/>
    </xf>
    <xf numFmtId="190" fontId="28" fillId="0" borderId="13" xfId="0" applyFont="1" applyBorder="1" applyAlignment="1">
      <alignment horizontal="right"/>
    </xf>
    <xf numFmtId="190" fontId="28" fillId="0" borderId="20" xfId="0" applyFont="1" applyBorder="1" applyAlignment="1">
      <alignment/>
    </xf>
    <xf numFmtId="190" fontId="28" fillId="0" borderId="17" xfId="0" applyFont="1" applyBorder="1" applyAlignment="1">
      <alignment horizontal="left"/>
    </xf>
    <xf numFmtId="190" fontId="9" fillId="0" borderId="16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41" fontId="9" fillId="35" borderId="13" xfId="0" applyNumberFormat="1" applyFont="1" applyFill="1" applyBorder="1" applyAlignment="1">
      <alignment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28" fillId="0" borderId="11" xfId="0" applyFont="1" applyFill="1" applyBorder="1" applyAlignment="1">
      <alignment/>
    </xf>
    <xf numFmtId="190" fontId="9" fillId="0" borderId="14" xfId="0" applyFont="1" applyFill="1" applyBorder="1" applyAlignment="1">
      <alignment/>
    </xf>
    <xf numFmtId="190" fontId="9" fillId="0" borderId="16" xfId="0" applyFont="1" applyFill="1" applyBorder="1" applyAlignment="1">
      <alignment horizontal="center"/>
    </xf>
    <xf numFmtId="190" fontId="9" fillId="0" borderId="20" xfId="0" applyFont="1" applyFill="1" applyBorder="1" applyAlignment="1">
      <alignment horizontal="fill"/>
    </xf>
    <xf numFmtId="190" fontId="9" fillId="0" borderId="12" xfId="0" applyFont="1" applyFill="1" applyBorder="1" applyAlignment="1">
      <alignment/>
    </xf>
    <xf numFmtId="190" fontId="0" fillId="0" borderId="13" xfId="0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90" fontId="9" fillId="0" borderId="11" xfId="0" applyFont="1" applyFill="1" applyBorder="1" applyAlignment="1">
      <alignment/>
    </xf>
    <xf numFmtId="37" fontId="9" fillId="0" borderId="14" xfId="0" applyNumberFormat="1" applyFont="1" applyFill="1" applyBorder="1" applyAlignment="1" applyProtection="1">
      <alignment horizontal="fill"/>
      <protection/>
    </xf>
    <xf numFmtId="190" fontId="9" fillId="0" borderId="12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20" xfId="0" applyFont="1" applyBorder="1" applyAlignment="1">
      <alignment horizontal="center"/>
    </xf>
    <xf numFmtId="190" fontId="9" fillId="0" borderId="15" xfId="0" applyFont="1" applyBorder="1" applyAlignment="1">
      <alignment horizontal="center"/>
    </xf>
    <xf numFmtId="190" fontId="9" fillId="0" borderId="11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8" xfId="0" applyFont="1" applyBorder="1" applyAlignment="1">
      <alignment horizontal="center"/>
    </xf>
    <xf numFmtId="190" fontId="9" fillId="0" borderId="14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190" fontId="28" fillId="0" borderId="16" xfId="0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</xdr:col>
      <xdr:colOff>0</xdr:colOff>
      <xdr:row>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1076325"/>
          <a:ext cx="3448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514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M99"/>
  <sheetViews>
    <sheetView showGridLines="0" tabSelected="1" zoomScalePageLayoutView="0" workbookViewId="0" topLeftCell="A1">
      <pane xSplit="27" ySplit="9" topLeftCell="AD13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FJ8" sqref="FJ8"/>
    </sheetView>
  </sheetViews>
  <sheetFormatPr defaultColWidth="9.88671875" defaultRowHeight="15.75"/>
  <cols>
    <col min="1" max="1" width="40.5546875" style="0" customWidth="1"/>
    <col min="2" max="2" width="12.99609375" style="0" hidden="1" customWidth="1"/>
    <col min="3" max="12" width="12.6640625" style="0" hidden="1" customWidth="1"/>
    <col min="13" max="14" width="9.99609375" style="0" hidden="1" customWidth="1"/>
    <col min="15" max="19" width="9.88671875" style="0" hidden="1" customWidth="1"/>
    <col min="20" max="26" width="9.99609375" style="0" hidden="1" customWidth="1"/>
    <col min="27" max="27" width="7.88671875" style="0" hidden="1" customWidth="1"/>
    <col min="28" max="28" width="9.3359375" style="0" hidden="1" customWidth="1"/>
    <col min="29" max="29" width="9.77734375" style="0" hidden="1" customWidth="1"/>
    <col min="30" max="30" width="10.4453125" style="0" bestFit="1" customWidth="1"/>
    <col min="31" max="34" width="9.88671875" style="0" customWidth="1"/>
    <col min="35" max="35" width="9.77734375" style="0" hidden="1" customWidth="1"/>
    <col min="36" max="37" width="9.99609375" style="0" hidden="1" customWidth="1"/>
    <col min="38" max="42" width="9.88671875" style="0" hidden="1" customWidth="1"/>
    <col min="43" max="43" width="10.88671875" style="0" hidden="1" customWidth="1"/>
    <col min="44" max="45" width="9.99609375" style="0" hidden="1" customWidth="1"/>
    <col min="46" max="47" width="9.77734375" style="0" hidden="1" customWidth="1"/>
    <col min="48" max="48" width="9.6640625" style="0" hidden="1" customWidth="1"/>
    <col min="49" max="49" width="10.10546875" style="0" hidden="1" customWidth="1"/>
    <col min="50" max="53" width="9.77734375" style="0" hidden="1" customWidth="1"/>
    <col min="54" max="54" width="9.88671875" style="0" hidden="1" customWidth="1"/>
    <col min="55" max="55" width="10.21484375" style="0" hidden="1" customWidth="1"/>
    <col min="56" max="56" width="9.99609375" style="0" hidden="1" customWidth="1"/>
    <col min="57" max="58" width="9.6640625" style="0" hidden="1" customWidth="1"/>
    <col min="59" max="63" width="9.99609375" style="0" hidden="1" customWidth="1"/>
    <col min="64" max="94" width="9.88671875" style="0" hidden="1" customWidth="1"/>
    <col min="95" max="97" width="8.88671875" style="0" hidden="1" customWidth="1"/>
    <col min="98" max="111" width="10.77734375" style="0" hidden="1" customWidth="1"/>
    <col min="112" max="119" width="11.3359375" style="0" hidden="1" customWidth="1"/>
    <col min="120" max="120" width="8.4453125" style="0" hidden="1" customWidth="1"/>
    <col min="121" max="123" width="11.3359375" style="0" hidden="1" customWidth="1"/>
    <col min="124" max="124" width="8.77734375" style="0" hidden="1" customWidth="1"/>
    <col min="125" max="125" width="8.6640625" style="0" hidden="1" customWidth="1"/>
    <col min="126" max="132" width="11.3359375" style="0" hidden="1" customWidth="1"/>
    <col min="133" max="136" width="8.4453125" style="0" hidden="1" customWidth="1"/>
    <col min="137" max="137" width="10.5546875" style="0" hidden="1" customWidth="1"/>
    <col min="138" max="138" width="9.3359375" style="0" hidden="1" customWidth="1"/>
    <col min="139" max="141" width="10.5546875" style="0" hidden="1" customWidth="1"/>
    <col min="142" max="149" width="10.3359375" style="0" hidden="1" customWidth="1"/>
    <col min="150" max="150" width="9.3359375" style="0" hidden="1" customWidth="1"/>
    <col min="151" max="151" width="9.3359375" style="0" customWidth="1"/>
    <col min="152" max="158" width="9.3359375" style="0" hidden="1" customWidth="1"/>
    <col min="159" max="162" width="9.3359375" style="10" hidden="1" customWidth="1"/>
    <col min="163" max="163" width="9.3359375" style="0" hidden="1" customWidth="1"/>
    <col min="164" max="164" width="9.3359375" style="0" customWidth="1"/>
  </cols>
  <sheetData>
    <row r="1" spans="1:164" ht="15.7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4"/>
      <c r="AD1" s="14"/>
      <c r="AE1" s="14"/>
      <c r="AF1" s="14"/>
      <c r="AG1" s="14"/>
      <c r="AH1" s="14"/>
      <c r="AI1" s="20"/>
      <c r="AJ1" s="21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2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22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5"/>
      <c r="EH1" s="23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23"/>
      <c r="EU1" s="23"/>
      <c r="EV1" s="23"/>
      <c r="EW1" s="23"/>
      <c r="EX1" s="23"/>
      <c r="EY1" s="23"/>
      <c r="EZ1" s="23"/>
      <c r="FA1" s="23"/>
      <c r="FB1" s="23"/>
      <c r="FC1" s="191"/>
      <c r="FD1" s="191"/>
      <c r="FE1" s="191"/>
      <c r="FF1" s="191"/>
      <c r="FG1" s="24" t="s">
        <v>78</v>
      </c>
      <c r="FH1" s="216" t="s">
        <v>78</v>
      </c>
    </row>
    <row r="2" spans="1:164" ht="15.75">
      <c r="A2" s="25" t="s">
        <v>81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1"/>
      <c r="AD2" s="11"/>
      <c r="AE2" s="11"/>
      <c r="AF2" s="11"/>
      <c r="AG2" s="11"/>
      <c r="AH2" s="11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1"/>
      <c r="BM2" s="11"/>
      <c r="BN2" s="11"/>
      <c r="BO2" s="26"/>
      <c r="BP2" s="26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51"/>
      <c r="FD2" s="151"/>
      <c r="FE2" s="151"/>
      <c r="FF2" s="151"/>
      <c r="FG2" s="27"/>
      <c r="FH2" s="27"/>
    </row>
    <row r="3" spans="1:164" ht="18.75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9" t="s">
        <v>69</v>
      </c>
      <c r="P3" s="30"/>
      <c r="Q3" s="31" t="s">
        <v>70</v>
      </c>
      <c r="R3" s="29" t="s">
        <v>1</v>
      </c>
      <c r="S3" s="32" t="s">
        <v>72</v>
      </c>
      <c r="T3" s="29"/>
      <c r="U3" s="29"/>
      <c r="V3" s="29"/>
      <c r="W3" s="29"/>
      <c r="X3" s="29"/>
      <c r="Y3" s="33"/>
      <c r="Z3" s="33"/>
      <c r="AA3" s="33"/>
      <c r="AB3" s="33"/>
      <c r="AC3" s="11"/>
      <c r="AD3" s="11"/>
      <c r="AE3" s="11"/>
      <c r="AF3" s="11"/>
      <c r="AG3" s="11"/>
      <c r="AH3" s="11"/>
      <c r="AI3" s="34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34"/>
      <c r="AU3" s="34"/>
      <c r="AV3" s="33"/>
      <c r="AW3" s="11"/>
      <c r="AX3" s="11"/>
      <c r="AY3" s="11"/>
      <c r="AZ3" s="11"/>
      <c r="BA3" s="35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3"/>
      <c r="CP3" s="13"/>
      <c r="CQ3" s="13"/>
      <c r="CR3" s="13"/>
      <c r="CS3" s="13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51"/>
      <c r="FD3" s="151"/>
      <c r="FE3" s="151"/>
      <c r="FF3" s="151"/>
      <c r="FG3" s="27"/>
      <c r="FH3" s="27"/>
    </row>
    <row r="4" spans="1:164" ht="18.75">
      <c r="A4" s="36" t="s">
        <v>2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9"/>
      <c r="O4" s="39"/>
      <c r="P4" s="39"/>
      <c r="Q4" s="39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33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51"/>
      <c r="FD4" s="151"/>
      <c r="FE4" s="151"/>
      <c r="FF4" s="151"/>
      <c r="FG4" s="27"/>
      <c r="FH4" s="27"/>
    </row>
    <row r="5" spans="1:164" ht="15.7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12"/>
      <c r="AD5" s="12"/>
      <c r="AE5" s="12"/>
      <c r="AF5" s="12"/>
      <c r="AG5" s="12"/>
      <c r="AH5" s="12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12" t="s">
        <v>2</v>
      </c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92"/>
      <c r="FD5" s="192"/>
      <c r="FE5" s="192"/>
      <c r="FF5" s="192"/>
      <c r="FG5" s="42"/>
      <c r="FH5" s="42"/>
    </row>
    <row r="6" spans="1:164" ht="15.75">
      <c r="A6" s="6"/>
      <c r="B6" s="4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5"/>
      <c r="O6" s="11"/>
      <c r="P6" s="45"/>
      <c r="Q6" s="45"/>
      <c r="R6" s="45"/>
      <c r="S6" s="46"/>
      <c r="T6" s="46"/>
      <c r="U6" s="46"/>
      <c r="V6" s="46"/>
      <c r="W6" s="46"/>
      <c r="X6" s="46"/>
      <c r="Y6" s="47"/>
      <c r="Z6" s="47"/>
      <c r="AA6" s="47"/>
      <c r="AB6" s="47"/>
      <c r="AC6" s="48"/>
      <c r="AD6" s="48"/>
      <c r="AE6" s="48"/>
      <c r="AF6" s="48"/>
      <c r="AG6" s="48"/>
      <c r="AH6" s="48"/>
      <c r="AI6" s="46"/>
      <c r="AJ6" s="49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46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44"/>
      <c r="BG6" s="14"/>
      <c r="BH6" s="49"/>
      <c r="BI6" s="49"/>
      <c r="BJ6" s="204">
        <v>2010</v>
      </c>
      <c r="BK6" s="49"/>
      <c r="BL6" s="49"/>
      <c r="BM6" s="50"/>
      <c r="BN6" s="49"/>
      <c r="BO6" s="49"/>
      <c r="BP6" s="46"/>
      <c r="BQ6" s="46"/>
      <c r="BR6" s="49"/>
      <c r="BS6" s="49"/>
      <c r="BT6" s="50"/>
      <c r="BU6" s="46"/>
      <c r="BV6" s="51">
        <v>2011</v>
      </c>
      <c r="BW6" s="52"/>
      <c r="BX6" s="52"/>
      <c r="BY6" s="52"/>
      <c r="BZ6" s="52"/>
      <c r="CA6" s="52"/>
      <c r="CB6" s="52"/>
      <c r="CC6" s="52"/>
      <c r="CD6" s="52"/>
      <c r="CE6" s="52"/>
      <c r="CF6" s="204">
        <v>2011</v>
      </c>
      <c r="CG6" s="206"/>
      <c r="CH6" s="204">
        <v>2012</v>
      </c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6"/>
      <c r="CU6" s="204">
        <v>2013</v>
      </c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6"/>
      <c r="DH6" s="2"/>
      <c r="DI6" s="210">
        <v>2014</v>
      </c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2"/>
      <c r="DU6" s="159"/>
      <c r="DV6" s="205">
        <v>2015</v>
      </c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6"/>
      <c r="EH6" s="204">
        <v>2016</v>
      </c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6"/>
      <c r="EU6" s="204">
        <v>2017</v>
      </c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6"/>
      <c r="FH6" s="6"/>
    </row>
    <row r="7" spans="1:164" ht="15.75">
      <c r="A7" s="177" t="s">
        <v>62</v>
      </c>
      <c r="B7" s="11">
        <v>1985</v>
      </c>
      <c r="C7" s="11">
        <v>1986</v>
      </c>
      <c r="D7" s="164" t="s">
        <v>3</v>
      </c>
      <c r="E7" s="164" t="s">
        <v>4</v>
      </c>
      <c r="F7" s="44" t="s">
        <v>5</v>
      </c>
      <c r="G7" s="44" t="s">
        <v>6</v>
      </c>
      <c r="H7" s="44" t="s">
        <v>7</v>
      </c>
      <c r="I7" s="44" t="s">
        <v>8</v>
      </c>
      <c r="J7" s="44" t="s">
        <v>9</v>
      </c>
      <c r="K7" s="44" t="s">
        <v>10</v>
      </c>
      <c r="L7" s="44" t="s">
        <v>11</v>
      </c>
      <c r="M7" s="44" t="s">
        <v>12</v>
      </c>
      <c r="N7" s="43" t="s">
        <v>13</v>
      </c>
      <c r="O7" s="44" t="s">
        <v>14</v>
      </c>
      <c r="P7" s="43" t="s">
        <v>15</v>
      </c>
      <c r="Q7" s="43">
        <v>2000</v>
      </c>
      <c r="R7" s="28">
        <v>2001</v>
      </c>
      <c r="S7" s="53">
        <v>2002</v>
      </c>
      <c r="T7" s="43">
        <v>2003</v>
      </c>
      <c r="U7" s="43">
        <v>2004</v>
      </c>
      <c r="V7" s="43">
        <v>2005</v>
      </c>
      <c r="W7" s="43">
        <v>2006</v>
      </c>
      <c r="X7" s="43">
        <v>2007</v>
      </c>
      <c r="Y7" s="43">
        <v>2008</v>
      </c>
      <c r="Z7" s="43">
        <v>2009</v>
      </c>
      <c r="AA7" s="43">
        <v>2010</v>
      </c>
      <c r="AB7" s="43">
        <v>2011</v>
      </c>
      <c r="AC7" s="54">
        <v>2012</v>
      </c>
      <c r="AD7" s="54">
        <v>2013</v>
      </c>
      <c r="AE7" s="54">
        <v>2014</v>
      </c>
      <c r="AF7" s="54">
        <v>2015</v>
      </c>
      <c r="AG7" s="54">
        <v>2016</v>
      </c>
      <c r="AH7" s="54">
        <v>2017</v>
      </c>
      <c r="AI7" s="167">
        <v>2008</v>
      </c>
      <c r="AJ7" s="55">
        <v>2008</v>
      </c>
      <c r="AK7" s="56">
        <v>2008</v>
      </c>
      <c r="AL7" s="56">
        <v>2008</v>
      </c>
      <c r="AM7" s="56">
        <v>2008</v>
      </c>
      <c r="AN7" s="57">
        <v>2008</v>
      </c>
      <c r="AO7" s="56">
        <v>2008</v>
      </c>
      <c r="AP7" s="56">
        <v>2008</v>
      </c>
      <c r="AQ7" s="56">
        <v>2008</v>
      </c>
      <c r="AR7" s="56">
        <v>2008</v>
      </c>
      <c r="AS7" s="56">
        <v>2008</v>
      </c>
      <c r="AT7" s="56">
        <v>2008</v>
      </c>
      <c r="AU7" s="167">
        <v>2009</v>
      </c>
      <c r="AV7" s="56">
        <v>2009</v>
      </c>
      <c r="AW7" s="160">
        <v>2009</v>
      </c>
      <c r="AX7" s="56">
        <v>2009</v>
      </c>
      <c r="AY7" s="56">
        <v>2009</v>
      </c>
      <c r="AZ7" s="57">
        <v>2009</v>
      </c>
      <c r="BA7" s="56">
        <v>2009</v>
      </c>
      <c r="BB7" s="56">
        <v>2009</v>
      </c>
      <c r="BC7" s="56">
        <v>2009</v>
      </c>
      <c r="BD7" s="56">
        <v>2009</v>
      </c>
      <c r="BE7" s="56">
        <v>2009</v>
      </c>
      <c r="BF7" s="160">
        <v>2009</v>
      </c>
      <c r="BG7" s="17"/>
      <c r="BH7" s="55">
        <v>2010</v>
      </c>
      <c r="BI7" s="55">
        <v>2010</v>
      </c>
      <c r="BJ7" s="207"/>
      <c r="BK7" s="163">
        <v>2010</v>
      </c>
      <c r="BL7" s="163">
        <v>2010</v>
      </c>
      <c r="BM7" s="161">
        <v>2010</v>
      </c>
      <c r="BN7" s="55">
        <v>2010</v>
      </c>
      <c r="BO7" s="163">
        <v>2010</v>
      </c>
      <c r="BP7" s="163">
        <v>2010</v>
      </c>
      <c r="BQ7" s="163">
        <v>2010</v>
      </c>
      <c r="BR7" s="207">
        <v>2010</v>
      </c>
      <c r="BS7" s="208"/>
      <c r="BT7" s="209"/>
      <c r="BU7" s="167">
        <v>2011</v>
      </c>
      <c r="BV7" s="58"/>
      <c r="BW7" s="57"/>
      <c r="BX7" s="57"/>
      <c r="BY7" s="57"/>
      <c r="BZ7" s="57"/>
      <c r="CA7" s="57"/>
      <c r="CB7" s="57"/>
      <c r="CC7" s="57"/>
      <c r="CD7" s="57"/>
      <c r="CE7" s="57"/>
      <c r="CF7" s="207"/>
      <c r="CG7" s="209"/>
      <c r="CH7" s="207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9"/>
      <c r="CU7" s="207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9"/>
      <c r="DH7" s="54">
        <v>2014</v>
      </c>
      <c r="DI7" s="213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5"/>
      <c r="DU7" s="58">
        <v>2015</v>
      </c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9"/>
      <c r="EH7" s="207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9"/>
      <c r="EU7" s="207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9"/>
      <c r="FH7" s="203">
        <v>2018</v>
      </c>
    </row>
    <row r="8" spans="1:164" ht="15.75">
      <c r="A8" s="4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5"/>
      <c r="O8" s="11"/>
      <c r="P8" s="45"/>
      <c r="Q8" s="45"/>
      <c r="R8" s="45"/>
      <c r="S8" s="27"/>
      <c r="T8" s="27"/>
      <c r="U8" s="27"/>
      <c r="V8" s="27"/>
      <c r="W8" s="27"/>
      <c r="X8" s="27"/>
      <c r="Y8" s="59"/>
      <c r="Z8" s="168"/>
      <c r="AA8" s="168"/>
      <c r="AB8" s="168"/>
      <c r="AC8" s="168"/>
      <c r="AD8" s="168"/>
      <c r="AE8" s="168"/>
      <c r="AF8" s="168"/>
      <c r="AG8" s="201"/>
      <c r="AH8" s="182"/>
      <c r="AI8" s="168" t="s">
        <v>16</v>
      </c>
      <c r="AJ8" s="168" t="s">
        <v>17</v>
      </c>
      <c r="AK8" s="59" t="s">
        <v>18</v>
      </c>
      <c r="AL8" s="59" t="s">
        <v>19</v>
      </c>
      <c r="AM8" s="59" t="s">
        <v>20</v>
      </c>
      <c r="AN8" s="168" t="s">
        <v>21</v>
      </c>
      <c r="AO8" s="168" t="s">
        <v>22</v>
      </c>
      <c r="AP8" s="168" t="s">
        <v>23</v>
      </c>
      <c r="AQ8" s="168" t="s">
        <v>24</v>
      </c>
      <c r="AR8" s="168" t="s">
        <v>25</v>
      </c>
      <c r="AS8" s="168" t="s">
        <v>26</v>
      </c>
      <c r="AT8" s="168" t="s">
        <v>27</v>
      </c>
      <c r="AU8" s="168" t="s">
        <v>16</v>
      </c>
      <c r="AV8" s="168" t="s">
        <v>17</v>
      </c>
      <c r="AW8" s="59" t="s">
        <v>18</v>
      </c>
      <c r="AX8" s="59" t="s">
        <v>19</v>
      </c>
      <c r="AY8" s="59" t="s">
        <v>20</v>
      </c>
      <c r="AZ8" s="168" t="s">
        <v>21</v>
      </c>
      <c r="BA8" s="168" t="s">
        <v>22</v>
      </c>
      <c r="BB8" s="168" t="s">
        <v>23</v>
      </c>
      <c r="BC8" s="168" t="s">
        <v>24</v>
      </c>
      <c r="BD8" s="168" t="s">
        <v>25</v>
      </c>
      <c r="BE8" s="168" t="s">
        <v>26</v>
      </c>
      <c r="BF8" s="166" t="s">
        <v>27</v>
      </c>
      <c r="BG8" s="166" t="s">
        <v>75</v>
      </c>
      <c r="BH8" s="162" t="s">
        <v>16</v>
      </c>
      <c r="BI8" s="162" t="s">
        <v>17</v>
      </c>
      <c r="BJ8" s="162" t="s">
        <v>18</v>
      </c>
      <c r="BK8" s="162" t="s">
        <v>19</v>
      </c>
      <c r="BL8" s="168" t="s">
        <v>20</v>
      </c>
      <c r="BM8" s="162" t="s">
        <v>21</v>
      </c>
      <c r="BN8" s="162" t="s">
        <v>22</v>
      </c>
      <c r="BO8" s="162" t="s">
        <v>23</v>
      </c>
      <c r="BP8" s="162" t="s">
        <v>24</v>
      </c>
      <c r="BQ8" s="162" t="s">
        <v>25</v>
      </c>
      <c r="BR8" s="162" t="s">
        <v>26</v>
      </c>
      <c r="BS8" s="162" t="s">
        <v>27</v>
      </c>
      <c r="BT8" s="168" t="s">
        <v>77</v>
      </c>
      <c r="BU8" s="162" t="s">
        <v>16</v>
      </c>
      <c r="BV8" s="162" t="s">
        <v>17</v>
      </c>
      <c r="BW8" s="162" t="s">
        <v>18</v>
      </c>
      <c r="BX8" s="162" t="s">
        <v>19</v>
      </c>
      <c r="BY8" s="162" t="s">
        <v>20</v>
      </c>
      <c r="BZ8" s="162" t="s">
        <v>21</v>
      </c>
      <c r="CA8" s="162" t="s">
        <v>22</v>
      </c>
      <c r="CB8" s="162" t="s">
        <v>23</v>
      </c>
      <c r="CC8" s="162" t="s">
        <v>24</v>
      </c>
      <c r="CD8" s="162" t="s">
        <v>25</v>
      </c>
      <c r="CE8" s="162" t="s">
        <v>26</v>
      </c>
      <c r="CF8" s="162" t="s">
        <v>27</v>
      </c>
      <c r="CG8" s="162" t="s">
        <v>77</v>
      </c>
      <c r="CH8" s="162" t="s">
        <v>16</v>
      </c>
      <c r="CI8" s="162" t="s">
        <v>17</v>
      </c>
      <c r="CJ8" s="162" t="s">
        <v>18</v>
      </c>
      <c r="CK8" s="162" t="s">
        <v>19</v>
      </c>
      <c r="CL8" s="162" t="s">
        <v>20</v>
      </c>
      <c r="CM8" s="162" t="s">
        <v>21</v>
      </c>
      <c r="CN8" s="162" t="s">
        <v>22</v>
      </c>
      <c r="CO8" s="162" t="s">
        <v>23</v>
      </c>
      <c r="CP8" s="162" t="s">
        <v>24</v>
      </c>
      <c r="CQ8" s="166" t="s">
        <v>25</v>
      </c>
      <c r="CR8" s="166" t="s">
        <v>26</v>
      </c>
      <c r="CS8" s="166" t="s">
        <v>27</v>
      </c>
      <c r="CT8" s="162" t="s">
        <v>77</v>
      </c>
      <c r="CU8" s="162" t="s">
        <v>16</v>
      </c>
      <c r="CV8" s="162" t="s">
        <v>17</v>
      </c>
      <c r="CW8" s="162" t="s">
        <v>18</v>
      </c>
      <c r="CX8" s="162" t="s">
        <v>19</v>
      </c>
      <c r="CY8" s="162" t="s">
        <v>20</v>
      </c>
      <c r="CZ8" s="162" t="s">
        <v>21</v>
      </c>
      <c r="DA8" s="162" t="s">
        <v>22</v>
      </c>
      <c r="DB8" s="162" t="s">
        <v>23</v>
      </c>
      <c r="DC8" s="162" t="s">
        <v>24</v>
      </c>
      <c r="DD8" s="162" t="s">
        <v>25</v>
      </c>
      <c r="DE8" s="162" t="s">
        <v>26</v>
      </c>
      <c r="DF8" s="162" t="s">
        <v>27</v>
      </c>
      <c r="DG8" s="162" t="s">
        <v>77</v>
      </c>
      <c r="DH8" s="162" t="s">
        <v>16</v>
      </c>
      <c r="DI8" s="162" t="s">
        <v>17</v>
      </c>
      <c r="DJ8" s="162" t="s">
        <v>18</v>
      </c>
      <c r="DK8" s="162" t="s">
        <v>19</v>
      </c>
      <c r="DL8" s="162" t="s">
        <v>20</v>
      </c>
      <c r="DM8" s="162" t="s">
        <v>21</v>
      </c>
      <c r="DN8" s="162" t="s">
        <v>22</v>
      </c>
      <c r="DO8" s="162" t="s">
        <v>23</v>
      </c>
      <c r="DP8" s="162" t="s">
        <v>24</v>
      </c>
      <c r="DQ8" s="162" t="s">
        <v>25</v>
      </c>
      <c r="DR8" s="162" t="s">
        <v>26</v>
      </c>
      <c r="DS8" s="162" t="s">
        <v>27</v>
      </c>
      <c r="DT8" s="166" t="s">
        <v>77</v>
      </c>
      <c r="DU8" s="162" t="s">
        <v>16</v>
      </c>
      <c r="DV8" s="162" t="s">
        <v>17</v>
      </c>
      <c r="DW8" s="162" t="s">
        <v>18</v>
      </c>
      <c r="DX8" s="162" t="s">
        <v>19</v>
      </c>
      <c r="DY8" s="162" t="s">
        <v>20</v>
      </c>
      <c r="DZ8" s="162" t="s">
        <v>21</v>
      </c>
      <c r="EA8" s="162" t="s">
        <v>22</v>
      </c>
      <c r="EB8" s="162" t="s">
        <v>23</v>
      </c>
      <c r="EC8" s="162" t="s">
        <v>24</v>
      </c>
      <c r="ED8" s="162" t="s">
        <v>25</v>
      </c>
      <c r="EE8" s="162" t="s">
        <v>26</v>
      </c>
      <c r="EF8" s="162" t="s">
        <v>27</v>
      </c>
      <c r="EG8" s="181" t="s">
        <v>87</v>
      </c>
      <c r="EH8" s="162" t="s">
        <v>84</v>
      </c>
      <c r="EI8" s="162" t="s">
        <v>85</v>
      </c>
      <c r="EJ8" s="162" t="s">
        <v>73</v>
      </c>
      <c r="EK8" s="169" t="s">
        <v>19</v>
      </c>
      <c r="EL8" s="169" t="s">
        <v>20</v>
      </c>
      <c r="EM8" s="170" t="s">
        <v>21</v>
      </c>
      <c r="EN8" s="171" t="s">
        <v>22</v>
      </c>
      <c r="EO8" s="172" t="s">
        <v>23</v>
      </c>
      <c r="EP8" s="173" t="s">
        <v>24</v>
      </c>
      <c r="EQ8" s="174" t="s">
        <v>25</v>
      </c>
      <c r="ER8" s="175" t="s">
        <v>26</v>
      </c>
      <c r="ES8" s="180" t="s">
        <v>27</v>
      </c>
      <c r="ET8" s="190" t="s">
        <v>77</v>
      </c>
      <c r="EU8" s="184" t="s">
        <v>16</v>
      </c>
      <c r="EV8" s="184" t="s">
        <v>17</v>
      </c>
      <c r="EW8" s="185" t="s">
        <v>18</v>
      </c>
      <c r="EX8" s="186" t="s">
        <v>19</v>
      </c>
      <c r="EY8" s="187" t="s">
        <v>20</v>
      </c>
      <c r="EZ8" s="188" t="s">
        <v>21</v>
      </c>
      <c r="FA8" s="189" t="s">
        <v>22</v>
      </c>
      <c r="FB8" s="190" t="s">
        <v>23</v>
      </c>
      <c r="FC8" s="193" t="s">
        <v>24</v>
      </c>
      <c r="FD8" s="193" t="s">
        <v>25</v>
      </c>
      <c r="FE8" s="193" t="s">
        <v>26</v>
      </c>
      <c r="FF8" s="193" t="s">
        <v>27</v>
      </c>
      <c r="FG8" s="200" t="s">
        <v>77</v>
      </c>
      <c r="FH8" s="202" t="s">
        <v>16</v>
      </c>
    </row>
    <row r="9" spans="1:164" ht="15.75">
      <c r="A9" s="178" t="s">
        <v>63</v>
      </c>
      <c r="B9" s="12"/>
      <c r="C9" s="41" t="s">
        <v>0</v>
      </c>
      <c r="D9" s="41" t="s">
        <v>0</v>
      </c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/>
      <c r="N9" s="61"/>
      <c r="O9" s="41"/>
      <c r="P9" s="61"/>
      <c r="Q9" s="61"/>
      <c r="R9" s="61"/>
      <c r="S9" s="62"/>
      <c r="T9" s="62"/>
      <c r="U9" s="62"/>
      <c r="V9" s="61"/>
      <c r="W9" s="63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0"/>
      <c r="AJ9" s="62"/>
      <c r="AK9" s="62"/>
      <c r="AL9" s="61"/>
      <c r="AM9" s="61"/>
      <c r="AN9" s="61"/>
      <c r="AO9" s="61"/>
      <c r="AP9" s="61"/>
      <c r="AQ9" s="61"/>
      <c r="AR9" s="61"/>
      <c r="AS9" s="61"/>
      <c r="AT9" s="61"/>
      <c r="AU9" s="60"/>
      <c r="AV9" s="62"/>
      <c r="AW9" s="62"/>
      <c r="AX9" s="61"/>
      <c r="AY9" s="61"/>
      <c r="AZ9" s="61"/>
      <c r="BA9" s="61"/>
      <c r="BB9" s="61"/>
      <c r="BC9" s="61"/>
      <c r="BD9" s="61"/>
      <c r="BE9" s="61"/>
      <c r="BF9" s="61"/>
      <c r="BG9" s="62"/>
      <c r="BH9" s="60"/>
      <c r="BI9" s="60"/>
      <c r="BJ9" s="60"/>
      <c r="BK9" s="62"/>
      <c r="BL9" s="61"/>
      <c r="BM9" s="62"/>
      <c r="BN9" s="61"/>
      <c r="BO9" s="40"/>
      <c r="BP9" s="61"/>
      <c r="BQ9" s="61"/>
      <c r="BR9" s="61"/>
      <c r="BS9" s="61"/>
      <c r="BT9" s="62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194"/>
      <c r="FD9" s="194"/>
      <c r="FE9" s="194"/>
      <c r="FF9" s="194"/>
      <c r="FG9" s="61"/>
      <c r="FH9" s="61"/>
    </row>
    <row r="10" spans="1:164" ht="15.75">
      <c r="A10" s="4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46"/>
      <c r="O10" s="14"/>
      <c r="P10" s="46"/>
      <c r="Q10" s="46"/>
      <c r="R10" s="46"/>
      <c r="S10" s="27"/>
      <c r="T10" s="27"/>
      <c r="U10" s="27"/>
      <c r="V10" s="27"/>
      <c r="W10" s="27"/>
      <c r="X10" s="27"/>
      <c r="Y10" s="46"/>
      <c r="Z10" s="46"/>
      <c r="AA10" s="46"/>
      <c r="AB10" s="46"/>
      <c r="AC10" s="45"/>
      <c r="AD10" s="45"/>
      <c r="AE10" s="45"/>
      <c r="AF10" s="45"/>
      <c r="AG10" s="45"/>
      <c r="AH10" s="45"/>
      <c r="AI10" s="46"/>
      <c r="AJ10" s="46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6"/>
      <c r="AV10" s="50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6"/>
      <c r="BH10" s="46"/>
      <c r="BI10" s="46"/>
      <c r="BJ10" s="46"/>
      <c r="BK10" s="50"/>
      <c r="BL10" s="45"/>
      <c r="BM10" s="27"/>
      <c r="BN10" s="45"/>
      <c r="BO10" s="64"/>
      <c r="BP10" s="46"/>
      <c r="BQ10" s="46"/>
      <c r="BR10" s="46"/>
      <c r="BS10" s="46"/>
      <c r="BT10" s="27"/>
      <c r="BU10" s="46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195"/>
      <c r="FD10" s="195"/>
      <c r="FE10" s="195"/>
      <c r="FF10" s="195"/>
      <c r="FG10" s="46"/>
      <c r="FH10" s="46"/>
    </row>
    <row r="11" spans="1:164" ht="15.75">
      <c r="A11" s="148" t="s">
        <v>28</v>
      </c>
      <c r="B11" s="1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5"/>
      <c r="O11" s="11"/>
      <c r="P11" s="45"/>
      <c r="Q11" s="45"/>
      <c r="R11" s="45"/>
      <c r="S11" s="27"/>
      <c r="T11" s="27"/>
      <c r="U11" s="27"/>
      <c r="V11" s="27"/>
      <c r="W11" s="27"/>
      <c r="X11" s="27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27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27"/>
      <c r="BL11" s="45"/>
      <c r="BM11" s="27"/>
      <c r="BN11" s="45"/>
      <c r="BO11" s="64"/>
      <c r="BP11" s="45"/>
      <c r="BQ11" s="45"/>
      <c r="BR11" s="45"/>
      <c r="BS11" s="45"/>
      <c r="BT11" s="27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123"/>
      <c r="FD11" s="123"/>
      <c r="FE11" s="123"/>
      <c r="FF11" s="123"/>
      <c r="FG11" s="45"/>
      <c r="FH11" s="45"/>
    </row>
    <row r="12" spans="1:164" ht="15.75">
      <c r="A12" s="4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45"/>
      <c r="O12" s="11"/>
      <c r="P12" s="45"/>
      <c r="Q12" s="45"/>
      <c r="R12" s="45"/>
      <c r="S12" s="27"/>
      <c r="T12" s="27"/>
      <c r="U12" s="27"/>
      <c r="V12" s="27"/>
      <c r="W12" s="27"/>
      <c r="X12" s="27"/>
      <c r="Y12" s="45"/>
      <c r="Z12" s="45"/>
      <c r="AA12" s="45"/>
      <c r="AB12" s="45"/>
      <c r="AC12" s="66"/>
      <c r="AD12" s="66"/>
      <c r="AE12" s="66"/>
      <c r="AF12" s="66"/>
      <c r="AG12" s="66"/>
      <c r="AH12" s="66"/>
      <c r="AI12" s="45"/>
      <c r="AJ12" s="45"/>
      <c r="AK12" s="45"/>
      <c r="AL12" s="45"/>
      <c r="AM12" s="45"/>
      <c r="AN12" s="45"/>
      <c r="AO12" s="67"/>
      <c r="AP12" s="45"/>
      <c r="AQ12" s="45"/>
      <c r="AR12" s="45"/>
      <c r="AS12" s="45"/>
      <c r="AT12" s="45"/>
      <c r="AU12" s="45"/>
      <c r="AV12" s="27"/>
      <c r="AW12" s="43"/>
      <c r="AX12" s="45"/>
      <c r="AY12" s="45"/>
      <c r="AZ12" s="45"/>
      <c r="BA12" s="67"/>
      <c r="BB12" s="45"/>
      <c r="BC12" s="45"/>
      <c r="BD12" s="68"/>
      <c r="BE12" s="45"/>
      <c r="BF12" s="45"/>
      <c r="BG12" s="45"/>
      <c r="BH12" s="45"/>
      <c r="BI12" s="45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7"/>
      <c r="EU12" s="67"/>
      <c r="EV12" s="67"/>
      <c r="EW12" s="67"/>
      <c r="EX12" s="67"/>
      <c r="EY12" s="67"/>
      <c r="EZ12" s="67"/>
      <c r="FA12" s="67"/>
      <c r="FB12" s="67"/>
      <c r="FC12" s="82"/>
      <c r="FD12" s="196"/>
      <c r="FE12" s="196"/>
      <c r="FG12" s="67"/>
      <c r="FH12" s="67"/>
    </row>
    <row r="13" spans="1:164" ht="15.75">
      <c r="A13" s="65" t="s">
        <v>29</v>
      </c>
      <c r="B13" s="69">
        <v>803498</v>
      </c>
      <c r="C13" s="70">
        <v>919509</v>
      </c>
      <c r="D13" s="70">
        <v>880422</v>
      </c>
      <c r="E13" s="70">
        <v>877812</v>
      </c>
      <c r="F13" s="70">
        <v>842299</v>
      </c>
      <c r="G13" s="70">
        <v>916180</v>
      </c>
      <c r="H13" s="70">
        <v>981965</v>
      </c>
      <c r="I13" s="70">
        <v>1007387</v>
      </c>
      <c r="J13" s="70">
        <v>1044372</v>
      </c>
      <c r="K13" s="70">
        <v>1187058</v>
      </c>
      <c r="L13" s="71">
        <v>1148948</v>
      </c>
      <c r="M13" s="72">
        <v>997188</v>
      </c>
      <c r="N13" s="73">
        <v>983680</v>
      </c>
      <c r="O13" s="72">
        <v>820942</v>
      </c>
      <c r="P13" s="73">
        <v>784401</v>
      </c>
      <c r="Q13" s="73">
        <v>723763</v>
      </c>
      <c r="R13" s="74">
        <v>533368</v>
      </c>
      <c r="S13" s="74">
        <v>540597</v>
      </c>
      <c r="T13" s="73">
        <v>676682</v>
      </c>
      <c r="U13" s="73">
        <v>764089</v>
      </c>
      <c r="V13" s="73">
        <v>776201</v>
      </c>
      <c r="W13" s="73">
        <v>950805</v>
      </c>
      <c r="X13" s="73">
        <v>975699</v>
      </c>
      <c r="Y13" s="73">
        <v>1039179</v>
      </c>
      <c r="Z13" s="73">
        <v>970199</v>
      </c>
      <c r="AA13" s="66">
        <v>1193312.2464</v>
      </c>
      <c r="AB13" s="67">
        <v>1253805.3504</v>
      </c>
      <c r="AC13" s="66">
        <v>1224708.6048</v>
      </c>
      <c r="AD13" s="66">
        <v>1245477.4596</v>
      </c>
      <c r="AE13" s="66">
        <v>1342184.3568</v>
      </c>
      <c r="AF13" s="66">
        <v>1248240.1312000002</v>
      </c>
      <c r="AG13" s="66">
        <v>1148731.7584</v>
      </c>
      <c r="AH13" s="66">
        <v>1359744.8336</v>
      </c>
      <c r="AI13" s="67">
        <v>79365</v>
      </c>
      <c r="AJ13" s="75">
        <v>66259</v>
      </c>
      <c r="AK13" s="76">
        <v>72593</v>
      </c>
      <c r="AL13" s="77">
        <v>76177</v>
      </c>
      <c r="AM13" s="78">
        <v>86077</v>
      </c>
      <c r="AN13" s="79">
        <v>88554</v>
      </c>
      <c r="AO13" s="79">
        <v>97187</v>
      </c>
      <c r="AP13" s="79">
        <v>109464</v>
      </c>
      <c r="AQ13" s="79">
        <v>93340</v>
      </c>
      <c r="AR13" s="80">
        <v>98811</v>
      </c>
      <c r="AS13" s="67">
        <v>76539</v>
      </c>
      <c r="AT13" s="81">
        <v>94813</v>
      </c>
      <c r="AU13" s="67">
        <v>78786</v>
      </c>
      <c r="AV13" s="75">
        <v>67520</v>
      </c>
      <c r="AW13" s="76">
        <v>66573</v>
      </c>
      <c r="AX13" s="77">
        <v>74982</v>
      </c>
      <c r="AY13" s="78">
        <v>73153</v>
      </c>
      <c r="AZ13" s="79">
        <v>77767</v>
      </c>
      <c r="BA13" s="79">
        <v>116923</v>
      </c>
      <c r="BB13" s="79">
        <v>91892</v>
      </c>
      <c r="BC13" s="79">
        <v>85102</v>
      </c>
      <c r="BD13" s="80">
        <v>84466</v>
      </c>
      <c r="BE13" s="67">
        <v>67683</v>
      </c>
      <c r="BF13" s="81">
        <v>85352</v>
      </c>
      <c r="BG13" s="78">
        <f>SUM(AU13:BF13)</f>
        <v>970199</v>
      </c>
      <c r="BH13" s="67">
        <v>93361.86</v>
      </c>
      <c r="BI13" s="67">
        <v>73434</v>
      </c>
      <c r="BJ13" s="66">
        <f>11910923*72/10000</f>
        <v>85758.6456</v>
      </c>
      <c r="BK13" s="66">
        <v>88832</v>
      </c>
      <c r="BL13" s="66">
        <f>11425140*72/10000</f>
        <v>82261.008</v>
      </c>
      <c r="BM13" s="66">
        <f>13924968*72/10000</f>
        <v>100259.7696</v>
      </c>
      <c r="BN13" s="66">
        <f>17415726*72/10000</f>
        <v>125393.2272</v>
      </c>
      <c r="BO13" s="66">
        <f>18019272*72/10000</f>
        <v>129738.7584</v>
      </c>
      <c r="BP13" s="66">
        <f>15775800*72/10000</f>
        <v>113585.76</v>
      </c>
      <c r="BQ13" s="66">
        <f>14111352*72/10000</f>
        <v>101601.7344</v>
      </c>
      <c r="BR13" s="66">
        <v>99570.2912</v>
      </c>
      <c r="BS13" s="66">
        <v>99515.192</v>
      </c>
      <c r="BT13" s="66">
        <f>SUM(BH13:BS13)</f>
        <v>1193312.2464</v>
      </c>
      <c r="BU13" s="66">
        <f>(14503980*72+136*2000)/10000</f>
        <v>104455.856</v>
      </c>
      <c r="BV13" s="66">
        <f>(12403224*72+174*2000)/10000</f>
        <v>89338.0128</v>
      </c>
      <c r="BW13" s="66">
        <f>(14600208*72+199*2000)/10000</f>
        <v>105161.2976</v>
      </c>
      <c r="BX13" s="66">
        <f>(14276652*72+189*2000)/10000</f>
        <v>102829.6944</v>
      </c>
      <c r="BY13" s="66">
        <f>(15106044*72/10000)+(173*20/100)</f>
        <v>108798.1168</v>
      </c>
      <c r="BZ13" s="66">
        <f>(13364508*72/10000)+(234*20/100)</f>
        <v>96271.2576</v>
      </c>
      <c r="CA13" s="66">
        <f>(16591440*72/10000+219*20/100)</f>
        <v>119502.168</v>
      </c>
      <c r="CB13" s="66">
        <f>16761072*72/10000+231*20/100</f>
        <v>120725.9184</v>
      </c>
      <c r="CC13" s="66">
        <f>(16270296*72+206*2000)/10000</f>
        <v>117187.3312</v>
      </c>
      <c r="CD13" s="66">
        <f>(13888944*72+178*2000)/10000</f>
        <v>100035.9968</v>
      </c>
      <c r="CE13" s="66">
        <f>(10826472*72+236*2000)/10000</f>
        <v>77997.7984</v>
      </c>
      <c r="CF13" s="66">
        <f>(15480792*72/10000)+(201*20/100)</f>
        <v>111501.90239999999</v>
      </c>
      <c r="CG13" s="66">
        <f>SUM(BU13:CF13)</f>
        <v>1253805.3504</v>
      </c>
      <c r="CH13" s="67">
        <f>(13640544*72)/10000+(73*20)/100</f>
        <v>98226.51680000001</v>
      </c>
      <c r="CI13" s="67">
        <f>(11560548*72+165*2000)/10000</f>
        <v>83268.9456</v>
      </c>
      <c r="CJ13" s="67">
        <f>(13723104*72+166*2000)/10000</f>
        <v>98839.5488</v>
      </c>
      <c r="CK13" s="67">
        <f>(13979172*72+81*2000)/10000</f>
        <v>100666.2384</v>
      </c>
      <c r="CL13" s="67">
        <f>(13589928*72/10000)+(122*20/100)</f>
        <v>97871.8816</v>
      </c>
      <c r="CM13" s="67">
        <f>16278744*72/10000+120*20/100</f>
        <v>117230.9568</v>
      </c>
      <c r="CN13" s="67">
        <f>(16900152*72/10000+184*20/100)</f>
        <v>121717.8944</v>
      </c>
      <c r="CO13" s="67">
        <f>(18414756*72+122*2000)/10000</f>
        <v>132610.6432</v>
      </c>
      <c r="CP13" s="67">
        <f>(15361728*72+113*2000)/10000</f>
        <v>110627.0416</v>
      </c>
      <c r="CQ13" s="67">
        <f>(12711732*72+161*2000)/10000</f>
        <v>91556.6704</v>
      </c>
      <c r="CR13" s="67">
        <f>(11025744*72+143*2000)/10000</f>
        <v>79413.9568</v>
      </c>
      <c r="CS13" s="67">
        <f>(12867432*72+164*2000)/10000</f>
        <v>92678.3104</v>
      </c>
      <c r="CT13" s="67">
        <f>SUM(CH13:CS13)</f>
        <v>1224708.6048</v>
      </c>
      <c r="CU13" s="67">
        <f>(13507224*72+174*2000)/10000</f>
        <v>97286.8128</v>
      </c>
      <c r="CV13" s="67">
        <f>(12554484*72+146*2000)/10000</f>
        <v>90421.4848</v>
      </c>
      <c r="CW13" s="67">
        <f>(13088004*72+162*2000)/10000</f>
        <v>94266.0288</v>
      </c>
      <c r="CX13" s="82">
        <f>(14221152*72+206*2000)/10000</f>
        <v>102433.4944</v>
      </c>
      <c r="CY13" s="82">
        <f>(14004048*72+199*2000)/10000</f>
        <v>100868.9456</v>
      </c>
      <c r="CZ13" s="67">
        <f>(14887020*72+193*2000)/10000</f>
        <v>107225.144</v>
      </c>
      <c r="DA13" s="67">
        <f>(18104616*72+474192*50+213*2000)/10000</f>
        <v>132766.7952</v>
      </c>
      <c r="DB13" s="82">
        <f>(16696980*72+0*50+187*2000)/10000</f>
        <v>120255.656</v>
      </c>
      <c r="DC13" s="82">
        <f>(15887496*72+205*2000+165744*50)/10000</f>
        <v>115259.6912</v>
      </c>
      <c r="DD13" s="82">
        <f>(13956780*72+221*2000+907344*50)/10000</f>
        <v>105069.736</v>
      </c>
      <c r="DE13" s="82">
        <f>(12531912*72)/10000+174*20/100+992784*50/10000</f>
        <v>95228.4864</v>
      </c>
      <c r="DF13" s="82">
        <f>(11714352*72+1050*50)/10000+233*20/100</f>
        <v>84395.18440000001</v>
      </c>
      <c r="DG13" s="67">
        <f>SUM(CU13:DF13)</f>
        <v>1245477.4596</v>
      </c>
      <c r="DH13" s="82">
        <f>(14745612*72+200*2000+1268556*50)/10000</f>
        <v>112551.1864</v>
      </c>
      <c r="DI13" s="82">
        <f>(12232272*72+200*2000+486972*50)/10000</f>
        <v>90547.2184</v>
      </c>
      <c r="DJ13" s="82">
        <f>(12950088*72+237*2000+548232*50)/10000</f>
        <v>96029.1936</v>
      </c>
      <c r="DK13" s="82">
        <f>(14098452*72+203*2000+1015944*50)/10000</f>
        <v>106629.1744</v>
      </c>
      <c r="DL13" s="82">
        <f>(15971520*72+199*2000+589460*50)/10000</f>
        <v>117982.044</v>
      </c>
      <c r="DM13" s="82">
        <f>(14212668*72+213*2000+712800*50)/10000</f>
        <v>105937.8096</v>
      </c>
      <c r="DN13" s="82">
        <f>(18770364*72+509020*50+194*2000)/10000</f>
        <v>137730.5208</v>
      </c>
      <c r="DO13" s="82">
        <f>(19022220*72+831340*50+213*2000)/10000</f>
        <v>141159.284</v>
      </c>
      <c r="DP13" s="82">
        <f>(13785612*72+746220*50+262*2000)/10000</f>
        <v>103039.9064</v>
      </c>
      <c r="DQ13" s="82">
        <f>(14947164*72+532020*50+295*2000)/10000</f>
        <v>110338.6808</v>
      </c>
      <c r="DR13" s="82">
        <f>(13873296*72+443780*50+162*2000)/10000</f>
        <v>102139.0312</v>
      </c>
      <c r="DS13" s="82">
        <f>(16089876*72+438760*50+297*2000)/10000</f>
        <v>118100.3072</v>
      </c>
      <c r="DT13" s="82">
        <f>SUM(DH13:DS13)</f>
        <v>1342184.3568</v>
      </c>
      <c r="DU13" s="82">
        <f>(14019504*72+627900*50+184*2000)/10000</f>
        <v>104116.7288</v>
      </c>
      <c r="DV13" s="82">
        <f>(14085972*72+242720*50+219*2000)/10000</f>
        <v>102676.3984</v>
      </c>
      <c r="DW13" s="82">
        <f>(13194396*72+1009680*50+198*2000)/10000</f>
        <v>100087.6512</v>
      </c>
      <c r="DX13" s="82">
        <f>(14987784*72/10000)+(883060*50/10000)+(292*20/100)</f>
        <v>112385.7448</v>
      </c>
      <c r="DY13" s="82">
        <f>(12573048*72+158*2000)/10000</f>
        <v>90557.5456</v>
      </c>
      <c r="DZ13" s="82">
        <f>(13976820*72+503940*50+263*2000)/10000</f>
        <v>103205.404</v>
      </c>
      <c r="EA13" s="82">
        <f>(16258320*72+1940920*50+56+304*2000)/10000</f>
        <v>126825.3096</v>
      </c>
      <c r="EB13" s="82">
        <f>(16213464*72+805000*50+226*2000)/10000</f>
        <v>120807.1408</v>
      </c>
      <c r="EC13" s="82">
        <f>(16686876*72+1208480*50+435*2000)/10000</f>
        <v>126274.9072</v>
      </c>
      <c r="ED13" s="82">
        <f>(10734216*72+2235200*50+298*2000)/10000</f>
        <v>88521.9552</v>
      </c>
      <c r="EE13" s="82">
        <f>(11788740*72+648480*50+334*2000)/10000</f>
        <v>88188.128</v>
      </c>
      <c r="EF13" s="82">
        <f>(11420808*72+458440*50+356*2000)/10000</f>
        <v>84593.2176</v>
      </c>
      <c r="EG13" s="82">
        <f>SUM(DU13:EF13)</f>
        <v>1248240.1312000002</v>
      </c>
      <c r="EH13" s="82">
        <f>(12910476*72+984580*50+360*2000)/10000</f>
        <v>97950.3272</v>
      </c>
      <c r="EI13" s="82">
        <f>(11111448*72+1487520*50+390*2000)/10000</f>
        <v>87518.0256</v>
      </c>
      <c r="EJ13" s="82">
        <f>(11387328*72+313880*50+482*200)/10000</f>
        <v>83567.8016</v>
      </c>
      <c r="EK13" s="82">
        <f>(11973840*72+324020*50+375*2000)/10000</f>
        <v>87906.748</v>
      </c>
      <c r="EL13" s="82">
        <f>(11711208*72+1201300*50+486*2000)/10000</f>
        <v>90424.3976</v>
      </c>
      <c r="EM13" s="82">
        <f>(13078656*72+483*2000)/10000</f>
        <v>94262.9232</v>
      </c>
      <c r="EN13" s="82">
        <f>(15670128*72+971540*50+478*2000)/10000</f>
        <v>117778.2216</v>
      </c>
      <c r="EO13" s="82">
        <f>(16503300*72+818080*50+557*2000)/10000</f>
        <v>123025.56</v>
      </c>
      <c r="EP13" s="82">
        <f>(13370808*72+1142380*50+468*2000)/10000</f>
        <v>102075.3176</v>
      </c>
      <c r="EQ13" s="82">
        <f>(12243648*72+394460*50+445*2000)/10000</f>
        <v>90215.5656</v>
      </c>
      <c r="ER13" s="82">
        <f>(10695576*72+1051000*50+402*2000)/10000</f>
        <v>82343.5472</v>
      </c>
      <c r="ES13" s="82">
        <f>(12495156*72+320800*50+471*2000)/10000</f>
        <v>91663.3232</v>
      </c>
      <c r="ET13" s="82">
        <f>SUM(EH13:ES13)</f>
        <v>1148731.7584</v>
      </c>
      <c r="EU13" s="82">
        <f>(13565232*72+437180*50+442*2000)/10000</f>
        <v>99943.9704</v>
      </c>
      <c r="EV13" s="82">
        <f>(12660360*72+903800*50+366*2000)/10000</f>
        <v>95746.792</v>
      </c>
      <c r="EW13" s="82">
        <f>(13860480*72+606080*50+448*2000)/10000</f>
        <v>102915.456</v>
      </c>
      <c r="EX13" s="82">
        <f>(15584256*72+1109840*50+443*2000)/10000</f>
        <v>117844.4432</v>
      </c>
      <c r="EY13" s="82">
        <f>(14461824*72+1102920*50+539*2000)/10000</f>
        <v>109747.5328</v>
      </c>
      <c r="EZ13" s="82">
        <f>(16805016*72+1670680+510*2000+251700*50)/10000</f>
        <v>122523.6832</v>
      </c>
      <c r="FA13" s="82">
        <f>(19867740*72+1654640*50+488*2000+295040*50)/10000</f>
        <v>152893.728</v>
      </c>
      <c r="FB13" s="82">
        <f>(17316380*72+2255720*50+550*2000+917180*50)/10000</f>
        <v>140652.436</v>
      </c>
      <c r="FC13" s="82">
        <f>(12988676*72+1828120*50+549*2000+600*50)/10000</f>
        <v>102771.8672</v>
      </c>
      <c r="FD13" s="67">
        <f>(12998676*72+1828120*50+549*2000+600*50)/10000</f>
        <v>102843.8672</v>
      </c>
      <c r="FE13" s="67">
        <f>(13587468*72+826040*50+411*2000)/10000</f>
        <v>102042.1696</v>
      </c>
      <c r="FF13" s="67">
        <f>(14058540*72+1299660*50+491*2000+400180*50)/10000</f>
        <v>109818.888</v>
      </c>
      <c r="FG13" s="82">
        <f>SUM(EU13:FF13)</f>
        <v>1359744.8336</v>
      </c>
      <c r="FH13" s="82">
        <f>(14801160*72+2304080*50+28*2000)/10000</f>
        <v>118094.352</v>
      </c>
    </row>
    <row r="14" spans="1:164" ht="15.75">
      <c r="A14" s="65" t="s">
        <v>30</v>
      </c>
      <c r="B14" s="69">
        <v>14117</v>
      </c>
      <c r="C14" s="70">
        <v>50841</v>
      </c>
      <c r="D14" s="70">
        <v>58259</v>
      </c>
      <c r="E14" s="70">
        <v>75302</v>
      </c>
      <c r="F14" s="70">
        <v>76551</v>
      </c>
      <c r="G14" s="70">
        <v>93862</v>
      </c>
      <c r="H14" s="70">
        <v>101867</v>
      </c>
      <c r="I14" s="70">
        <v>154164</v>
      </c>
      <c r="J14" s="70">
        <v>144235</v>
      </c>
      <c r="K14" s="70">
        <v>195612</v>
      </c>
      <c r="L14" s="71">
        <v>255264</v>
      </c>
      <c r="M14" s="72">
        <v>230733</v>
      </c>
      <c r="N14" s="73">
        <v>177549</v>
      </c>
      <c r="O14" s="72">
        <v>215379</v>
      </c>
      <c r="P14" s="73">
        <v>199708</v>
      </c>
      <c r="Q14" s="73">
        <v>167836</v>
      </c>
      <c r="R14" s="73">
        <v>168819</v>
      </c>
      <c r="S14" s="75">
        <v>211736</v>
      </c>
      <c r="T14" s="83">
        <v>199478</v>
      </c>
      <c r="U14" s="83">
        <v>209028</v>
      </c>
      <c r="V14" s="83">
        <v>236270</v>
      </c>
      <c r="W14" s="83">
        <v>269492</v>
      </c>
      <c r="X14" s="83">
        <v>313732</v>
      </c>
      <c r="Y14" s="83">
        <v>329518</v>
      </c>
      <c r="Z14" s="83">
        <v>396268</v>
      </c>
      <c r="AA14" s="66">
        <v>471926.61559999996</v>
      </c>
      <c r="AB14" s="67">
        <v>494959.3289</v>
      </c>
      <c r="AC14" s="66">
        <v>525151.0576000001</v>
      </c>
      <c r="AD14" s="66">
        <v>538454.3802</v>
      </c>
      <c r="AE14" s="66">
        <v>500120.54240000003</v>
      </c>
      <c r="AF14" s="66">
        <v>481406.0752000001</v>
      </c>
      <c r="AG14" s="66">
        <v>534220.2188</v>
      </c>
      <c r="AH14" s="66">
        <v>601852.7104</v>
      </c>
      <c r="AI14" s="67">
        <f>23608+2775</f>
        <v>26383</v>
      </c>
      <c r="AJ14" s="84">
        <f>976+18899+2351</f>
        <v>22226</v>
      </c>
      <c r="AK14" s="85">
        <f>2926+16461+1857</f>
        <v>21244</v>
      </c>
      <c r="AL14" s="85">
        <f>966+22272+2088</f>
        <v>25326</v>
      </c>
      <c r="AM14" s="78">
        <f>468+24296+4430</f>
        <v>29194</v>
      </c>
      <c r="AN14" s="78">
        <f>21736+2314</f>
        <v>24050</v>
      </c>
      <c r="AO14" s="78">
        <f>494+25132+3113</f>
        <v>28739</v>
      </c>
      <c r="AP14" s="78">
        <f>247+26749+1811</f>
        <v>28807</v>
      </c>
      <c r="AQ14" s="78">
        <f>441+27751+4679</f>
        <v>32871</v>
      </c>
      <c r="AR14" s="86">
        <f>187+28116+3083</f>
        <v>31386</v>
      </c>
      <c r="AS14" s="87">
        <f>132+22722+3174</f>
        <v>26028</v>
      </c>
      <c r="AT14" s="88">
        <f>308+29523+3433</f>
        <v>33264</v>
      </c>
      <c r="AU14" s="67">
        <f>157+32294+3551</f>
        <v>36002</v>
      </c>
      <c r="AV14" s="84">
        <f>79+23168+2912</f>
        <v>26159</v>
      </c>
      <c r="AW14" s="85">
        <f>111+24527+2365</f>
        <v>27003</v>
      </c>
      <c r="AX14" s="85">
        <f>33220+3512</f>
        <v>36732</v>
      </c>
      <c r="AY14" s="78">
        <f>25855+3204</f>
        <v>29059</v>
      </c>
      <c r="AZ14" s="78">
        <f>618+29069+3678</f>
        <v>33365</v>
      </c>
      <c r="BA14" s="78">
        <f>33647+3500</f>
        <v>37147</v>
      </c>
      <c r="BB14" s="78">
        <f>34408+4346</f>
        <v>38754</v>
      </c>
      <c r="BC14" s="78">
        <f>27945+3782</f>
        <v>31727</v>
      </c>
      <c r="BD14" s="86">
        <f>479+29849+1935</f>
        <v>32263</v>
      </c>
      <c r="BE14" s="87">
        <f>29207+6191</f>
        <v>35398</v>
      </c>
      <c r="BF14" s="88">
        <f>30750+1909</f>
        <v>32659</v>
      </c>
      <c r="BG14" s="78">
        <f aca="true" t="shared" si="0" ref="BG14:BG23">SUM(AU14:BF14)</f>
        <v>396268</v>
      </c>
      <c r="BH14" s="67">
        <v>39000</v>
      </c>
      <c r="BI14" s="67">
        <f>464+31720+4478</f>
        <v>36662</v>
      </c>
      <c r="BJ14" s="66">
        <f>(62400*33+5069184*65+1311456*33)/10000</f>
        <v>37483.4208</v>
      </c>
      <c r="BK14" s="66">
        <v>37281</v>
      </c>
      <c r="BL14" s="66">
        <f>(95064*33+5791008*65+1295184*33)/10000</f>
        <v>42229.3704</v>
      </c>
      <c r="BM14" s="66">
        <f>(5730132*65+723984*33)/10000</f>
        <v>39635.0052</v>
      </c>
      <c r="BN14" s="66">
        <f>(5186592*65+475032*33)/10000</f>
        <v>35280.4536</v>
      </c>
      <c r="BO14" s="66">
        <f>(5853756*65+1044240*33)/10000</f>
        <v>41495.406</v>
      </c>
      <c r="BP14" s="66">
        <f>(141072*33+5451048*65+873624*33+143*2000)/10000</f>
        <v>38808.9088</v>
      </c>
      <c r="BQ14" s="66">
        <f>(78024*33+5819280*65+877512*33+129*2000+186*2000)/10000</f>
        <v>41041.5888</v>
      </c>
      <c r="BR14" s="66">
        <v>38832.324</v>
      </c>
      <c r="BS14" s="66">
        <v>44177.138</v>
      </c>
      <c r="BT14" s="66">
        <f>SUM(BH14:BS14)</f>
        <v>471926.61559999996</v>
      </c>
      <c r="BU14" s="66">
        <f>(259584*33+5646876*65+400896*33+73*2000)/10000</f>
        <v>38898.878</v>
      </c>
      <c r="BV14" s="66">
        <f>(39696*33+4729668*65+892176*33+104*2000)/10000</f>
        <v>33838.8196</v>
      </c>
      <c r="BW14" s="66">
        <f>(209688*33+5993292*65+919320*33+93*2000)/10000</f>
        <v>42700.7244</v>
      </c>
      <c r="BX14" s="66">
        <f>(5479008*65+888672*33+80*2000)/10000</f>
        <v>38562.1696</v>
      </c>
      <c r="BY14" s="66">
        <f>(147480*33+5444760*65+798480*33)/10000+(109*20/100)</f>
        <v>38534.408</v>
      </c>
      <c r="BZ14" s="66">
        <f>(47664*33+5435280*65+35517*33)/10000+(102*20/100)</f>
        <v>35624.217300000004</v>
      </c>
      <c r="CA14" s="66">
        <f>(203640*33+5207556*65+919464*33)/10000+(113*20/100)</f>
        <v>37577.9572</v>
      </c>
      <c r="CB14" s="66">
        <f>(247824*33+6811608*65+464712*33)/10000+(112*20/100)</f>
        <v>46649.2208</v>
      </c>
      <c r="CC14" s="66">
        <f>(108720*33+6425640*65+547680*33+92*2000)/10000</f>
        <v>43951.18</v>
      </c>
      <c r="CD14" s="66">
        <f>(174456*33+6743640*65+1167264*33+109*2000)/10000</f>
        <v>48283.136</v>
      </c>
      <c r="CE14" s="66">
        <f>(6408144*65+432720*33+96*2000)/10000</f>
        <v>43100.112</v>
      </c>
      <c r="CF14" s="66">
        <f>(251592*33+6599748*65+1058088*33)/10000+(91*20/100)</f>
        <v>47238.505999999994</v>
      </c>
      <c r="CG14" s="66">
        <f aca="true" t="shared" si="1" ref="CG14:CG23">SUM(BU14:CF14)</f>
        <v>494959.3289</v>
      </c>
      <c r="CH14" s="67">
        <f>(5938620*65+1039368*33)/10000+(195*20)/100</f>
        <v>42069.9444</v>
      </c>
      <c r="CI14" s="67">
        <f>(5614392*65+1413552*33+40*2000)/10000</f>
        <v>41166.2696</v>
      </c>
      <c r="CJ14" s="67">
        <f>(224016*33+5800344*65+479904*33+60*2000)/10000</f>
        <v>40037.172</v>
      </c>
      <c r="CK14" s="67">
        <f>(5744640*65+430872*33+33*2000)/10000</f>
        <v>38768.6376</v>
      </c>
      <c r="CL14" s="67">
        <f>(401016*33+6684840*65+1127760*33)/10000+(60*20/100)</f>
        <v>48508.4208</v>
      </c>
      <c r="CM14" s="67">
        <f>(720*33+6924972*65+2520*33)/10000+30*20/100</f>
        <v>45029.01</v>
      </c>
      <c r="CN14" s="67">
        <f>(96*33+6685248*65+1024368*33+69*2000)/10000</f>
        <v>46848.6432</v>
      </c>
      <c r="CO14" s="67">
        <f>(105912*33+7041036*65+1195392*33+35*100)/10000</f>
        <v>50061.3872</v>
      </c>
      <c r="CP14" s="67">
        <f>(218352*33+6011764*65+303312*33+351912*65+33*2000)/10000</f>
        <v>43091.9852</v>
      </c>
      <c r="CQ14" s="67">
        <f>(46920*33+5947512*65+389280*33+414960*65)/10000+(51*2000)/10000</f>
        <v>42805.727999999996</v>
      </c>
      <c r="CR14" s="67">
        <f>(5968152*65+1211352*33+60*2000)/10000</f>
        <v>42802.4496</v>
      </c>
      <c r="CS14" s="67">
        <f>(6205188*65+970680*33+63576*65+56*2000)/10000</f>
        <v>43961.41</v>
      </c>
      <c r="CT14" s="67">
        <f aca="true" t="shared" si="2" ref="CT14:CT23">SUM(CH14:CS14)</f>
        <v>525151.0576000001</v>
      </c>
      <c r="CU14" s="67">
        <f>(136704*33+7020276*65+690120*33+198600*65+69*2000)/10000</f>
        <v>49665.0132</v>
      </c>
      <c r="CV14" s="67">
        <f>(6514428*65+850896*33+2592*65+51*2000)/10000</f>
        <v>45178.7868</v>
      </c>
      <c r="CW14" s="67">
        <f>(5914392*65+704304*33+72468*65+55*2000)/10000</f>
        <v>41249.7932</v>
      </c>
      <c r="CX14" s="82">
        <f>(143280*33+5920572*65+375864*33+114636+62*2000)/10000</f>
        <v>40220.7568</v>
      </c>
      <c r="CY14" s="82">
        <f>(151656*33+7049316*65+1055256*33+139584*65+91*2000)/10000</f>
        <v>50728.8596</v>
      </c>
      <c r="CZ14" s="67">
        <f>(126696*33+5736504*65+1265640*33+77640*65+77*2000)/10000</f>
        <v>42402.0448</v>
      </c>
      <c r="DA14" s="67">
        <f>(129000*33+6769824*65+1020240*33+61584*65+68*2000)/10000</f>
        <v>48210.244</v>
      </c>
      <c r="DB14" s="82">
        <f>(127224*33+6240528*65+1274978*33+0*65+54*2000)/10000</f>
        <v>45201.4986</v>
      </c>
      <c r="DC14" s="82">
        <f>(6633024*65+1078608*33+219216*65+87*2000)/10000</f>
        <v>48116.3664</v>
      </c>
      <c r="DD14" s="82">
        <f>(146880*30+6193728*65+1283208*33+76128*65+73*2000)/10000</f>
        <v>45443.8904</v>
      </c>
      <c r="DE14" s="82">
        <f>(173084*33+5087676*65+743544*33)/10000+59*20/100</f>
        <v>36106.5664</v>
      </c>
      <c r="DF14" s="82">
        <f>(6404904*65+1299480*33)/10000+52*20/100</f>
        <v>45930.560000000005</v>
      </c>
      <c r="DG14" s="67">
        <f>SUM(CU14:DF14)</f>
        <v>538454.3802</v>
      </c>
      <c r="DH14" s="82">
        <f>(5024412*65+1244952*33+53*2000)/10000</f>
        <v>36777.6196</v>
      </c>
      <c r="DI14" s="82">
        <f>(5628912*65+53*2000)/10000</f>
        <v>36598.528</v>
      </c>
      <c r="DJ14" s="82">
        <f>(55620*33+5751060*65+966768*33+60*2000)/10000</f>
        <v>40767.7704</v>
      </c>
      <c r="DK14" s="82">
        <f>(122952*33+4750140*65+1062744*33+62664*65+58*2000)/10000</f>
        <v>35207.6228</v>
      </c>
      <c r="DL14" s="82">
        <f>(6535140*65+1146888*33+65*2000+61764*65)/10000</f>
        <v>46677.6064</v>
      </c>
      <c r="DM14" s="82">
        <f>(120336*33+6057276*65+1330224*33+83*2000)/10000</f>
        <v>44175.742</v>
      </c>
      <c r="DN14" s="82">
        <f>(5420196*65+24000*33+1287432*33+66*2000)/10000</f>
        <v>39572.1996</v>
      </c>
      <c r="DO14" s="82">
        <f>(7385568*65+12048*65+113016*33+1401288*33+39*2000)/10000</f>
        <v>53089.5072</v>
      </c>
      <c r="DP14" s="82">
        <f>(4848444*65+1208448*33+28*2000)/10000</f>
        <v>35508.3644</v>
      </c>
      <c r="DQ14" s="82">
        <f>(5987544*65+60444*65+119040*33+1191096*33+51*2000)/10000</f>
        <v>43645.5708</v>
      </c>
      <c r="DR14" s="82">
        <f>(5423052*65+1319064*33+30*2000)/10000</f>
        <v>39608.7492</v>
      </c>
      <c r="DS14" s="82">
        <f>(7053444*65+840*65+2112*33+795408*33+33*2000)/10000</f>
        <v>48491.262</v>
      </c>
      <c r="DT14" s="82">
        <f>SUM(DH14:DS14)</f>
        <v>500120.54240000003</v>
      </c>
      <c r="DU14" s="82">
        <f>(5527200*65+48*33+1852032*33+50*2000)/10000</f>
        <v>42048.664</v>
      </c>
      <c r="DV14" s="82">
        <f>(5178948*65+603168*33+45*2000)/10000</f>
        <v>35662.6164</v>
      </c>
      <c r="DW14" s="82">
        <f>(5133840*65+78288*33+1678560*33+50*2000)/10000</f>
        <v>39177.5584</v>
      </c>
      <c r="DX14" s="82">
        <f>(5540664*65/10000)+(1090416*33/10000)+(155*20/100)</f>
        <v>39643.688799999996</v>
      </c>
      <c r="DY14" s="82">
        <f>(4933764*65+558120*33+39*2000)/10000</f>
        <v>33919.062</v>
      </c>
      <c r="DZ14" s="82">
        <f>(5580960*65+1282224*33+100*2000)/10000</f>
        <v>40527.5792</v>
      </c>
      <c r="EA14" s="82">
        <f>(5616048*65+1177128*33+109*2000)/10000</f>
        <v>40410.6344</v>
      </c>
      <c r="EB14" s="82">
        <f>(5773572*65+1465944*33+97*2000)/10000</f>
        <v>42385.2332</v>
      </c>
      <c r="EC14" s="82">
        <f>(6413604*65+931176*33+176*2000)/10000</f>
        <v>44796.5068</v>
      </c>
      <c r="ED14" s="82">
        <f>(4961004*65+1461432*33+114*2000)/10000</f>
        <v>37092.0516</v>
      </c>
      <c r="EE14" s="82">
        <f>(5337624*65+1869408*33+101*2000)/10000</f>
        <v>40883.8024</v>
      </c>
      <c r="EF14" s="82">
        <f>(6268884*65+1238040*33+127*2000)/10000</f>
        <v>44858.678</v>
      </c>
      <c r="EG14" s="82">
        <f>SUM(DU14:EF14)</f>
        <v>481406.0752000001</v>
      </c>
      <c r="EH14" s="82">
        <f>(4646004*65+74952*33+1673208*33+125*2000)/10000</f>
        <v>35992.954</v>
      </c>
      <c r="EI14" s="82">
        <f>(4196940*65+1365320*50+571248*33+107*2000)/10000</f>
        <v>36013.2284</v>
      </c>
      <c r="EJ14" s="82">
        <f>(5822628*65+1628088*33+153*2000+1763740*50)/10000</f>
        <v>52069.0724</v>
      </c>
      <c r="EK14" s="82">
        <f>(3936360*65+1552920*50+1166616*33+295600*50+116*2000)/10000</f>
        <v>38701.9728</v>
      </c>
      <c r="EL14" s="82">
        <f>(4637772*65+886520*50+1045152*33+145*2000)/10000</f>
        <v>38056.1196</v>
      </c>
      <c r="EM14" s="82">
        <f>(4064964*65+1757340*50+1024368*33+155*2000)/10000</f>
        <v>38620.3804</v>
      </c>
      <c r="EN14" s="82">
        <f>(6291192*65+755040*33+123*2000+564720*50)/10000</f>
        <v>46232.58</v>
      </c>
      <c r="EO14" s="82">
        <f>(6588228*65+1872360*50+1768512*33+198*2000+712800*50)/10000</f>
        <v>61624.9716</v>
      </c>
      <c r="EP14" s="82">
        <f>(5249148*65+1271120*50+1772112*33+148*2000)/10000</f>
        <v>46352.6316</v>
      </c>
      <c r="EQ14" s="82">
        <f>(4916088*65+987000*50+1214808*33+113*2000+1998560*50)/10000</f>
        <v>50913.8384</v>
      </c>
      <c r="ER14" s="82">
        <f>(4357800*65+1054440*50+1278120*33+120*2000+1554020*50)/10000</f>
        <v>45609.796</v>
      </c>
      <c r="ES14" s="82">
        <f>(5331384*65+135540*50+1066872*33+124*2000+1031100*50)/10000</f>
        <v>44032.6736</v>
      </c>
      <c r="ET14" s="82">
        <f>SUM(EH14:ES14)</f>
        <v>534220.2188</v>
      </c>
      <c r="EU14" s="82">
        <f>(5250780*65+1010300*50+1050744*33+139*2000+1435100*50)/10000</f>
        <v>49852.3252</v>
      </c>
      <c r="EV14" s="82">
        <f>(5070048*65+1052780*50+833040*50+1005528*33+111*2000)/10000</f>
        <v>45724.8544</v>
      </c>
      <c r="EW14" s="82">
        <f>(5051472*65+991100*50+1381680*50+1455744*33+132*2000)/10000</f>
        <v>49528.8232</v>
      </c>
      <c r="EX14" s="82">
        <f>(5725320*65+454780*50+466820*50+1339752*33+166*2000)/10000</f>
        <v>46276.9616</v>
      </c>
      <c r="EY14" s="82">
        <f>(5968440*65+954200*50+1570020*50+2076144*33+182*2000)/10000</f>
        <v>58303.6352</v>
      </c>
      <c r="EZ14" s="82">
        <f>(5168520*65+962940*50+969140*50+1062480*33+159*2000)/10000</f>
        <v>46793.764</v>
      </c>
      <c r="FA14" s="82">
        <f>(5398140*65+2602240*50+1082660*50+1261152*33+148*2000)/10000</f>
        <v>57703.8116</v>
      </c>
      <c r="FB14" s="82">
        <f>(4010112*65+2406520*50+1485280*50+2176536*33+237*200)/10000</f>
        <v>52712.0368</v>
      </c>
      <c r="FC14" s="82">
        <f>(3704724*65+3172040*50+1282880*50+1366392*33+219*2000)/10000</f>
        <v>50908.1996</v>
      </c>
      <c r="FD14" s="82">
        <f>(3704724*65+3172040*50+1282880*50+1366392*33+219*2000)/10000</f>
        <v>50908.1996</v>
      </c>
      <c r="FE14" s="82">
        <f>(3297756*65+872780*50+1039440*50+773712*33+112*2000)/10000</f>
        <v>33572.1636</v>
      </c>
      <c r="FF14" s="82">
        <f>(6428772*65+1405020*50+1502000*50+972672*33+180*2000)/10000</f>
        <v>59567.9356</v>
      </c>
      <c r="FG14" s="82">
        <f>SUM(EU14:FF14)</f>
        <v>601852.7104</v>
      </c>
      <c r="FH14" s="82">
        <f>(6093672*65+1605980*50+986280*50+1844856*33+44*2000)/10000</f>
        <v>58666.9928</v>
      </c>
    </row>
    <row r="15" spans="1:169" ht="19.5">
      <c r="A15" s="65" t="s">
        <v>31</v>
      </c>
      <c r="B15" s="69">
        <v>126869</v>
      </c>
      <c r="C15" s="70">
        <v>134706</v>
      </c>
      <c r="D15" s="70">
        <v>130308</v>
      </c>
      <c r="E15" s="70">
        <v>126380</v>
      </c>
      <c r="F15" s="70">
        <v>139472</v>
      </c>
      <c r="G15" s="70">
        <v>137404</v>
      </c>
      <c r="H15" s="70">
        <v>147967</v>
      </c>
      <c r="I15" s="70">
        <v>159914</v>
      </c>
      <c r="J15" s="70">
        <v>179300</v>
      </c>
      <c r="K15" s="70">
        <v>201400</v>
      </c>
      <c r="L15" s="71">
        <v>219746</v>
      </c>
      <c r="M15" s="72">
        <v>179079</v>
      </c>
      <c r="N15" s="73">
        <v>146580</v>
      </c>
      <c r="O15" s="72">
        <v>143538</v>
      </c>
      <c r="P15" s="73">
        <v>126977</v>
      </c>
      <c r="Q15" s="73">
        <v>119867</v>
      </c>
      <c r="R15" s="73">
        <v>94405</v>
      </c>
      <c r="S15" s="75">
        <v>111269</v>
      </c>
      <c r="T15" s="73">
        <v>121064</v>
      </c>
      <c r="U15" s="73">
        <v>119578</v>
      </c>
      <c r="V15" s="73">
        <v>143574</v>
      </c>
      <c r="W15" s="73">
        <v>257722</v>
      </c>
      <c r="X15" s="73">
        <v>294213</v>
      </c>
      <c r="Y15" s="73">
        <v>284977</v>
      </c>
      <c r="Z15" s="73">
        <v>287063</v>
      </c>
      <c r="AA15" s="66">
        <v>319936.58999999997</v>
      </c>
      <c r="AB15" s="67">
        <v>331898.83200000005</v>
      </c>
      <c r="AC15" s="66">
        <v>291518.877</v>
      </c>
      <c r="AD15" s="66">
        <v>359970.33599999995</v>
      </c>
      <c r="AE15" s="66">
        <v>369186.912</v>
      </c>
      <c r="AF15" s="66">
        <v>332256.9</v>
      </c>
      <c r="AG15" s="66">
        <v>397268.92799999996</v>
      </c>
      <c r="AH15" s="66">
        <v>366838.464</v>
      </c>
      <c r="AI15" s="83">
        <f>10623+9851+1029+912+688+96</f>
        <v>23199</v>
      </c>
      <c r="AJ15" s="75">
        <f>9236+5983+1665+941+279</f>
        <v>18104</v>
      </c>
      <c r="AK15" s="85">
        <f>9530+7171+435+480+279+214</f>
        <v>18109</v>
      </c>
      <c r="AL15" s="89">
        <f>8856+6191+1418+681+277</f>
        <v>17423</v>
      </c>
      <c r="AM15" s="78">
        <f>12460+8370+2254+1297+528+169</f>
        <v>25078</v>
      </c>
      <c r="AN15" s="90">
        <f>11675+8930+1692+803+426</f>
        <v>23526</v>
      </c>
      <c r="AO15" s="90">
        <f>13063+10020+2121+746+547+177</f>
        <v>26674</v>
      </c>
      <c r="AP15" s="90">
        <v>28213</v>
      </c>
      <c r="AQ15" s="90">
        <f>15210+9924+2895+560</f>
        <v>28589</v>
      </c>
      <c r="AR15" s="86">
        <f>25234+258</f>
        <v>25492</v>
      </c>
      <c r="AS15" s="87">
        <v>26348</v>
      </c>
      <c r="AT15" s="81">
        <v>24222</v>
      </c>
      <c r="AU15" s="83">
        <v>28849</v>
      </c>
      <c r="AV15" s="75">
        <f>8505+6317+2000+672</f>
        <v>17494</v>
      </c>
      <c r="AW15" s="85">
        <f>12670+7839+31+672+395</f>
        <v>21607</v>
      </c>
      <c r="AX15" s="89">
        <f>11756+9569+2308+1241+453+179</f>
        <v>25506</v>
      </c>
      <c r="AY15" s="78">
        <f>7046+8149+601+1186+701</f>
        <v>17683</v>
      </c>
      <c r="AZ15" s="90">
        <v>22903</v>
      </c>
      <c r="BA15" s="90">
        <f>13095+9492+1833+1544+419</f>
        <v>26383</v>
      </c>
      <c r="BB15" s="90">
        <v>28015</v>
      </c>
      <c r="BC15" s="90">
        <f>15051+11855+2576</f>
        <v>29482</v>
      </c>
      <c r="BD15" s="86">
        <v>21738</v>
      </c>
      <c r="BE15" s="87">
        <v>25411</v>
      </c>
      <c r="BF15" s="81">
        <v>21992</v>
      </c>
      <c r="BG15" s="78">
        <f t="shared" si="0"/>
        <v>287063</v>
      </c>
      <c r="BH15" s="83">
        <v>24866</v>
      </c>
      <c r="BI15" s="83">
        <v>26243</v>
      </c>
      <c r="BJ15" s="66">
        <f>(4227792+4296144+699192+456096+217680+70248)*30/10000</f>
        <v>29901.456</v>
      </c>
      <c r="BK15" s="66">
        <v>24713</v>
      </c>
      <c r="BL15" s="66">
        <f>(3356664+2946240+1389192+446496+215808)*30/10000</f>
        <v>25063.2</v>
      </c>
      <c r="BM15" s="66">
        <f>(4666896+3232440+729360+346728+292248)*30/10000</f>
        <v>27803.016</v>
      </c>
      <c r="BN15" s="66">
        <f>(4148112+3792048+361344)*30/10000</f>
        <v>24904.512</v>
      </c>
      <c r="BO15" s="66">
        <f>(9458832*30/10000)</f>
        <v>28376.496</v>
      </c>
      <c r="BP15" s="66">
        <f>(4518360*30+3371712*30+580440*30)/10000</f>
        <v>25411.536</v>
      </c>
      <c r="BQ15" s="66">
        <f>(8852400*30)/10000</f>
        <v>26557.2</v>
      </c>
      <c r="BR15" s="66">
        <v>29022.87</v>
      </c>
      <c r="BS15" s="66">
        <v>27074.304</v>
      </c>
      <c r="BT15" s="66">
        <f aca="true" t="shared" si="3" ref="BT15:BT23">SUM(BH15:BS15)</f>
        <v>319936.58999999997</v>
      </c>
      <c r="BU15" s="66">
        <f>8110392*30/10000</f>
        <v>24331.176</v>
      </c>
      <c r="BV15" s="66">
        <f>(7512192*30)/10000</f>
        <v>22536.576</v>
      </c>
      <c r="BW15" s="66">
        <f>7989816*30/10000</f>
        <v>23969.448</v>
      </c>
      <c r="BX15" s="66">
        <f>8168904*30/10000</f>
        <v>24506.712</v>
      </c>
      <c r="BY15" s="66">
        <f>7069752*30/10000</f>
        <v>21209.256</v>
      </c>
      <c r="BZ15" s="66">
        <f>9937392*0.003</f>
        <v>29812.176</v>
      </c>
      <c r="CA15" s="66">
        <f>11541096*30/10000</f>
        <v>34623.288</v>
      </c>
      <c r="CB15" s="66">
        <f>12547032*30/10000</f>
        <v>37641.096</v>
      </c>
      <c r="CC15" s="66">
        <f>11428632*30/10000</f>
        <v>34285.896</v>
      </c>
      <c r="CD15" s="66">
        <f>9119784*30/10000</f>
        <v>27359.352</v>
      </c>
      <c r="CE15" s="66">
        <f>5571840*30/10000</f>
        <v>16715.52</v>
      </c>
      <c r="CF15" s="66">
        <f>11636112*30/10000</f>
        <v>34908.336</v>
      </c>
      <c r="CG15" s="66">
        <f t="shared" si="1"/>
        <v>331898.83200000005</v>
      </c>
      <c r="CH15" s="67">
        <f>(11615064*30)/10000</f>
        <v>34845.192</v>
      </c>
      <c r="CI15" s="67">
        <f>(8313408*30+119136*30)/10000</f>
        <v>25297.632</v>
      </c>
      <c r="CJ15" s="67">
        <f>(5592288*30+119136*30)/10000</f>
        <v>17134.272</v>
      </c>
      <c r="CK15" s="67">
        <f>6105239*30/10000</f>
        <v>18315.717</v>
      </c>
      <c r="CL15" s="67">
        <f>6237525*30/10000</f>
        <v>18712.575</v>
      </c>
      <c r="CM15" s="67">
        <f>7291270*30/10000</f>
        <v>21873.81</v>
      </c>
      <c r="CN15" s="67">
        <f>(8163255*30/10000)</f>
        <v>24489.765</v>
      </c>
      <c r="CO15" s="67">
        <f>10965528*30/10000</f>
        <v>32896.584</v>
      </c>
      <c r="CP15" s="67">
        <f>(6831718*30)/10000</f>
        <v>20495.154</v>
      </c>
      <c r="CQ15" s="67">
        <f>8305896*30/10000</f>
        <v>24917.688</v>
      </c>
      <c r="CR15" s="67">
        <f>8738784*30/10000</f>
        <v>26216.352</v>
      </c>
      <c r="CS15" s="67">
        <f>8774712*30/10000</f>
        <v>26324.136</v>
      </c>
      <c r="CT15" s="67">
        <f t="shared" si="2"/>
        <v>291518.877</v>
      </c>
      <c r="CU15" s="67">
        <f>12080544*30/10000</f>
        <v>36241.632</v>
      </c>
      <c r="CV15" s="67">
        <f>(7728408*30)/10000</f>
        <v>23185.224</v>
      </c>
      <c r="CW15" s="67">
        <f>9302856*30/10000</f>
        <v>27908.568</v>
      </c>
      <c r="CX15" s="82">
        <f>7129992*30/10000</f>
        <v>21389.976</v>
      </c>
      <c r="CY15" s="82">
        <f>(13058304*30)/10000</f>
        <v>39174.912</v>
      </c>
      <c r="CZ15" s="67">
        <f>10079928*30/10000</f>
        <v>30239.784</v>
      </c>
      <c r="DA15" s="67">
        <f>10079928*30/10000</f>
        <v>30239.784</v>
      </c>
      <c r="DB15" s="82">
        <f>13865904*30/10000</f>
        <v>41597.712</v>
      </c>
      <c r="DC15" s="82">
        <f>9982632*30/10000</f>
        <v>29947.896</v>
      </c>
      <c r="DD15" s="82">
        <f>(11847168*30)/10000</f>
        <v>35541.504</v>
      </c>
      <c r="DE15" s="82">
        <f>7259016*30/10000</f>
        <v>21777.048</v>
      </c>
      <c r="DF15" s="82">
        <f>7575432*30/10000</f>
        <v>22726.296</v>
      </c>
      <c r="DG15" s="67">
        <f>SUM(CU15:DF15)</f>
        <v>359970.33599999995</v>
      </c>
      <c r="DH15" s="82">
        <f>(5100000+5153688+650928+885360+617028)*30/10000</f>
        <v>37221.012</v>
      </c>
      <c r="DI15" s="82">
        <f>(1536000+3093384+647136+733248+324336)*30/10000</f>
        <v>19002.312</v>
      </c>
      <c r="DJ15" s="82">
        <f>(2937192*30+2793744*30+666024*30+527928*30+371964*30)/10000</f>
        <v>21890.556</v>
      </c>
      <c r="DK15" s="82">
        <f>8959056*30/10000</f>
        <v>26877.168</v>
      </c>
      <c r="DL15" s="82">
        <f>(3822408*30+3603624*30+1038336*30+526056*30+1957392*30)/10000</f>
        <v>32843.448</v>
      </c>
      <c r="DM15" s="82">
        <f>(4572864*30+5593248*30+897456*30+904008*30+951240*30)/10000</f>
        <v>38756.448</v>
      </c>
      <c r="DN15" s="82">
        <f>14667192*30/10000</f>
        <v>44001.576</v>
      </c>
      <c r="DO15" s="82">
        <f>11856288*30/10000</f>
        <v>35568.864</v>
      </c>
      <c r="DP15" s="82">
        <f>(8345784*30)/10000</f>
        <v>25037.352</v>
      </c>
      <c r="DQ15" s="82">
        <f>10209528*30/10000</f>
        <v>30628.584</v>
      </c>
      <c r="DR15" s="82">
        <f>(8294832*30)/10000</f>
        <v>24884.496</v>
      </c>
      <c r="DS15" s="82">
        <f>(10825032*30)/10000</f>
        <v>32475.096</v>
      </c>
      <c r="DT15" s="82">
        <f>SUM(DH15:DS15)</f>
        <v>369186.912</v>
      </c>
      <c r="DU15" s="82">
        <f>(11148744*30)/10000</f>
        <v>33446.232</v>
      </c>
      <c r="DV15" s="82">
        <f>(8038056*30)/10000</f>
        <v>24114.168</v>
      </c>
      <c r="DW15" s="82">
        <f>(8586240*30)/10000</f>
        <v>25758.72</v>
      </c>
      <c r="DX15" s="82">
        <f>(7879152*30/10000)</f>
        <v>23637.456</v>
      </c>
      <c r="DY15" s="82">
        <f>4337544*30/10000</f>
        <v>13012.632</v>
      </c>
      <c r="DZ15" s="82">
        <f>(11228088*30/10000)</f>
        <v>33684.264</v>
      </c>
      <c r="EA15" s="82">
        <f>10188264*30/10000</f>
        <v>30564.792</v>
      </c>
      <c r="EB15" s="82">
        <f>(10900176*30)/10000</f>
        <v>32700.528</v>
      </c>
      <c r="EC15" s="82">
        <f>(13148040*30/10000)</f>
        <v>39444.12</v>
      </c>
      <c r="ED15" s="82">
        <f>(8954164*30)/10000</f>
        <v>26862.492</v>
      </c>
      <c r="EE15" s="82">
        <f>(7215936*30)/10000</f>
        <v>21647.808</v>
      </c>
      <c r="EF15" s="82">
        <f>9127896*30/10000</f>
        <v>27383.688</v>
      </c>
      <c r="EG15" s="82">
        <f>SUM(DU15:EF15)</f>
        <v>332256.9</v>
      </c>
      <c r="EH15" s="82">
        <f>(11567112*30)/10000</f>
        <v>34701.336</v>
      </c>
      <c r="EI15" s="82">
        <f>4437528*30/10000</f>
        <v>13312.584</v>
      </c>
      <c r="EJ15" s="82">
        <f>(13714200*30)/10000</f>
        <v>41142.6</v>
      </c>
      <c r="EK15" s="82">
        <f>(13714200*30)/10000</f>
        <v>41142.6</v>
      </c>
      <c r="EL15" s="82">
        <f>(8870328*30)/10000</f>
        <v>26610.984</v>
      </c>
      <c r="EM15" s="82">
        <f>(9544224*30)/10000</f>
        <v>28632.672</v>
      </c>
      <c r="EN15" s="82">
        <f>11268168*30/10000</f>
        <v>33804.504</v>
      </c>
      <c r="EO15" s="82">
        <f>(13836696*30)/10000</f>
        <v>41510.088</v>
      </c>
      <c r="EP15" s="82">
        <f>(14778024*30)/10000</f>
        <v>44334.072</v>
      </c>
      <c r="EQ15" s="82">
        <f>(11862408*30)/10000</f>
        <v>35587.224</v>
      </c>
      <c r="ER15" s="82">
        <f>(9203136*30/10000)</f>
        <v>27609.408</v>
      </c>
      <c r="ES15" s="82">
        <f>9626952*30/10000</f>
        <v>28880.856</v>
      </c>
      <c r="ET15" s="82">
        <f>SUM(EH15:ES15)</f>
        <v>397268.92799999996</v>
      </c>
      <c r="EU15" s="82">
        <f>11811304*30/10000</f>
        <v>35433.912</v>
      </c>
      <c r="EV15" s="82">
        <f>6385224*30/10000</f>
        <v>19155.672</v>
      </c>
      <c r="EW15" s="82">
        <f>(8014896*30)/10000</f>
        <v>24044.688</v>
      </c>
      <c r="EX15" s="82">
        <f>9192024*30/10000</f>
        <v>27576.072</v>
      </c>
      <c r="EY15" s="82">
        <f>(10136040*30+994704*20)/10000</f>
        <v>32397.528</v>
      </c>
      <c r="EZ15" s="82">
        <f>10080168*30/10000</f>
        <v>30240.504</v>
      </c>
      <c r="FA15" s="82">
        <f>(13282872*30)/10000</f>
        <v>39848.616</v>
      </c>
      <c r="FB15" s="82">
        <f>(12581520*30)/10000</f>
        <v>37744.56</v>
      </c>
      <c r="FC15" s="82">
        <f>(11069736*30)/10000</f>
        <v>33209.208</v>
      </c>
      <c r="FD15" s="82">
        <f>(11069736*30)/10000</f>
        <v>33209.208</v>
      </c>
      <c r="FE15" s="82">
        <f>(7880952*30+357624*20)/10000</f>
        <v>24358.104</v>
      </c>
      <c r="FF15" s="82">
        <f>(9358536*30+772392*20)/10000</f>
        <v>29620.392</v>
      </c>
      <c r="FG15" s="82">
        <f>SUM(EU15:FF15)</f>
        <v>366838.464</v>
      </c>
      <c r="FH15" s="82">
        <f>(12586920*30+421296*33)/10000</f>
        <v>39151.0368</v>
      </c>
      <c r="FI15" s="2"/>
      <c r="FJ15" s="2"/>
      <c r="FK15" s="3"/>
      <c r="FL15" s="8"/>
      <c r="FM15" s="9"/>
    </row>
    <row r="16" spans="1:164" ht="15.75" hidden="1">
      <c r="A16" s="65" t="s">
        <v>32</v>
      </c>
      <c r="B16" s="18"/>
      <c r="C16" s="70">
        <v>5088</v>
      </c>
      <c r="D16" s="70">
        <v>6203</v>
      </c>
      <c r="E16" s="70">
        <v>6017</v>
      </c>
      <c r="F16" s="70">
        <v>1404</v>
      </c>
      <c r="G16" s="91" t="s">
        <v>33</v>
      </c>
      <c r="H16" s="91" t="s">
        <v>33</v>
      </c>
      <c r="I16" s="70">
        <v>6619</v>
      </c>
      <c r="J16" s="70">
        <v>2267</v>
      </c>
      <c r="K16" s="70">
        <v>2349</v>
      </c>
      <c r="L16" s="71">
        <v>472.205</v>
      </c>
      <c r="M16" s="72">
        <v>497</v>
      </c>
      <c r="N16" s="92" t="s">
        <v>64</v>
      </c>
      <c r="O16" s="92" t="s">
        <v>64</v>
      </c>
      <c r="P16" s="92" t="s">
        <v>64</v>
      </c>
      <c r="Q16" s="92" t="s">
        <v>64</v>
      </c>
      <c r="R16" s="93" t="s">
        <v>33</v>
      </c>
      <c r="S16" s="94"/>
      <c r="T16" s="94"/>
      <c r="U16" s="94"/>
      <c r="V16" s="94"/>
      <c r="W16" s="94"/>
      <c r="X16" s="94"/>
      <c r="Y16" s="92"/>
      <c r="Z16" s="92"/>
      <c r="AA16" s="66">
        <v>0</v>
      </c>
      <c r="AB16" s="67">
        <v>0</v>
      </c>
      <c r="AC16" s="66">
        <v>0</v>
      </c>
      <c r="AD16" s="66">
        <v>0</v>
      </c>
      <c r="AE16" s="66">
        <v>0</v>
      </c>
      <c r="AF16" s="66">
        <v>0</v>
      </c>
      <c r="AG16" s="66"/>
      <c r="AH16" s="66"/>
      <c r="AI16" s="67"/>
      <c r="AJ16" s="95"/>
      <c r="AK16" s="76"/>
      <c r="AL16" s="92"/>
      <c r="AM16" s="92"/>
      <c r="AN16" s="92"/>
      <c r="AO16" s="76"/>
      <c r="AP16" s="92"/>
      <c r="AQ16" s="92"/>
      <c r="AR16" s="92"/>
      <c r="AS16" s="92"/>
      <c r="AT16" s="95"/>
      <c r="AU16" s="67"/>
      <c r="AV16" s="95"/>
      <c r="AW16" s="76"/>
      <c r="AX16" s="92"/>
      <c r="AY16" s="92"/>
      <c r="AZ16" s="92"/>
      <c r="BA16" s="76"/>
      <c r="BB16" s="92"/>
      <c r="BC16" s="92"/>
      <c r="BD16" s="92"/>
      <c r="BE16" s="92"/>
      <c r="BF16" s="95"/>
      <c r="BG16" s="78">
        <f t="shared" si="0"/>
        <v>0</v>
      </c>
      <c r="BH16" s="67"/>
      <c r="BI16" s="67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>
        <f t="shared" si="3"/>
        <v>0</v>
      </c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>
        <f t="shared" si="1"/>
        <v>0</v>
      </c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>
        <f t="shared" si="2"/>
        <v>0</v>
      </c>
      <c r="CU16" s="67">
        <f>SUM(CG16:CR16)</f>
        <v>0</v>
      </c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>
        <f aca="true" t="shared" si="4" ref="DG16:DG22">SUM(CU16:DE16)</f>
        <v>0</v>
      </c>
      <c r="DH16" s="67">
        <f>SUM(CT16:DE16)</f>
        <v>0</v>
      </c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82">
        <f aca="true" t="shared" si="5" ref="DT16:DT22">SUM(DH16:DK16)</f>
        <v>0</v>
      </c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>
        <f aca="true" t="shared" si="6" ref="EG16:EG22">SUM(DU16:DX16)</f>
        <v>0</v>
      </c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</row>
    <row r="17" spans="1:164" ht="15.75" hidden="1">
      <c r="A17" s="6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66">
        <v>0</v>
      </c>
      <c r="AB17" s="67">
        <v>0</v>
      </c>
      <c r="AC17" s="66">
        <v>0</v>
      </c>
      <c r="AD17" s="66">
        <v>0</v>
      </c>
      <c r="AE17" s="13">
        <v>0</v>
      </c>
      <c r="AF17" s="13">
        <v>0</v>
      </c>
      <c r="AG17" s="13"/>
      <c r="AH17" s="13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78">
        <f t="shared" si="0"/>
        <v>0</v>
      </c>
      <c r="BH17" s="96"/>
      <c r="BI17" s="9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>
        <f t="shared" si="3"/>
        <v>0</v>
      </c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>
        <f t="shared" si="1"/>
        <v>0</v>
      </c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>
        <f t="shared" si="2"/>
        <v>0</v>
      </c>
      <c r="CU17" s="67">
        <f>SUM(CG17:CR17)</f>
        <v>0</v>
      </c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>
        <f t="shared" si="4"/>
        <v>0</v>
      </c>
      <c r="DH17" s="67">
        <f>SUM(CT17:DE17)</f>
        <v>0</v>
      </c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82">
        <f t="shared" si="5"/>
        <v>0</v>
      </c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>
        <f t="shared" si="6"/>
        <v>0</v>
      </c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</row>
    <row r="18" spans="1:164" ht="15.75" hidden="1">
      <c r="A18" s="65" t="s">
        <v>66</v>
      </c>
      <c r="B18" s="18">
        <v>79333</v>
      </c>
      <c r="C18" s="70">
        <v>26611</v>
      </c>
      <c r="D18" s="70">
        <v>10569</v>
      </c>
      <c r="E18" s="70">
        <v>18807</v>
      </c>
      <c r="F18" s="70">
        <v>29655</v>
      </c>
      <c r="G18" s="70">
        <v>56867</v>
      </c>
      <c r="H18" s="70">
        <v>45727</v>
      </c>
      <c r="I18" s="70">
        <v>66881</v>
      </c>
      <c r="J18" s="70">
        <v>84995</v>
      </c>
      <c r="K18" s="70">
        <v>40132</v>
      </c>
      <c r="L18" s="97" t="s">
        <v>33</v>
      </c>
      <c r="M18" s="98" t="s">
        <v>33</v>
      </c>
      <c r="N18" s="99">
        <v>254128</v>
      </c>
      <c r="O18" s="100">
        <v>288367</v>
      </c>
      <c r="P18" s="99">
        <v>255667</v>
      </c>
      <c r="Q18" s="99">
        <v>130388</v>
      </c>
      <c r="R18" s="99">
        <v>111485</v>
      </c>
      <c r="S18" s="101">
        <v>80125</v>
      </c>
      <c r="T18" s="99">
        <v>70736</v>
      </c>
      <c r="U18" s="99">
        <v>6008</v>
      </c>
      <c r="V18" s="95" t="s">
        <v>64</v>
      </c>
      <c r="W18" s="95"/>
      <c r="X18" s="95"/>
      <c r="Y18" s="95"/>
      <c r="Z18" s="95"/>
      <c r="AA18" s="66">
        <v>0</v>
      </c>
      <c r="AB18" s="67">
        <v>0</v>
      </c>
      <c r="AC18" s="66">
        <v>0</v>
      </c>
      <c r="AD18" s="66">
        <v>0</v>
      </c>
      <c r="AE18" s="13">
        <v>0</v>
      </c>
      <c r="AF18" s="13">
        <v>0</v>
      </c>
      <c r="AG18" s="13"/>
      <c r="AH18" s="13"/>
      <c r="AI18" s="95" t="s">
        <v>64</v>
      </c>
      <c r="AJ18" s="95" t="s">
        <v>64</v>
      </c>
      <c r="AK18" s="95"/>
      <c r="AL18" s="102"/>
      <c r="AM18" s="102"/>
      <c r="AN18" s="102"/>
      <c r="AO18" s="102"/>
      <c r="AP18" s="102"/>
      <c r="AQ18" s="102"/>
      <c r="AR18" s="95"/>
      <c r="AS18" s="92"/>
      <c r="AT18" s="95"/>
      <c r="AU18" s="95"/>
      <c r="AV18" s="95"/>
      <c r="AW18" s="95"/>
      <c r="AX18" s="102"/>
      <c r="AY18" s="102"/>
      <c r="AZ18" s="102"/>
      <c r="BA18" s="102"/>
      <c r="BB18" s="102"/>
      <c r="BC18" s="102"/>
      <c r="BD18" s="95"/>
      <c r="BE18" s="92"/>
      <c r="BF18" s="95"/>
      <c r="BG18" s="78">
        <f t="shared" si="0"/>
        <v>0</v>
      </c>
      <c r="BH18" s="95"/>
      <c r="BI18" s="95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>
        <f t="shared" si="3"/>
        <v>0</v>
      </c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>
        <f t="shared" si="1"/>
        <v>0</v>
      </c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>
        <f t="shared" si="2"/>
        <v>0</v>
      </c>
      <c r="CU18" s="67">
        <f>SUM(CG18:CR18)</f>
        <v>0</v>
      </c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>
        <f t="shared" si="4"/>
        <v>0</v>
      </c>
      <c r="DH18" s="67">
        <f>SUM(CT18:DE18)</f>
        <v>0</v>
      </c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82">
        <f t="shared" si="5"/>
        <v>0</v>
      </c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>
        <f t="shared" si="6"/>
        <v>0</v>
      </c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</row>
    <row r="19" spans="1:164" ht="15.75">
      <c r="A19" s="65" t="s">
        <v>34</v>
      </c>
      <c r="B19" s="103" t="s">
        <v>33</v>
      </c>
      <c r="C19" s="91" t="s">
        <v>33</v>
      </c>
      <c r="D19" s="91" t="s">
        <v>33</v>
      </c>
      <c r="E19" s="70">
        <v>4658</v>
      </c>
      <c r="F19" s="70">
        <v>8518</v>
      </c>
      <c r="G19" s="70">
        <v>10310</v>
      </c>
      <c r="H19" s="70">
        <v>14384</v>
      </c>
      <c r="I19" s="70">
        <v>17301</v>
      </c>
      <c r="J19" s="70">
        <v>13916</v>
      </c>
      <c r="K19" s="70">
        <v>12268</v>
      </c>
      <c r="L19" s="71">
        <v>15300</v>
      </c>
      <c r="M19" s="72">
        <v>17755</v>
      </c>
      <c r="N19" s="73">
        <v>19582</v>
      </c>
      <c r="O19" s="72">
        <v>21713</v>
      </c>
      <c r="P19" s="73">
        <v>20613</v>
      </c>
      <c r="Q19" s="73">
        <v>18315</v>
      </c>
      <c r="R19" s="73">
        <v>18186</v>
      </c>
      <c r="S19" s="75">
        <v>17661</v>
      </c>
      <c r="T19" s="99">
        <v>20268</v>
      </c>
      <c r="U19" s="99">
        <v>20152</v>
      </c>
      <c r="V19" s="99">
        <v>19058</v>
      </c>
      <c r="W19" s="99">
        <v>18147</v>
      </c>
      <c r="X19" s="99">
        <v>20213</v>
      </c>
      <c r="Y19" s="99">
        <v>18233</v>
      </c>
      <c r="Z19" s="101">
        <v>14314.1</v>
      </c>
      <c r="AA19" s="66">
        <v>18936.8</v>
      </c>
      <c r="AB19" s="67">
        <v>20687.8</v>
      </c>
      <c r="AC19" s="66">
        <v>23168.399999999998</v>
      </c>
      <c r="AD19" s="66">
        <v>25820.65</v>
      </c>
      <c r="AE19" s="66">
        <v>21543.199999999997</v>
      </c>
      <c r="AF19" s="66">
        <v>22997.450000000004</v>
      </c>
      <c r="AG19" s="66">
        <v>23655.66</v>
      </c>
      <c r="AH19" s="66">
        <v>21940.100000000002</v>
      </c>
      <c r="AI19" s="92" t="s">
        <v>64</v>
      </c>
      <c r="AJ19" s="95" t="s">
        <v>64</v>
      </c>
      <c r="AK19" s="95" t="s">
        <v>64</v>
      </c>
      <c r="AL19" s="95" t="s">
        <v>64</v>
      </c>
      <c r="AM19" s="95" t="s">
        <v>64</v>
      </c>
      <c r="AN19" s="95" t="s">
        <v>64</v>
      </c>
      <c r="AO19" s="95" t="s">
        <v>64</v>
      </c>
      <c r="AP19" s="95" t="s">
        <v>64</v>
      </c>
      <c r="AQ19" s="95" t="s">
        <v>64</v>
      </c>
      <c r="AR19" s="95" t="s">
        <v>64</v>
      </c>
      <c r="AS19" s="95" t="s">
        <v>64</v>
      </c>
      <c r="AT19" s="95" t="s">
        <v>64</v>
      </c>
      <c r="AU19" s="94" t="s">
        <v>64</v>
      </c>
      <c r="AV19" s="94" t="s">
        <v>64</v>
      </c>
      <c r="AW19" s="94" t="s">
        <v>64</v>
      </c>
      <c r="AX19" s="94" t="s">
        <v>64</v>
      </c>
      <c r="AY19" s="94" t="s">
        <v>64</v>
      </c>
      <c r="AZ19" s="93" t="s">
        <v>64</v>
      </c>
      <c r="BA19" s="101">
        <v>2869.85</v>
      </c>
      <c r="BB19" s="78">
        <v>3530.65</v>
      </c>
      <c r="BC19" s="78">
        <v>3500.2</v>
      </c>
      <c r="BD19" s="78">
        <v>3725.65</v>
      </c>
      <c r="BE19" s="67">
        <v>687.75</v>
      </c>
      <c r="BF19" s="94" t="s">
        <v>64</v>
      </c>
      <c r="BG19" s="78">
        <f t="shared" si="0"/>
        <v>14314.1</v>
      </c>
      <c r="BH19" s="93" t="s">
        <v>64</v>
      </c>
      <c r="BI19" s="93" t="s">
        <v>64</v>
      </c>
      <c r="BJ19" s="66" t="s">
        <v>64</v>
      </c>
      <c r="BK19" s="66" t="s">
        <v>64</v>
      </c>
      <c r="BL19" s="66" t="s">
        <v>64</v>
      </c>
      <c r="BM19" s="66" t="s">
        <v>64</v>
      </c>
      <c r="BN19" s="66">
        <v>2238.45</v>
      </c>
      <c r="BO19" s="66">
        <v>3952.45</v>
      </c>
      <c r="BP19" s="66">
        <v>4274.2</v>
      </c>
      <c r="BQ19" s="66">
        <v>3974.6</v>
      </c>
      <c r="BR19" s="66">
        <v>4087.25</v>
      </c>
      <c r="BS19" s="66">
        <v>410</v>
      </c>
      <c r="BT19" s="66">
        <f>SUM(BH19:BS19)</f>
        <v>18936.949999999997</v>
      </c>
      <c r="BU19" s="66" t="s">
        <v>64</v>
      </c>
      <c r="BV19" s="66" t="s">
        <v>64</v>
      </c>
      <c r="BW19" s="66" t="s">
        <v>64</v>
      </c>
      <c r="BX19" s="66" t="s">
        <v>64</v>
      </c>
      <c r="BY19" s="66" t="s">
        <v>64</v>
      </c>
      <c r="BZ19" s="66">
        <v>1340.45</v>
      </c>
      <c r="CA19" s="66">
        <v>3710.4</v>
      </c>
      <c r="CB19" s="66">
        <v>3933.15</v>
      </c>
      <c r="CC19" s="66">
        <v>3639.5</v>
      </c>
      <c r="CD19" s="66">
        <v>4167.5</v>
      </c>
      <c r="CE19" s="66">
        <v>3403.25</v>
      </c>
      <c r="CF19" s="66">
        <v>493.55</v>
      </c>
      <c r="CG19" s="66">
        <f t="shared" si="1"/>
        <v>20687.8</v>
      </c>
      <c r="CH19" s="67" t="s">
        <v>64</v>
      </c>
      <c r="CI19" s="67" t="s">
        <v>64</v>
      </c>
      <c r="CJ19" s="67" t="s">
        <v>64</v>
      </c>
      <c r="CK19" s="67" t="s">
        <v>64</v>
      </c>
      <c r="CL19" s="67" t="s">
        <v>64</v>
      </c>
      <c r="CM19" s="67">
        <v>1926.15</v>
      </c>
      <c r="CN19" s="67">
        <v>3845.95</v>
      </c>
      <c r="CO19" s="82">
        <v>4164.85</v>
      </c>
      <c r="CP19" s="82">
        <v>3887.4</v>
      </c>
      <c r="CQ19" s="82">
        <v>4238.9</v>
      </c>
      <c r="CR19" s="82">
        <v>3912.8</v>
      </c>
      <c r="CS19" s="82">
        <v>1192.35</v>
      </c>
      <c r="CT19" s="67">
        <f t="shared" si="2"/>
        <v>23168.399999999998</v>
      </c>
      <c r="CU19" s="67" t="s">
        <v>64</v>
      </c>
      <c r="CV19" s="150">
        <v>0</v>
      </c>
      <c r="CW19" s="150">
        <v>0</v>
      </c>
      <c r="CX19" s="67" t="s">
        <v>64</v>
      </c>
      <c r="CY19" s="66">
        <v>443.85</v>
      </c>
      <c r="CZ19" s="67">
        <v>3985.8</v>
      </c>
      <c r="DA19" s="67">
        <v>4665</v>
      </c>
      <c r="DB19" s="67">
        <v>4235.55</v>
      </c>
      <c r="DC19" s="67">
        <v>4189.85</v>
      </c>
      <c r="DD19" s="67">
        <v>3759.1</v>
      </c>
      <c r="DE19" s="67">
        <v>3846.1</v>
      </c>
      <c r="DF19" s="67">
        <v>695.4</v>
      </c>
      <c r="DG19" s="67">
        <f>SUM(CU19:DF19)</f>
        <v>25820.65</v>
      </c>
      <c r="DH19" s="150">
        <v>0</v>
      </c>
      <c r="DI19" s="150">
        <v>0</v>
      </c>
      <c r="DJ19" s="150">
        <v>0</v>
      </c>
      <c r="DK19" s="150">
        <v>0</v>
      </c>
      <c r="DL19" s="150">
        <v>0</v>
      </c>
      <c r="DM19" s="82">
        <v>2699.85</v>
      </c>
      <c r="DN19" s="82">
        <v>4161.2</v>
      </c>
      <c r="DO19" s="82">
        <v>4525.8</v>
      </c>
      <c r="DP19" s="82">
        <v>4379.15</v>
      </c>
      <c r="DQ19" s="82">
        <v>4092.1</v>
      </c>
      <c r="DR19" s="82">
        <v>1685.1</v>
      </c>
      <c r="DS19" s="150">
        <v>0</v>
      </c>
      <c r="DT19" s="82">
        <f>SUM(DH19:DS19)</f>
        <v>21543.199999999997</v>
      </c>
      <c r="DU19" s="150">
        <v>0</v>
      </c>
      <c r="DV19" s="150">
        <v>0</v>
      </c>
      <c r="DW19" s="150">
        <v>0</v>
      </c>
      <c r="DX19" s="150">
        <v>0</v>
      </c>
      <c r="DY19" s="150">
        <v>0</v>
      </c>
      <c r="DZ19" s="150">
        <v>903.85</v>
      </c>
      <c r="EA19" s="82">
        <v>4264.95</v>
      </c>
      <c r="EB19" s="82">
        <v>4423.9</v>
      </c>
      <c r="EC19" s="82">
        <v>4436.65</v>
      </c>
      <c r="ED19" s="82">
        <v>4967.55</v>
      </c>
      <c r="EE19" s="82">
        <v>3827.9</v>
      </c>
      <c r="EF19" s="82">
        <v>172.65</v>
      </c>
      <c r="EG19" s="82">
        <f>SUM(DU19:EF19)</f>
        <v>22997.450000000004</v>
      </c>
      <c r="EH19" s="150">
        <v>0</v>
      </c>
      <c r="EI19" s="150">
        <v>0</v>
      </c>
      <c r="EJ19" s="150">
        <v>0</v>
      </c>
      <c r="EK19" s="150">
        <v>0</v>
      </c>
      <c r="EL19" s="150">
        <v>0</v>
      </c>
      <c r="EM19" s="82">
        <v>1738.35</v>
      </c>
      <c r="EN19" s="82">
        <v>4109.25</v>
      </c>
      <c r="EO19" s="82">
        <v>4109.25</v>
      </c>
      <c r="EP19" s="82">
        <v>4655.35</v>
      </c>
      <c r="EQ19" s="82">
        <v>4190.5</v>
      </c>
      <c r="ER19" s="82">
        <v>3706.76</v>
      </c>
      <c r="ES19" s="82">
        <v>1146.2</v>
      </c>
      <c r="ET19" s="82">
        <f>SUM(EH19:ES19)</f>
        <v>23655.66</v>
      </c>
      <c r="EU19" s="150">
        <v>0</v>
      </c>
      <c r="EV19" s="150">
        <v>0</v>
      </c>
      <c r="EW19" s="150">
        <v>0</v>
      </c>
      <c r="EX19" s="150">
        <v>0</v>
      </c>
      <c r="EY19" s="150">
        <v>0</v>
      </c>
      <c r="EZ19" s="150">
        <v>1911.25</v>
      </c>
      <c r="FA19" s="150">
        <v>4088.35</v>
      </c>
      <c r="FB19" s="82">
        <v>3690.8</v>
      </c>
      <c r="FC19" s="82">
        <v>3984.2</v>
      </c>
      <c r="FD19" s="82">
        <v>3359.2</v>
      </c>
      <c r="FE19" s="82">
        <v>2893.25</v>
      </c>
      <c r="FF19" s="82">
        <v>2013.05</v>
      </c>
      <c r="FG19" s="82">
        <f>SUM(EU19:FF19)</f>
        <v>21940.100000000002</v>
      </c>
      <c r="FH19" s="150">
        <v>0</v>
      </c>
    </row>
    <row r="20" spans="1:164" ht="15.75">
      <c r="A20" s="65" t="s">
        <v>35</v>
      </c>
      <c r="B20" s="18">
        <v>346133</v>
      </c>
      <c r="C20" s="70">
        <v>601742</v>
      </c>
      <c r="D20" s="70">
        <v>534882</v>
      </c>
      <c r="E20" s="70">
        <v>602314</v>
      </c>
      <c r="F20" s="70">
        <v>644642</v>
      </c>
      <c r="G20" s="70">
        <v>541944</v>
      </c>
      <c r="H20" s="70">
        <v>448520</v>
      </c>
      <c r="I20" s="70">
        <v>340500</v>
      </c>
      <c r="J20" s="70">
        <v>329200</v>
      </c>
      <c r="K20" s="70">
        <v>279900</v>
      </c>
      <c r="L20" s="71">
        <v>211450</v>
      </c>
      <c r="M20" s="72">
        <v>234600</v>
      </c>
      <c r="N20" s="73">
        <v>199715</v>
      </c>
      <c r="O20" s="72">
        <v>133560</v>
      </c>
      <c r="P20" s="73">
        <v>111535</v>
      </c>
      <c r="Q20" s="73">
        <v>104370</v>
      </c>
      <c r="R20" s="73">
        <v>86750</v>
      </c>
      <c r="S20" s="75">
        <v>80260</v>
      </c>
      <c r="T20" s="101">
        <v>125000</v>
      </c>
      <c r="U20" s="101">
        <v>157850</v>
      </c>
      <c r="V20" s="101">
        <v>135900</v>
      </c>
      <c r="W20" s="101">
        <v>101206</v>
      </c>
      <c r="X20" s="101">
        <v>51220</v>
      </c>
      <c r="Y20" s="101">
        <v>33550</v>
      </c>
      <c r="Z20" s="101">
        <v>31528</v>
      </c>
      <c r="AA20" s="66">
        <v>26501</v>
      </c>
      <c r="AB20" s="67">
        <v>43555</v>
      </c>
      <c r="AC20" s="104">
        <v>47790</v>
      </c>
      <c r="AD20" s="104">
        <v>38101</v>
      </c>
      <c r="AE20" s="104">
        <v>18148</v>
      </c>
      <c r="AF20" s="104">
        <v>21360</v>
      </c>
      <c r="AG20" s="104">
        <v>41280</v>
      </c>
      <c r="AH20" s="104">
        <v>18805</v>
      </c>
      <c r="AI20" s="99">
        <v>8190</v>
      </c>
      <c r="AJ20" s="101">
        <v>3125</v>
      </c>
      <c r="AK20" s="95" t="s">
        <v>64</v>
      </c>
      <c r="AL20" s="102">
        <v>2355</v>
      </c>
      <c r="AM20" s="95" t="s">
        <v>64</v>
      </c>
      <c r="AN20" s="101">
        <v>1740</v>
      </c>
      <c r="AO20" s="101">
        <v>35</v>
      </c>
      <c r="AP20" s="101">
        <v>2700</v>
      </c>
      <c r="AQ20" s="99">
        <v>2100</v>
      </c>
      <c r="AR20" s="79">
        <v>3680</v>
      </c>
      <c r="AS20" s="67">
        <v>5130</v>
      </c>
      <c r="AT20" s="102">
        <v>4495</v>
      </c>
      <c r="AU20" s="101">
        <v>5060</v>
      </c>
      <c r="AV20" s="101">
        <v>4210</v>
      </c>
      <c r="AW20" s="101">
        <v>3495</v>
      </c>
      <c r="AX20" s="102">
        <v>3540</v>
      </c>
      <c r="AY20" s="101">
        <v>2685</v>
      </c>
      <c r="AZ20" s="99">
        <v>2015</v>
      </c>
      <c r="BA20" s="101">
        <v>2495</v>
      </c>
      <c r="BB20" s="101">
        <v>1665</v>
      </c>
      <c r="BC20" s="99">
        <v>1685</v>
      </c>
      <c r="BD20" s="79">
        <v>1500</v>
      </c>
      <c r="BE20" s="67">
        <v>1238</v>
      </c>
      <c r="BF20" s="102">
        <v>1940</v>
      </c>
      <c r="BG20" s="78">
        <f t="shared" si="0"/>
        <v>31528</v>
      </c>
      <c r="BH20" s="99">
        <v>1600</v>
      </c>
      <c r="BI20" s="99">
        <v>1585</v>
      </c>
      <c r="BJ20" s="66">
        <v>2075</v>
      </c>
      <c r="BK20" s="66">
        <v>1858</v>
      </c>
      <c r="BL20" s="66">
        <v>1645</v>
      </c>
      <c r="BM20" s="66">
        <v>1440</v>
      </c>
      <c r="BN20" s="66">
        <v>2200</v>
      </c>
      <c r="BO20" s="66">
        <v>2858</v>
      </c>
      <c r="BP20" s="66">
        <v>2655</v>
      </c>
      <c r="BQ20" s="66">
        <v>2205</v>
      </c>
      <c r="BR20" s="66">
        <v>2395</v>
      </c>
      <c r="BS20" s="66">
        <v>3985</v>
      </c>
      <c r="BT20" s="66">
        <f t="shared" si="3"/>
        <v>26501</v>
      </c>
      <c r="BU20" s="66">
        <v>5720</v>
      </c>
      <c r="BV20" s="66">
        <v>4540</v>
      </c>
      <c r="BW20" s="66">
        <v>4455</v>
      </c>
      <c r="BX20" s="66">
        <v>1690</v>
      </c>
      <c r="BY20" s="66">
        <v>2640</v>
      </c>
      <c r="BZ20" s="66">
        <v>4380</v>
      </c>
      <c r="CA20" s="66">
        <v>2265</v>
      </c>
      <c r="CB20" s="104">
        <v>2270</v>
      </c>
      <c r="CC20" s="104">
        <v>3180</v>
      </c>
      <c r="CD20" s="104">
        <v>3295</v>
      </c>
      <c r="CE20" s="104">
        <v>3930</v>
      </c>
      <c r="CF20" s="104">
        <v>5190</v>
      </c>
      <c r="CG20" s="66">
        <f t="shared" si="1"/>
        <v>43555</v>
      </c>
      <c r="CH20" s="67">
        <v>5780</v>
      </c>
      <c r="CI20" s="67">
        <v>5180</v>
      </c>
      <c r="CJ20" s="67">
        <v>5805</v>
      </c>
      <c r="CK20" s="67">
        <v>4010</v>
      </c>
      <c r="CL20" s="67">
        <v>2990</v>
      </c>
      <c r="CM20" s="67">
        <v>2745</v>
      </c>
      <c r="CN20" s="67">
        <v>0</v>
      </c>
      <c r="CO20" s="67">
        <v>1700</v>
      </c>
      <c r="CP20" s="67">
        <v>2935</v>
      </c>
      <c r="CQ20" s="67">
        <v>5370</v>
      </c>
      <c r="CR20" s="67">
        <v>6835</v>
      </c>
      <c r="CS20" s="82">
        <v>4440</v>
      </c>
      <c r="CT20" s="67">
        <f t="shared" si="2"/>
        <v>47790</v>
      </c>
      <c r="CU20" s="67">
        <v>5485</v>
      </c>
      <c r="CV20" s="82">
        <v>3635</v>
      </c>
      <c r="CW20" s="82">
        <v>4820</v>
      </c>
      <c r="CX20" s="82">
        <v>4080</v>
      </c>
      <c r="CY20" s="82">
        <v>3420</v>
      </c>
      <c r="CZ20" s="82">
        <v>2856</v>
      </c>
      <c r="DA20" s="82">
        <v>3340</v>
      </c>
      <c r="DB20" s="82">
        <v>3210</v>
      </c>
      <c r="DC20" s="67">
        <v>1910</v>
      </c>
      <c r="DD20" s="67">
        <v>2055</v>
      </c>
      <c r="DE20" s="67">
        <v>1360</v>
      </c>
      <c r="DF20" s="67">
        <v>1930</v>
      </c>
      <c r="DG20" s="67">
        <f>SUM(CU20:DF20)</f>
        <v>38101</v>
      </c>
      <c r="DH20" s="67">
        <v>1560</v>
      </c>
      <c r="DI20" s="82">
        <v>1490</v>
      </c>
      <c r="DJ20" s="82">
        <v>1310</v>
      </c>
      <c r="DK20" s="82">
        <v>1360</v>
      </c>
      <c r="DL20" s="82">
        <v>1695</v>
      </c>
      <c r="DM20" s="82">
        <v>1285</v>
      </c>
      <c r="DN20" s="82">
        <v>1848</v>
      </c>
      <c r="DO20" s="82">
        <v>1160</v>
      </c>
      <c r="DP20" s="82">
        <v>1430</v>
      </c>
      <c r="DQ20" s="82">
        <v>1900</v>
      </c>
      <c r="DR20" s="82">
        <v>1630</v>
      </c>
      <c r="DS20" s="82">
        <v>1480</v>
      </c>
      <c r="DT20" s="82">
        <f>SUM(DH20:DS20)</f>
        <v>18148</v>
      </c>
      <c r="DU20" s="82">
        <v>1125</v>
      </c>
      <c r="DV20" s="82">
        <v>1125</v>
      </c>
      <c r="DW20" s="82">
        <v>1445</v>
      </c>
      <c r="DX20" s="82">
        <v>1430</v>
      </c>
      <c r="DY20" s="82">
        <v>1025</v>
      </c>
      <c r="DZ20" s="82">
        <v>1860</v>
      </c>
      <c r="EA20" s="82">
        <v>2775</v>
      </c>
      <c r="EB20" s="82">
        <v>2520</v>
      </c>
      <c r="EC20" s="82">
        <v>2425</v>
      </c>
      <c r="ED20" s="82">
        <v>2220</v>
      </c>
      <c r="EE20" s="82">
        <v>1275</v>
      </c>
      <c r="EF20" s="82">
        <v>2135</v>
      </c>
      <c r="EG20" s="82">
        <f>SUM(DU20:EF20)</f>
        <v>21360</v>
      </c>
      <c r="EH20" s="82">
        <v>1085</v>
      </c>
      <c r="EI20" s="82">
        <v>1750</v>
      </c>
      <c r="EJ20" s="82">
        <v>1480</v>
      </c>
      <c r="EK20" s="82">
        <v>1740</v>
      </c>
      <c r="EL20" s="82">
        <v>2470</v>
      </c>
      <c r="EM20" s="82">
        <v>3490</v>
      </c>
      <c r="EN20" s="82">
        <v>5230</v>
      </c>
      <c r="EO20" s="82">
        <v>6835</v>
      </c>
      <c r="EP20" s="82">
        <v>6335</v>
      </c>
      <c r="EQ20" s="82">
        <v>4905</v>
      </c>
      <c r="ER20" s="82">
        <v>2705</v>
      </c>
      <c r="ES20" s="82">
        <v>3255</v>
      </c>
      <c r="ET20" s="82">
        <f>SUM(EH20:ES20)</f>
        <v>41280</v>
      </c>
      <c r="EU20" s="82">
        <v>3490</v>
      </c>
      <c r="EV20" s="82">
        <v>2210</v>
      </c>
      <c r="EW20" s="82">
        <v>3990</v>
      </c>
      <c r="EX20" s="82">
        <v>2120</v>
      </c>
      <c r="EY20" s="82">
        <v>535</v>
      </c>
      <c r="EZ20" s="82">
        <v>1795</v>
      </c>
      <c r="FA20" s="82">
        <v>0</v>
      </c>
      <c r="FB20" s="82">
        <v>355</v>
      </c>
      <c r="FC20" s="82">
        <v>705</v>
      </c>
      <c r="FD20" s="82">
        <v>945</v>
      </c>
      <c r="FE20" s="82">
        <v>1450</v>
      </c>
      <c r="FF20" s="82">
        <v>1210</v>
      </c>
      <c r="FG20" s="82">
        <f>SUM(EU20:FF20)</f>
        <v>18805</v>
      </c>
      <c r="FH20" s="82">
        <v>1220</v>
      </c>
    </row>
    <row r="21" spans="1:164" ht="15.75" hidden="1">
      <c r="A21" s="65" t="s">
        <v>36</v>
      </c>
      <c r="B21" s="103" t="s">
        <v>33</v>
      </c>
      <c r="C21" s="91" t="s">
        <v>33</v>
      </c>
      <c r="D21" s="91" t="s">
        <v>37</v>
      </c>
      <c r="E21" s="70">
        <v>2528</v>
      </c>
      <c r="F21" s="70">
        <v>2629</v>
      </c>
      <c r="G21" s="70">
        <v>3382</v>
      </c>
      <c r="H21" s="70">
        <v>2191</v>
      </c>
      <c r="I21" s="70">
        <v>2360</v>
      </c>
      <c r="J21" s="70">
        <v>3281</v>
      </c>
      <c r="K21" s="70">
        <v>2443</v>
      </c>
      <c r="L21" s="71">
        <v>1909</v>
      </c>
      <c r="M21" s="72">
        <v>2339</v>
      </c>
      <c r="N21" s="73">
        <v>1588.6</v>
      </c>
      <c r="O21" s="72">
        <v>956.64</v>
      </c>
      <c r="P21" s="73">
        <v>859</v>
      </c>
      <c r="Q21" s="73">
        <v>755</v>
      </c>
      <c r="R21" s="73">
        <v>144</v>
      </c>
      <c r="S21" s="93" t="s">
        <v>64</v>
      </c>
      <c r="T21" s="95" t="s">
        <v>64</v>
      </c>
      <c r="U21" s="95"/>
      <c r="V21" s="95"/>
      <c r="W21" s="95"/>
      <c r="X21" s="95"/>
      <c r="Y21" s="95"/>
      <c r="Z21" s="95">
        <v>0</v>
      </c>
      <c r="AA21" s="66">
        <v>0</v>
      </c>
      <c r="AB21" s="67">
        <v>0</v>
      </c>
      <c r="AC21" s="66">
        <v>0</v>
      </c>
      <c r="AD21" s="66">
        <v>0</v>
      </c>
      <c r="AE21" s="66">
        <v>0</v>
      </c>
      <c r="AF21" s="66">
        <v>0</v>
      </c>
      <c r="AG21" s="66"/>
      <c r="AH21" s="66"/>
      <c r="AI21" s="92"/>
      <c r="AJ21" s="95"/>
      <c r="AK21" s="102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102"/>
      <c r="AX21" s="95"/>
      <c r="AY21" s="95"/>
      <c r="AZ21" s="95"/>
      <c r="BA21" s="95"/>
      <c r="BB21" s="95"/>
      <c r="BC21" s="95"/>
      <c r="BD21" s="95"/>
      <c r="BE21" s="95"/>
      <c r="BF21" s="95"/>
      <c r="BG21" s="78">
        <f t="shared" si="0"/>
        <v>0</v>
      </c>
      <c r="BH21" s="95"/>
      <c r="BI21" s="95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>
        <f t="shared" si="3"/>
        <v>0</v>
      </c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>
        <f t="shared" si="1"/>
        <v>0</v>
      </c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>
        <f t="shared" si="2"/>
        <v>0</v>
      </c>
      <c r="CU21" s="67">
        <f>SUM(CG21:CR21)</f>
        <v>0</v>
      </c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>
        <f t="shared" si="4"/>
        <v>0</v>
      </c>
      <c r="DH21" s="67">
        <f>SUM(CT21:DE21)</f>
        <v>0</v>
      </c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82">
        <f t="shared" si="5"/>
        <v>0</v>
      </c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>
        <f t="shared" si="6"/>
        <v>0</v>
      </c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</row>
    <row r="22" spans="1:164" ht="15.75" hidden="1">
      <c r="A22" s="65"/>
      <c r="B22" s="18"/>
      <c r="C22" s="91"/>
      <c r="D22" s="91"/>
      <c r="E22" s="70"/>
      <c r="F22" s="70"/>
      <c r="G22" s="70"/>
      <c r="H22" s="70"/>
      <c r="I22" s="70"/>
      <c r="J22" s="70"/>
      <c r="K22" s="70"/>
      <c r="L22" s="71"/>
      <c r="M22" s="72"/>
      <c r="N22" s="73"/>
      <c r="O22" s="72"/>
      <c r="P22" s="73"/>
      <c r="Q22" s="73"/>
      <c r="R22" s="73"/>
      <c r="S22" s="94"/>
      <c r="T22" s="94"/>
      <c r="U22" s="94"/>
      <c r="V22" s="94"/>
      <c r="W22" s="94"/>
      <c r="X22" s="94"/>
      <c r="Y22" s="95"/>
      <c r="Z22" s="95"/>
      <c r="AA22" s="66"/>
      <c r="AB22" s="67"/>
      <c r="AC22" s="66">
        <v>65875</v>
      </c>
      <c r="AD22" s="66">
        <v>131750</v>
      </c>
      <c r="AE22" s="66">
        <v>131750</v>
      </c>
      <c r="AF22" s="66">
        <v>0</v>
      </c>
      <c r="AG22" s="66"/>
      <c r="AH22" s="66"/>
      <c r="AI22" s="92"/>
      <c r="AJ22" s="95"/>
      <c r="AK22" s="102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102"/>
      <c r="AX22" s="95"/>
      <c r="AY22" s="95"/>
      <c r="AZ22" s="95"/>
      <c r="BA22" s="95"/>
      <c r="BB22" s="95"/>
      <c r="BC22" s="95"/>
      <c r="BD22" s="95"/>
      <c r="BE22" s="95"/>
      <c r="BF22" s="95"/>
      <c r="BG22" s="78"/>
      <c r="BH22" s="95"/>
      <c r="BI22" s="95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>
        <f t="shared" si="1"/>
        <v>0</v>
      </c>
      <c r="CH22" s="67"/>
      <c r="CI22" s="67"/>
      <c r="CJ22" s="67"/>
      <c r="CK22" s="67"/>
      <c r="CL22" s="67"/>
      <c r="CM22" s="67"/>
      <c r="CN22" s="67"/>
      <c r="CO22" s="67"/>
      <c r="CP22" s="67"/>
      <c r="CQ22" s="67">
        <v>65875</v>
      </c>
      <c r="CR22" s="67"/>
      <c r="CS22" s="67"/>
      <c r="CT22" s="67">
        <f t="shared" si="2"/>
        <v>65875</v>
      </c>
      <c r="CU22" s="67">
        <f>SUM(CG22:CR22)</f>
        <v>65875</v>
      </c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>
        <f t="shared" si="4"/>
        <v>65875</v>
      </c>
      <c r="DH22" s="67">
        <f>SUM(CT22:DE22)</f>
        <v>131750</v>
      </c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82">
        <f t="shared" si="5"/>
        <v>131750</v>
      </c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>
        <f t="shared" si="6"/>
        <v>0</v>
      </c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</row>
    <row r="23" spans="1:164" ht="15.75">
      <c r="A23" s="65" t="s">
        <v>38</v>
      </c>
      <c r="B23" s="18">
        <v>288195</v>
      </c>
      <c r="C23" s="70">
        <v>288340</v>
      </c>
      <c r="D23" s="70">
        <v>270569</v>
      </c>
      <c r="E23" s="70">
        <v>285090</v>
      </c>
      <c r="F23" s="70">
        <v>332605</v>
      </c>
      <c r="G23" s="70">
        <v>383815</v>
      </c>
      <c r="H23" s="70">
        <v>450015</v>
      </c>
      <c r="I23" s="70">
        <v>453450</v>
      </c>
      <c r="J23" s="70">
        <v>517485</v>
      </c>
      <c r="K23" s="70">
        <v>584580</v>
      </c>
      <c r="L23" s="71">
        <v>522484</v>
      </c>
      <c r="M23" s="72">
        <v>449860</v>
      </c>
      <c r="N23" s="73">
        <v>377145</v>
      </c>
      <c r="O23" s="72">
        <v>316820</v>
      </c>
      <c r="P23" s="73">
        <v>353230</v>
      </c>
      <c r="Q23" s="73">
        <v>286240</v>
      </c>
      <c r="R23" s="73">
        <v>293055</v>
      </c>
      <c r="S23" s="75">
        <v>312050</v>
      </c>
      <c r="T23" s="73">
        <v>354395</v>
      </c>
      <c r="U23" s="73">
        <v>376055</v>
      </c>
      <c r="V23" s="73">
        <v>419055</v>
      </c>
      <c r="W23" s="73">
        <v>409635</v>
      </c>
      <c r="X23" s="73">
        <v>472455</v>
      </c>
      <c r="Y23" s="73">
        <v>436065</v>
      </c>
      <c r="Z23" s="73">
        <v>514240</v>
      </c>
      <c r="AA23" s="66">
        <v>457825</v>
      </c>
      <c r="AB23" s="67">
        <v>510350</v>
      </c>
      <c r="AC23" s="66">
        <v>650350</v>
      </c>
      <c r="AD23" s="66">
        <v>603975</v>
      </c>
      <c r="AE23" s="66">
        <v>538965</v>
      </c>
      <c r="AF23" s="66">
        <v>815265</v>
      </c>
      <c r="AG23" s="66">
        <v>887475</v>
      </c>
      <c r="AH23" s="66">
        <v>799955</v>
      </c>
      <c r="AI23" s="67">
        <v>29415</v>
      </c>
      <c r="AJ23" s="75">
        <v>35185</v>
      </c>
      <c r="AK23" s="76">
        <v>37035</v>
      </c>
      <c r="AL23" s="105">
        <v>38370</v>
      </c>
      <c r="AM23" s="78">
        <v>33415</v>
      </c>
      <c r="AN23" s="79">
        <v>29855</v>
      </c>
      <c r="AO23" s="79">
        <v>34890</v>
      </c>
      <c r="AP23" s="101">
        <v>40730</v>
      </c>
      <c r="AQ23" s="77">
        <v>40770</v>
      </c>
      <c r="AR23" s="99">
        <v>38690</v>
      </c>
      <c r="AS23" s="67">
        <v>34910</v>
      </c>
      <c r="AT23" s="67">
        <v>42800</v>
      </c>
      <c r="AU23" s="67">
        <v>32605</v>
      </c>
      <c r="AV23" s="75">
        <v>34745</v>
      </c>
      <c r="AW23" s="76">
        <v>40805</v>
      </c>
      <c r="AX23" s="105">
        <v>34935</v>
      </c>
      <c r="AY23" s="78">
        <v>37960</v>
      </c>
      <c r="AZ23" s="79">
        <v>48635</v>
      </c>
      <c r="BA23" s="79">
        <v>51140</v>
      </c>
      <c r="BB23" s="101">
        <v>56680</v>
      </c>
      <c r="BC23" s="77">
        <v>39865</v>
      </c>
      <c r="BD23" s="99">
        <v>46045</v>
      </c>
      <c r="BE23" s="67">
        <v>53160</v>
      </c>
      <c r="BF23" s="67">
        <v>37665</v>
      </c>
      <c r="BG23" s="78">
        <f t="shared" si="0"/>
        <v>514240</v>
      </c>
      <c r="BH23" s="67">
        <v>42385</v>
      </c>
      <c r="BI23" s="67">
        <v>48425</v>
      </c>
      <c r="BJ23" s="66">
        <v>51660</v>
      </c>
      <c r="BK23" s="66">
        <v>35740</v>
      </c>
      <c r="BL23" s="66">
        <v>29630</v>
      </c>
      <c r="BM23" s="66" t="s">
        <v>64</v>
      </c>
      <c r="BN23" s="66">
        <v>41110</v>
      </c>
      <c r="BO23" s="66">
        <v>43230</v>
      </c>
      <c r="BP23" s="66">
        <v>40160</v>
      </c>
      <c r="BQ23" s="66">
        <v>40520</v>
      </c>
      <c r="BR23" s="66">
        <v>46870</v>
      </c>
      <c r="BS23" s="66">
        <v>38095</v>
      </c>
      <c r="BT23" s="66">
        <f t="shared" si="3"/>
        <v>457825</v>
      </c>
      <c r="BU23" s="66">
        <v>32820</v>
      </c>
      <c r="BV23" s="66">
        <v>42765</v>
      </c>
      <c r="BW23" s="66">
        <v>36575</v>
      </c>
      <c r="BX23" s="66">
        <v>48035</v>
      </c>
      <c r="BY23" s="66">
        <v>48865</v>
      </c>
      <c r="BZ23" s="66">
        <v>43175</v>
      </c>
      <c r="CA23" s="66">
        <v>45880</v>
      </c>
      <c r="CB23" s="66">
        <v>43590</v>
      </c>
      <c r="CC23" s="66">
        <v>47665</v>
      </c>
      <c r="CD23" s="66">
        <v>44145</v>
      </c>
      <c r="CE23" s="66">
        <v>49490</v>
      </c>
      <c r="CF23" s="66">
        <v>27345</v>
      </c>
      <c r="CG23" s="66">
        <f t="shared" si="1"/>
        <v>510350</v>
      </c>
      <c r="CH23" s="67">
        <v>33960</v>
      </c>
      <c r="CI23" s="67">
        <v>55000</v>
      </c>
      <c r="CJ23" s="67">
        <v>56695</v>
      </c>
      <c r="CK23" s="67">
        <v>53505</v>
      </c>
      <c r="CL23" s="67">
        <v>59830</v>
      </c>
      <c r="CM23" s="67">
        <v>46690</v>
      </c>
      <c r="CN23" s="67">
        <v>60495</v>
      </c>
      <c r="CO23" s="67">
        <v>64155</v>
      </c>
      <c r="CP23" s="67">
        <v>63765</v>
      </c>
      <c r="CQ23" s="67">
        <v>65875</v>
      </c>
      <c r="CR23" s="67">
        <v>71620</v>
      </c>
      <c r="CS23" s="67">
        <v>18760</v>
      </c>
      <c r="CT23" s="67">
        <f t="shared" si="2"/>
        <v>650350</v>
      </c>
      <c r="CU23" s="67">
        <v>11965</v>
      </c>
      <c r="CV23" s="82">
        <v>42140</v>
      </c>
      <c r="CW23" s="67">
        <v>56850</v>
      </c>
      <c r="CX23" s="67">
        <v>29590</v>
      </c>
      <c r="CY23" s="67">
        <v>47135</v>
      </c>
      <c r="CZ23" s="67">
        <v>62400</v>
      </c>
      <c r="DA23" s="67">
        <v>77310</v>
      </c>
      <c r="DB23" s="67">
        <v>64525</v>
      </c>
      <c r="DC23" s="82">
        <v>74395</v>
      </c>
      <c r="DD23" s="82">
        <v>60505</v>
      </c>
      <c r="DE23" s="82">
        <v>44460</v>
      </c>
      <c r="DF23" s="82">
        <v>32700</v>
      </c>
      <c r="DG23" s="67">
        <f>SUM(CU23:DF23)</f>
        <v>603975</v>
      </c>
      <c r="DH23" s="67">
        <v>22365</v>
      </c>
      <c r="DI23" s="67">
        <v>33200</v>
      </c>
      <c r="DJ23" s="67">
        <v>19045</v>
      </c>
      <c r="DK23" s="67">
        <v>31530</v>
      </c>
      <c r="DL23" s="67">
        <v>61270</v>
      </c>
      <c r="DM23" s="82">
        <v>63900</v>
      </c>
      <c r="DN23" s="82">
        <v>62200</v>
      </c>
      <c r="DO23" s="82">
        <v>37660</v>
      </c>
      <c r="DP23" s="82">
        <v>49260</v>
      </c>
      <c r="DQ23" s="82">
        <v>46430</v>
      </c>
      <c r="DR23" s="82">
        <v>49505</v>
      </c>
      <c r="DS23" s="82">
        <v>62600</v>
      </c>
      <c r="DT23" s="82">
        <f>SUM(DH23:DS23)</f>
        <v>538965</v>
      </c>
      <c r="DU23" s="82">
        <v>65770</v>
      </c>
      <c r="DV23" s="82">
        <v>52480</v>
      </c>
      <c r="DW23" s="82">
        <v>76090</v>
      </c>
      <c r="DX23" s="82">
        <v>67160</v>
      </c>
      <c r="DY23" s="82">
        <v>49825</v>
      </c>
      <c r="DZ23" s="82">
        <v>65250</v>
      </c>
      <c r="EA23" s="82">
        <v>76495</v>
      </c>
      <c r="EB23" s="82">
        <v>78495</v>
      </c>
      <c r="EC23" s="82">
        <v>80075</v>
      </c>
      <c r="ED23" s="82">
        <v>63350</v>
      </c>
      <c r="EE23" s="82">
        <v>70690</v>
      </c>
      <c r="EF23" s="82">
        <v>69585</v>
      </c>
      <c r="EG23" s="82">
        <f>SUM(DU23:EF23)</f>
        <v>815265</v>
      </c>
      <c r="EH23" s="82">
        <v>69560</v>
      </c>
      <c r="EI23" s="82">
        <v>77940</v>
      </c>
      <c r="EJ23" s="82">
        <v>98760</v>
      </c>
      <c r="EK23" s="82">
        <v>85570</v>
      </c>
      <c r="EL23" s="82">
        <v>85570</v>
      </c>
      <c r="EM23" s="82">
        <v>82255</v>
      </c>
      <c r="EN23" s="82">
        <v>73245</v>
      </c>
      <c r="EO23" s="82">
        <v>81285</v>
      </c>
      <c r="EP23" s="82">
        <v>68805</v>
      </c>
      <c r="EQ23" s="82">
        <v>62205</v>
      </c>
      <c r="ER23" s="82">
        <v>57855</v>
      </c>
      <c r="ES23" s="82">
        <v>44425</v>
      </c>
      <c r="ET23" s="82">
        <f>SUM(EH23:ES23)</f>
        <v>887475</v>
      </c>
      <c r="EU23" s="82">
        <v>35065</v>
      </c>
      <c r="EV23" s="82">
        <v>60135</v>
      </c>
      <c r="EW23" s="82">
        <v>49680</v>
      </c>
      <c r="EX23" s="82">
        <v>58240</v>
      </c>
      <c r="EY23" s="82">
        <v>64475</v>
      </c>
      <c r="EZ23" s="82">
        <v>70475</v>
      </c>
      <c r="FA23" s="82">
        <v>81985</v>
      </c>
      <c r="FB23" s="82">
        <v>73625</v>
      </c>
      <c r="FC23" s="82">
        <v>65790</v>
      </c>
      <c r="FD23" s="82">
        <v>68880</v>
      </c>
      <c r="FE23" s="82">
        <v>88570</v>
      </c>
      <c r="FF23" s="82">
        <v>83035</v>
      </c>
      <c r="FG23" s="82">
        <f>SUM(EU23:FF23)</f>
        <v>799955</v>
      </c>
      <c r="FH23" s="82">
        <v>73605</v>
      </c>
    </row>
    <row r="24" spans="1:164" ht="15.75">
      <c r="A24" s="4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71"/>
      <c r="M24" s="72"/>
      <c r="N24" s="73"/>
      <c r="O24" s="72"/>
      <c r="P24" s="73"/>
      <c r="Q24" s="73"/>
      <c r="R24" s="73"/>
      <c r="S24" s="75"/>
      <c r="T24" s="75"/>
      <c r="U24" s="75"/>
      <c r="V24" s="75"/>
      <c r="W24" s="75"/>
      <c r="X24" s="75"/>
      <c r="Y24" s="73"/>
      <c r="Z24" s="73"/>
      <c r="AA24" s="66"/>
      <c r="AB24" s="67"/>
      <c r="AC24" s="66"/>
      <c r="AD24" s="66"/>
      <c r="AE24" s="66"/>
      <c r="AF24" s="66"/>
      <c r="AG24" s="66"/>
      <c r="AH24" s="66"/>
      <c r="AI24" s="67"/>
      <c r="AJ24" s="87"/>
      <c r="AK24" s="67"/>
      <c r="AL24" s="67"/>
      <c r="AM24" s="78"/>
      <c r="AN24" s="67"/>
      <c r="AO24" s="67"/>
      <c r="AP24" s="67"/>
      <c r="AQ24" s="67"/>
      <c r="AR24" s="67"/>
      <c r="AS24" s="67"/>
      <c r="AT24" s="67"/>
      <c r="AU24" s="67"/>
      <c r="AV24" s="87"/>
      <c r="AW24" s="67"/>
      <c r="AX24" s="67"/>
      <c r="AY24" s="78"/>
      <c r="AZ24" s="67"/>
      <c r="BA24" s="67"/>
      <c r="BB24" s="67"/>
      <c r="BC24" s="67"/>
      <c r="BD24" s="67"/>
      <c r="BE24" s="67"/>
      <c r="BF24" s="67"/>
      <c r="BG24" s="78"/>
      <c r="BH24" s="67"/>
      <c r="BI24" s="67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82"/>
      <c r="FD24" s="82"/>
      <c r="FE24" s="82"/>
      <c r="FF24" s="82"/>
      <c r="FG24" s="67"/>
      <c r="FH24" s="67"/>
    </row>
    <row r="25" spans="1:164" ht="15.75">
      <c r="A25" s="148" t="s">
        <v>39</v>
      </c>
      <c r="B25" s="15"/>
      <c r="C25" s="11"/>
      <c r="D25" s="11"/>
      <c r="E25" s="11"/>
      <c r="F25" s="11"/>
      <c r="G25" s="11"/>
      <c r="H25" s="11"/>
      <c r="I25" s="11"/>
      <c r="J25" s="11"/>
      <c r="K25" s="11"/>
      <c r="L25" s="71"/>
      <c r="M25" s="72"/>
      <c r="N25" s="73"/>
      <c r="O25" s="72"/>
      <c r="P25" s="73"/>
      <c r="Q25" s="73"/>
      <c r="R25" s="73"/>
      <c r="S25" s="75"/>
      <c r="T25" s="75"/>
      <c r="U25" s="75"/>
      <c r="V25" s="75"/>
      <c r="W25" s="75"/>
      <c r="X25" s="75"/>
      <c r="Y25" s="73"/>
      <c r="Z25" s="73"/>
      <c r="AA25" s="66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82"/>
      <c r="FD25" s="82"/>
      <c r="FE25" s="82"/>
      <c r="FF25" s="82"/>
      <c r="FG25" s="67"/>
      <c r="FH25" s="67"/>
    </row>
    <row r="26" spans="1:164" ht="15.75">
      <c r="A26" s="4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1"/>
      <c r="M26" s="72"/>
      <c r="N26" s="73"/>
      <c r="O26" s="72"/>
      <c r="P26" s="73"/>
      <c r="Q26" s="73"/>
      <c r="R26" s="73"/>
      <c r="S26" s="75"/>
      <c r="T26" s="75"/>
      <c r="U26" s="75"/>
      <c r="V26" s="75"/>
      <c r="W26" s="75"/>
      <c r="X26" s="75"/>
      <c r="Y26" s="73"/>
      <c r="Z26" s="73"/>
      <c r="AA26" s="66"/>
      <c r="AB26" s="67"/>
      <c r="AC26" s="66"/>
      <c r="AD26" s="66"/>
      <c r="AE26" s="66"/>
      <c r="AF26" s="67"/>
      <c r="AG26" s="67"/>
      <c r="AH26" s="67"/>
      <c r="AI26" s="67"/>
      <c r="AJ26" s="87"/>
      <c r="AK26" s="67"/>
      <c r="AL26" s="67"/>
      <c r="AM26" s="78"/>
      <c r="AN26" s="67"/>
      <c r="AO26" s="67"/>
      <c r="AP26" s="67"/>
      <c r="AQ26" s="67"/>
      <c r="AR26" s="78"/>
      <c r="AS26" s="67"/>
      <c r="AT26" s="67"/>
      <c r="AU26" s="67"/>
      <c r="AV26" s="87"/>
      <c r="AW26" s="67"/>
      <c r="AX26" s="67"/>
      <c r="AY26" s="78"/>
      <c r="AZ26" s="67"/>
      <c r="BA26" s="67"/>
      <c r="BB26" s="67"/>
      <c r="BC26" s="67"/>
      <c r="BD26" s="78"/>
      <c r="BE26" s="67"/>
      <c r="BF26" s="67"/>
      <c r="BG26" s="78"/>
      <c r="BH26" s="67"/>
      <c r="BI26" s="67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2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7"/>
      <c r="EB26" s="7"/>
      <c r="EC26" s="4"/>
      <c r="ED26" s="7"/>
      <c r="EE26" s="4"/>
      <c r="EF26" s="2"/>
      <c r="EG26" s="67"/>
      <c r="EH26" s="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7"/>
      <c r="EU26" s="7"/>
      <c r="EV26" s="7"/>
      <c r="EW26" s="7"/>
      <c r="EX26" s="7"/>
      <c r="EY26" s="7"/>
      <c r="EZ26" s="7"/>
      <c r="FA26" s="7"/>
      <c r="FB26" s="7"/>
      <c r="FC26" s="196"/>
      <c r="FD26" s="196"/>
      <c r="FE26" s="196"/>
      <c r="FF26" s="196"/>
      <c r="FG26" s="7"/>
      <c r="FH26" s="7"/>
    </row>
    <row r="27" spans="1:164" ht="15.75">
      <c r="A27" s="65" t="s">
        <v>40</v>
      </c>
      <c r="B27" s="18">
        <v>645</v>
      </c>
      <c r="C27" s="70">
        <v>612</v>
      </c>
      <c r="D27" s="70">
        <v>683</v>
      </c>
      <c r="E27" s="70">
        <v>610</v>
      </c>
      <c r="F27" s="70">
        <v>670</v>
      </c>
      <c r="G27" s="70">
        <v>866</v>
      </c>
      <c r="H27" s="70">
        <v>958</v>
      </c>
      <c r="I27" s="70">
        <v>1010</v>
      </c>
      <c r="J27" s="70">
        <v>790</v>
      </c>
      <c r="K27" s="70">
        <v>591</v>
      </c>
      <c r="L27" s="71">
        <v>529.2962</v>
      </c>
      <c r="M27" s="72">
        <v>407.412158</v>
      </c>
      <c r="N27" s="73">
        <v>368.85211</v>
      </c>
      <c r="O27" s="72">
        <v>449.629</v>
      </c>
      <c r="P27" s="73">
        <v>429.376712</v>
      </c>
      <c r="Q27" s="73">
        <v>440</v>
      </c>
      <c r="R27" s="73">
        <v>478</v>
      </c>
      <c r="S27" s="75">
        <v>493</v>
      </c>
      <c r="T27" s="73">
        <v>477</v>
      </c>
      <c r="U27" s="73">
        <v>518</v>
      </c>
      <c r="V27" s="73">
        <v>544</v>
      </c>
      <c r="W27" s="73">
        <v>488</v>
      </c>
      <c r="X27" s="73">
        <v>498</v>
      </c>
      <c r="Y27" s="73">
        <v>505</v>
      </c>
      <c r="Z27" s="73">
        <v>450.38525000000004</v>
      </c>
      <c r="AA27" s="66">
        <v>542.503314</v>
      </c>
      <c r="AB27" s="67">
        <v>612.657559</v>
      </c>
      <c r="AC27" s="104">
        <v>680.9868769999999</v>
      </c>
      <c r="AD27" s="104">
        <v>715.806</v>
      </c>
      <c r="AE27" s="104">
        <v>821.7132344199999</v>
      </c>
      <c r="AF27" s="104">
        <v>672.7124620000001</v>
      </c>
      <c r="AG27" s="104">
        <v>696.637794</v>
      </c>
      <c r="AH27" s="104">
        <v>867.8529100000001</v>
      </c>
      <c r="AI27" s="67">
        <f>42.8+6.27131</f>
        <v>49.07131</v>
      </c>
      <c r="AJ27" s="75">
        <f>29.02+3.9273</f>
        <v>32.9473</v>
      </c>
      <c r="AK27" s="86">
        <f>38.5+1.1596</f>
        <v>39.6596</v>
      </c>
      <c r="AL27" s="78">
        <f>38.41+4.02381</f>
        <v>42.433809999999994</v>
      </c>
      <c r="AM27" s="78">
        <f>4.8546+49.3</f>
        <v>54.154599999999995</v>
      </c>
      <c r="AN27" s="78">
        <f>36.11+7.7703</f>
        <v>43.8803</v>
      </c>
      <c r="AO27" s="78">
        <f>42+10.39688</f>
        <v>52.396879999999996</v>
      </c>
      <c r="AP27" s="101">
        <f>30.4+4.117</f>
        <v>34.516999999999996</v>
      </c>
      <c r="AQ27" s="79">
        <f>36.8+3.43801</f>
        <v>40.238009999999996</v>
      </c>
      <c r="AR27" s="78">
        <f>37.9+2.76933</f>
        <v>40.66933</v>
      </c>
      <c r="AS27" s="67">
        <f>30.9+5.3329</f>
        <v>36.2329</v>
      </c>
      <c r="AT27" s="78">
        <f>SUM(Y27:AI27)</f>
        <v>6615.326710420001</v>
      </c>
      <c r="AU27" s="67">
        <f>36.29+8.54792</f>
        <v>44.83792</v>
      </c>
      <c r="AV27" s="67">
        <f>36.29+2.97881</f>
        <v>39.26881</v>
      </c>
      <c r="AW27" s="67">
        <f>36.29+2.958</f>
        <v>39.248</v>
      </c>
      <c r="AX27" s="78">
        <v>36.29</v>
      </c>
      <c r="AY27" s="78">
        <v>36.29</v>
      </c>
      <c r="AZ27" s="78">
        <v>36.29</v>
      </c>
      <c r="BA27" s="78">
        <v>36.29</v>
      </c>
      <c r="BB27" s="101">
        <f>36.29+0.42052</f>
        <v>36.71052</v>
      </c>
      <c r="BC27" s="78">
        <v>36.29</v>
      </c>
      <c r="BD27" s="78">
        <v>36.29</v>
      </c>
      <c r="BE27" s="78">
        <v>36.29</v>
      </c>
      <c r="BF27" s="78">
        <v>36.29</v>
      </c>
      <c r="BG27" s="78">
        <f>SUM(AU27:BF27)</f>
        <v>450.38525000000004</v>
      </c>
      <c r="BH27" s="78">
        <v>36.29</v>
      </c>
      <c r="BI27" s="78">
        <v>36</v>
      </c>
      <c r="BJ27" s="66">
        <v>36</v>
      </c>
      <c r="BK27" s="66">
        <v>36</v>
      </c>
      <c r="BL27" s="66">
        <f>36+3.49971</f>
        <v>39.49971</v>
      </c>
      <c r="BM27" s="66">
        <f>2.707+56.4</f>
        <v>59.107</v>
      </c>
      <c r="BN27" s="66">
        <v>43.096</v>
      </c>
      <c r="BO27" s="66">
        <v>43.7</v>
      </c>
      <c r="BP27" s="66">
        <f>52.5741+0.403</f>
        <v>52.9771</v>
      </c>
      <c r="BQ27" s="66">
        <f>56.007284+0.07</f>
        <v>56.077284</v>
      </c>
      <c r="BR27" s="66">
        <f>48.379221+0.16</f>
        <v>48.539221</v>
      </c>
      <c r="BS27" s="66">
        <f>54.830999+0.386</f>
        <v>55.216999</v>
      </c>
      <c r="BT27" s="66">
        <f>SUM(BH27:BS27)</f>
        <v>542.503314</v>
      </c>
      <c r="BU27" s="66">
        <f>47.145866+0</f>
        <v>47.145866</v>
      </c>
      <c r="BV27" s="66">
        <v>51.359268</v>
      </c>
      <c r="BW27" s="66">
        <v>50.680458</v>
      </c>
      <c r="BX27" s="66">
        <v>50.106823</v>
      </c>
      <c r="BY27" s="66">
        <v>50.106823</v>
      </c>
      <c r="BZ27" s="104">
        <v>48.797368</v>
      </c>
      <c r="CA27" s="104">
        <v>59.093482</v>
      </c>
      <c r="CB27" s="104">
        <v>47.245909</v>
      </c>
      <c r="CC27" s="104">
        <v>62.485959</v>
      </c>
      <c r="CD27" s="104">
        <v>49.858161</v>
      </c>
      <c r="CE27" s="104">
        <v>47.232241</v>
      </c>
      <c r="CF27" s="104">
        <f>(CD27+CE27)/2</f>
        <v>48.545201000000006</v>
      </c>
      <c r="CG27" s="66">
        <f aca="true" t="shared" si="7" ref="CG27:CG38">SUM(BU27:CF27)</f>
        <v>612.657559</v>
      </c>
      <c r="CH27" s="67">
        <v>53.385016</v>
      </c>
      <c r="CI27" s="82">
        <v>46</v>
      </c>
      <c r="CJ27" s="82">
        <v>44.513456</v>
      </c>
      <c r="CK27" s="82">
        <v>59.06239</v>
      </c>
      <c r="CL27" s="66">
        <v>73.030035</v>
      </c>
      <c r="CM27" s="66">
        <v>79.07118</v>
      </c>
      <c r="CN27" s="66">
        <v>63.62737</v>
      </c>
      <c r="CO27" s="66">
        <v>62.59662</v>
      </c>
      <c r="CP27" s="104">
        <v>42.05581</v>
      </c>
      <c r="CQ27" s="104">
        <v>58.062</v>
      </c>
      <c r="CR27" s="104">
        <v>43.357</v>
      </c>
      <c r="CS27" s="104">
        <v>56.226</v>
      </c>
      <c r="CT27" s="67">
        <f>SUM(CH27:CS28)</f>
        <v>680.9868769999999</v>
      </c>
      <c r="CU27" s="67">
        <v>53.037</v>
      </c>
      <c r="CV27" s="82">
        <v>45.996</v>
      </c>
      <c r="CW27" s="82">
        <v>49.157</v>
      </c>
      <c r="CX27" s="82">
        <v>57.741</v>
      </c>
      <c r="CY27" s="82">
        <v>55.999</v>
      </c>
      <c r="CZ27" s="82">
        <v>47.674</v>
      </c>
      <c r="DA27" s="66">
        <v>66.798</v>
      </c>
      <c r="DB27" s="66">
        <v>68.204</v>
      </c>
      <c r="DC27" s="104">
        <v>66.1</v>
      </c>
      <c r="DD27" s="104">
        <v>67.3</v>
      </c>
      <c r="DE27" s="104">
        <v>68.35</v>
      </c>
      <c r="DF27" s="104">
        <v>69.45</v>
      </c>
      <c r="DG27" s="67">
        <f>SUM(CU27:DF27)</f>
        <v>715.806</v>
      </c>
      <c r="DH27" s="67">
        <v>67.27777442</v>
      </c>
      <c r="DI27" s="67">
        <v>48.316843</v>
      </c>
      <c r="DJ27" s="67">
        <v>62.6829</v>
      </c>
      <c r="DK27" s="82">
        <v>71.8937</v>
      </c>
      <c r="DL27" s="82">
        <v>76.5965</v>
      </c>
      <c r="DM27" s="82">
        <v>72.4206</v>
      </c>
      <c r="DN27" s="82">
        <v>72.6287</v>
      </c>
      <c r="DO27" s="82">
        <v>69.7846</v>
      </c>
      <c r="DP27" s="82">
        <v>71.72502</v>
      </c>
      <c r="DQ27" s="82">
        <v>67.5377</v>
      </c>
      <c r="DR27" s="82">
        <v>55.5814</v>
      </c>
      <c r="DS27" s="82">
        <v>85.267497</v>
      </c>
      <c r="DT27" s="82">
        <f>SUM(DH27:DS27)</f>
        <v>821.7132344199999</v>
      </c>
      <c r="DU27" s="82">
        <v>63.2015</v>
      </c>
      <c r="DV27" s="82">
        <v>54.122757</v>
      </c>
      <c r="DW27" s="82">
        <v>65.7316</v>
      </c>
      <c r="DX27" s="82">
        <v>58.0677</v>
      </c>
      <c r="DY27" s="82">
        <v>34.35</v>
      </c>
      <c r="DZ27" s="82">
        <v>47.109142</v>
      </c>
      <c r="EA27" s="82">
        <v>47.109142</v>
      </c>
      <c r="EB27" s="82">
        <v>54.102153</v>
      </c>
      <c r="EC27" s="82">
        <v>59.890498</v>
      </c>
      <c r="ED27" s="82">
        <v>56.78456</v>
      </c>
      <c r="EE27" s="82">
        <v>62.6725</v>
      </c>
      <c r="EF27" s="82">
        <v>69.57091</v>
      </c>
      <c r="EG27" s="82">
        <f>SUM(DU27:EF27)</f>
        <v>672.7124620000001</v>
      </c>
      <c r="EH27" s="82">
        <v>57.88698</v>
      </c>
      <c r="EI27" s="82">
        <v>51.2309</v>
      </c>
      <c r="EJ27" s="82">
        <v>52.0301</v>
      </c>
      <c r="EK27" s="82">
        <v>54</v>
      </c>
      <c r="EL27" s="82">
        <v>81.993</v>
      </c>
      <c r="EM27" s="82">
        <v>66.543</v>
      </c>
      <c r="EN27" s="82">
        <v>61.826</v>
      </c>
      <c r="EO27" s="82">
        <v>62.241</v>
      </c>
      <c r="EP27" s="82">
        <v>47.427234</v>
      </c>
      <c r="EQ27" s="82">
        <v>46.30116</v>
      </c>
      <c r="ER27" s="82">
        <v>46.30116</v>
      </c>
      <c r="ES27" s="82">
        <v>68.85726</v>
      </c>
      <c r="ET27" s="82">
        <f>SUM(EH27:ES27)</f>
        <v>696.637794</v>
      </c>
      <c r="EU27" s="82">
        <v>62.76604</v>
      </c>
      <c r="EV27" s="82">
        <v>58.87687</v>
      </c>
      <c r="EW27" s="82">
        <v>52.98</v>
      </c>
      <c r="EX27" s="82">
        <v>84.75</v>
      </c>
      <c r="EY27" s="82">
        <v>66.05</v>
      </c>
      <c r="EZ27" s="82">
        <v>66.34</v>
      </c>
      <c r="FA27" s="82">
        <v>76.87</v>
      </c>
      <c r="FB27" s="82">
        <v>76.87</v>
      </c>
      <c r="FC27" s="82">
        <v>82.47</v>
      </c>
      <c r="FD27" s="82">
        <v>62.52</v>
      </c>
      <c r="FE27" s="82">
        <v>89.47</v>
      </c>
      <c r="FF27" s="82">
        <v>87.89</v>
      </c>
      <c r="FG27" s="82">
        <f>SUM(EU27:FF27)</f>
        <v>867.8529100000001</v>
      </c>
      <c r="FH27" s="82">
        <v>58.01</v>
      </c>
    </row>
    <row r="28" spans="1:164" ht="15.75" customHeight="1" hidden="1">
      <c r="A28" s="65" t="s">
        <v>41</v>
      </c>
      <c r="B28" s="18">
        <v>2181</v>
      </c>
      <c r="C28" s="70">
        <v>2783</v>
      </c>
      <c r="D28" s="70">
        <v>2753</v>
      </c>
      <c r="E28" s="70">
        <v>3037</v>
      </c>
      <c r="F28" s="70">
        <v>2431</v>
      </c>
      <c r="G28" s="70">
        <v>3849</v>
      </c>
      <c r="H28" s="70">
        <v>3353</v>
      </c>
      <c r="I28" s="70">
        <v>2029</v>
      </c>
      <c r="J28" s="70">
        <v>2688</v>
      </c>
      <c r="K28" s="70">
        <v>3885</v>
      </c>
      <c r="L28" s="71">
        <v>2405.64</v>
      </c>
      <c r="M28" s="72">
        <v>2418</v>
      </c>
      <c r="N28" s="73">
        <v>2373.85</v>
      </c>
      <c r="O28" s="72">
        <v>1766</v>
      </c>
      <c r="P28" s="73">
        <v>1163.3</v>
      </c>
      <c r="Q28" s="73">
        <v>194</v>
      </c>
      <c r="R28" s="93" t="s">
        <v>64</v>
      </c>
      <c r="S28" s="93" t="s">
        <v>65</v>
      </c>
      <c r="T28" s="92" t="s">
        <v>65</v>
      </c>
      <c r="U28" s="92"/>
      <c r="V28" s="92"/>
      <c r="W28" s="92"/>
      <c r="X28" s="92"/>
      <c r="Y28" s="92"/>
      <c r="Z28" s="95">
        <v>0</v>
      </c>
      <c r="AA28" s="66">
        <v>33481</v>
      </c>
      <c r="AB28" s="67">
        <v>0</v>
      </c>
      <c r="AC28" s="66">
        <v>0</v>
      </c>
      <c r="AD28" s="66">
        <v>124725.5</v>
      </c>
      <c r="AE28" s="13">
        <v>124725.5</v>
      </c>
      <c r="AF28" s="13">
        <v>0</v>
      </c>
      <c r="AG28" s="13"/>
      <c r="AH28" s="13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78">
        <f aca="true" t="shared" si="8" ref="BG28:BG38">SUM(AU28:BF28)</f>
        <v>0</v>
      </c>
      <c r="BH28" s="95"/>
      <c r="BI28" s="92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>
        <f aca="true" t="shared" si="9" ref="BT28:BT38">SUM(BH28:BS28)</f>
        <v>0</v>
      </c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>
        <f t="shared" si="7"/>
        <v>0</v>
      </c>
      <c r="CH28" s="67" t="s">
        <v>64</v>
      </c>
      <c r="CI28" s="67" t="s">
        <v>64</v>
      </c>
      <c r="CJ28" s="67" t="s">
        <v>64</v>
      </c>
      <c r="CK28" s="67" t="s">
        <v>64</v>
      </c>
      <c r="CL28" s="67" t="s">
        <v>64</v>
      </c>
      <c r="CM28" s="67"/>
      <c r="CN28" s="67"/>
      <c r="CO28" s="67"/>
      <c r="CP28" s="67"/>
      <c r="CQ28" s="67"/>
      <c r="CR28" s="67"/>
      <c r="CS28" s="67"/>
      <c r="CT28" s="67">
        <f aca="true" t="shared" si="10" ref="CT28:CT37">SUM(CH28:CS29)</f>
        <v>47071</v>
      </c>
      <c r="CU28" s="67">
        <f>SUM(CG28:CR28)</f>
        <v>0</v>
      </c>
      <c r="CV28" s="67"/>
      <c r="CW28" s="67"/>
      <c r="CX28" s="67"/>
      <c r="CY28" s="67"/>
      <c r="CZ28" s="67"/>
      <c r="DA28" s="67"/>
      <c r="DB28" s="67"/>
      <c r="DC28" s="112"/>
      <c r="DD28" s="112"/>
      <c r="DE28" s="112"/>
      <c r="DF28" s="112"/>
      <c r="DG28" s="67">
        <f aca="true" t="shared" si="11" ref="DG28:DG37">SUM(CT28:DE29)</f>
        <v>124725.5</v>
      </c>
      <c r="DH28" s="67">
        <f>SUM(CT28:DE29)</f>
        <v>124725.5</v>
      </c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82">
        <f aca="true" t="shared" si="12" ref="DT28:DT37">SUM(DH28:DK28)</f>
        <v>124725.5</v>
      </c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>
        <f aca="true" t="shared" si="13" ref="EG28:EG37">SUM(DU28:DX28)</f>
        <v>0</v>
      </c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</row>
    <row r="29" spans="1:164" ht="18">
      <c r="A29" s="106" t="s">
        <v>82</v>
      </c>
      <c r="B29" s="18" t="s">
        <v>71</v>
      </c>
      <c r="C29" s="70">
        <v>31192.5</v>
      </c>
      <c r="D29" s="70">
        <v>39275.6</v>
      </c>
      <c r="E29" s="70">
        <v>40698.5</v>
      </c>
      <c r="F29" s="70">
        <v>49890</v>
      </c>
      <c r="G29" s="70">
        <v>47884</v>
      </c>
      <c r="H29" s="70">
        <v>28136</v>
      </c>
      <c r="I29" s="70">
        <v>28620</v>
      </c>
      <c r="J29" s="70">
        <v>20463</v>
      </c>
      <c r="K29" s="70">
        <v>33636</v>
      </c>
      <c r="L29" s="71">
        <v>29119</v>
      </c>
      <c r="M29" s="72">
        <v>26195</v>
      </c>
      <c r="N29" s="73">
        <v>30049</v>
      </c>
      <c r="O29" s="72">
        <v>31875.5</v>
      </c>
      <c r="P29" s="73">
        <v>10597.5</v>
      </c>
      <c r="Q29" s="73">
        <v>7334</v>
      </c>
      <c r="R29" s="73">
        <v>52906</v>
      </c>
      <c r="S29" s="75">
        <v>45177</v>
      </c>
      <c r="T29" s="73">
        <v>45883</v>
      </c>
      <c r="U29" s="73">
        <v>39099</v>
      </c>
      <c r="V29" s="73">
        <v>44627</v>
      </c>
      <c r="W29" s="73">
        <v>42934</v>
      </c>
      <c r="X29" s="73">
        <v>45278</v>
      </c>
      <c r="Y29" s="73">
        <v>18100</v>
      </c>
      <c r="Z29" s="73">
        <v>37103</v>
      </c>
      <c r="AA29" s="66">
        <v>33481</v>
      </c>
      <c r="AB29" s="67">
        <v>47878</v>
      </c>
      <c r="AC29" s="104">
        <v>47071</v>
      </c>
      <c r="AD29" s="104">
        <v>35106.5</v>
      </c>
      <c r="AE29" s="104">
        <v>25591</v>
      </c>
      <c r="AF29" s="104">
        <v>26660</v>
      </c>
      <c r="AG29" s="104">
        <v>20839.666666666668</v>
      </c>
      <c r="AH29" s="104">
        <v>17917</v>
      </c>
      <c r="AI29" s="67">
        <v>3530</v>
      </c>
      <c r="AJ29" s="101">
        <v>3280</v>
      </c>
      <c r="AK29" s="99">
        <v>3120</v>
      </c>
      <c r="AL29" s="99">
        <v>2079</v>
      </c>
      <c r="AM29" s="99">
        <v>2874</v>
      </c>
      <c r="AN29" s="99">
        <v>3217</v>
      </c>
      <c r="AO29" s="94" t="s">
        <v>64</v>
      </c>
      <c r="AP29" s="94" t="s">
        <v>64</v>
      </c>
      <c r="AQ29" s="94" t="s">
        <v>64</v>
      </c>
      <c r="AR29" s="94" t="s">
        <v>64</v>
      </c>
      <c r="AS29" s="94" t="s">
        <v>64</v>
      </c>
      <c r="AT29" s="94" t="s">
        <v>64</v>
      </c>
      <c r="AU29" s="94" t="s">
        <v>64</v>
      </c>
      <c r="AV29" s="94" t="s">
        <v>64</v>
      </c>
      <c r="AW29" s="94" t="s">
        <v>64</v>
      </c>
      <c r="AX29" s="99">
        <v>4200</v>
      </c>
      <c r="AY29" s="99">
        <v>3310</v>
      </c>
      <c r="AZ29" s="99">
        <v>4050</v>
      </c>
      <c r="BA29" s="101">
        <v>4300</v>
      </c>
      <c r="BB29" s="101">
        <v>4642</v>
      </c>
      <c r="BC29" s="101">
        <v>3822</v>
      </c>
      <c r="BD29" s="102">
        <v>4176</v>
      </c>
      <c r="BE29" s="101">
        <v>4173</v>
      </c>
      <c r="BF29" s="101">
        <v>4430</v>
      </c>
      <c r="BG29" s="78">
        <f t="shared" si="8"/>
        <v>37103</v>
      </c>
      <c r="BH29" s="99">
        <v>4002</v>
      </c>
      <c r="BI29" s="99">
        <v>1460</v>
      </c>
      <c r="BJ29" s="66">
        <v>3884</v>
      </c>
      <c r="BK29" s="66">
        <v>3662</v>
      </c>
      <c r="BL29" s="66">
        <v>3648</v>
      </c>
      <c r="BM29" s="66">
        <v>2212</v>
      </c>
      <c r="BN29" s="66">
        <v>2530</v>
      </c>
      <c r="BO29" s="66">
        <v>2245</v>
      </c>
      <c r="BP29" s="66">
        <v>4453</v>
      </c>
      <c r="BQ29" s="66">
        <v>1977</v>
      </c>
      <c r="BR29" s="66">
        <v>1780</v>
      </c>
      <c r="BS29" s="66">
        <v>1628</v>
      </c>
      <c r="BT29" s="66">
        <f t="shared" si="9"/>
        <v>33481</v>
      </c>
      <c r="BU29" s="66">
        <v>2769</v>
      </c>
      <c r="BV29" s="66">
        <v>1875</v>
      </c>
      <c r="BW29" s="66">
        <v>5119</v>
      </c>
      <c r="BX29" s="66">
        <v>3274</v>
      </c>
      <c r="BY29" s="66">
        <v>4543</v>
      </c>
      <c r="BZ29" s="66">
        <v>3296</v>
      </c>
      <c r="CA29" s="66">
        <v>4055</v>
      </c>
      <c r="CB29" s="66">
        <v>5745</v>
      </c>
      <c r="CC29" s="66">
        <v>4445</v>
      </c>
      <c r="CD29" s="104">
        <v>3693</v>
      </c>
      <c r="CE29" s="104">
        <v>5352</v>
      </c>
      <c r="CF29" s="104">
        <v>3712</v>
      </c>
      <c r="CG29" s="66">
        <f t="shared" si="7"/>
        <v>47878</v>
      </c>
      <c r="CH29" s="67">
        <v>4488</v>
      </c>
      <c r="CI29" s="82">
        <v>4995</v>
      </c>
      <c r="CJ29" s="67">
        <v>4864</v>
      </c>
      <c r="CK29" s="67">
        <v>3472</v>
      </c>
      <c r="CL29" s="67">
        <v>5684</v>
      </c>
      <c r="CM29" s="67">
        <v>2949</v>
      </c>
      <c r="CN29" s="67">
        <v>4748</v>
      </c>
      <c r="CO29" s="67">
        <v>4435</v>
      </c>
      <c r="CP29" s="67">
        <v>4407</v>
      </c>
      <c r="CQ29" s="67">
        <v>3321</v>
      </c>
      <c r="CR29" s="67">
        <v>3180</v>
      </c>
      <c r="CS29" s="67">
        <v>528</v>
      </c>
      <c r="CT29" s="67">
        <f t="shared" si="10"/>
        <v>47071</v>
      </c>
      <c r="CU29" s="67">
        <v>4458</v>
      </c>
      <c r="CV29" s="67">
        <v>1701</v>
      </c>
      <c r="CW29" s="82">
        <v>3270</v>
      </c>
      <c r="CX29" s="82">
        <v>2548</v>
      </c>
      <c r="CY29" s="82">
        <v>2759</v>
      </c>
      <c r="CZ29" s="82">
        <v>2759</v>
      </c>
      <c r="DA29" s="82">
        <v>2321</v>
      </c>
      <c r="DB29" s="82">
        <v>2240</v>
      </c>
      <c r="DC29" s="67">
        <v>2711</v>
      </c>
      <c r="DD29" s="67">
        <v>2974</v>
      </c>
      <c r="DE29" s="67">
        <v>2842.5</v>
      </c>
      <c r="DF29" s="67">
        <v>4523</v>
      </c>
      <c r="DG29" s="67">
        <f>SUM(CU29:DF29)</f>
        <v>35106.5</v>
      </c>
      <c r="DH29" s="67">
        <v>2501</v>
      </c>
      <c r="DI29" s="82">
        <v>1630</v>
      </c>
      <c r="DJ29" s="82">
        <v>2687</v>
      </c>
      <c r="DK29" s="82">
        <v>1134</v>
      </c>
      <c r="DL29" s="82">
        <v>2518</v>
      </c>
      <c r="DM29" s="82">
        <v>1921</v>
      </c>
      <c r="DN29" s="82">
        <v>2352</v>
      </c>
      <c r="DO29" s="82">
        <v>2513</v>
      </c>
      <c r="DP29" s="82">
        <v>2501</v>
      </c>
      <c r="DQ29" s="82">
        <v>2663</v>
      </c>
      <c r="DR29" s="82">
        <v>2726</v>
      </c>
      <c r="DS29" s="82">
        <v>445</v>
      </c>
      <c r="DT29" s="82">
        <f>SUM(DH29:DS29)</f>
        <v>25591</v>
      </c>
      <c r="DU29" s="82">
        <v>4724</v>
      </c>
      <c r="DV29" s="82">
        <v>3199</v>
      </c>
      <c r="DW29" s="82">
        <v>2287</v>
      </c>
      <c r="DX29" s="82">
        <v>1965</v>
      </c>
      <c r="DY29" s="82">
        <v>1451</v>
      </c>
      <c r="DZ29" s="82">
        <v>1373</v>
      </c>
      <c r="EA29" s="82">
        <v>3127</v>
      </c>
      <c r="EB29" s="82">
        <v>3460</v>
      </c>
      <c r="EC29" s="82">
        <v>1582</v>
      </c>
      <c r="ED29" s="82">
        <v>1679</v>
      </c>
      <c r="EE29" s="82">
        <v>1123</v>
      </c>
      <c r="EF29" s="82">
        <v>690</v>
      </c>
      <c r="EG29" s="82">
        <f>SUM(DU29:EF29)</f>
        <v>26660</v>
      </c>
      <c r="EH29" s="82">
        <v>742</v>
      </c>
      <c r="EI29" s="82">
        <v>3538</v>
      </c>
      <c r="EJ29" s="82">
        <v>1764</v>
      </c>
      <c r="EK29" s="82">
        <v>2230</v>
      </c>
      <c r="EL29" s="82">
        <v>1878</v>
      </c>
      <c r="EM29" s="82">
        <v>2647</v>
      </c>
      <c r="EN29" s="82">
        <v>953</v>
      </c>
      <c r="EO29" s="82">
        <v>767</v>
      </c>
      <c r="EP29" s="82">
        <v>3634</v>
      </c>
      <c r="EQ29" s="82">
        <v>1784.6666666666667</v>
      </c>
      <c r="ER29" s="82">
        <v>876</v>
      </c>
      <c r="ES29" s="82">
        <v>26</v>
      </c>
      <c r="ET29" s="82">
        <f>SUM(EH29:ES29)</f>
        <v>20839.666666666668</v>
      </c>
      <c r="EU29" s="82">
        <v>0</v>
      </c>
      <c r="EV29" s="82">
        <v>0</v>
      </c>
      <c r="EW29" s="82">
        <v>0</v>
      </c>
      <c r="EX29" s="82">
        <v>0</v>
      </c>
      <c r="EY29" s="82">
        <v>2254</v>
      </c>
      <c r="EZ29" s="82">
        <v>4340</v>
      </c>
      <c r="FA29" s="82">
        <v>2183</v>
      </c>
      <c r="FB29" s="82">
        <v>2158</v>
      </c>
      <c r="FC29" s="82">
        <v>1542</v>
      </c>
      <c r="FD29" s="82">
        <v>1900</v>
      </c>
      <c r="FE29" s="82">
        <v>3018</v>
      </c>
      <c r="FF29" s="82">
        <v>522</v>
      </c>
      <c r="FG29" s="82">
        <f>SUM(EU29:FF29)</f>
        <v>17917</v>
      </c>
      <c r="FH29" s="82">
        <v>2374</v>
      </c>
    </row>
    <row r="30" spans="1:164" ht="15.75" customHeight="1" hidden="1">
      <c r="A30" s="65" t="s">
        <v>42</v>
      </c>
      <c r="B30" s="18"/>
      <c r="C30" s="70">
        <v>5542.3</v>
      </c>
      <c r="D30" s="70">
        <v>4996.8</v>
      </c>
      <c r="E30" s="70">
        <v>6716.8</v>
      </c>
      <c r="F30" s="70">
        <v>6610</v>
      </c>
      <c r="G30" s="70">
        <v>6764</v>
      </c>
      <c r="H30" s="70">
        <v>6093</v>
      </c>
      <c r="I30" s="70">
        <v>6065</v>
      </c>
      <c r="J30" s="70">
        <v>4671</v>
      </c>
      <c r="K30" s="70">
        <v>4705</v>
      </c>
      <c r="L30" s="71">
        <v>3279</v>
      </c>
      <c r="M30" s="72">
        <v>1871</v>
      </c>
      <c r="N30" s="76" t="s">
        <v>64</v>
      </c>
      <c r="O30" s="76" t="s">
        <v>64</v>
      </c>
      <c r="P30" s="76" t="s">
        <v>64</v>
      </c>
      <c r="Q30" s="76" t="s">
        <v>64</v>
      </c>
      <c r="R30" s="93" t="s">
        <v>33</v>
      </c>
      <c r="S30" s="94"/>
      <c r="T30" s="94"/>
      <c r="U30" s="94"/>
      <c r="V30" s="94"/>
      <c r="W30" s="94"/>
      <c r="X30" s="94"/>
      <c r="Y30" s="92"/>
      <c r="Z30" s="92">
        <v>0</v>
      </c>
      <c r="AA30" s="66">
        <v>1588</v>
      </c>
      <c r="AB30" s="67">
        <v>0</v>
      </c>
      <c r="AC30" s="66">
        <v>0</v>
      </c>
      <c r="AD30" s="66">
        <v>2216.968</v>
      </c>
      <c r="AE30" s="66">
        <v>0</v>
      </c>
      <c r="AF30" s="66">
        <v>0</v>
      </c>
      <c r="AG30" s="66"/>
      <c r="AH30" s="66"/>
      <c r="AI30" s="67"/>
      <c r="AJ30" s="95"/>
      <c r="AK30" s="92"/>
      <c r="AL30" s="92"/>
      <c r="AM30" s="92"/>
      <c r="AN30" s="76"/>
      <c r="AO30" s="76"/>
      <c r="AP30" s="92"/>
      <c r="AQ30" s="92"/>
      <c r="AR30" s="92"/>
      <c r="AS30" s="76"/>
      <c r="AT30" s="92"/>
      <c r="AU30" s="67"/>
      <c r="AV30" s="95"/>
      <c r="AW30" s="92"/>
      <c r="AX30" s="92"/>
      <c r="AY30" s="92"/>
      <c r="AZ30" s="76"/>
      <c r="BA30" s="76"/>
      <c r="BB30" s="92"/>
      <c r="BC30" s="92"/>
      <c r="BD30" s="92"/>
      <c r="BE30" s="76"/>
      <c r="BF30" s="92"/>
      <c r="BG30" s="78">
        <f t="shared" si="8"/>
        <v>0</v>
      </c>
      <c r="BH30" s="67"/>
      <c r="BI30" s="67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>
        <f t="shared" si="9"/>
        <v>0</v>
      </c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>
        <f t="shared" si="7"/>
        <v>0</v>
      </c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>
        <f t="shared" si="10"/>
        <v>1108.484</v>
      </c>
      <c r="CU30" s="67">
        <f>SUM(CG30:CR30)</f>
        <v>0</v>
      </c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>
        <f t="shared" si="11"/>
        <v>2216.968</v>
      </c>
      <c r="DH30" s="67">
        <f>SUM(CT30:DE31)</f>
        <v>2216.968</v>
      </c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82">
        <f t="shared" si="12"/>
        <v>2216.968</v>
      </c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82"/>
      <c r="EG30" s="82">
        <f t="shared" si="13"/>
        <v>0</v>
      </c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</row>
    <row r="31" spans="1:164" ht="15.75" hidden="1">
      <c r="A31" s="65" t="s">
        <v>43</v>
      </c>
      <c r="B31" s="18">
        <v>178536</v>
      </c>
      <c r="C31" s="70">
        <v>195906</v>
      </c>
      <c r="D31" s="70">
        <v>322373</v>
      </c>
      <c r="E31" s="70">
        <v>502109</v>
      </c>
      <c r="F31" s="70">
        <v>380700</v>
      </c>
      <c r="G31" s="70">
        <v>354724</v>
      </c>
      <c r="H31" s="70">
        <v>413161</v>
      </c>
      <c r="I31" s="70">
        <v>397093</v>
      </c>
      <c r="J31" s="70">
        <v>349109</v>
      </c>
      <c r="K31" s="70">
        <v>292847</v>
      </c>
      <c r="L31" s="71">
        <v>267246.9</v>
      </c>
      <c r="M31" s="72">
        <v>240204.6</v>
      </c>
      <c r="N31" s="73">
        <v>128967.3</v>
      </c>
      <c r="O31" s="72">
        <v>146770.7</v>
      </c>
      <c r="P31" s="73">
        <v>133386.989</v>
      </c>
      <c r="Q31" s="73">
        <v>216103</v>
      </c>
      <c r="R31" s="73">
        <v>179309</v>
      </c>
      <c r="S31" s="75">
        <v>204355</v>
      </c>
      <c r="T31" s="73">
        <v>158526</v>
      </c>
      <c r="U31" s="73">
        <v>122364</v>
      </c>
      <c r="V31" s="73">
        <v>103852</v>
      </c>
      <c r="W31" s="73">
        <v>80824</v>
      </c>
      <c r="X31" s="73">
        <v>53482</v>
      </c>
      <c r="Y31" s="73">
        <v>23778</v>
      </c>
      <c r="Z31" s="73">
        <v>17545.695</v>
      </c>
      <c r="AA31" s="66">
        <v>1588</v>
      </c>
      <c r="AB31" s="150">
        <v>0</v>
      </c>
      <c r="AC31" s="66">
        <v>1108.484</v>
      </c>
      <c r="AD31" s="150">
        <v>0</v>
      </c>
      <c r="AE31" s="150">
        <v>0</v>
      </c>
      <c r="AF31" s="150">
        <v>0</v>
      </c>
      <c r="AG31" s="150"/>
      <c r="AH31" s="150"/>
      <c r="AI31" s="67">
        <v>2162.2</v>
      </c>
      <c r="AJ31" s="75">
        <v>2226</v>
      </c>
      <c r="AK31" s="78">
        <v>1098</v>
      </c>
      <c r="AL31" s="78">
        <v>1943</v>
      </c>
      <c r="AM31" s="78">
        <v>6159</v>
      </c>
      <c r="AN31" s="78">
        <v>2427</v>
      </c>
      <c r="AO31" s="78">
        <v>2048</v>
      </c>
      <c r="AP31" s="78">
        <v>749</v>
      </c>
      <c r="AQ31" s="101">
        <v>789</v>
      </c>
      <c r="AR31" s="78">
        <v>2364</v>
      </c>
      <c r="AS31" s="67">
        <v>822</v>
      </c>
      <c r="AT31" s="67">
        <v>991</v>
      </c>
      <c r="AU31" s="67">
        <v>1965</v>
      </c>
      <c r="AV31" s="75">
        <v>1850</v>
      </c>
      <c r="AW31" s="78">
        <v>1288</v>
      </c>
      <c r="AX31" s="78">
        <v>1499.08</v>
      </c>
      <c r="AY31" s="78">
        <v>2384.151</v>
      </c>
      <c r="AZ31" s="78">
        <v>2224.298</v>
      </c>
      <c r="BA31" s="78">
        <v>422.415</v>
      </c>
      <c r="BB31" s="78">
        <v>1304</v>
      </c>
      <c r="BC31" s="101">
        <v>614.117</v>
      </c>
      <c r="BD31" s="78">
        <v>754.108</v>
      </c>
      <c r="BE31" s="107">
        <v>1652.311</v>
      </c>
      <c r="BF31" s="67">
        <v>1588.215</v>
      </c>
      <c r="BG31" s="78">
        <f t="shared" si="8"/>
        <v>17545.695</v>
      </c>
      <c r="BH31" s="67">
        <v>1588</v>
      </c>
      <c r="BI31" s="108" t="s">
        <v>33</v>
      </c>
      <c r="BJ31" s="66" t="s">
        <v>33</v>
      </c>
      <c r="BK31" s="66" t="s">
        <v>33</v>
      </c>
      <c r="BL31" s="66" t="s">
        <v>64</v>
      </c>
      <c r="BM31" s="66"/>
      <c r="BN31" s="66" t="s">
        <v>33</v>
      </c>
      <c r="BO31" s="66" t="s">
        <v>33</v>
      </c>
      <c r="BP31" s="66" t="s">
        <v>33</v>
      </c>
      <c r="BQ31" s="66" t="s">
        <v>33</v>
      </c>
      <c r="BR31" s="109" t="s">
        <v>76</v>
      </c>
      <c r="BS31" s="66" t="s">
        <v>33</v>
      </c>
      <c r="BT31" s="66">
        <f t="shared" si="9"/>
        <v>1588</v>
      </c>
      <c r="BU31" s="66" t="s">
        <v>64</v>
      </c>
      <c r="BV31" s="66" t="s">
        <v>64</v>
      </c>
      <c r="BW31" s="66" t="s">
        <v>64</v>
      </c>
      <c r="BX31" s="66" t="s">
        <v>64</v>
      </c>
      <c r="BY31" s="66" t="s">
        <v>64</v>
      </c>
      <c r="BZ31" s="66" t="s">
        <v>64</v>
      </c>
      <c r="CA31" s="66" t="s">
        <v>64</v>
      </c>
      <c r="CB31" s="66" t="s">
        <v>64</v>
      </c>
      <c r="CC31" s="66" t="s">
        <v>64</v>
      </c>
      <c r="CD31" s="66" t="s">
        <v>64</v>
      </c>
      <c r="CE31" s="66" t="s">
        <v>64</v>
      </c>
      <c r="CF31" s="66" t="s">
        <v>64</v>
      </c>
      <c r="CG31" s="66">
        <f t="shared" si="7"/>
        <v>0</v>
      </c>
      <c r="CH31" s="150">
        <v>0</v>
      </c>
      <c r="CI31" s="150">
        <v>0</v>
      </c>
      <c r="CJ31" s="150">
        <v>0</v>
      </c>
      <c r="CK31" s="150">
        <v>0</v>
      </c>
      <c r="CL31" s="150">
        <v>0</v>
      </c>
      <c r="CM31" s="150">
        <v>0</v>
      </c>
      <c r="CN31" s="150">
        <v>0</v>
      </c>
      <c r="CO31" s="150">
        <v>0</v>
      </c>
      <c r="CP31" s="150">
        <v>0</v>
      </c>
      <c r="CQ31" s="66">
        <v>1108.484</v>
      </c>
      <c r="CR31" s="150">
        <v>0</v>
      </c>
      <c r="CS31" s="150">
        <v>0</v>
      </c>
      <c r="CT31" s="67">
        <f>SUM(CH31:CS31)</f>
        <v>1108.484</v>
      </c>
      <c r="CU31" s="150">
        <v>0</v>
      </c>
      <c r="CV31" s="150">
        <v>0</v>
      </c>
      <c r="CW31" s="150">
        <v>0</v>
      </c>
      <c r="CX31" s="150">
        <v>0</v>
      </c>
      <c r="CY31" s="150">
        <v>0</v>
      </c>
      <c r="CZ31" s="150">
        <v>0</v>
      </c>
      <c r="DA31" s="150">
        <v>0</v>
      </c>
      <c r="DB31" s="150">
        <v>0</v>
      </c>
      <c r="DC31" s="150">
        <v>0</v>
      </c>
      <c r="DD31" s="150">
        <v>0</v>
      </c>
      <c r="DE31" s="150">
        <v>0</v>
      </c>
      <c r="DF31" s="150">
        <v>0</v>
      </c>
      <c r="DG31" s="150">
        <v>0</v>
      </c>
      <c r="DH31" s="150">
        <v>0</v>
      </c>
      <c r="DI31" s="150">
        <v>0</v>
      </c>
      <c r="DJ31" s="150">
        <v>0</v>
      </c>
      <c r="DK31" s="150">
        <v>0</v>
      </c>
      <c r="DL31" s="150">
        <v>0</v>
      </c>
      <c r="DM31" s="150">
        <v>0</v>
      </c>
      <c r="DN31" s="150">
        <v>0</v>
      </c>
      <c r="DO31" s="150">
        <v>0</v>
      </c>
      <c r="DP31" s="150">
        <v>0</v>
      </c>
      <c r="DQ31" s="150"/>
      <c r="DR31" s="150"/>
      <c r="DS31" s="150">
        <v>0</v>
      </c>
      <c r="DT31" s="82">
        <f t="shared" si="12"/>
        <v>0</v>
      </c>
      <c r="DU31" s="150">
        <v>0</v>
      </c>
      <c r="DV31" s="150">
        <v>0</v>
      </c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82">
        <f t="shared" si="13"/>
        <v>0</v>
      </c>
      <c r="EH31" s="150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</row>
    <row r="32" spans="1:164" ht="18" customHeight="1">
      <c r="A32" s="65" t="s">
        <v>44</v>
      </c>
      <c r="B32" s="18">
        <v>272370</v>
      </c>
      <c r="C32" s="70">
        <v>278417</v>
      </c>
      <c r="D32" s="70">
        <v>295596</v>
      </c>
      <c r="E32" s="70">
        <v>220854</v>
      </c>
      <c r="F32" s="70">
        <v>274723</v>
      </c>
      <c r="G32" s="70">
        <v>288493</v>
      </c>
      <c r="H32" s="70">
        <v>323457</v>
      </c>
      <c r="I32" s="70">
        <v>417158</v>
      </c>
      <c r="J32" s="70">
        <v>387948</v>
      </c>
      <c r="K32" s="70">
        <v>408844</v>
      </c>
      <c r="L32" s="71">
        <v>305909</v>
      </c>
      <c r="M32" s="72">
        <v>259036</v>
      </c>
      <c r="N32" s="73">
        <v>332968</v>
      </c>
      <c r="O32" s="72">
        <v>247166</v>
      </c>
      <c r="P32" s="73">
        <v>209459</v>
      </c>
      <c r="Q32" s="73">
        <v>175895</v>
      </c>
      <c r="R32" s="73">
        <v>133292</v>
      </c>
      <c r="S32" s="75">
        <v>129086</v>
      </c>
      <c r="T32" s="73">
        <v>138046</v>
      </c>
      <c r="U32" s="73">
        <v>148959</v>
      </c>
      <c r="V32" s="73">
        <v>155809</v>
      </c>
      <c r="W32" s="73">
        <v>159320</v>
      </c>
      <c r="X32" s="73">
        <v>144923</v>
      </c>
      <c r="Y32" s="73">
        <v>202128</v>
      </c>
      <c r="Z32" s="73">
        <v>195495</v>
      </c>
      <c r="AA32" s="82">
        <v>217921</v>
      </c>
      <c r="AB32" s="67">
        <v>236314</v>
      </c>
      <c r="AC32" s="104">
        <v>274153</v>
      </c>
      <c r="AD32" s="104">
        <v>269777.5</v>
      </c>
      <c r="AE32" s="104">
        <v>1335869</v>
      </c>
      <c r="AF32" s="104">
        <v>304751.82</v>
      </c>
      <c r="AG32" s="104">
        <v>559875</v>
      </c>
      <c r="AH32" s="104">
        <v>582287</v>
      </c>
      <c r="AI32" s="67">
        <v>11852</v>
      </c>
      <c r="AJ32" s="75">
        <v>15861</v>
      </c>
      <c r="AK32" s="73">
        <v>6989</v>
      </c>
      <c r="AL32" s="105">
        <v>16226</v>
      </c>
      <c r="AM32" s="78">
        <v>21307</v>
      </c>
      <c r="AN32" s="79">
        <v>14315</v>
      </c>
      <c r="AO32" s="79">
        <v>17880</v>
      </c>
      <c r="AP32" s="79">
        <v>14230</v>
      </c>
      <c r="AQ32" s="79">
        <v>15489</v>
      </c>
      <c r="AR32" s="78">
        <v>28458</v>
      </c>
      <c r="AS32" s="67">
        <v>21507</v>
      </c>
      <c r="AT32" s="67">
        <v>18014</v>
      </c>
      <c r="AU32" s="67">
        <v>13460</v>
      </c>
      <c r="AV32" s="67">
        <v>16330</v>
      </c>
      <c r="AW32" s="67">
        <v>19370</v>
      </c>
      <c r="AX32" s="105">
        <v>13595</v>
      </c>
      <c r="AY32" s="78">
        <v>12713</v>
      </c>
      <c r="AZ32" s="79">
        <v>2461</v>
      </c>
      <c r="BA32" s="79">
        <v>14756</v>
      </c>
      <c r="BB32" s="79">
        <v>22844</v>
      </c>
      <c r="BC32" s="79">
        <v>18241</v>
      </c>
      <c r="BD32" s="78">
        <v>24580</v>
      </c>
      <c r="BE32" s="67">
        <v>14739</v>
      </c>
      <c r="BF32" s="67">
        <v>22406</v>
      </c>
      <c r="BG32" s="78">
        <f t="shared" si="8"/>
        <v>195495</v>
      </c>
      <c r="BH32" s="67">
        <v>18474</v>
      </c>
      <c r="BI32" s="67">
        <v>10236</v>
      </c>
      <c r="BJ32" s="66">
        <v>25621</v>
      </c>
      <c r="BK32" s="66">
        <v>18060</v>
      </c>
      <c r="BL32" s="67">
        <v>9105</v>
      </c>
      <c r="BM32" s="67">
        <v>16122</v>
      </c>
      <c r="BN32" s="66">
        <v>25645</v>
      </c>
      <c r="BO32" s="66">
        <v>27967</v>
      </c>
      <c r="BP32" s="66">
        <v>22787</v>
      </c>
      <c r="BQ32" s="66">
        <v>12972</v>
      </c>
      <c r="BR32" s="66">
        <v>13917</v>
      </c>
      <c r="BS32" s="66">
        <v>17015</v>
      </c>
      <c r="BT32" s="66">
        <f t="shared" si="9"/>
        <v>217921</v>
      </c>
      <c r="BU32" s="66">
        <v>24353</v>
      </c>
      <c r="BV32" s="66">
        <v>17616</v>
      </c>
      <c r="BW32" s="66">
        <v>17616</v>
      </c>
      <c r="BX32" s="66">
        <v>7981</v>
      </c>
      <c r="BY32" s="66">
        <v>18418</v>
      </c>
      <c r="BZ32" s="104">
        <v>30102</v>
      </c>
      <c r="CA32" s="104">
        <v>19950</v>
      </c>
      <c r="CB32" s="104">
        <v>19066</v>
      </c>
      <c r="CC32" s="104">
        <v>19791</v>
      </c>
      <c r="CD32" s="104">
        <v>18542</v>
      </c>
      <c r="CE32" s="104">
        <v>23477</v>
      </c>
      <c r="CF32" s="104">
        <v>19402</v>
      </c>
      <c r="CG32" s="66">
        <f t="shared" si="7"/>
        <v>236314</v>
      </c>
      <c r="CH32" s="67">
        <v>10609</v>
      </c>
      <c r="CI32" s="82">
        <v>29076</v>
      </c>
      <c r="CJ32" s="82">
        <v>32403</v>
      </c>
      <c r="CK32" s="82">
        <v>31939</v>
      </c>
      <c r="CL32" s="82">
        <v>28734</v>
      </c>
      <c r="CM32" s="82">
        <v>29459</v>
      </c>
      <c r="CN32" s="82">
        <v>19814</v>
      </c>
      <c r="CO32" s="82">
        <v>18904</v>
      </c>
      <c r="CP32" s="82">
        <v>18904</v>
      </c>
      <c r="CQ32" s="104">
        <v>20289</v>
      </c>
      <c r="CR32" s="104">
        <v>20982</v>
      </c>
      <c r="CS32" s="104">
        <v>13040</v>
      </c>
      <c r="CT32" s="67">
        <f>SUM(CH32:CS32)</f>
        <v>274153</v>
      </c>
      <c r="CU32" s="82">
        <v>30638</v>
      </c>
      <c r="CV32" s="82">
        <v>10617</v>
      </c>
      <c r="CW32" s="82">
        <v>28572</v>
      </c>
      <c r="CX32" s="82">
        <v>17297</v>
      </c>
      <c r="CY32" s="82">
        <v>18185</v>
      </c>
      <c r="CZ32" s="82">
        <v>34183</v>
      </c>
      <c r="DA32" s="82">
        <v>8628</v>
      </c>
      <c r="DB32" s="82">
        <v>27089</v>
      </c>
      <c r="DC32" s="82">
        <v>27866</v>
      </c>
      <c r="DD32" s="82">
        <v>20143</v>
      </c>
      <c r="DE32" s="82">
        <v>25924</v>
      </c>
      <c r="DF32" s="82">
        <v>21432</v>
      </c>
      <c r="DG32" s="67">
        <f>SUM(CU32:DF32)</f>
        <v>270574</v>
      </c>
      <c r="DH32" s="82">
        <v>22714</v>
      </c>
      <c r="DI32" s="82">
        <v>15181</v>
      </c>
      <c r="DJ32" s="82">
        <v>21728</v>
      </c>
      <c r="DK32" s="150">
        <v>29950</v>
      </c>
      <c r="DL32" s="82">
        <v>35790</v>
      </c>
      <c r="DM32" s="82">
        <v>42672</v>
      </c>
      <c r="DN32" s="82">
        <v>26659</v>
      </c>
      <c r="DO32" s="82">
        <v>19789</v>
      </c>
      <c r="DP32" s="82">
        <v>27543</v>
      </c>
      <c r="DQ32" s="82">
        <v>22706</v>
      </c>
      <c r="DR32" s="82">
        <v>25634</v>
      </c>
      <c r="DS32" s="82">
        <v>24661</v>
      </c>
      <c r="DT32" s="82">
        <f>SUM(DH32:DS32)</f>
        <v>315027</v>
      </c>
      <c r="DU32" s="82">
        <v>23485</v>
      </c>
      <c r="DV32" s="82">
        <v>47428</v>
      </c>
      <c r="DW32" s="82">
        <v>27307</v>
      </c>
      <c r="DX32" s="82">
        <v>26481.82</v>
      </c>
      <c r="DY32" s="82">
        <v>20487</v>
      </c>
      <c r="DZ32" s="82">
        <v>27684</v>
      </c>
      <c r="EA32" s="82">
        <v>12171</v>
      </c>
      <c r="EB32" s="82">
        <v>28426</v>
      </c>
      <c r="EC32" s="82">
        <v>21472</v>
      </c>
      <c r="ED32" s="82">
        <v>33276</v>
      </c>
      <c r="EE32" s="82">
        <v>19445</v>
      </c>
      <c r="EF32" s="82">
        <v>17089</v>
      </c>
      <c r="EG32" s="82">
        <f>SUM(DU32:EF32)</f>
        <v>304751.82</v>
      </c>
      <c r="EH32" s="82">
        <v>48967</v>
      </c>
      <c r="EI32" s="82">
        <v>30828</v>
      </c>
      <c r="EJ32" s="82">
        <v>39905</v>
      </c>
      <c r="EK32" s="82">
        <v>22998</v>
      </c>
      <c r="EL32" s="82">
        <v>59212</v>
      </c>
      <c r="EM32" s="82">
        <v>75999</v>
      </c>
      <c r="EN32" s="82">
        <v>33964</v>
      </c>
      <c r="EO32" s="82">
        <v>68150</v>
      </c>
      <c r="EP32" s="82">
        <v>70263</v>
      </c>
      <c r="EQ32" s="82">
        <v>40831</v>
      </c>
      <c r="ER32" s="82">
        <v>27564</v>
      </c>
      <c r="ES32" s="82">
        <v>41194</v>
      </c>
      <c r="ET32" s="82">
        <f>SUM(EH32:ES32)</f>
        <v>559875</v>
      </c>
      <c r="EU32" s="82">
        <v>56786</v>
      </c>
      <c r="EV32" s="82">
        <v>38128</v>
      </c>
      <c r="EW32" s="82">
        <v>47422</v>
      </c>
      <c r="EX32" s="82">
        <v>24564</v>
      </c>
      <c r="EY32" s="82">
        <v>29560</v>
      </c>
      <c r="EZ32" s="82">
        <v>37515</v>
      </c>
      <c r="FA32" s="82">
        <v>30742</v>
      </c>
      <c r="FB32" s="82">
        <v>59850</v>
      </c>
      <c r="FC32" s="82">
        <v>60551</v>
      </c>
      <c r="FD32" s="82">
        <v>63231</v>
      </c>
      <c r="FE32" s="82">
        <v>99756</v>
      </c>
      <c r="FF32" s="82">
        <v>34182</v>
      </c>
      <c r="FG32" s="82">
        <f>SUM(EU32:FF32)</f>
        <v>582287</v>
      </c>
      <c r="FH32" s="82">
        <v>79665</v>
      </c>
    </row>
    <row r="33" spans="1:164" ht="15.75">
      <c r="A33" s="65" t="s">
        <v>45</v>
      </c>
      <c r="B33" s="18">
        <v>2556959</v>
      </c>
      <c r="C33" s="70">
        <v>2779910</v>
      </c>
      <c r="D33" s="70">
        <v>2523895</v>
      </c>
      <c r="E33" s="70">
        <v>2395086</v>
      </c>
      <c r="F33" s="70">
        <v>2885374</v>
      </c>
      <c r="G33" s="70">
        <v>2340055</v>
      </c>
      <c r="H33" s="70">
        <v>3135694</v>
      </c>
      <c r="I33" s="70">
        <v>2568510</v>
      </c>
      <c r="J33" s="70">
        <v>4841397</v>
      </c>
      <c r="K33" s="70">
        <v>5292349</v>
      </c>
      <c r="L33" s="71">
        <v>5261757</v>
      </c>
      <c r="M33" s="72">
        <v>3111381</v>
      </c>
      <c r="N33" s="73">
        <v>2431595</v>
      </c>
      <c r="O33" s="72">
        <v>3415145</v>
      </c>
      <c r="P33" s="73">
        <v>2696091</v>
      </c>
      <c r="Q33" s="73">
        <v>3038759</v>
      </c>
      <c r="R33" s="73">
        <v>2985057</v>
      </c>
      <c r="S33" s="75">
        <v>3009037</v>
      </c>
      <c r="T33" s="73">
        <v>2823988</v>
      </c>
      <c r="U33" s="73">
        <v>3086026</v>
      </c>
      <c r="V33" s="73">
        <v>2974593</v>
      </c>
      <c r="W33" s="73">
        <v>2796885</v>
      </c>
      <c r="X33" s="73">
        <v>2668590</v>
      </c>
      <c r="Y33" s="73">
        <v>5469222</v>
      </c>
      <c r="Z33" s="73">
        <v>5805326</v>
      </c>
      <c r="AA33" s="66">
        <v>5200956</v>
      </c>
      <c r="AB33" s="67">
        <v>8531600</v>
      </c>
      <c r="AC33" s="104">
        <v>9387923</v>
      </c>
      <c r="AD33" s="104">
        <v>13475849.5</v>
      </c>
      <c r="AE33" s="104">
        <v>14106049</v>
      </c>
      <c r="AF33" s="104">
        <v>16315190.18</v>
      </c>
      <c r="AG33" s="104">
        <v>16683636</v>
      </c>
      <c r="AH33" s="104">
        <v>12615122</v>
      </c>
      <c r="AI33" s="67">
        <f>235025+53191</f>
        <v>288216</v>
      </c>
      <c r="AJ33" s="75">
        <f>278488+53244</f>
        <v>331732</v>
      </c>
      <c r="AK33" s="78">
        <f>314965+53244</f>
        <v>368209</v>
      </c>
      <c r="AL33" s="78">
        <v>570512</v>
      </c>
      <c r="AM33" s="78">
        <v>490875</v>
      </c>
      <c r="AN33" s="78">
        <v>551035</v>
      </c>
      <c r="AO33" s="78">
        <v>533357</v>
      </c>
      <c r="AP33" s="78">
        <v>487921</v>
      </c>
      <c r="AQ33" s="78">
        <v>577949</v>
      </c>
      <c r="AR33" s="78">
        <v>430056</v>
      </c>
      <c r="AS33" s="67">
        <v>417508</v>
      </c>
      <c r="AT33" s="67">
        <v>421852</v>
      </c>
      <c r="AU33" s="67">
        <v>434769</v>
      </c>
      <c r="AV33" s="67">
        <v>305712</v>
      </c>
      <c r="AW33" s="67">
        <v>524954</v>
      </c>
      <c r="AX33" s="78">
        <v>439092</v>
      </c>
      <c r="AY33" s="78">
        <v>417081</v>
      </c>
      <c r="AZ33" s="78">
        <v>439544</v>
      </c>
      <c r="BA33" s="78">
        <v>576698</v>
      </c>
      <c r="BB33" s="78">
        <v>437012</v>
      </c>
      <c r="BC33" s="78">
        <v>521902</v>
      </c>
      <c r="BD33" s="78">
        <v>619549</v>
      </c>
      <c r="BE33" s="67">
        <v>677208</v>
      </c>
      <c r="BF33" s="67">
        <v>411805</v>
      </c>
      <c r="BG33" s="78">
        <f t="shared" si="8"/>
        <v>5805326</v>
      </c>
      <c r="BH33" s="67">
        <v>316092</v>
      </c>
      <c r="BI33" s="67">
        <v>392957</v>
      </c>
      <c r="BJ33" s="66">
        <v>381825</v>
      </c>
      <c r="BK33" s="66">
        <v>386837</v>
      </c>
      <c r="BL33" s="67">
        <v>324851</v>
      </c>
      <c r="BM33" s="67">
        <v>391878</v>
      </c>
      <c r="BN33" s="66">
        <v>462444</v>
      </c>
      <c r="BO33" s="66">
        <v>564847</v>
      </c>
      <c r="BP33" s="66">
        <v>375275</v>
      </c>
      <c r="BQ33" s="66">
        <v>431949</v>
      </c>
      <c r="BR33" s="66">
        <v>550986</v>
      </c>
      <c r="BS33" s="66">
        <v>621015</v>
      </c>
      <c r="BT33" s="66">
        <f t="shared" si="9"/>
        <v>5200956</v>
      </c>
      <c r="BU33" s="66">
        <v>683995</v>
      </c>
      <c r="BV33" s="66">
        <v>715853</v>
      </c>
      <c r="BW33" s="66">
        <v>715853</v>
      </c>
      <c r="BX33" s="66">
        <v>790387</v>
      </c>
      <c r="BY33" s="66">
        <v>512595</v>
      </c>
      <c r="BZ33" s="104">
        <v>816284</v>
      </c>
      <c r="CA33" s="104">
        <v>535920</v>
      </c>
      <c r="CB33" s="104">
        <v>966608</v>
      </c>
      <c r="CC33" s="104">
        <v>650210</v>
      </c>
      <c r="CD33" s="104">
        <v>705568</v>
      </c>
      <c r="CE33" s="104">
        <v>813943</v>
      </c>
      <c r="CF33" s="104">
        <v>624384</v>
      </c>
      <c r="CG33" s="66">
        <f t="shared" si="7"/>
        <v>8531600</v>
      </c>
      <c r="CH33" s="67">
        <v>772340</v>
      </c>
      <c r="CI33" s="82">
        <v>611057</v>
      </c>
      <c r="CJ33" s="82">
        <v>781280</v>
      </c>
      <c r="CK33" s="66">
        <v>581195</v>
      </c>
      <c r="CL33" s="66">
        <v>643184</v>
      </c>
      <c r="CM33" s="104">
        <v>612922</v>
      </c>
      <c r="CN33" s="104">
        <v>897283</v>
      </c>
      <c r="CO33" s="104">
        <v>913621</v>
      </c>
      <c r="CP33" s="104">
        <v>942006</v>
      </c>
      <c r="CQ33" s="82">
        <v>1088195</v>
      </c>
      <c r="CR33" s="82">
        <v>914774</v>
      </c>
      <c r="CS33" s="82">
        <v>630066</v>
      </c>
      <c r="CT33" s="67">
        <f>SUM(CH33:CS34)</f>
        <v>9387923</v>
      </c>
      <c r="CU33" s="82">
        <v>1108130</v>
      </c>
      <c r="CV33" s="82">
        <v>842911</v>
      </c>
      <c r="CW33" s="82">
        <v>776116</v>
      </c>
      <c r="CX33" s="82">
        <v>1000911</v>
      </c>
      <c r="CY33" s="82">
        <v>1032287</v>
      </c>
      <c r="CZ33" s="82">
        <v>930126</v>
      </c>
      <c r="DA33" s="82">
        <v>1536054</v>
      </c>
      <c r="DB33" s="82">
        <v>1268255</v>
      </c>
      <c r="DC33" s="82">
        <v>1253485</v>
      </c>
      <c r="DD33" s="82">
        <v>1401906</v>
      </c>
      <c r="DE33" s="82">
        <v>1324184</v>
      </c>
      <c r="DF33" s="82">
        <v>1120405</v>
      </c>
      <c r="DG33" s="67">
        <f>SUM(CU33:DF33)</f>
        <v>13594770</v>
      </c>
      <c r="DH33" s="82">
        <v>1588382</v>
      </c>
      <c r="DI33" s="82">
        <v>1102185</v>
      </c>
      <c r="DJ33" s="82">
        <v>1476924</v>
      </c>
      <c r="DK33" s="82">
        <v>1350621</v>
      </c>
      <c r="DL33" s="82">
        <v>1394585</v>
      </c>
      <c r="DM33" s="82">
        <v>1124573</v>
      </c>
      <c r="DN33" s="82">
        <v>1047501</v>
      </c>
      <c r="DO33" s="82">
        <v>1427018</v>
      </c>
      <c r="DP33" s="82">
        <v>1362926</v>
      </c>
      <c r="DQ33" s="82">
        <v>1205847</v>
      </c>
      <c r="DR33" s="82">
        <v>1028690</v>
      </c>
      <c r="DS33" s="82">
        <v>1017639</v>
      </c>
      <c r="DT33" s="82">
        <f>SUM(DH33:DS33)</f>
        <v>15126891</v>
      </c>
      <c r="DU33" s="82">
        <v>1112058</v>
      </c>
      <c r="DV33" s="82">
        <v>1280573</v>
      </c>
      <c r="DW33" s="82">
        <v>1389432</v>
      </c>
      <c r="DX33" s="82">
        <v>1297609.18</v>
      </c>
      <c r="DY33" s="82">
        <v>1443631</v>
      </c>
      <c r="DZ33" s="82">
        <v>1339438</v>
      </c>
      <c r="EA33" s="82">
        <v>1272699</v>
      </c>
      <c r="EB33" s="82">
        <v>1540755</v>
      </c>
      <c r="EC33" s="82">
        <v>1656876</v>
      </c>
      <c r="ED33" s="82">
        <v>1517347</v>
      </c>
      <c r="EE33" s="82">
        <v>1109297</v>
      </c>
      <c r="EF33" s="82">
        <v>1355475</v>
      </c>
      <c r="EG33" s="82">
        <f>SUM(DU33:EF33)</f>
        <v>16315190.18</v>
      </c>
      <c r="EH33" s="82">
        <v>1474494</v>
      </c>
      <c r="EI33" s="82">
        <v>1196781</v>
      </c>
      <c r="EJ33" s="82">
        <v>1435482</v>
      </c>
      <c r="EK33" s="82">
        <v>1439042</v>
      </c>
      <c r="EL33" s="82">
        <v>1460072</v>
      </c>
      <c r="EM33" s="82">
        <v>1403398</v>
      </c>
      <c r="EN33" s="82">
        <v>1469518</v>
      </c>
      <c r="EO33" s="82">
        <v>1646301</v>
      </c>
      <c r="EP33" s="82">
        <v>1388699</v>
      </c>
      <c r="EQ33" s="82">
        <v>1280657</v>
      </c>
      <c r="ER33" s="82">
        <v>1232357</v>
      </c>
      <c r="ES33" s="82">
        <v>1256835</v>
      </c>
      <c r="ET33" s="82">
        <f>SUM(EH33:ES33)</f>
        <v>16683636</v>
      </c>
      <c r="EU33" s="82">
        <v>1018850</v>
      </c>
      <c r="EV33" s="82">
        <v>900157</v>
      </c>
      <c r="EW33" s="82">
        <v>1008841</v>
      </c>
      <c r="EX33" s="82">
        <v>714051</v>
      </c>
      <c r="EY33" s="82">
        <v>1002063</v>
      </c>
      <c r="EZ33" s="82">
        <v>1236063</v>
      </c>
      <c r="FA33" s="82">
        <v>1068792</v>
      </c>
      <c r="FB33" s="82">
        <v>711347</v>
      </c>
      <c r="FC33" s="82">
        <v>1064607</v>
      </c>
      <c r="FD33" s="82">
        <v>1628170</v>
      </c>
      <c r="FE33" s="82">
        <v>1148195</v>
      </c>
      <c r="FF33" s="82">
        <v>1113986</v>
      </c>
      <c r="FG33" s="82">
        <f>SUM(EU33:FF33)</f>
        <v>12615122</v>
      </c>
      <c r="FH33" s="82">
        <v>1273750</v>
      </c>
    </row>
    <row r="34" spans="1:164" ht="15.75" customHeight="1" hidden="1">
      <c r="A34" s="65" t="s">
        <v>46</v>
      </c>
      <c r="B34" s="18">
        <v>4741</v>
      </c>
      <c r="C34" s="70">
        <v>2223</v>
      </c>
      <c r="D34" s="70">
        <v>5797</v>
      </c>
      <c r="E34" s="70">
        <v>6419</v>
      </c>
      <c r="F34" s="70">
        <v>2266</v>
      </c>
      <c r="G34" s="70">
        <v>4784</v>
      </c>
      <c r="H34" s="70">
        <v>5011</v>
      </c>
      <c r="I34" s="70">
        <v>5270</v>
      </c>
      <c r="J34" s="70">
        <v>3487</v>
      </c>
      <c r="K34" s="70">
        <v>5106</v>
      </c>
      <c r="L34" s="71">
        <v>3704</v>
      </c>
      <c r="M34" s="72">
        <v>2463</v>
      </c>
      <c r="N34" s="73">
        <v>1791</v>
      </c>
      <c r="O34" s="72">
        <v>3249</v>
      </c>
      <c r="P34" s="73">
        <v>3013</v>
      </c>
      <c r="Q34" s="93" t="s">
        <v>64</v>
      </c>
      <c r="R34" s="93" t="s">
        <v>64</v>
      </c>
      <c r="S34" s="93" t="s">
        <v>64</v>
      </c>
      <c r="T34" s="92" t="s">
        <v>64</v>
      </c>
      <c r="U34" s="92"/>
      <c r="V34" s="92"/>
      <c r="W34" s="92"/>
      <c r="X34" s="92"/>
      <c r="Y34" s="92"/>
      <c r="Z34" s="95">
        <v>0</v>
      </c>
      <c r="AA34" s="66">
        <v>16974</v>
      </c>
      <c r="AB34" s="67" t="e">
        <v>#DIV/0!</v>
      </c>
      <c r="AC34" s="110">
        <v>0</v>
      </c>
      <c r="AD34" s="110" t="e">
        <v>#DIV/0!</v>
      </c>
      <c r="AE34" s="153" t="e">
        <v>#DIV/0!</v>
      </c>
      <c r="AF34" s="153">
        <v>0</v>
      </c>
      <c r="AG34" s="153"/>
      <c r="AH34" s="153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78">
        <f t="shared" si="8"/>
        <v>0</v>
      </c>
      <c r="BH34" s="95"/>
      <c r="BI34" s="111"/>
      <c r="BJ34" s="66"/>
      <c r="BK34" s="66"/>
      <c r="BL34" s="67"/>
      <c r="BM34" s="67"/>
      <c r="BN34" s="66"/>
      <c r="BO34" s="66"/>
      <c r="BP34" s="66"/>
      <c r="BQ34" s="66"/>
      <c r="BR34" s="66"/>
      <c r="BS34" s="66"/>
      <c r="BT34" s="66">
        <f t="shared" si="9"/>
        <v>0</v>
      </c>
      <c r="BU34" s="66"/>
      <c r="BV34" s="66"/>
      <c r="BW34" s="66"/>
      <c r="BX34" s="66"/>
      <c r="BY34" s="66"/>
      <c r="BZ34" s="110"/>
      <c r="CA34" s="110"/>
      <c r="CB34" s="110"/>
      <c r="CC34" s="110" t="e">
        <f>AVERAGE(CA34:CB34)</f>
        <v>#DIV/0!</v>
      </c>
      <c r="CD34" s="110"/>
      <c r="CE34" s="110"/>
      <c r="CF34" s="110"/>
      <c r="CG34" s="66" t="e">
        <f t="shared" si="7"/>
        <v>#DIV/0!</v>
      </c>
      <c r="CH34" s="67"/>
      <c r="CI34" s="67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67">
        <f t="shared" si="10"/>
        <v>16612</v>
      </c>
      <c r="CU34" s="67" t="e">
        <f>SUM(CG34:CR34)</f>
        <v>#DIV/0!</v>
      </c>
      <c r="CV34" s="67"/>
      <c r="CW34" s="67"/>
      <c r="CX34" s="67"/>
      <c r="CY34" s="67"/>
      <c r="CZ34" s="67"/>
      <c r="DA34" s="67"/>
      <c r="DB34" s="67"/>
      <c r="DC34" s="67"/>
      <c r="DD34" s="112"/>
      <c r="DE34" s="112"/>
      <c r="DF34" s="112"/>
      <c r="DG34" s="67" t="e">
        <f t="shared" si="11"/>
        <v>#DIV/0!</v>
      </c>
      <c r="DH34" s="67" t="e">
        <f>SUM(CT34:DE35)</f>
        <v>#DIV/0!</v>
      </c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82" t="e">
        <f t="shared" si="12"/>
        <v>#DIV/0!</v>
      </c>
      <c r="DU34" s="82"/>
      <c r="DV34" s="82"/>
      <c r="DW34" s="82"/>
      <c r="DX34" s="82"/>
      <c r="DY34" s="112" t="e">
        <f>AVERAGE(DV34:DX34)</f>
        <v>#DIV/0!</v>
      </c>
      <c r="DZ34" s="112"/>
      <c r="EA34" s="112"/>
      <c r="EB34" s="112"/>
      <c r="EC34" s="112"/>
      <c r="ED34" s="112"/>
      <c r="EE34" s="112"/>
      <c r="EF34" s="112"/>
      <c r="EG34" s="82">
        <f t="shared" si="13"/>
        <v>0</v>
      </c>
      <c r="EH34" s="11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112"/>
      <c r="EU34" s="112"/>
      <c r="EV34" s="112"/>
      <c r="EW34" s="112"/>
      <c r="EX34" s="112"/>
      <c r="EY34" s="112"/>
      <c r="EZ34" s="112" t="e">
        <f>AVERAGE(EW34:EY34)</f>
        <v>#DIV/0!</v>
      </c>
      <c r="FA34" s="112"/>
      <c r="FB34" s="112"/>
      <c r="FC34" s="82"/>
      <c r="FD34" s="82"/>
      <c r="FE34" s="82"/>
      <c r="FF34" s="82"/>
      <c r="FG34" s="112"/>
      <c r="FH34" s="112"/>
    </row>
    <row r="35" spans="1:164" ht="15.75">
      <c r="A35" s="65" t="s">
        <v>86</v>
      </c>
      <c r="B35" s="18">
        <v>22239</v>
      </c>
      <c r="C35" s="70">
        <v>52780</v>
      </c>
      <c r="D35" s="70">
        <v>147531</v>
      </c>
      <c r="E35" s="70">
        <v>37644</v>
      </c>
      <c r="F35" s="70">
        <v>32490</v>
      </c>
      <c r="G35" s="70">
        <v>41167</v>
      </c>
      <c r="H35" s="70">
        <v>20191</v>
      </c>
      <c r="I35" s="70">
        <v>28135</v>
      </c>
      <c r="J35" s="70">
        <v>26642</v>
      </c>
      <c r="K35" s="70">
        <v>50225</v>
      </c>
      <c r="L35" s="71">
        <v>29505</v>
      </c>
      <c r="M35" s="72">
        <v>29587</v>
      </c>
      <c r="N35" s="73">
        <v>23984</v>
      </c>
      <c r="O35" s="72">
        <v>22257</v>
      </c>
      <c r="P35" s="73">
        <v>14241</v>
      </c>
      <c r="Q35" s="73">
        <v>12257</v>
      </c>
      <c r="R35" s="73">
        <v>25265</v>
      </c>
      <c r="S35" s="75">
        <v>19192</v>
      </c>
      <c r="T35" s="73">
        <v>19264</v>
      </c>
      <c r="U35" s="73">
        <v>21139</v>
      </c>
      <c r="V35" s="73">
        <v>18799</v>
      </c>
      <c r="W35" s="73">
        <v>41125</v>
      </c>
      <c r="X35" s="73">
        <v>25284</v>
      </c>
      <c r="Y35" s="73">
        <v>16820</v>
      </c>
      <c r="Z35" s="73">
        <v>20070</v>
      </c>
      <c r="AA35" s="66">
        <v>16974</v>
      </c>
      <c r="AB35" s="67">
        <v>32646</v>
      </c>
      <c r="AC35" s="104">
        <v>16612</v>
      </c>
      <c r="AD35" s="104">
        <v>15600</v>
      </c>
      <c r="AE35" s="104">
        <v>13522</v>
      </c>
      <c r="AF35" s="104">
        <v>11354</v>
      </c>
      <c r="AG35" s="104">
        <v>12440</v>
      </c>
      <c r="AH35" s="104">
        <v>9259.333333333334</v>
      </c>
      <c r="AI35" s="67">
        <v>515</v>
      </c>
      <c r="AJ35" s="75">
        <v>1024</v>
      </c>
      <c r="AK35" s="99">
        <v>1151</v>
      </c>
      <c r="AL35" s="105">
        <v>317</v>
      </c>
      <c r="AM35" s="78">
        <v>493</v>
      </c>
      <c r="AN35" s="79">
        <v>1020</v>
      </c>
      <c r="AO35" s="79">
        <v>3710</v>
      </c>
      <c r="AP35" s="79">
        <v>2913</v>
      </c>
      <c r="AQ35" s="79">
        <v>1131</v>
      </c>
      <c r="AR35" s="78">
        <v>812</v>
      </c>
      <c r="AS35" s="67">
        <v>531</v>
      </c>
      <c r="AT35" s="113">
        <v>3203</v>
      </c>
      <c r="AU35" s="67">
        <v>775</v>
      </c>
      <c r="AV35" s="75">
        <v>1351</v>
      </c>
      <c r="AW35" s="75">
        <v>1375</v>
      </c>
      <c r="AX35" s="105">
        <v>1823</v>
      </c>
      <c r="AY35" s="78">
        <v>4018</v>
      </c>
      <c r="AZ35" s="79">
        <v>1216</v>
      </c>
      <c r="BA35" s="79">
        <v>2259</v>
      </c>
      <c r="BB35" s="79">
        <v>1299</v>
      </c>
      <c r="BC35" s="79">
        <v>1771</v>
      </c>
      <c r="BD35" s="79">
        <v>604</v>
      </c>
      <c r="BE35" s="67">
        <v>606</v>
      </c>
      <c r="BF35" s="113">
        <v>2973</v>
      </c>
      <c r="BG35" s="78">
        <f t="shared" si="8"/>
        <v>20070</v>
      </c>
      <c r="BH35" s="67">
        <v>949</v>
      </c>
      <c r="BI35" s="67">
        <v>1141</v>
      </c>
      <c r="BJ35" s="66">
        <v>1205</v>
      </c>
      <c r="BK35" s="66">
        <v>743</v>
      </c>
      <c r="BL35" s="67">
        <v>397</v>
      </c>
      <c r="BM35" s="67">
        <v>1040</v>
      </c>
      <c r="BN35" s="66">
        <v>1705</v>
      </c>
      <c r="BO35" s="66">
        <v>1645</v>
      </c>
      <c r="BP35" s="66">
        <v>1552</v>
      </c>
      <c r="BQ35" s="66">
        <v>2949</v>
      </c>
      <c r="BR35" s="66">
        <v>621</v>
      </c>
      <c r="BS35" s="66">
        <v>3027</v>
      </c>
      <c r="BT35" s="66">
        <f t="shared" si="9"/>
        <v>16974</v>
      </c>
      <c r="BU35" s="66">
        <v>1618</v>
      </c>
      <c r="BV35" s="66">
        <v>1080</v>
      </c>
      <c r="BW35" s="66">
        <f>AVERAGE(BU35:BV35)</f>
        <v>1349</v>
      </c>
      <c r="BX35" s="66">
        <v>867</v>
      </c>
      <c r="BY35" s="104">
        <v>2633</v>
      </c>
      <c r="BZ35" s="104">
        <v>1245</v>
      </c>
      <c r="CA35" s="104">
        <v>1489</v>
      </c>
      <c r="CB35" s="104">
        <v>1408</v>
      </c>
      <c r="CC35" s="114">
        <v>2032</v>
      </c>
      <c r="CD35" s="114">
        <v>1129</v>
      </c>
      <c r="CE35" s="104">
        <v>2475</v>
      </c>
      <c r="CF35" s="104">
        <v>15321</v>
      </c>
      <c r="CG35" s="66">
        <f t="shared" si="7"/>
        <v>32646</v>
      </c>
      <c r="CH35" s="67">
        <v>781</v>
      </c>
      <c r="CI35" s="67">
        <v>1002</v>
      </c>
      <c r="CJ35" s="82">
        <v>939</v>
      </c>
      <c r="CK35" s="82">
        <v>1326</v>
      </c>
      <c r="CL35" s="82">
        <v>1384</v>
      </c>
      <c r="CM35" s="82">
        <v>1974</v>
      </c>
      <c r="CN35" s="82">
        <v>1907</v>
      </c>
      <c r="CO35" s="82">
        <v>2042</v>
      </c>
      <c r="CP35" s="82">
        <v>1174</v>
      </c>
      <c r="CQ35" s="82">
        <v>1740</v>
      </c>
      <c r="CR35" s="82">
        <v>952</v>
      </c>
      <c r="CS35" s="82">
        <v>1391</v>
      </c>
      <c r="CT35" s="67">
        <f>SUM(CH35:CS36)</f>
        <v>16612</v>
      </c>
      <c r="CU35" s="82">
        <v>1075</v>
      </c>
      <c r="CV35" s="82">
        <v>979</v>
      </c>
      <c r="CW35" s="82">
        <v>878</v>
      </c>
      <c r="CX35" s="82">
        <v>1980</v>
      </c>
      <c r="CY35" s="82">
        <v>1391</v>
      </c>
      <c r="CZ35" s="82">
        <v>1366</v>
      </c>
      <c r="DA35" s="82">
        <v>819</v>
      </c>
      <c r="DB35" s="82">
        <v>1501</v>
      </c>
      <c r="DC35" s="82">
        <v>1187</v>
      </c>
      <c r="DD35" s="82">
        <v>1280</v>
      </c>
      <c r="DE35" s="82">
        <v>1232</v>
      </c>
      <c r="DF35" s="82">
        <v>1912</v>
      </c>
      <c r="DG35" s="67">
        <f>SUM(CU35:DF35)</f>
        <v>15600</v>
      </c>
      <c r="DH35" s="67">
        <v>1704</v>
      </c>
      <c r="DI35" s="67">
        <v>561</v>
      </c>
      <c r="DJ35" s="67">
        <v>1390</v>
      </c>
      <c r="DK35" s="82">
        <v>1190</v>
      </c>
      <c r="DL35" s="82">
        <v>1174</v>
      </c>
      <c r="DM35" s="82">
        <v>831</v>
      </c>
      <c r="DN35" s="82">
        <v>831</v>
      </c>
      <c r="DO35" s="82">
        <v>1164</v>
      </c>
      <c r="DP35" s="82">
        <v>870</v>
      </c>
      <c r="DQ35" s="82">
        <v>1359</v>
      </c>
      <c r="DR35" s="82">
        <v>760</v>
      </c>
      <c r="DS35" s="82">
        <v>1688</v>
      </c>
      <c r="DT35" s="82">
        <f>SUM(DH35:DS35)</f>
        <v>13522</v>
      </c>
      <c r="DU35" s="82">
        <v>371</v>
      </c>
      <c r="DV35" s="82">
        <v>482</v>
      </c>
      <c r="DW35" s="82">
        <v>486</v>
      </c>
      <c r="DX35" s="82">
        <v>358</v>
      </c>
      <c r="DY35" s="82">
        <v>260</v>
      </c>
      <c r="DZ35" s="82">
        <v>980</v>
      </c>
      <c r="EA35" s="82">
        <v>1515</v>
      </c>
      <c r="EB35" s="82">
        <v>1073</v>
      </c>
      <c r="EC35" s="82">
        <v>1392</v>
      </c>
      <c r="ED35" s="82">
        <v>353</v>
      </c>
      <c r="EE35" s="82">
        <v>1169</v>
      </c>
      <c r="EF35" s="82">
        <v>2915</v>
      </c>
      <c r="EG35" s="82">
        <f>SUM(DU35:EF35)</f>
        <v>11354</v>
      </c>
      <c r="EH35" s="82">
        <v>1056</v>
      </c>
      <c r="EI35" s="82">
        <v>1108</v>
      </c>
      <c r="EJ35" s="82">
        <v>766</v>
      </c>
      <c r="EK35" s="82">
        <v>621</v>
      </c>
      <c r="EL35" s="82">
        <v>688</v>
      </c>
      <c r="EM35" s="82">
        <v>893</v>
      </c>
      <c r="EN35" s="82">
        <v>1391</v>
      </c>
      <c r="EO35" s="82">
        <v>1181</v>
      </c>
      <c r="EP35" s="82">
        <v>1231</v>
      </c>
      <c r="EQ35" s="82">
        <v>987</v>
      </c>
      <c r="ER35" s="82">
        <v>1431</v>
      </c>
      <c r="ES35" s="82">
        <v>1087</v>
      </c>
      <c r="ET35" s="82">
        <f>SUM(EH35:ES35)</f>
        <v>12440</v>
      </c>
      <c r="EU35" s="82">
        <v>1265</v>
      </c>
      <c r="EV35" s="82">
        <v>987</v>
      </c>
      <c r="EW35" s="82">
        <v>731</v>
      </c>
      <c r="EX35" s="82">
        <v>814</v>
      </c>
      <c r="EY35" s="82">
        <v>477</v>
      </c>
      <c r="EZ35" s="82">
        <v>651</v>
      </c>
      <c r="FA35" s="82">
        <v>327</v>
      </c>
      <c r="FB35" s="82">
        <v>666</v>
      </c>
      <c r="FC35" s="82">
        <v>863</v>
      </c>
      <c r="FD35" s="82">
        <v>486</v>
      </c>
      <c r="FE35" s="82">
        <v>1157</v>
      </c>
      <c r="FF35" s="82">
        <v>835.3333333333334</v>
      </c>
      <c r="FG35" s="82">
        <f>SUM(EU35:FF35)</f>
        <v>9259.333333333334</v>
      </c>
      <c r="FH35" s="82">
        <v>835.3333333333334</v>
      </c>
    </row>
    <row r="36" spans="1:164" ht="15.75" hidden="1">
      <c r="A36" s="65" t="s">
        <v>47</v>
      </c>
      <c r="B36" s="18">
        <v>17948</v>
      </c>
      <c r="C36" s="70">
        <v>31423</v>
      </c>
      <c r="D36" s="70">
        <v>31436</v>
      </c>
      <c r="E36" s="70">
        <v>40329</v>
      </c>
      <c r="F36" s="70">
        <v>28712</v>
      </c>
      <c r="G36" s="70">
        <v>31102</v>
      </c>
      <c r="H36" s="70">
        <v>27406</v>
      </c>
      <c r="I36" s="70">
        <v>42045</v>
      </c>
      <c r="J36" s="70">
        <v>24870</v>
      </c>
      <c r="K36" s="70">
        <v>13374</v>
      </c>
      <c r="L36" s="71">
        <v>11544</v>
      </c>
      <c r="M36" s="72">
        <v>256</v>
      </c>
      <c r="N36" s="93" t="s">
        <v>64</v>
      </c>
      <c r="O36" s="72">
        <v>3662</v>
      </c>
      <c r="P36" s="73">
        <v>13276</v>
      </c>
      <c r="Q36" s="73">
        <v>12074</v>
      </c>
      <c r="R36" s="73">
        <v>12768</v>
      </c>
      <c r="S36" s="75">
        <v>11670</v>
      </c>
      <c r="T36" s="92" t="s">
        <v>64</v>
      </c>
      <c r="U36" s="92"/>
      <c r="V36" s="92"/>
      <c r="W36" s="92"/>
      <c r="X36" s="92"/>
      <c r="Y36" s="92"/>
      <c r="Z36" s="95"/>
      <c r="AA36" s="66"/>
      <c r="AB36" s="67"/>
      <c r="AC36" s="66">
        <v>0</v>
      </c>
      <c r="AD36" s="66">
        <v>592829</v>
      </c>
      <c r="AE36" s="13">
        <v>592829</v>
      </c>
      <c r="AF36" s="13">
        <v>0</v>
      </c>
      <c r="AG36" s="13"/>
      <c r="AH36" s="13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78"/>
      <c r="BH36" s="95"/>
      <c r="BI36" s="92"/>
      <c r="BJ36" s="66"/>
      <c r="BK36" s="66"/>
      <c r="BL36" s="67"/>
      <c r="BM36" s="67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>
        <f t="shared" si="7"/>
        <v>0</v>
      </c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>
        <f t="shared" si="10"/>
        <v>0</v>
      </c>
      <c r="CU36" s="67">
        <f>SUM(CG36:CR36)</f>
        <v>0</v>
      </c>
      <c r="CV36" s="67"/>
      <c r="CW36" s="67"/>
      <c r="CX36" s="112"/>
      <c r="CY36" s="112"/>
      <c r="CZ36" s="112"/>
      <c r="DA36" s="112"/>
      <c r="DB36" s="112"/>
      <c r="DC36" s="112"/>
      <c r="DD36" s="112"/>
      <c r="DE36" s="112"/>
      <c r="DF36" s="112"/>
      <c r="DG36" s="67">
        <f t="shared" si="11"/>
        <v>592829</v>
      </c>
      <c r="DH36" s="67">
        <f>SUM(CT36:DE37)</f>
        <v>592829</v>
      </c>
      <c r="DI36" s="67"/>
      <c r="DJ36" s="67"/>
      <c r="DK36" s="67"/>
      <c r="DL36" s="67"/>
      <c r="DM36" s="67"/>
      <c r="DN36" s="67"/>
      <c r="DO36" s="67"/>
      <c r="DP36" s="112"/>
      <c r="DQ36" s="112"/>
      <c r="DR36" s="112"/>
      <c r="DS36" s="112"/>
      <c r="DT36" s="82">
        <f t="shared" si="12"/>
        <v>592829</v>
      </c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>
        <f t="shared" si="13"/>
        <v>0</v>
      </c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112"/>
      <c r="FA36" s="112"/>
      <c r="FB36" s="112"/>
      <c r="FC36" s="82"/>
      <c r="FD36" s="82"/>
      <c r="FE36" s="82"/>
      <c r="FF36" s="82"/>
      <c r="FG36" s="82"/>
      <c r="FH36" s="82"/>
    </row>
    <row r="37" spans="1:164" ht="15.75" hidden="1">
      <c r="A37" s="65" t="s">
        <v>48</v>
      </c>
      <c r="B37" s="18">
        <v>84.2</v>
      </c>
      <c r="C37" s="115">
        <v>132.2</v>
      </c>
      <c r="D37" s="115">
        <v>150.1</v>
      </c>
      <c r="E37" s="115">
        <v>99.8</v>
      </c>
      <c r="F37" s="115">
        <v>139.4</v>
      </c>
      <c r="G37" s="115">
        <v>203.4</v>
      </c>
      <c r="H37" s="115">
        <v>201.3</v>
      </c>
      <c r="I37" s="115">
        <v>248.6</v>
      </c>
      <c r="J37" s="115">
        <v>284.3</v>
      </c>
      <c r="K37" s="115">
        <v>272.3</v>
      </c>
      <c r="L37" s="116">
        <v>243.2</v>
      </c>
      <c r="M37" s="72">
        <v>294.2</v>
      </c>
      <c r="N37" s="73">
        <v>327.869</v>
      </c>
      <c r="O37" s="72">
        <v>475.1</v>
      </c>
      <c r="P37" s="73">
        <v>594.551841</v>
      </c>
      <c r="Q37" s="73">
        <v>731</v>
      </c>
      <c r="R37" s="73">
        <v>950</v>
      </c>
      <c r="S37" s="75">
        <v>590</v>
      </c>
      <c r="T37" s="73">
        <v>855</v>
      </c>
      <c r="U37" s="73">
        <v>677</v>
      </c>
      <c r="V37" s="73">
        <v>494</v>
      </c>
      <c r="W37" s="95" t="s">
        <v>64</v>
      </c>
      <c r="X37" s="95" t="s">
        <v>64</v>
      </c>
      <c r="Y37" s="101">
        <v>142</v>
      </c>
      <c r="Z37" s="101" t="s">
        <v>64</v>
      </c>
      <c r="AA37" s="98" t="s">
        <v>64</v>
      </c>
      <c r="AB37" s="67" t="s">
        <v>64</v>
      </c>
      <c r="AC37" s="67">
        <v>0</v>
      </c>
      <c r="AD37" s="67">
        <v>1493693.5</v>
      </c>
      <c r="AE37" s="87">
        <v>1493693.5</v>
      </c>
      <c r="AF37" s="87">
        <v>0</v>
      </c>
      <c r="AG37" s="87"/>
      <c r="AH37" s="87"/>
      <c r="AI37" s="101">
        <v>17.04018629</v>
      </c>
      <c r="AJ37" s="101">
        <v>32.583416</v>
      </c>
      <c r="AK37" s="101">
        <v>6.641171</v>
      </c>
      <c r="AL37" s="101">
        <v>7.686401</v>
      </c>
      <c r="AM37" s="101">
        <v>16.738602</v>
      </c>
      <c r="AN37" s="101">
        <v>4.763388</v>
      </c>
      <c r="AO37" s="101">
        <v>21.34944</v>
      </c>
      <c r="AP37" s="101">
        <v>12.101248</v>
      </c>
      <c r="AQ37" s="101">
        <v>5.726273</v>
      </c>
      <c r="AR37" s="101">
        <v>5.726273</v>
      </c>
      <c r="AS37" s="101">
        <v>5.726273</v>
      </c>
      <c r="AT37" s="101">
        <v>6</v>
      </c>
      <c r="AU37" s="94" t="s">
        <v>64</v>
      </c>
      <c r="AV37" s="94" t="s">
        <v>64</v>
      </c>
      <c r="AW37" s="94" t="s">
        <v>64</v>
      </c>
      <c r="AX37" s="94" t="s">
        <v>64</v>
      </c>
      <c r="AY37" s="94" t="s">
        <v>64</v>
      </c>
      <c r="AZ37" s="93" t="s">
        <v>64</v>
      </c>
      <c r="BA37" s="94" t="s">
        <v>64</v>
      </c>
      <c r="BB37" s="94" t="s">
        <v>64</v>
      </c>
      <c r="BC37" s="94" t="s">
        <v>64</v>
      </c>
      <c r="BD37" s="94" t="s">
        <v>64</v>
      </c>
      <c r="BE37" s="94" t="s">
        <v>64</v>
      </c>
      <c r="BF37" s="94" t="s">
        <v>64</v>
      </c>
      <c r="BG37" s="94" t="s">
        <v>64</v>
      </c>
      <c r="BH37" s="93" t="s">
        <v>64</v>
      </c>
      <c r="BI37" s="93" t="s">
        <v>64</v>
      </c>
      <c r="BJ37" s="66" t="s">
        <v>64</v>
      </c>
      <c r="BK37" s="66" t="s">
        <v>64</v>
      </c>
      <c r="BL37" s="67" t="s">
        <v>64</v>
      </c>
      <c r="BM37" s="67" t="s">
        <v>64</v>
      </c>
      <c r="BN37" s="67" t="s">
        <v>64</v>
      </c>
      <c r="BO37" s="67" t="s">
        <v>64</v>
      </c>
      <c r="BP37" s="67" t="s">
        <v>64</v>
      </c>
      <c r="BQ37" s="67" t="s">
        <v>64</v>
      </c>
      <c r="BR37" s="67" t="s">
        <v>64</v>
      </c>
      <c r="BS37" s="67" t="s">
        <v>64</v>
      </c>
      <c r="BT37" s="67" t="s">
        <v>64</v>
      </c>
      <c r="BU37" s="67" t="s">
        <v>64</v>
      </c>
      <c r="BV37" s="67" t="s">
        <v>64</v>
      </c>
      <c r="BW37" s="67" t="s">
        <v>64</v>
      </c>
      <c r="BX37" s="67" t="s">
        <v>64</v>
      </c>
      <c r="BY37" s="67" t="s">
        <v>64</v>
      </c>
      <c r="BZ37" s="67" t="s">
        <v>64</v>
      </c>
      <c r="CA37" s="67" t="s">
        <v>64</v>
      </c>
      <c r="CB37" s="67" t="s">
        <v>64</v>
      </c>
      <c r="CC37" s="67" t="s">
        <v>64</v>
      </c>
      <c r="CD37" s="67" t="s">
        <v>64</v>
      </c>
      <c r="CE37" s="67" t="s">
        <v>64</v>
      </c>
      <c r="CF37" s="67" t="s">
        <v>64</v>
      </c>
      <c r="CG37" s="66">
        <f t="shared" si="7"/>
        <v>0</v>
      </c>
      <c r="CH37" s="67" t="s">
        <v>64</v>
      </c>
      <c r="CI37" s="67" t="s">
        <v>64</v>
      </c>
      <c r="CJ37" s="67" t="s">
        <v>64</v>
      </c>
      <c r="CK37" s="67" t="s">
        <v>64</v>
      </c>
      <c r="CL37" s="67" t="s">
        <v>64</v>
      </c>
      <c r="CM37" s="67"/>
      <c r="CN37" s="67"/>
      <c r="CO37" s="67"/>
      <c r="CP37" s="67"/>
      <c r="CQ37" s="67"/>
      <c r="CR37" s="67"/>
      <c r="CS37" s="67"/>
      <c r="CT37" s="67">
        <f t="shared" si="10"/>
        <v>592829</v>
      </c>
      <c r="CU37" s="67">
        <f>SUM(CG37:CR37)</f>
        <v>0</v>
      </c>
      <c r="CV37" s="67"/>
      <c r="CW37" s="67"/>
      <c r="CX37" s="112"/>
      <c r="CY37" s="112"/>
      <c r="CZ37" s="112"/>
      <c r="DA37" s="112"/>
      <c r="DB37" s="112"/>
      <c r="DC37" s="112"/>
      <c r="DD37" s="112"/>
      <c r="DE37" s="112"/>
      <c r="DF37" s="112"/>
      <c r="DG37" s="67">
        <f t="shared" si="11"/>
        <v>1493693.5</v>
      </c>
      <c r="DH37" s="67">
        <f>SUM(CT37:DE38)</f>
        <v>1493693.5</v>
      </c>
      <c r="DI37" s="67"/>
      <c r="DJ37" s="67"/>
      <c r="DK37" s="67"/>
      <c r="DL37" s="67"/>
      <c r="DM37" s="67"/>
      <c r="DN37" s="67"/>
      <c r="DO37" s="67"/>
      <c r="DP37" s="112"/>
      <c r="DQ37" s="112"/>
      <c r="DR37" s="112"/>
      <c r="DS37" s="112"/>
      <c r="DT37" s="82">
        <f t="shared" si="12"/>
        <v>1493693.5</v>
      </c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>
        <f t="shared" si="13"/>
        <v>0</v>
      </c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112"/>
      <c r="FA37" s="112"/>
      <c r="FB37" s="112"/>
      <c r="FC37" s="82"/>
      <c r="FD37" s="82"/>
      <c r="FE37" s="82"/>
      <c r="FF37" s="82"/>
      <c r="FG37" s="82"/>
      <c r="FH37" s="82"/>
    </row>
    <row r="38" spans="1:164" ht="15.75">
      <c r="A38" s="65" t="s">
        <v>67</v>
      </c>
      <c r="B38" s="18">
        <v>235765</v>
      </c>
      <c r="C38" s="70">
        <v>192696</v>
      </c>
      <c r="D38" s="70">
        <v>122656</v>
      </c>
      <c r="E38" s="70">
        <v>78023</v>
      </c>
      <c r="F38" s="70">
        <v>154362</v>
      </c>
      <c r="G38" s="70">
        <v>38232</v>
      </c>
      <c r="H38" s="70">
        <v>84391</v>
      </c>
      <c r="I38" s="70">
        <v>22021</v>
      </c>
      <c r="J38" s="91" t="s">
        <v>33</v>
      </c>
      <c r="K38" s="70">
        <v>48904</v>
      </c>
      <c r="L38" s="71">
        <v>62980</v>
      </c>
      <c r="M38" s="72">
        <v>49093</v>
      </c>
      <c r="N38" s="73">
        <v>21271</v>
      </c>
      <c r="O38" s="72">
        <v>78121</v>
      </c>
      <c r="P38" s="73">
        <v>45483</v>
      </c>
      <c r="Q38" s="73">
        <v>106502</v>
      </c>
      <c r="R38" s="73">
        <v>147429</v>
      </c>
      <c r="S38" s="75">
        <v>221201</v>
      </c>
      <c r="T38" s="99">
        <v>180154</v>
      </c>
      <c r="U38" s="99">
        <v>233007</v>
      </c>
      <c r="V38" s="99">
        <v>112018</v>
      </c>
      <c r="W38" s="99">
        <v>234892</v>
      </c>
      <c r="X38" s="99">
        <v>184348</v>
      </c>
      <c r="Y38" s="99">
        <v>367649</v>
      </c>
      <c r="Z38" s="99">
        <v>361107</v>
      </c>
      <c r="AA38" s="66">
        <v>393235</v>
      </c>
      <c r="AB38" s="67">
        <v>322447</v>
      </c>
      <c r="AC38" s="66">
        <v>592829</v>
      </c>
      <c r="AD38" s="66">
        <v>322915.5</v>
      </c>
      <c r="AE38" s="66">
        <v>877060</v>
      </c>
      <c r="AF38" s="66">
        <v>586045</v>
      </c>
      <c r="AG38" s="66">
        <v>413834</v>
      </c>
      <c r="AH38" s="66">
        <v>152691</v>
      </c>
      <c r="AI38" s="83">
        <v>20110</v>
      </c>
      <c r="AJ38" s="101">
        <v>29097</v>
      </c>
      <c r="AK38" s="78">
        <v>24287</v>
      </c>
      <c r="AL38" s="78">
        <v>26250</v>
      </c>
      <c r="AM38" s="86">
        <v>15127</v>
      </c>
      <c r="AN38" s="80">
        <v>24501</v>
      </c>
      <c r="AO38" s="79">
        <v>21020</v>
      </c>
      <c r="AP38" s="101">
        <v>23576</v>
      </c>
      <c r="AQ38" s="79">
        <v>32979</v>
      </c>
      <c r="AR38" s="99">
        <v>50414</v>
      </c>
      <c r="AS38" s="67">
        <v>54062</v>
      </c>
      <c r="AT38" s="67">
        <v>46226</v>
      </c>
      <c r="AU38" s="83">
        <v>41128</v>
      </c>
      <c r="AV38" s="101">
        <v>35273</v>
      </c>
      <c r="AW38" s="101">
        <v>38457</v>
      </c>
      <c r="AX38" s="78">
        <v>32499</v>
      </c>
      <c r="AY38" s="86">
        <v>26195</v>
      </c>
      <c r="AZ38" s="80">
        <v>28601</v>
      </c>
      <c r="BA38" s="79">
        <v>28601</v>
      </c>
      <c r="BB38" s="101">
        <v>23586</v>
      </c>
      <c r="BC38" s="79">
        <v>23938</v>
      </c>
      <c r="BD38" s="99">
        <v>33241</v>
      </c>
      <c r="BE38" s="67">
        <v>26822</v>
      </c>
      <c r="BF38" s="67">
        <v>22766</v>
      </c>
      <c r="BG38" s="78">
        <f t="shared" si="8"/>
        <v>361107</v>
      </c>
      <c r="BH38" s="83">
        <v>21386</v>
      </c>
      <c r="BI38" s="83">
        <v>36673</v>
      </c>
      <c r="BJ38" s="66">
        <v>40197</v>
      </c>
      <c r="BK38" s="66">
        <v>23746</v>
      </c>
      <c r="BL38" s="67">
        <v>37807</v>
      </c>
      <c r="BM38" s="67">
        <v>54360</v>
      </c>
      <c r="BN38" s="66">
        <v>39815</v>
      </c>
      <c r="BO38" s="66">
        <v>40338</v>
      </c>
      <c r="BP38" s="66">
        <v>48007</v>
      </c>
      <c r="BQ38" s="66">
        <v>26085</v>
      </c>
      <c r="BR38" s="66">
        <v>13278</v>
      </c>
      <c r="BS38" s="66">
        <v>11543</v>
      </c>
      <c r="BT38" s="66">
        <f t="shared" si="9"/>
        <v>393235</v>
      </c>
      <c r="BU38" s="66">
        <v>13056</v>
      </c>
      <c r="BV38" s="66">
        <v>10102</v>
      </c>
      <c r="BW38" s="66">
        <v>10102</v>
      </c>
      <c r="BX38" s="66">
        <v>17287</v>
      </c>
      <c r="BY38" s="66">
        <v>45396</v>
      </c>
      <c r="BZ38" s="66">
        <v>14948</v>
      </c>
      <c r="CA38" s="66">
        <v>28039</v>
      </c>
      <c r="CB38" s="66">
        <v>16136</v>
      </c>
      <c r="CC38" s="66">
        <v>40630</v>
      </c>
      <c r="CD38" s="66">
        <v>53057</v>
      </c>
      <c r="CE38" s="66">
        <v>40630</v>
      </c>
      <c r="CF38" s="66">
        <v>33064</v>
      </c>
      <c r="CG38" s="66">
        <f t="shared" si="7"/>
        <v>322447</v>
      </c>
      <c r="CH38" s="67">
        <v>48826</v>
      </c>
      <c r="CI38" s="67">
        <v>42798</v>
      </c>
      <c r="CJ38" s="67">
        <v>59523</v>
      </c>
      <c r="CK38" s="67">
        <v>72994</v>
      </c>
      <c r="CL38" s="82">
        <v>77874</v>
      </c>
      <c r="CM38" s="82">
        <v>74755</v>
      </c>
      <c r="CN38" s="82">
        <v>48506</v>
      </c>
      <c r="CO38" s="82">
        <v>33388</v>
      </c>
      <c r="CP38" s="82">
        <v>46654</v>
      </c>
      <c r="CQ38" s="82">
        <v>35657</v>
      </c>
      <c r="CR38" s="82">
        <v>21405</v>
      </c>
      <c r="CS38" s="82">
        <v>30449</v>
      </c>
      <c r="CT38" s="67">
        <f>SUM(CH38:CS39)</f>
        <v>592829</v>
      </c>
      <c r="CU38" s="67">
        <v>30782</v>
      </c>
      <c r="CV38" s="67">
        <v>30241</v>
      </c>
      <c r="CW38" s="67">
        <v>29250</v>
      </c>
      <c r="CX38" s="82">
        <v>38394</v>
      </c>
      <c r="CY38" s="82">
        <v>43585</v>
      </c>
      <c r="CZ38" s="82">
        <v>39463</v>
      </c>
      <c r="DA38" s="82">
        <v>23016</v>
      </c>
      <c r="DB38" s="82">
        <v>1888</v>
      </c>
      <c r="DC38" s="82">
        <v>22927</v>
      </c>
      <c r="DD38" s="82">
        <v>24684</v>
      </c>
      <c r="DE38" s="82">
        <v>23805.5</v>
      </c>
      <c r="DF38" s="82">
        <v>14880</v>
      </c>
      <c r="DG38" s="67">
        <f>SUM(CU38:DF38)</f>
        <v>322915.5</v>
      </c>
      <c r="DH38" s="82">
        <v>44786</v>
      </c>
      <c r="DI38" s="82">
        <v>39960</v>
      </c>
      <c r="DJ38" s="82">
        <v>48111</v>
      </c>
      <c r="DK38" s="82">
        <v>114029</v>
      </c>
      <c r="DL38" s="82">
        <v>101552</v>
      </c>
      <c r="DM38" s="82">
        <v>116128</v>
      </c>
      <c r="DN38" s="82">
        <v>98477</v>
      </c>
      <c r="DO38" s="82">
        <v>102549</v>
      </c>
      <c r="DP38" s="82">
        <v>99287</v>
      </c>
      <c r="DQ38" s="82">
        <v>37651</v>
      </c>
      <c r="DR38" s="82">
        <v>53853</v>
      </c>
      <c r="DS38" s="82">
        <v>20677</v>
      </c>
      <c r="DT38" s="82">
        <f>SUM(DH38:DS38)</f>
        <v>877060</v>
      </c>
      <c r="DU38" s="82">
        <v>55817</v>
      </c>
      <c r="DV38" s="82">
        <v>70559</v>
      </c>
      <c r="DW38" s="82">
        <v>94262</v>
      </c>
      <c r="DX38" s="82">
        <v>69984</v>
      </c>
      <c r="DY38" s="82">
        <v>41204</v>
      </c>
      <c r="DZ38" s="82">
        <v>41204</v>
      </c>
      <c r="EA38" s="82">
        <v>49172</v>
      </c>
      <c r="EB38" s="82">
        <v>37877</v>
      </c>
      <c r="EC38" s="82">
        <v>41513</v>
      </c>
      <c r="ED38" s="82">
        <v>11577</v>
      </c>
      <c r="EE38" s="82">
        <v>46351</v>
      </c>
      <c r="EF38" s="82">
        <v>26525</v>
      </c>
      <c r="EG38" s="82">
        <f>SUM(DU38:EF38)</f>
        <v>586045</v>
      </c>
      <c r="EH38" s="82">
        <v>42871</v>
      </c>
      <c r="EI38" s="82">
        <v>53996</v>
      </c>
      <c r="EJ38" s="82">
        <v>48951</v>
      </c>
      <c r="EK38" s="82">
        <v>20491</v>
      </c>
      <c r="EL38" s="82">
        <v>19209</v>
      </c>
      <c r="EM38" s="82">
        <v>68763</v>
      </c>
      <c r="EN38" s="82">
        <v>41058</v>
      </c>
      <c r="EO38" s="82">
        <v>41058</v>
      </c>
      <c r="EP38" s="82">
        <v>18948</v>
      </c>
      <c r="EQ38" s="82">
        <v>8681</v>
      </c>
      <c r="ER38" s="82">
        <v>19085</v>
      </c>
      <c r="ES38" s="82">
        <v>30723</v>
      </c>
      <c r="ET38" s="82">
        <f>SUM(EH38:ES38)</f>
        <v>413834</v>
      </c>
      <c r="EU38" s="82">
        <v>7117</v>
      </c>
      <c r="EV38" s="82">
        <v>3680</v>
      </c>
      <c r="EW38" s="82">
        <v>5162</v>
      </c>
      <c r="EX38" s="82">
        <v>18443</v>
      </c>
      <c r="EY38" s="82">
        <v>13426</v>
      </c>
      <c r="EZ38" s="82">
        <v>0</v>
      </c>
      <c r="FA38" s="82">
        <v>8721</v>
      </c>
      <c r="FB38" s="82">
        <v>13316</v>
      </c>
      <c r="FC38" s="82">
        <v>25627</v>
      </c>
      <c r="FD38" s="82">
        <v>25467</v>
      </c>
      <c r="FE38" s="82">
        <v>5643</v>
      </c>
      <c r="FF38" s="82">
        <v>26089</v>
      </c>
      <c r="FG38" s="82">
        <f>SUM(EU38:FF38)</f>
        <v>152691</v>
      </c>
      <c r="FH38" s="82">
        <v>7527</v>
      </c>
    </row>
    <row r="39" spans="1:164" ht="15.75" hidden="1">
      <c r="A39" s="4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71"/>
      <c r="M39" s="72"/>
      <c r="N39" s="73"/>
      <c r="O39" s="72"/>
      <c r="P39" s="73"/>
      <c r="Q39" s="73"/>
      <c r="R39" s="73"/>
      <c r="S39" s="75"/>
      <c r="T39" s="75"/>
      <c r="U39" s="75"/>
      <c r="V39" s="75"/>
      <c r="W39" s="75"/>
      <c r="X39" s="75"/>
      <c r="Y39" s="73"/>
      <c r="Z39" s="73"/>
      <c r="AA39" s="66"/>
      <c r="AB39" s="67"/>
      <c r="AC39" s="67"/>
      <c r="AD39" s="67"/>
      <c r="AE39" s="67"/>
      <c r="AF39" s="67"/>
      <c r="AG39" s="67"/>
      <c r="AH39" s="67"/>
      <c r="AI39" s="117"/>
      <c r="AJ39" s="87"/>
      <c r="AK39" s="67"/>
      <c r="AL39" s="67"/>
      <c r="AM39" s="78"/>
      <c r="AN39" s="67"/>
      <c r="AO39" s="67"/>
      <c r="AP39" s="79"/>
      <c r="AQ39" s="79"/>
      <c r="AR39" s="78"/>
      <c r="AS39" s="67"/>
      <c r="AT39" s="67"/>
      <c r="AU39" s="117"/>
      <c r="AV39" s="87"/>
      <c r="AW39" s="67"/>
      <c r="AX39" s="67"/>
      <c r="AY39" s="78"/>
      <c r="AZ39" s="67"/>
      <c r="BA39" s="67"/>
      <c r="BB39" s="79"/>
      <c r="BC39" s="79"/>
      <c r="BD39" s="78"/>
      <c r="BE39" s="67"/>
      <c r="BF39" s="67"/>
      <c r="BG39" s="78"/>
      <c r="BH39" s="117"/>
      <c r="BI39" s="117"/>
      <c r="BJ39" s="117"/>
      <c r="BK39" s="67"/>
      <c r="BL39" s="67"/>
      <c r="BM39" s="118"/>
      <c r="BN39" s="118"/>
      <c r="BO39" s="119"/>
      <c r="BP39" s="79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82"/>
      <c r="ES39" s="82"/>
      <c r="ET39" s="67"/>
      <c r="EU39" s="67"/>
      <c r="EV39" s="67"/>
      <c r="EW39" s="67"/>
      <c r="EX39" s="67"/>
      <c r="EY39" s="67"/>
      <c r="EZ39" s="67"/>
      <c r="FA39" s="67"/>
      <c r="FB39" s="67"/>
      <c r="FC39" s="82"/>
      <c r="FD39" s="82"/>
      <c r="FE39" s="82"/>
      <c r="FF39" s="82"/>
      <c r="FG39" s="67"/>
      <c r="FH39" s="67"/>
    </row>
    <row r="40" spans="1:164" ht="15.75" hidden="1">
      <c r="A40" s="65" t="s">
        <v>49</v>
      </c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71"/>
      <c r="M40" s="72"/>
      <c r="N40" s="73"/>
      <c r="O40" s="72"/>
      <c r="P40" s="73"/>
      <c r="Q40" s="73"/>
      <c r="R40" s="73"/>
      <c r="S40" s="75"/>
      <c r="T40" s="75"/>
      <c r="U40" s="75"/>
      <c r="V40" s="75"/>
      <c r="W40" s="75"/>
      <c r="X40" s="75"/>
      <c r="Y40" s="73"/>
      <c r="Z40" s="73"/>
      <c r="AA40" s="66"/>
      <c r="AB40" s="67"/>
      <c r="AC40" s="67"/>
      <c r="AD40" s="67"/>
      <c r="AE40" s="67"/>
      <c r="AF40" s="67"/>
      <c r="AG40" s="67"/>
      <c r="AH40" s="67"/>
      <c r="AI40" s="117"/>
      <c r="AJ40" s="87"/>
      <c r="AK40" s="67"/>
      <c r="AL40" s="67"/>
      <c r="AM40" s="78"/>
      <c r="AN40" s="67"/>
      <c r="AO40" s="67"/>
      <c r="AP40" s="67"/>
      <c r="AQ40" s="67"/>
      <c r="AR40" s="78"/>
      <c r="AS40" s="67"/>
      <c r="AT40" s="67"/>
      <c r="AU40" s="117"/>
      <c r="AV40" s="87"/>
      <c r="AW40" s="67"/>
      <c r="AX40" s="67"/>
      <c r="AY40" s="78"/>
      <c r="AZ40" s="67"/>
      <c r="BA40" s="67"/>
      <c r="BB40" s="67"/>
      <c r="BC40" s="67"/>
      <c r="BD40" s="78"/>
      <c r="BE40" s="67"/>
      <c r="BF40" s="67"/>
      <c r="BG40" s="78"/>
      <c r="BH40" s="117"/>
      <c r="BI40" s="117"/>
      <c r="BJ40" s="117"/>
      <c r="BK40" s="67"/>
      <c r="BL40" s="67"/>
      <c r="BM40" s="118"/>
      <c r="BN40" s="118"/>
      <c r="BO40" s="8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82"/>
      <c r="ES40" s="82"/>
      <c r="ET40" s="67"/>
      <c r="EU40" s="67"/>
      <c r="EV40" s="67"/>
      <c r="EW40" s="67"/>
      <c r="EX40" s="67"/>
      <c r="EY40" s="67"/>
      <c r="EZ40" s="67"/>
      <c r="FA40" s="67"/>
      <c r="FB40" s="67"/>
      <c r="FC40" s="82"/>
      <c r="FD40" s="82"/>
      <c r="FE40" s="82"/>
      <c r="FF40" s="82"/>
      <c r="FG40" s="67"/>
      <c r="FH40" s="67"/>
    </row>
    <row r="41" spans="1:164" ht="15.75" hidden="1">
      <c r="A41" s="65" t="s">
        <v>50</v>
      </c>
      <c r="B41" s="15"/>
      <c r="C41" s="11"/>
      <c r="D41" s="11"/>
      <c r="E41" s="11"/>
      <c r="F41" s="11"/>
      <c r="G41" s="11"/>
      <c r="H41" s="11"/>
      <c r="I41" s="11"/>
      <c r="J41" s="11"/>
      <c r="K41" s="11"/>
      <c r="L41" s="71"/>
      <c r="M41" s="72"/>
      <c r="N41" s="73"/>
      <c r="O41" s="72"/>
      <c r="P41" s="73"/>
      <c r="Q41" s="73"/>
      <c r="R41" s="73"/>
      <c r="S41" s="75"/>
      <c r="T41" s="75"/>
      <c r="U41" s="75"/>
      <c r="V41" s="75"/>
      <c r="W41" s="75"/>
      <c r="X41" s="75"/>
      <c r="Y41" s="120"/>
      <c r="Z41" s="120"/>
      <c r="AA41" s="66"/>
      <c r="AB41" s="67"/>
      <c r="AC41" s="67"/>
      <c r="AD41" s="67"/>
      <c r="AE41" s="67"/>
      <c r="AF41" s="67"/>
      <c r="AG41" s="67"/>
      <c r="AH41" s="67"/>
      <c r="AI41" s="117"/>
      <c r="AJ41" s="87"/>
      <c r="AK41" s="67"/>
      <c r="AL41" s="67"/>
      <c r="AM41" s="78"/>
      <c r="AN41" s="67"/>
      <c r="AO41" s="67"/>
      <c r="AP41" s="67"/>
      <c r="AQ41" s="67"/>
      <c r="AR41" s="78"/>
      <c r="AS41" s="67"/>
      <c r="AT41" s="67"/>
      <c r="AU41" s="117"/>
      <c r="AV41" s="87"/>
      <c r="AW41" s="67"/>
      <c r="AX41" s="67"/>
      <c r="AY41" s="78"/>
      <c r="AZ41" s="67"/>
      <c r="BA41" s="67"/>
      <c r="BB41" s="67"/>
      <c r="BC41" s="67"/>
      <c r="BD41" s="78"/>
      <c r="BE41" s="67"/>
      <c r="BF41" s="67"/>
      <c r="BG41" s="78"/>
      <c r="BH41" s="117"/>
      <c r="BI41" s="117"/>
      <c r="BJ41" s="117"/>
      <c r="BK41" s="67"/>
      <c r="BL41" s="67"/>
      <c r="BM41" s="118"/>
      <c r="BN41" s="118"/>
      <c r="BO41" s="8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82"/>
      <c r="ES41" s="82"/>
      <c r="ET41" s="67"/>
      <c r="EU41" s="67"/>
      <c r="EV41" s="67"/>
      <c r="EW41" s="67"/>
      <c r="EX41" s="67"/>
      <c r="EY41" s="67"/>
      <c r="EZ41" s="67"/>
      <c r="FA41" s="67"/>
      <c r="FB41" s="67"/>
      <c r="FC41" s="82"/>
      <c r="FD41" s="82"/>
      <c r="FE41" s="82"/>
      <c r="FF41" s="82"/>
      <c r="FG41" s="67"/>
      <c r="FH41" s="67"/>
    </row>
    <row r="42" spans="1:164" ht="15.75" hidden="1">
      <c r="A42" s="4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71"/>
      <c r="M42" s="72"/>
      <c r="N42" s="73"/>
      <c r="O42" s="72"/>
      <c r="P42" s="73"/>
      <c r="Q42" s="73"/>
      <c r="R42" s="73"/>
      <c r="S42" s="75"/>
      <c r="T42" s="75"/>
      <c r="U42" s="75"/>
      <c r="V42" s="75"/>
      <c r="W42" s="75"/>
      <c r="X42" s="75"/>
      <c r="Y42" s="73"/>
      <c r="Z42" s="73"/>
      <c r="AA42" s="66"/>
      <c r="AB42" s="67"/>
      <c r="AC42" s="67"/>
      <c r="AD42" s="67"/>
      <c r="AE42" s="67"/>
      <c r="AF42" s="67"/>
      <c r="AG42" s="67"/>
      <c r="AH42" s="67"/>
      <c r="AI42" s="117"/>
      <c r="AJ42" s="87"/>
      <c r="AK42" s="67"/>
      <c r="AL42" s="67"/>
      <c r="AM42" s="78"/>
      <c r="AN42" s="67"/>
      <c r="AO42" s="67"/>
      <c r="AP42" s="67"/>
      <c r="AQ42" s="67"/>
      <c r="AR42" s="78"/>
      <c r="AS42" s="67"/>
      <c r="AT42" s="67"/>
      <c r="AU42" s="117"/>
      <c r="AV42" s="87"/>
      <c r="AW42" s="67"/>
      <c r="AX42" s="67"/>
      <c r="AY42" s="78"/>
      <c r="AZ42" s="67"/>
      <c r="BA42" s="67"/>
      <c r="BB42" s="67"/>
      <c r="BC42" s="67"/>
      <c r="BD42" s="78"/>
      <c r="BE42" s="67"/>
      <c r="BF42" s="67"/>
      <c r="BG42" s="78"/>
      <c r="BH42" s="117"/>
      <c r="BI42" s="117"/>
      <c r="BJ42" s="117"/>
      <c r="BK42" s="67"/>
      <c r="BL42" s="67"/>
      <c r="BM42" s="118"/>
      <c r="BN42" s="118"/>
      <c r="BO42" s="8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82"/>
      <c r="ES42" s="82"/>
      <c r="ET42" s="67"/>
      <c r="EU42" s="67"/>
      <c r="EV42" s="67"/>
      <c r="EW42" s="67"/>
      <c r="EX42" s="67"/>
      <c r="EY42" s="67"/>
      <c r="EZ42" s="67"/>
      <c r="FA42" s="67"/>
      <c r="FB42" s="67"/>
      <c r="FC42" s="82"/>
      <c r="FD42" s="82"/>
      <c r="FE42" s="82"/>
      <c r="FF42" s="82"/>
      <c r="FG42" s="67"/>
      <c r="FH42" s="67"/>
    </row>
    <row r="43" spans="1:164" ht="15.75" hidden="1">
      <c r="A43" s="65" t="s">
        <v>68</v>
      </c>
      <c r="B43" s="164">
        <v>364195</v>
      </c>
      <c r="C43" s="70">
        <v>402404</v>
      </c>
      <c r="D43" s="70">
        <v>341622</v>
      </c>
      <c r="E43" s="70">
        <v>305365</v>
      </c>
      <c r="F43" s="70">
        <v>280124</v>
      </c>
      <c r="G43" s="70">
        <v>325909</v>
      </c>
      <c r="H43" s="70">
        <v>275969</v>
      </c>
      <c r="I43" s="70">
        <v>196212</v>
      </c>
      <c r="J43" s="70">
        <v>242669</v>
      </c>
      <c r="K43" s="70">
        <v>248438</v>
      </c>
      <c r="L43" s="71">
        <v>137708</v>
      </c>
      <c r="M43" s="72">
        <v>116245</v>
      </c>
      <c r="N43" s="73">
        <v>217268</v>
      </c>
      <c r="O43" s="72">
        <v>174407</v>
      </c>
      <c r="P43" s="73">
        <v>136028</v>
      </c>
      <c r="Q43" s="73">
        <v>141854</v>
      </c>
      <c r="R43" s="73">
        <v>121598</v>
      </c>
      <c r="S43" s="75">
        <v>103576</v>
      </c>
      <c r="T43" s="73">
        <v>123217</v>
      </c>
      <c r="U43" s="73">
        <v>106756</v>
      </c>
      <c r="V43" s="73">
        <v>43253</v>
      </c>
      <c r="W43" s="95" t="s">
        <v>64</v>
      </c>
      <c r="X43" s="95" t="s">
        <v>64</v>
      </c>
      <c r="Y43" s="95" t="s">
        <v>64</v>
      </c>
      <c r="Z43" s="95" t="s">
        <v>64</v>
      </c>
      <c r="AA43" s="121" t="s">
        <v>64</v>
      </c>
      <c r="AB43" s="92" t="s">
        <v>64</v>
      </c>
      <c r="AC43" s="92" t="s">
        <v>64</v>
      </c>
      <c r="AD43" s="92" t="s">
        <v>64</v>
      </c>
      <c r="AE43" s="95" t="s">
        <v>64</v>
      </c>
      <c r="AF43" s="95"/>
      <c r="AG43" s="95"/>
      <c r="AH43" s="95"/>
      <c r="AI43" s="95" t="s">
        <v>64</v>
      </c>
      <c r="AJ43" s="95" t="s">
        <v>64</v>
      </c>
      <c r="AK43" s="95" t="s">
        <v>64</v>
      </c>
      <c r="AL43" s="95" t="s">
        <v>64</v>
      </c>
      <c r="AM43" s="95" t="s">
        <v>64</v>
      </c>
      <c r="AN43" s="95" t="s">
        <v>64</v>
      </c>
      <c r="AO43" s="95" t="s">
        <v>64</v>
      </c>
      <c r="AP43" s="95" t="s">
        <v>64</v>
      </c>
      <c r="AQ43" s="95" t="s">
        <v>64</v>
      </c>
      <c r="AR43" s="95" t="s">
        <v>64</v>
      </c>
      <c r="AS43" s="95" t="s">
        <v>64</v>
      </c>
      <c r="AT43" s="95" t="s">
        <v>64</v>
      </c>
      <c r="AU43" s="95" t="s">
        <v>64</v>
      </c>
      <c r="AV43" s="95" t="s">
        <v>64</v>
      </c>
      <c r="AW43" s="95" t="s">
        <v>64</v>
      </c>
      <c r="AX43" s="95" t="s">
        <v>64</v>
      </c>
      <c r="AY43" s="95" t="s">
        <v>64</v>
      </c>
      <c r="AZ43" s="92" t="s">
        <v>64</v>
      </c>
      <c r="BA43" s="95" t="s">
        <v>64</v>
      </c>
      <c r="BB43" s="95" t="s">
        <v>64</v>
      </c>
      <c r="BC43" s="95" t="s">
        <v>64</v>
      </c>
      <c r="BD43" s="95" t="s">
        <v>64</v>
      </c>
      <c r="BE43" s="95" t="s">
        <v>64</v>
      </c>
      <c r="BF43" s="95" t="s">
        <v>64</v>
      </c>
      <c r="BG43" s="95" t="s">
        <v>64</v>
      </c>
      <c r="BH43" s="92" t="s">
        <v>64</v>
      </c>
      <c r="BI43" s="92" t="s">
        <v>64</v>
      </c>
      <c r="BJ43" s="92" t="s">
        <v>64</v>
      </c>
      <c r="BK43" s="92" t="s">
        <v>64</v>
      </c>
      <c r="BL43" s="92" t="s">
        <v>64</v>
      </c>
      <c r="BM43" s="92" t="s">
        <v>64</v>
      </c>
      <c r="BN43" s="92" t="s">
        <v>64</v>
      </c>
      <c r="BO43" s="92" t="s">
        <v>64</v>
      </c>
      <c r="BP43" s="92" t="s">
        <v>64</v>
      </c>
      <c r="BQ43" s="92" t="s">
        <v>64</v>
      </c>
      <c r="BR43" s="92" t="s">
        <v>64</v>
      </c>
      <c r="BS43" s="92" t="s">
        <v>64</v>
      </c>
      <c r="BT43" s="92" t="s">
        <v>64</v>
      </c>
      <c r="BU43" s="92" t="s">
        <v>64</v>
      </c>
      <c r="BV43" s="92" t="s">
        <v>64</v>
      </c>
      <c r="BW43" s="92" t="s">
        <v>64</v>
      </c>
      <c r="BX43" s="92" t="s">
        <v>64</v>
      </c>
      <c r="BY43" s="92" t="s">
        <v>64</v>
      </c>
      <c r="BZ43" s="92" t="s">
        <v>64</v>
      </c>
      <c r="CA43" s="92" t="s">
        <v>64</v>
      </c>
      <c r="CB43" s="92" t="s">
        <v>64</v>
      </c>
      <c r="CC43" s="92" t="s">
        <v>64</v>
      </c>
      <c r="CD43" s="92" t="s">
        <v>64</v>
      </c>
      <c r="CE43" s="92" t="s">
        <v>64</v>
      </c>
      <c r="CF43" s="92" t="s">
        <v>64</v>
      </c>
      <c r="CG43" s="92" t="s">
        <v>64</v>
      </c>
      <c r="CH43" s="92" t="s">
        <v>64</v>
      </c>
      <c r="CI43" s="92" t="s">
        <v>64</v>
      </c>
      <c r="CJ43" s="92" t="s">
        <v>64</v>
      </c>
      <c r="CK43" s="92" t="s">
        <v>64</v>
      </c>
      <c r="CL43" s="92"/>
      <c r="CM43" s="92"/>
      <c r="CN43" s="92"/>
      <c r="CO43" s="92"/>
      <c r="CP43" s="92"/>
      <c r="CQ43" s="92"/>
      <c r="CR43" s="92"/>
      <c r="CS43" s="92"/>
      <c r="CT43" s="92" t="s">
        <v>64</v>
      </c>
      <c r="CU43" s="92" t="s">
        <v>64</v>
      </c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 t="s">
        <v>64</v>
      </c>
      <c r="DH43" s="92" t="s">
        <v>64</v>
      </c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 t="s">
        <v>64</v>
      </c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176"/>
      <c r="ES43" s="176"/>
      <c r="ET43" s="92"/>
      <c r="EU43" s="92"/>
      <c r="EV43" s="92"/>
      <c r="EW43" s="92"/>
      <c r="EX43" s="92"/>
      <c r="EY43" s="92"/>
      <c r="EZ43" s="92"/>
      <c r="FA43" s="92"/>
      <c r="FB43" s="92"/>
      <c r="FC43" s="176"/>
      <c r="FD43" s="176"/>
      <c r="FE43" s="176"/>
      <c r="FF43" s="176"/>
      <c r="FG43" s="92"/>
      <c r="FH43" s="92"/>
    </row>
    <row r="44" spans="1:164" ht="15.75" hidden="1">
      <c r="A44" s="65" t="s">
        <v>51</v>
      </c>
      <c r="B44" s="164">
        <v>9965762</v>
      </c>
      <c r="C44" s="70">
        <v>10260145</v>
      </c>
      <c r="D44" s="70">
        <v>10977485</v>
      </c>
      <c r="E44" s="70">
        <v>12461371</v>
      </c>
      <c r="F44" s="70">
        <v>14386899</v>
      </c>
      <c r="G44" s="70">
        <v>12588559</v>
      </c>
      <c r="H44" s="70">
        <v>11288531</v>
      </c>
      <c r="I44" s="70">
        <v>8683316</v>
      </c>
      <c r="J44" s="70">
        <v>4901301</v>
      </c>
      <c r="K44" s="70">
        <v>4596402</v>
      </c>
      <c r="L44" s="71">
        <v>3999937</v>
      </c>
      <c r="M44" s="72">
        <v>4478415</v>
      </c>
      <c r="N44" s="73">
        <v>4974182</v>
      </c>
      <c r="O44" s="72">
        <v>7080204</v>
      </c>
      <c r="P44" s="73">
        <v>8187438.6</v>
      </c>
      <c r="Q44" s="73">
        <v>4128505</v>
      </c>
      <c r="R44" s="73">
        <v>6041378</v>
      </c>
      <c r="S44" s="75">
        <v>6535825</v>
      </c>
      <c r="T44" s="73">
        <v>7158943</v>
      </c>
      <c r="U44" s="73">
        <v>5544464</v>
      </c>
      <c r="V44" s="73">
        <v>4811254</v>
      </c>
      <c r="W44" s="73">
        <v>2865621</v>
      </c>
      <c r="X44" s="95" t="s">
        <v>64</v>
      </c>
      <c r="Y44" s="95" t="s">
        <v>64</v>
      </c>
      <c r="Z44" s="95" t="s">
        <v>64</v>
      </c>
      <c r="AA44" s="121" t="s">
        <v>64</v>
      </c>
      <c r="AB44" s="92" t="s">
        <v>64</v>
      </c>
      <c r="AC44" s="92" t="s">
        <v>64</v>
      </c>
      <c r="AD44" s="92" t="s">
        <v>64</v>
      </c>
      <c r="AE44" s="95" t="s">
        <v>64</v>
      </c>
      <c r="AF44" s="95"/>
      <c r="AG44" s="95"/>
      <c r="AH44" s="95"/>
      <c r="AI44" s="95" t="s">
        <v>64</v>
      </c>
      <c r="AJ44" s="95" t="s">
        <v>64</v>
      </c>
      <c r="AK44" s="95" t="s">
        <v>64</v>
      </c>
      <c r="AL44" s="95" t="s">
        <v>64</v>
      </c>
      <c r="AM44" s="95" t="s">
        <v>64</v>
      </c>
      <c r="AN44" s="95" t="s">
        <v>64</v>
      </c>
      <c r="AO44" s="95" t="s">
        <v>64</v>
      </c>
      <c r="AP44" s="95" t="s">
        <v>64</v>
      </c>
      <c r="AQ44" s="95" t="s">
        <v>64</v>
      </c>
      <c r="AR44" s="95" t="s">
        <v>64</v>
      </c>
      <c r="AS44" s="95" t="s">
        <v>64</v>
      </c>
      <c r="AT44" s="95" t="s">
        <v>64</v>
      </c>
      <c r="AU44" s="95" t="s">
        <v>64</v>
      </c>
      <c r="AV44" s="95" t="s">
        <v>64</v>
      </c>
      <c r="AW44" s="95" t="s">
        <v>64</v>
      </c>
      <c r="AX44" s="95" t="s">
        <v>64</v>
      </c>
      <c r="AY44" s="95" t="s">
        <v>64</v>
      </c>
      <c r="AZ44" s="92" t="s">
        <v>64</v>
      </c>
      <c r="BA44" s="95" t="s">
        <v>64</v>
      </c>
      <c r="BB44" s="95" t="s">
        <v>64</v>
      </c>
      <c r="BC44" s="95" t="s">
        <v>64</v>
      </c>
      <c r="BD44" s="95" t="s">
        <v>64</v>
      </c>
      <c r="BE44" s="95" t="s">
        <v>64</v>
      </c>
      <c r="BF44" s="95" t="s">
        <v>64</v>
      </c>
      <c r="BG44" s="95" t="s">
        <v>64</v>
      </c>
      <c r="BH44" s="92" t="s">
        <v>64</v>
      </c>
      <c r="BI44" s="92" t="s">
        <v>64</v>
      </c>
      <c r="BJ44" s="92" t="s">
        <v>64</v>
      </c>
      <c r="BK44" s="92" t="s">
        <v>64</v>
      </c>
      <c r="BL44" s="92" t="s">
        <v>64</v>
      </c>
      <c r="BM44" s="92" t="s">
        <v>64</v>
      </c>
      <c r="BN44" s="92" t="s">
        <v>64</v>
      </c>
      <c r="BO44" s="92" t="s">
        <v>64</v>
      </c>
      <c r="BP44" s="92" t="s">
        <v>64</v>
      </c>
      <c r="BQ44" s="92" t="s">
        <v>64</v>
      </c>
      <c r="BR44" s="92" t="s">
        <v>64</v>
      </c>
      <c r="BS44" s="92" t="s">
        <v>64</v>
      </c>
      <c r="BT44" s="92" t="s">
        <v>64</v>
      </c>
      <c r="BU44" s="92" t="s">
        <v>64</v>
      </c>
      <c r="BV44" s="92" t="s">
        <v>64</v>
      </c>
      <c r="BW44" s="92" t="s">
        <v>64</v>
      </c>
      <c r="BX44" s="92" t="s">
        <v>64</v>
      </c>
      <c r="BY44" s="92" t="s">
        <v>64</v>
      </c>
      <c r="BZ44" s="92" t="s">
        <v>64</v>
      </c>
      <c r="CA44" s="92" t="s">
        <v>64</v>
      </c>
      <c r="CB44" s="92" t="s">
        <v>64</v>
      </c>
      <c r="CC44" s="92" t="s">
        <v>64</v>
      </c>
      <c r="CD44" s="92" t="s">
        <v>64</v>
      </c>
      <c r="CE44" s="92" t="s">
        <v>64</v>
      </c>
      <c r="CF44" s="92" t="s">
        <v>64</v>
      </c>
      <c r="CG44" s="92" t="s">
        <v>64</v>
      </c>
      <c r="CH44" s="92" t="s">
        <v>64</v>
      </c>
      <c r="CI44" s="92" t="s">
        <v>64</v>
      </c>
      <c r="CJ44" s="92" t="s">
        <v>64</v>
      </c>
      <c r="CK44" s="92" t="s">
        <v>64</v>
      </c>
      <c r="CL44" s="92"/>
      <c r="CM44" s="92"/>
      <c r="CN44" s="92"/>
      <c r="CO44" s="92"/>
      <c r="CP44" s="92"/>
      <c r="CQ44" s="92"/>
      <c r="CR44" s="92"/>
      <c r="CS44" s="92"/>
      <c r="CT44" s="92" t="s">
        <v>64</v>
      </c>
      <c r="CU44" s="92" t="s">
        <v>64</v>
      </c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 t="s">
        <v>64</v>
      </c>
      <c r="DH44" s="92" t="s">
        <v>64</v>
      </c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 t="s">
        <v>64</v>
      </c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176"/>
      <c r="ES44" s="176"/>
      <c r="ET44" s="92"/>
      <c r="EU44" s="92"/>
      <c r="EV44" s="92"/>
      <c r="EW44" s="92"/>
      <c r="EX44" s="92"/>
      <c r="EY44" s="92"/>
      <c r="EZ44" s="92"/>
      <c r="FA44" s="92"/>
      <c r="FB44" s="92"/>
      <c r="FC44" s="176"/>
      <c r="FD44" s="176"/>
      <c r="FE44" s="176"/>
      <c r="FF44" s="176"/>
      <c r="FG44" s="92"/>
      <c r="FH44" s="92"/>
    </row>
    <row r="45" spans="1:164" ht="15.75" hidden="1">
      <c r="A45" s="65" t="s">
        <v>52</v>
      </c>
      <c r="B45" s="15"/>
      <c r="C45" s="70">
        <v>367840</v>
      </c>
      <c r="D45" s="70">
        <v>398331</v>
      </c>
      <c r="E45" s="70">
        <v>148976</v>
      </c>
      <c r="F45" s="70">
        <v>288794</v>
      </c>
      <c r="G45" s="70">
        <v>191929</v>
      </c>
      <c r="H45" s="70">
        <v>296168</v>
      </c>
      <c r="I45" s="70">
        <v>450567</v>
      </c>
      <c r="J45" s="70">
        <v>405248</v>
      </c>
      <c r="K45" s="70">
        <v>74890</v>
      </c>
      <c r="L45" s="71">
        <v>10000</v>
      </c>
      <c r="M45" s="98" t="s">
        <v>33</v>
      </c>
      <c r="N45" s="93" t="s">
        <v>33</v>
      </c>
      <c r="O45" s="98" t="s">
        <v>33</v>
      </c>
      <c r="P45" s="93" t="s">
        <v>33</v>
      </c>
      <c r="Q45" s="93"/>
      <c r="R45" s="93"/>
      <c r="S45" s="94"/>
      <c r="T45" s="94"/>
      <c r="U45" s="94"/>
      <c r="V45" s="94"/>
      <c r="W45" s="94"/>
      <c r="X45" s="94"/>
      <c r="Y45" s="93">
        <v>0</v>
      </c>
      <c r="Z45" s="93"/>
      <c r="AA45" s="66"/>
      <c r="AB45" s="67"/>
      <c r="AC45" s="76"/>
      <c r="AD45" s="76"/>
      <c r="AE45" s="76"/>
      <c r="AF45" s="76"/>
      <c r="AG45" s="76"/>
      <c r="AH45" s="76"/>
      <c r="AI45" s="67"/>
      <c r="AJ45" s="87"/>
      <c r="AK45" s="67"/>
      <c r="AL45" s="67"/>
      <c r="AM45" s="78"/>
      <c r="AN45" s="67"/>
      <c r="AO45" s="67"/>
      <c r="AP45" s="67"/>
      <c r="AQ45" s="67"/>
      <c r="AR45" s="78"/>
      <c r="AS45" s="67"/>
      <c r="AT45" s="67"/>
      <c r="AU45" s="67"/>
      <c r="AV45" s="87"/>
      <c r="AW45" s="67"/>
      <c r="AX45" s="67"/>
      <c r="AY45" s="78"/>
      <c r="AZ45" s="67"/>
      <c r="BA45" s="67"/>
      <c r="BB45" s="67"/>
      <c r="BC45" s="67"/>
      <c r="BD45" s="78"/>
      <c r="BE45" s="67"/>
      <c r="BF45" s="67"/>
      <c r="BG45" s="78"/>
      <c r="BH45" s="67"/>
      <c r="BI45" s="67"/>
      <c r="BJ45" s="67"/>
      <c r="BK45" s="87"/>
      <c r="BL45" s="67"/>
      <c r="BM45" s="118"/>
      <c r="BN45" s="118"/>
      <c r="BO45" s="8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76" t="s">
        <v>64</v>
      </c>
      <c r="CC45" s="76" t="s">
        <v>64</v>
      </c>
      <c r="CD45" s="76" t="s">
        <v>64</v>
      </c>
      <c r="CE45" s="76"/>
      <c r="CF45" s="76"/>
      <c r="CG45" s="76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82"/>
      <c r="ES45" s="82"/>
      <c r="ET45" s="67"/>
      <c r="EU45" s="67"/>
      <c r="EV45" s="67"/>
      <c r="EW45" s="67"/>
      <c r="EX45" s="67"/>
      <c r="EY45" s="67"/>
      <c r="EZ45" s="67"/>
      <c r="FA45" s="67"/>
      <c r="FB45" s="67"/>
      <c r="FC45" s="82"/>
      <c r="FD45" s="82"/>
      <c r="FE45" s="82"/>
      <c r="FF45" s="82"/>
      <c r="FG45" s="67"/>
      <c r="FH45" s="67"/>
    </row>
    <row r="46" spans="1:164" ht="15.75">
      <c r="A46" s="4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71"/>
      <c r="M46" s="72"/>
      <c r="N46" s="73"/>
      <c r="O46" s="72"/>
      <c r="P46" s="73"/>
      <c r="Q46" s="73"/>
      <c r="R46" s="73"/>
      <c r="S46" s="75"/>
      <c r="T46" s="75"/>
      <c r="U46" s="75"/>
      <c r="V46" s="75"/>
      <c r="W46" s="75"/>
      <c r="X46" s="75"/>
      <c r="Y46" s="73"/>
      <c r="Z46" s="73"/>
      <c r="AA46" s="66"/>
      <c r="AB46" s="67"/>
      <c r="AC46" s="67"/>
      <c r="AD46" s="67"/>
      <c r="AE46" s="67"/>
      <c r="AF46" s="67"/>
      <c r="AG46" s="67"/>
      <c r="AH46" s="67"/>
      <c r="AI46" s="67"/>
      <c r="AJ46" s="87"/>
      <c r="AK46" s="67"/>
      <c r="AL46" s="67"/>
      <c r="AM46" s="78"/>
      <c r="AN46" s="67"/>
      <c r="AO46" s="67"/>
      <c r="AP46" s="67"/>
      <c r="AQ46" s="67"/>
      <c r="AR46" s="78"/>
      <c r="AS46" s="67"/>
      <c r="AT46" s="67"/>
      <c r="AU46" s="67"/>
      <c r="AV46" s="87"/>
      <c r="AW46" s="67"/>
      <c r="AX46" s="67"/>
      <c r="AY46" s="78"/>
      <c r="AZ46" s="67"/>
      <c r="BA46" s="67"/>
      <c r="BB46" s="67"/>
      <c r="BC46" s="67"/>
      <c r="BD46" s="78"/>
      <c r="BE46" s="67"/>
      <c r="BF46" s="67"/>
      <c r="BG46" s="78"/>
      <c r="BH46" s="67"/>
      <c r="BI46" s="67"/>
      <c r="BJ46" s="67"/>
      <c r="BK46" s="67"/>
      <c r="BL46" s="67"/>
      <c r="BM46" s="118"/>
      <c r="BN46" s="118"/>
      <c r="BO46" s="8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82"/>
      <c r="EH46" s="67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67"/>
      <c r="EU46" s="67"/>
      <c r="EV46" s="67"/>
      <c r="EW46" s="67"/>
      <c r="EX46" s="67"/>
      <c r="EY46" s="67"/>
      <c r="EZ46" s="67"/>
      <c r="FA46" s="67"/>
      <c r="FB46" s="67"/>
      <c r="FC46" s="82"/>
      <c r="FD46" s="82"/>
      <c r="FE46" s="82"/>
      <c r="FF46" s="82"/>
      <c r="FG46" s="67"/>
      <c r="FH46" s="67"/>
    </row>
    <row r="47" spans="1:164" ht="15.75">
      <c r="A47" s="148" t="s">
        <v>53</v>
      </c>
      <c r="B47" s="15"/>
      <c r="C47" s="11"/>
      <c r="D47" s="11"/>
      <c r="E47" s="11"/>
      <c r="F47" s="11"/>
      <c r="G47" s="11"/>
      <c r="H47" s="11"/>
      <c r="I47" s="11"/>
      <c r="J47" s="11"/>
      <c r="K47" s="11"/>
      <c r="L47" s="71"/>
      <c r="M47" s="72"/>
      <c r="N47" s="73"/>
      <c r="O47" s="72"/>
      <c r="P47" s="73"/>
      <c r="Q47" s="73"/>
      <c r="R47" s="73"/>
      <c r="S47" s="75"/>
      <c r="T47" s="75"/>
      <c r="U47" s="75"/>
      <c r="V47" s="75"/>
      <c r="W47" s="75"/>
      <c r="X47" s="75"/>
      <c r="Y47" s="73"/>
      <c r="Z47" s="73"/>
      <c r="AA47" s="66"/>
      <c r="AB47" s="67"/>
      <c r="AC47" s="67"/>
      <c r="AD47" s="67"/>
      <c r="AE47" s="67"/>
      <c r="AF47" s="67"/>
      <c r="AG47" s="67"/>
      <c r="AH47" s="67"/>
      <c r="AI47" s="67"/>
      <c r="AJ47" s="87"/>
      <c r="AK47" s="67"/>
      <c r="AL47" s="67"/>
      <c r="AM47" s="78"/>
      <c r="AN47" s="67"/>
      <c r="AO47" s="67"/>
      <c r="AP47" s="67"/>
      <c r="AQ47" s="67"/>
      <c r="AR47" s="78"/>
      <c r="AS47" s="67"/>
      <c r="AT47" s="67"/>
      <c r="AU47" s="67"/>
      <c r="AV47" s="87"/>
      <c r="AW47" s="67"/>
      <c r="AX47" s="67"/>
      <c r="AY47" s="78"/>
      <c r="AZ47" s="67"/>
      <c r="BA47" s="67"/>
      <c r="BB47" s="67"/>
      <c r="BC47" s="67"/>
      <c r="BD47" s="78"/>
      <c r="BE47" s="67"/>
      <c r="BF47" s="67"/>
      <c r="BG47" s="78"/>
      <c r="BH47" s="67"/>
      <c r="BI47" s="67"/>
      <c r="BJ47" s="67"/>
      <c r="BK47" s="67"/>
      <c r="BL47" s="67"/>
      <c r="BM47" s="118"/>
      <c r="BN47" s="118"/>
      <c r="BO47" s="8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82"/>
      <c r="ES47" s="82"/>
      <c r="ET47" s="67"/>
      <c r="EU47" s="67"/>
      <c r="EV47" s="67"/>
      <c r="EW47" s="67"/>
      <c r="EX47" s="67"/>
      <c r="EY47" s="67"/>
      <c r="EZ47" s="67"/>
      <c r="FA47" s="67"/>
      <c r="FB47" s="67"/>
      <c r="FC47" s="82"/>
      <c r="FD47" s="82"/>
      <c r="FE47" s="82"/>
      <c r="FF47" s="82"/>
      <c r="FG47" s="67"/>
      <c r="FH47" s="67"/>
    </row>
    <row r="48" spans="1:164" ht="15.75">
      <c r="A48" s="4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71"/>
      <c r="M48" s="72"/>
      <c r="N48" s="73"/>
      <c r="O48" s="72"/>
      <c r="P48" s="73"/>
      <c r="Q48" s="73"/>
      <c r="R48" s="73"/>
      <c r="S48" s="75"/>
      <c r="T48" s="75"/>
      <c r="U48" s="75"/>
      <c r="V48" s="75"/>
      <c r="W48" s="75"/>
      <c r="X48" s="75"/>
      <c r="Y48" s="73"/>
      <c r="Z48" s="73"/>
      <c r="AA48" s="66"/>
      <c r="AB48" s="67"/>
      <c r="AC48" s="67"/>
      <c r="AD48" s="67"/>
      <c r="AE48" s="67"/>
      <c r="AF48" s="67"/>
      <c r="AG48" s="67"/>
      <c r="AH48" s="67"/>
      <c r="AI48" s="67"/>
      <c r="AJ48" s="87"/>
      <c r="AK48" s="67"/>
      <c r="AL48" s="67"/>
      <c r="AM48" s="78"/>
      <c r="AN48" s="67"/>
      <c r="AO48" s="67"/>
      <c r="AP48" s="67"/>
      <c r="AQ48" s="67"/>
      <c r="AR48" s="78"/>
      <c r="AS48" s="67"/>
      <c r="AT48" s="67"/>
      <c r="AU48" s="67"/>
      <c r="AV48" s="87"/>
      <c r="AW48" s="67"/>
      <c r="AX48" s="67"/>
      <c r="AY48" s="78"/>
      <c r="AZ48" s="67"/>
      <c r="BA48" s="67"/>
      <c r="BB48" s="67"/>
      <c r="BC48" s="67"/>
      <c r="BD48" s="78"/>
      <c r="BE48" s="67"/>
      <c r="BF48" s="67"/>
      <c r="BG48" s="78"/>
      <c r="BH48" s="67"/>
      <c r="BI48" s="67"/>
      <c r="BJ48" s="67"/>
      <c r="BK48" s="67"/>
      <c r="BL48" s="67"/>
      <c r="BM48" s="118"/>
      <c r="BN48" s="118"/>
      <c r="BO48" s="8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</row>
    <row r="49" spans="1:164" ht="15.75">
      <c r="A49" s="65" t="s">
        <v>54</v>
      </c>
      <c r="B49" s="18">
        <v>161299</v>
      </c>
      <c r="C49" s="70">
        <v>155620</v>
      </c>
      <c r="D49" s="70">
        <v>206099</v>
      </c>
      <c r="E49" s="70">
        <v>201761</v>
      </c>
      <c r="F49" s="70">
        <v>267716</v>
      </c>
      <c r="G49" s="70">
        <v>177557</v>
      </c>
      <c r="H49" s="70">
        <v>129515</v>
      </c>
      <c r="I49" s="70">
        <v>257010</v>
      </c>
      <c r="J49" s="70">
        <v>228448</v>
      </c>
      <c r="K49" s="70">
        <v>188269</v>
      </c>
      <c r="L49" s="71">
        <v>213544</v>
      </c>
      <c r="M49" s="72">
        <v>113054</v>
      </c>
      <c r="N49" s="73">
        <v>68124</v>
      </c>
      <c r="O49" s="72">
        <v>55573</v>
      </c>
      <c r="P49" s="73">
        <v>51821</v>
      </c>
      <c r="Q49" s="73">
        <v>54562</v>
      </c>
      <c r="R49" s="73">
        <v>93561</v>
      </c>
      <c r="S49" s="75">
        <v>96025</v>
      </c>
      <c r="T49" s="73">
        <v>68348</v>
      </c>
      <c r="U49" s="73">
        <v>91867</v>
      </c>
      <c r="V49" s="73">
        <v>114929</v>
      </c>
      <c r="W49" s="73">
        <v>137099</v>
      </c>
      <c r="X49" s="73">
        <v>176541</v>
      </c>
      <c r="Y49" s="73">
        <v>104418.8</v>
      </c>
      <c r="Z49" s="75">
        <v>139945.05</v>
      </c>
      <c r="AA49" s="66">
        <v>143152</v>
      </c>
      <c r="AB49" s="67">
        <v>174179.34</v>
      </c>
      <c r="AC49" s="82">
        <v>65096</v>
      </c>
      <c r="AD49" s="82">
        <v>100630</v>
      </c>
      <c r="AE49" s="154">
        <v>95681.03</v>
      </c>
      <c r="AF49" s="154">
        <v>180765.34</v>
      </c>
      <c r="AG49" s="154">
        <v>140824</v>
      </c>
      <c r="AH49" s="154">
        <v>55099.21333333333</v>
      </c>
      <c r="AI49" s="75">
        <v>8992</v>
      </c>
      <c r="AJ49" s="75">
        <v>5610</v>
      </c>
      <c r="AK49" s="101">
        <v>6375</v>
      </c>
      <c r="AL49" s="105">
        <v>26556</v>
      </c>
      <c r="AM49" s="101">
        <v>15420</v>
      </c>
      <c r="AN49" s="79">
        <v>14099</v>
      </c>
      <c r="AO49" s="79">
        <v>9307.24</v>
      </c>
      <c r="AP49" s="79">
        <v>12760</v>
      </c>
      <c r="AQ49" s="94" t="s">
        <v>64</v>
      </c>
      <c r="AR49" s="101">
        <v>2649.78</v>
      </c>
      <c r="AS49" s="101">
        <v>2649.78</v>
      </c>
      <c r="AT49" s="94" t="s">
        <v>64</v>
      </c>
      <c r="AU49" s="67">
        <v>4818</v>
      </c>
      <c r="AV49" s="75">
        <v>6306.05</v>
      </c>
      <c r="AW49" s="75">
        <v>5102</v>
      </c>
      <c r="AX49" s="105">
        <v>10271</v>
      </c>
      <c r="AY49" s="101">
        <v>5335</v>
      </c>
      <c r="AZ49" s="79">
        <v>15687</v>
      </c>
      <c r="BA49" s="79">
        <v>42181</v>
      </c>
      <c r="BB49" s="79">
        <v>8516</v>
      </c>
      <c r="BC49" s="101">
        <v>6866</v>
      </c>
      <c r="BD49" s="101">
        <v>11621</v>
      </c>
      <c r="BE49" s="101">
        <v>11621</v>
      </c>
      <c r="BF49" s="101">
        <v>11621</v>
      </c>
      <c r="BG49" s="78">
        <f>SUM(AU49:BF49)</f>
        <v>139945.05</v>
      </c>
      <c r="BH49" s="99">
        <v>714</v>
      </c>
      <c r="BI49" s="99">
        <v>3614</v>
      </c>
      <c r="BJ49" s="99">
        <v>1112</v>
      </c>
      <c r="BK49" s="73">
        <v>1732</v>
      </c>
      <c r="BL49" s="73">
        <v>5501</v>
      </c>
      <c r="BM49" s="67">
        <v>17187.72</v>
      </c>
      <c r="BN49" s="118">
        <v>24255</v>
      </c>
      <c r="BO49" s="118">
        <v>19031</v>
      </c>
      <c r="BP49" s="118">
        <v>14556</v>
      </c>
      <c r="BQ49" s="118">
        <v>24404</v>
      </c>
      <c r="BR49" s="118">
        <v>7093</v>
      </c>
      <c r="BS49" s="118">
        <v>23952</v>
      </c>
      <c r="BT49" s="66">
        <f>SUM(BH49:BS49)</f>
        <v>143151.72</v>
      </c>
      <c r="BU49" s="99">
        <v>17765.78</v>
      </c>
      <c r="BV49" s="99">
        <v>11814.04</v>
      </c>
      <c r="BW49" s="99">
        <v>12876.53</v>
      </c>
      <c r="BX49" s="99">
        <v>2099.99</v>
      </c>
      <c r="BY49" s="93" t="s">
        <v>80</v>
      </c>
      <c r="BZ49" s="99">
        <v>28747</v>
      </c>
      <c r="CA49" s="99">
        <v>11881</v>
      </c>
      <c r="CB49" s="99">
        <v>5082</v>
      </c>
      <c r="CC49" s="122">
        <v>10056</v>
      </c>
      <c r="CD49" s="122">
        <v>33788</v>
      </c>
      <c r="CE49" s="104">
        <v>28672</v>
      </c>
      <c r="CF49" s="104">
        <v>11397</v>
      </c>
      <c r="CG49" s="66">
        <f>SUM(BU49:CF49)</f>
        <v>174179.34</v>
      </c>
      <c r="CH49" s="67">
        <v>8874</v>
      </c>
      <c r="CI49" s="82">
        <v>18278</v>
      </c>
      <c r="CJ49" s="82">
        <v>2467</v>
      </c>
      <c r="CK49" s="82">
        <v>2920</v>
      </c>
      <c r="CL49" s="123">
        <v>1366</v>
      </c>
      <c r="CM49" s="151">
        <v>2537</v>
      </c>
      <c r="CN49" s="99">
        <v>9914</v>
      </c>
      <c r="CO49" s="99">
        <v>8911</v>
      </c>
      <c r="CP49" s="82">
        <v>1324</v>
      </c>
      <c r="CQ49" s="82">
        <v>2728</v>
      </c>
      <c r="CR49" s="82">
        <v>2942</v>
      </c>
      <c r="CS49" s="82">
        <v>2835</v>
      </c>
      <c r="CT49" s="67">
        <f>SUM(CH49:CS49)</f>
        <v>65096</v>
      </c>
      <c r="CU49" s="82">
        <v>657</v>
      </c>
      <c r="CV49" s="82">
        <v>3984</v>
      </c>
      <c r="CW49" s="82">
        <v>20011</v>
      </c>
      <c r="CX49" s="82">
        <v>9854</v>
      </c>
      <c r="CY49" s="82">
        <v>1462</v>
      </c>
      <c r="CZ49" s="82">
        <v>12900</v>
      </c>
      <c r="DA49" s="99">
        <v>3095</v>
      </c>
      <c r="DB49" s="122">
        <v>4743</v>
      </c>
      <c r="DC49" s="122">
        <v>5172</v>
      </c>
      <c r="DD49" s="82">
        <v>1579</v>
      </c>
      <c r="DE49" s="82">
        <v>10917</v>
      </c>
      <c r="DF49" s="82">
        <v>26256</v>
      </c>
      <c r="DG49" s="67">
        <f>SUM(CU49:DF49)</f>
        <v>100630</v>
      </c>
      <c r="DH49" s="82">
        <v>10967</v>
      </c>
      <c r="DI49" s="82">
        <v>6467</v>
      </c>
      <c r="DJ49" s="82">
        <v>13456</v>
      </c>
      <c r="DK49" s="150">
        <v>0</v>
      </c>
      <c r="DL49" s="82">
        <v>26476</v>
      </c>
      <c r="DM49" s="82">
        <v>20721</v>
      </c>
      <c r="DN49" s="82">
        <v>2643</v>
      </c>
      <c r="DO49" s="82">
        <v>4784.2</v>
      </c>
      <c r="DP49" s="82">
        <v>4442.37</v>
      </c>
      <c r="DQ49" s="82">
        <v>519.1</v>
      </c>
      <c r="DR49" s="82">
        <v>991.36</v>
      </c>
      <c r="DS49" s="82">
        <v>4214</v>
      </c>
      <c r="DT49" s="82">
        <f>SUM(DH49:DS49)</f>
        <v>95681.03</v>
      </c>
      <c r="DU49" s="82">
        <v>853</v>
      </c>
      <c r="DV49" s="82">
        <v>1208</v>
      </c>
      <c r="DW49" s="82">
        <v>1911</v>
      </c>
      <c r="DX49" s="82">
        <v>2222.34</v>
      </c>
      <c r="DY49" s="82">
        <v>39006</v>
      </c>
      <c r="DZ49" s="82">
        <v>20979</v>
      </c>
      <c r="EA49" s="82">
        <v>20606</v>
      </c>
      <c r="EB49" s="82">
        <v>8030</v>
      </c>
      <c r="EC49" s="82">
        <v>54028</v>
      </c>
      <c r="ED49" s="82">
        <v>7367</v>
      </c>
      <c r="EE49" s="82">
        <v>14325</v>
      </c>
      <c r="EF49" s="82">
        <v>10230</v>
      </c>
      <c r="EG49" s="82">
        <f>SUM(DU49:EF49)</f>
        <v>180765.34</v>
      </c>
      <c r="EH49" s="82">
        <v>631</v>
      </c>
      <c r="EI49" s="82">
        <v>1542</v>
      </c>
      <c r="EJ49" s="82">
        <v>2250</v>
      </c>
      <c r="EK49" s="82">
        <v>3558</v>
      </c>
      <c r="EL49" s="82">
        <v>24916</v>
      </c>
      <c r="EM49" s="82">
        <v>47503</v>
      </c>
      <c r="EN49" s="82">
        <v>1588</v>
      </c>
      <c r="EO49" s="82">
        <v>834</v>
      </c>
      <c r="EP49" s="82">
        <v>22377</v>
      </c>
      <c r="EQ49" s="82">
        <v>3386</v>
      </c>
      <c r="ER49" s="82">
        <v>0</v>
      </c>
      <c r="ES49" s="82">
        <v>32239</v>
      </c>
      <c r="ET49" s="82">
        <f>SUM(EH49:ES49)</f>
        <v>140824</v>
      </c>
      <c r="EU49" s="82">
        <v>9396</v>
      </c>
      <c r="EV49" s="150">
        <v>0</v>
      </c>
      <c r="EW49" s="82">
        <v>1528</v>
      </c>
      <c r="EX49" s="82">
        <v>17499</v>
      </c>
      <c r="EY49" s="82">
        <v>6342.333333333333</v>
      </c>
      <c r="EZ49" s="82">
        <v>1814.88</v>
      </c>
      <c r="FA49" s="82">
        <v>514</v>
      </c>
      <c r="FB49" s="82">
        <v>4358</v>
      </c>
      <c r="FC49" s="82">
        <v>6337</v>
      </c>
      <c r="FD49" s="82">
        <v>3100</v>
      </c>
      <c r="FE49" s="82">
        <v>344</v>
      </c>
      <c r="FF49" s="82">
        <v>3866</v>
      </c>
      <c r="FG49" s="82">
        <f>SUM(EU49:FF49)</f>
        <v>55099.21333333333</v>
      </c>
      <c r="FH49" s="82">
        <v>612</v>
      </c>
    </row>
    <row r="50" spans="1:164" ht="15.75" hidden="1">
      <c r="A50" s="65" t="s">
        <v>55</v>
      </c>
      <c r="B50" s="18">
        <v>3137</v>
      </c>
      <c r="C50" s="70">
        <v>3960</v>
      </c>
      <c r="D50" s="70">
        <v>3766</v>
      </c>
      <c r="E50" s="70">
        <v>2873</v>
      </c>
      <c r="F50" s="70">
        <v>2802</v>
      </c>
      <c r="G50" s="70">
        <v>2981</v>
      </c>
      <c r="H50" s="70">
        <v>3399</v>
      </c>
      <c r="I50" s="70">
        <v>3275</v>
      </c>
      <c r="J50" s="70">
        <v>1942</v>
      </c>
      <c r="K50" s="70">
        <v>799</v>
      </c>
      <c r="L50" s="71">
        <v>566</v>
      </c>
      <c r="M50" s="72">
        <v>249</v>
      </c>
      <c r="N50" s="73">
        <v>484.78</v>
      </c>
      <c r="O50" s="72">
        <v>1568.258</v>
      </c>
      <c r="P50" s="73">
        <v>879</v>
      </c>
      <c r="Q50" s="73">
        <v>1643</v>
      </c>
      <c r="R50" s="73">
        <v>2510</v>
      </c>
      <c r="S50" s="75">
        <v>1397</v>
      </c>
      <c r="T50" s="73">
        <v>758</v>
      </c>
      <c r="U50" s="73">
        <v>390</v>
      </c>
      <c r="V50" s="73">
        <v>397</v>
      </c>
      <c r="W50" s="73">
        <v>27</v>
      </c>
      <c r="X50" s="73">
        <v>79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>
        <v>0</v>
      </c>
      <c r="AE50" s="155">
        <v>0</v>
      </c>
      <c r="AF50" s="155">
        <v>0</v>
      </c>
      <c r="AG50" s="155"/>
      <c r="AH50" s="155"/>
      <c r="AI50" s="125" t="s">
        <v>64</v>
      </c>
      <c r="AJ50" s="125" t="s">
        <v>64</v>
      </c>
      <c r="AK50" s="125" t="s">
        <v>64</v>
      </c>
      <c r="AL50" s="125" t="s">
        <v>64</v>
      </c>
      <c r="AM50" s="125" t="s">
        <v>64</v>
      </c>
      <c r="AN50" s="125" t="s">
        <v>64</v>
      </c>
      <c r="AO50" s="125" t="s">
        <v>64</v>
      </c>
      <c r="AP50" s="125" t="s">
        <v>64</v>
      </c>
      <c r="AQ50" s="125" t="s">
        <v>64</v>
      </c>
      <c r="AR50" s="125" t="s">
        <v>64</v>
      </c>
      <c r="AS50" s="125" t="s">
        <v>64</v>
      </c>
      <c r="AT50" s="125" t="s">
        <v>64</v>
      </c>
      <c r="AU50" s="125" t="s">
        <v>64</v>
      </c>
      <c r="AV50" s="125" t="s">
        <v>64</v>
      </c>
      <c r="AW50" s="125" t="s">
        <v>64</v>
      </c>
      <c r="AX50" s="125" t="s">
        <v>64</v>
      </c>
      <c r="AY50" s="125" t="s">
        <v>64</v>
      </c>
      <c r="AZ50" s="125" t="s">
        <v>64</v>
      </c>
      <c r="BA50" s="125" t="s">
        <v>64</v>
      </c>
      <c r="BB50" s="125" t="s">
        <v>64</v>
      </c>
      <c r="BC50" s="125" t="s">
        <v>64</v>
      </c>
      <c r="BD50" s="125" t="s">
        <v>64</v>
      </c>
      <c r="BE50" s="125" t="s">
        <v>64</v>
      </c>
      <c r="BF50" s="125" t="s">
        <v>64</v>
      </c>
      <c r="BG50" s="125" t="s">
        <v>64</v>
      </c>
      <c r="BH50" s="125" t="s">
        <v>64</v>
      </c>
      <c r="BI50" s="125" t="s">
        <v>64</v>
      </c>
      <c r="BJ50" s="125" t="s">
        <v>64</v>
      </c>
      <c r="BK50" s="125" t="s">
        <v>64</v>
      </c>
      <c r="BL50" s="125" t="s">
        <v>64</v>
      </c>
      <c r="BM50" s="125" t="s">
        <v>64</v>
      </c>
      <c r="BN50" s="125" t="s">
        <v>64</v>
      </c>
      <c r="BO50" s="125" t="s">
        <v>64</v>
      </c>
      <c r="BP50" s="125" t="s">
        <v>64</v>
      </c>
      <c r="BQ50" s="125" t="s">
        <v>64</v>
      </c>
      <c r="BR50" s="125" t="s">
        <v>64</v>
      </c>
      <c r="BS50" s="125" t="s">
        <v>64</v>
      </c>
      <c r="BT50" s="125" t="s">
        <v>64</v>
      </c>
      <c r="BU50" s="125" t="s">
        <v>64</v>
      </c>
      <c r="BV50" s="125" t="s">
        <v>64</v>
      </c>
      <c r="BW50" s="125" t="s">
        <v>64</v>
      </c>
      <c r="BX50" s="125" t="s">
        <v>64</v>
      </c>
      <c r="BY50" s="93" t="s">
        <v>79</v>
      </c>
      <c r="BZ50" s="125" t="s">
        <v>64</v>
      </c>
      <c r="CA50" s="125" t="s">
        <v>64</v>
      </c>
      <c r="CB50" s="125" t="s">
        <v>64</v>
      </c>
      <c r="CC50" s="125" t="s">
        <v>64</v>
      </c>
      <c r="CD50" s="125" t="s">
        <v>64</v>
      </c>
      <c r="CE50" s="125" t="s">
        <v>64</v>
      </c>
      <c r="CF50" s="125" t="s">
        <v>64</v>
      </c>
      <c r="CG50" s="125" t="s">
        <v>64</v>
      </c>
      <c r="CH50" s="125" t="s">
        <v>64</v>
      </c>
      <c r="CI50" s="125" t="s">
        <v>64</v>
      </c>
      <c r="CJ50" s="125" t="s">
        <v>64</v>
      </c>
      <c r="CK50" s="125" t="s">
        <v>64</v>
      </c>
      <c r="CL50" s="125" t="s">
        <v>64</v>
      </c>
      <c r="CM50" s="125" t="s">
        <v>64</v>
      </c>
      <c r="CN50" s="125" t="s">
        <v>64</v>
      </c>
      <c r="CO50" s="93" t="s">
        <v>64</v>
      </c>
      <c r="CP50" s="93" t="s">
        <v>64</v>
      </c>
      <c r="CQ50" s="150">
        <v>0</v>
      </c>
      <c r="CR50" s="93" t="s">
        <v>64</v>
      </c>
      <c r="CS50" s="93" t="s">
        <v>64</v>
      </c>
      <c r="CT50" s="93" t="s">
        <v>64</v>
      </c>
      <c r="CU50" s="93" t="s">
        <v>64</v>
      </c>
      <c r="CV50" s="93" t="s">
        <v>64</v>
      </c>
      <c r="CW50" s="150">
        <v>0</v>
      </c>
      <c r="CX50" s="93" t="s">
        <v>64</v>
      </c>
      <c r="CY50" s="93" t="s">
        <v>64</v>
      </c>
      <c r="CZ50" s="93" t="s">
        <v>64</v>
      </c>
      <c r="DA50" s="93" t="s">
        <v>64</v>
      </c>
      <c r="DB50" s="126" t="s">
        <v>64</v>
      </c>
      <c r="DC50" s="126" t="s">
        <v>64</v>
      </c>
      <c r="DD50" s="150">
        <v>0</v>
      </c>
      <c r="DE50" s="150"/>
      <c r="DF50" s="150"/>
      <c r="DG50" s="150">
        <v>0</v>
      </c>
      <c r="DH50" s="150">
        <v>0</v>
      </c>
      <c r="DI50" s="150">
        <v>0</v>
      </c>
      <c r="DJ50" s="150">
        <v>0</v>
      </c>
      <c r="DK50" s="150">
        <v>0</v>
      </c>
      <c r="DL50" s="150">
        <v>0</v>
      </c>
      <c r="DM50" s="150">
        <v>0</v>
      </c>
      <c r="DN50" s="150">
        <v>0</v>
      </c>
      <c r="DO50" s="150">
        <v>0</v>
      </c>
      <c r="DP50" s="150">
        <v>0</v>
      </c>
      <c r="DQ50" s="150">
        <v>0</v>
      </c>
      <c r="DR50" s="150">
        <v>0</v>
      </c>
      <c r="DS50" s="150"/>
      <c r="DT50" s="150">
        <v>0</v>
      </c>
      <c r="DU50" s="150">
        <v>0</v>
      </c>
      <c r="DV50" s="150">
        <v>0</v>
      </c>
      <c r="DW50" s="150">
        <v>0</v>
      </c>
      <c r="DX50" s="150">
        <v>0</v>
      </c>
      <c r="DY50" s="150">
        <v>0</v>
      </c>
      <c r="DZ50" s="150">
        <v>0</v>
      </c>
      <c r="EA50" s="150">
        <v>0</v>
      </c>
      <c r="EB50" s="150">
        <v>0</v>
      </c>
      <c r="EC50" s="150">
        <v>0</v>
      </c>
      <c r="ED50" s="150">
        <v>0</v>
      </c>
      <c r="EE50" s="150"/>
      <c r="EF50" s="150"/>
      <c r="EG50" s="150">
        <v>0</v>
      </c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83"/>
      <c r="EV50" s="183"/>
      <c r="EW50" s="150"/>
      <c r="EX50" s="150"/>
      <c r="EY50" s="150"/>
      <c r="EZ50" s="150"/>
      <c r="FA50" s="150"/>
      <c r="FB50" s="150"/>
      <c r="FC50" s="150"/>
      <c r="FD50" s="150"/>
      <c r="FE50" s="150">
        <v>1063.03</v>
      </c>
      <c r="FF50" s="150"/>
      <c r="FG50" s="183"/>
      <c r="FH50" s="150"/>
    </row>
    <row r="51" spans="1:164" ht="15.75" hidden="1">
      <c r="A51" s="65" t="s">
        <v>56</v>
      </c>
      <c r="B51" s="18">
        <v>1800</v>
      </c>
      <c r="C51" s="70">
        <v>1290</v>
      </c>
      <c r="D51" s="70">
        <v>2308</v>
      </c>
      <c r="E51" s="70">
        <v>2441</v>
      </c>
      <c r="F51" s="70">
        <v>2475</v>
      </c>
      <c r="G51" s="70">
        <v>2026</v>
      </c>
      <c r="H51" s="70">
        <v>2045</v>
      </c>
      <c r="I51" s="70">
        <v>1942</v>
      </c>
      <c r="J51" s="70">
        <v>1247</v>
      </c>
      <c r="K51" s="70">
        <v>565</v>
      </c>
      <c r="L51" s="71">
        <v>86</v>
      </c>
      <c r="M51" s="98" t="s">
        <v>33</v>
      </c>
      <c r="N51" s="93" t="s">
        <v>33</v>
      </c>
      <c r="O51" s="98" t="s">
        <v>33</v>
      </c>
      <c r="P51" s="93" t="s">
        <v>33</v>
      </c>
      <c r="Q51" s="93"/>
      <c r="R51" s="93"/>
      <c r="S51" s="94"/>
      <c r="T51" s="94"/>
      <c r="U51" s="94"/>
      <c r="V51" s="94"/>
      <c r="W51" s="94"/>
      <c r="X51" s="94"/>
      <c r="Y51" s="93"/>
      <c r="Z51" s="94"/>
      <c r="AA51" s="66"/>
      <c r="AB51" s="67"/>
      <c r="AC51" s="110">
        <v>0</v>
      </c>
      <c r="AD51" s="110">
        <v>0</v>
      </c>
      <c r="AE51" s="153">
        <v>0</v>
      </c>
      <c r="AF51" s="153">
        <v>0</v>
      </c>
      <c r="AG51" s="153"/>
      <c r="AH51" s="153"/>
      <c r="AI51" s="102"/>
      <c r="AJ51" s="87"/>
      <c r="AK51" s="95"/>
      <c r="AL51" s="93"/>
      <c r="AM51" s="78"/>
      <c r="AN51" s="102"/>
      <c r="AO51" s="67"/>
      <c r="AP51" s="67"/>
      <c r="AQ51" s="67"/>
      <c r="AR51" s="78"/>
      <c r="AS51" s="67"/>
      <c r="AT51" s="95"/>
      <c r="AU51" s="67"/>
      <c r="AV51" s="87"/>
      <c r="AW51" s="95"/>
      <c r="AX51" s="93"/>
      <c r="AY51" s="78"/>
      <c r="AZ51" s="76"/>
      <c r="BA51" s="67"/>
      <c r="BB51" s="67"/>
      <c r="BC51" s="67"/>
      <c r="BD51" s="78"/>
      <c r="BE51" s="67"/>
      <c r="BF51" s="127"/>
      <c r="BG51" s="78"/>
      <c r="BH51" s="128"/>
      <c r="BI51" s="127"/>
      <c r="BJ51" s="127"/>
      <c r="BK51" s="87"/>
      <c r="BL51" s="93"/>
      <c r="BM51" s="66"/>
      <c r="BN51" s="118"/>
      <c r="BO51" s="118"/>
      <c r="BP51" s="118"/>
      <c r="BQ51" s="67"/>
      <c r="BR51" s="82"/>
      <c r="BS51" s="82"/>
      <c r="BT51" s="66"/>
      <c r="BU51" s="99"/>
      <c r="BV51" s="99"/>
      <c r="BW51" s="99"/>
      <c r="BX51" s="99"/>
      <c r="BY51" s="99"/>
      <c r="BZ51" s="99"/>
      <c r="CA51" s="99"/>
      <c r="CB51" s="99"/>
      <c r="CC51" s="129"/>
      <c r="CD51" s="129"/>
      <c r="CE51" s="110"/>
      <c r="CF51" s="110"/>
      <c r="CG51" s="66"/>
      <c r="CH51" s="67"/>
      <c r="CI51" s="82"/>
      <c r="CJ51" s="82"/>
      <c r="CK51" s="82"/>
      <c r="CL51" s="82"/>
      <c r="CM51" s="82"/>
      <c r="CN51" s="112"/>
      <c r="CO51" s="112"/>
      <c r="CP51" s="112"/>
      <c r="CQ51" s="112"/>
      <c r="CR51" s="112"/>
      <c r="CS51" s="82"/>
      <c r="CT51" s="67">
        <f aca="true" t="shared" si="14" ref="CT51:CT57">SUM(CH51:CS51)</f>
        <v>0</v>
      </c>
      <c r="CU51" s="67">
        <f>SUM(CG51:CP51)</f>
        <v>0</v>
      </c>
      <c r="CV51" s="67"/>
      <c r="CW51" s="67"/>
      <c r="CX51" s="67"/>
      <c r="CY51" s="112"/>
      <c r="CZ51" s="112"/>
      <c r="DA51" s="112"/>
      <c r="DB51" s="82"/>
      <c r="DC51" s="82"/>
      <c r="DD51" s="82"/>
      <c r="DE51" s="82"/>
      <c r="DF51" s="82"/>
      <c r="DG51" s="67">
        <f aca="true" t="shared" si="15" ref="DG51:DG57">SUM(CT51:DE51)</f>
        <v>0</v>
      </c>
      <c r="DH51" s="67">
        <f>SUM(CT51:DE51)</f>
        <v>0</v>
      </c>
      <c r="DI51" s="67"/>
      <c r="DJ51" s="67"/>
      <c r="DK51" s="67"/>
      <c r="DL51" s="82"/>
      <c r="DM51" s="82"/>
      <c r="DN51" s="82"/>
      <c r="DO51" s="82"/>
      <c r="DP51" s="82"/>
      <c r="DQ51" s="82"/>
      <c r="DR51" s="82"/>
      <c r="DS51" s="82"/>
      <c r="DT51" s="82">
        <f aca="true" t="shared" si="16" ref="DT51:DT57">SUM(DH51:DK51)</f>
        <v>0</v>
      </c>
      <c r="DU51" s="67"/>
      <c r="DV51" s="67"/>
      <c r="DW51" s="67"/>
      <c r="DX51" s="67"/>
      <c r="DY51" s="67"/>
      <c r="DZ51" s="67"/>
      <c r="EA51" s="82"/>
      <c r="EB51" s="82"/>
      <c r="EC51" s="82"/>
      <c r="ED51" s="82"/>
      <c r="EE51" s="82"/>
      <c r="EF51" s="82"/>
      <c r="EG51" s="82">
        <f aca="true" t="shared" si="17" ref="EG51:EG57">SUM(DU51:DX51)</f>
        <v>0</v>
      </c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112"/>
      <c r="EV51" s="112"/>
      <c r="EW51" s="82"/>
      <c r="EX51" s="82"/>
      <c r="EY51" s="82"/>
      <c r="EZ51" s="82"/>
      <c r="FA51" s="82"/>
      <c r="FB51" s="82"/>
      <c r="FC51" s="82"/>
      <c r="FD51" s="82"/>
      <c r="FE51" s="112"/>
      <c r="FF51" s="82"/>
      <c r="FG51" s="112"/>
      <c r="FH51" s="82"/>
    </row>
    <row r="52" spans="1:164" ht="15.75">
      <c r="A52" s="65" t="s">
        <v>74</v>
      </c>
      <c r="B52" s="130" t="s">
        <v>33</v>
      </c>
      <c r="C52" s="70">
        <v>355439</v>
      </c>
      <c r="D52" s="70">
        <v>618456</v>
      </c>
      <c r="E52" s="70">
        <v>346157</v>
      </c>
      <c r="F52" s="70">
        <v>408217</v>
      </c>
      <c r="G52" s="70">
        <v>407030</v>
      </c>
      <c r="H52" s="70">
        <v>430483</v>
      </c>
      <c r="I52" s="70">
        <v>225283</v>
      </c>
      <c r="J52" s="70">
        <v>379088</v>
      </c>
      <c r="K52" s="70">
        <v>307286</v>
      </c>
      <c r="L52" s="71">
        <v>285376</v>
      </c>
      <c r="M52" s="72">
        <v>117773</v>
      </c>
      <c r="N52" s="73">
        <v>110899</v>
      </c>
      <c r="O52" s="72">
        <v>108266</v>
      </c>
      <c r="P52" s="73">
        <v>49084</v>
      </c>
      <c r="Q52" s="73">
        <v>24480</v>
      </c>
      <c r="R52" s="73">
        <v>17303</v>
      </c>
      <c r="S52" s="75">
        <v>58707</v>
      </c>
      <c r="T52" s="99">
        <v>43863</v>
      </c>
      <c r="U52" s="99">
        <v>23198</v>
      </c>
      <c r="V52" s="99">
        <v>18182</v>
      </c>
      <c r="W52" s="99">
        <v>20921</v>
      </c>
      <c r="X52" s="99">
        <v>8508</v>
      </c>
      <c r="Y52" s="99">
        <v>26044.25</v>
      </c>
      <c r="Z52" s="101">
        <v>26741.11</v>
      </c>
      <c r="AA52" s="66">
        <v>39119.71</v>
      </c>
      <c r="AB52" s="67">
        <v>27697.12</v>
      </c>
      <c r="AC52" s="104">
        <v>22004</v>
      </c>
      <c r="AD52" s="82">
        <v>24477</v>
      </c>
      <c r="AE52" s="82">
        <v>20524.61</v>
      </c>
      <c r="AF52" s="82">
        <v>11137.4</v>
      </c>
      <c r="AG52" s="156">
        <v>15429.78</v>
      </c>
      <c r="AH52" s="156">
        <v>10572.050000000001</v>
      </c>
      <c r="AI52" s="102">
        <f>3286+225.06</f>
        <v>3511.06</v>
      </c>
      <c r="AJ52" s="102">
        <f>1843+852+1671.12</f>
        <v>4366.12</v>
      </c>
      <c r="AK52" s="102">
        <f>515+714+2620.12</f>
        <v>3849.12</v>
      </c>
      <c r="AL52" s="102">
        <f>1892+85</f>
        <v>1977</v>
      </c>
      <c r="AM52" s="102">
        <v>1505</v>
      </c>
      <c r="AN52" s="102">
        <f>300+1041</f>
        <v>1341</v>
      </c>
      <c r="AO52" s="78">
        <f>336+1315.54</f>
        <v>1651.54</v>
      </c>
      <c r="AP52" s="101">
        <f>1020+745+321</f>
        <v>2086</v>
      </c>
      <c r="AQ52" s="78">
        <f>661.52+515.82+510</f>
        <v>1687.3400000000001</v>
      </c>
      <c r="AR52" s="78">
        <f>174.69+1102.96+79.04</f>
        <v>1356.69</v>
      </c>
      <c r="AS52" s="78">
        <f>174.69+1102.96+79.04</f>
        <v>1356.69</v>
      </c>
      <c r="AT52" s="78">
        <f>174.69+1102.96+79.04</f>
        <v>1356.69</v>
      </c>
      <c r="AU52" s="102">
        <v>1768</v>
      </c>
      <c r="AV52" s="102">
        <f>1060.63+216+29.07</f>
        <v>1305.7</v>
      </c>
      <c r="AW52" s="102">
        <v>1709</v>
      </c>
      <c r="AX52" s="102">
        <f>4479+1543</f>
        <v>6022</v>
      </c>
      <c r="AY52" s="102">
        <f>1262+1944</f>
        <v>3206</v>
      </c>
      <c r="AZ52" s="76">
        <f>437.71+648</f>
        <v>1085.71</v>
      </c>
      <c r="BA52" s="78">
        <f>1287+143</f>
        <v>1430</v>
      </c>
      <c r="BB52" s="101">
        <f>1171+150+81</f>
        <v>1402</v>
      </c>
      <c r="BC52" s="78">
        <f>2064+50+8.7</f>
        <v>2122.7</v>
      </c>
      <c r="BD52" s="78">
        <f>1920+300+10</f>
        <v>2230</v>
      </c>
      <c r="BE52" s="78">
        <f>1920+300+10</f>
        <v>2230</v>
      </c>
      <c r="BF52" s="78">
        <f>1920+300+10</f>
        <v>2230</v>
      </c>
      <c r="BG52" s="78">
        <f>SUM(AU52:BF52)</f>
        <v>26741.11</v>
      </c>
      <c r="BH52" s="78">
        <v>4306</v>
      </c>
      <c r="BI52" s="78">
        <f>2665.85+120</f>
        <v>2785.85</v>
      </c>
      <c r="BJ52" s="78">
        <v>3731</v>
      </c>
      <c r="BK52" s="76">
        <v>456</v>
      </c>
      <c r="BL52" s="76">
        <v>618</v>
      </c>
      <c r="BM52" s="66">
        <f>3186.68+120+811.57</f>
        <v>4118.25</v>
      </c>
      <c r="BN52" s="118">
        <f>(739.28+576+220.72)</f>
        <v>1536</v>
      </c>
      <c r="BO52" s="118">
        <f>1338.87+0+4229.24</f>
        <v>5568.11</v>
      </c>
      <c r="BP52" s="78">
        <f>2311+72+7387</f>
        <v>9770</v>
      </c>
      <c r="BQ52" s="78">
        <f>1529+0+87.5</f>
        <v>1616.5</v>
      </c>
      <c r="BR52" s="79">
        <f>1500+594+1001</f>
        <v>3095</v>
      </c>
      <c r="BS52" s="79">
        <f>1306+213</f>
        <v>1519</v>
      </c>
      <c r="BT52" s="66">
        <f>SUM(BH52:BS52)</f>
        <v>39119.71</v>
      </c>
      <c r="BU52" s="99">
        <v>4636.27</v>
      </c>
      <c r="BV52" s="99">
        <f>1586.4+1087.5+684.34</f>
        <v>3358.2400000000002</v>
      </c>
      <c r="BW52" s="99">
        <f>730.05+403.76</f>
        <v>1133.81</v>
      </c>
      <c r="BX52" s="99">
        <f>115.8+1224+128</f>
        <v>1467.8</v>
      </c>
      <c r="BY52" s="99">
        <f>2754+420</f>
        <v>3174</v>
      </c>
      <c r="BZ52" s="99">
        <f>777+18</f>
        <v>795</v>
      </c>
      <c r="CA52" s="99">
        <v>1392</v>
      </c>
      <c r="CB52" s="99">
        <f>2026+42+806</f>
        <v>2874</v>
      </c>
      <c r="CC52" s="122">
        <f>1058+776</f>
        <v>1834</v>
      </c>
      <c r="CD52" s="122">
        <f>606+12+432</f>
        <v>1050</v>
      </c>
      <c r="CE52" s="104">
        <v>3522</v>
      </c>
      <c r="CF52" s="104">
        <f>1686+328+446</f>
        <v>2460</v>
      </c>
      <c r="CG52" s="66">
        <f>SUM(BU52:CF52)</f>
        <v>27697.12</v>
      </c>
      <c r="CH52" s="67">
        <f>549+43+18</f>
        <v>610</v>
      </c>
      <c r="CI52" s="82">
        <v>2614</v>
      </c>
      <c r="CJ52" s="82">
        <v>2740</v>
      </c>
      <c r="CK52" s="82">
        <v>2832</v>
      </c>
      <c r="CL52" s="82">
        <v>1329</v>
      </c>
      <c r="CM52" s="82">
        <v>1876</v>
      </c>
      <c r="CN52" s="82">
        <v>1799</v>
      </c>
      <c r="CO52" s="82">
        <v>3754</v>
      </c>
      <c r="CP52" s="82">
        <v>1346</v>
      </c>
      <c r="CQ52" s="82">
        <v>469</v>
      </c>
      <c r="CR52" s="82">
        <v>1600</v>
      </c>
      <c r="CS52" s="82">
        <v>1035</v>
      </c>
      <c r="CT52" s="67">
        <f>SUM(CH52:CS52)</f>
        <v>22004</v>
      </c>
      <c r="CU52" s="82">
        <v>1545</v>
      </c>
      <c r="CV52" s="82">
        <v>1526</v>
      </c>
      <c r="CW52" s="82">
        <v>2167</v>
      </c>
      <c r="CX52" s="82">
        <f>2015+61</f>
        <v>2076</v>
      </c>
      <c r="CY52" s="82">
        <f>2461+254</f>
        <v>2715</v>
      </c>
      <c r="CZ52" s="82">
        <v>1544</v>
      </c>
      <c r="DA52" s="82">
        <v>1561</v>
      </c>
      <c r="DB52" s="82">
        <v>4525</v>
      </c>
      <c r="DC52" s="82">
        <f>3924+1128+60</f>
        <v>5112</v>
      </c>
      <c r="DD52" s="82">
        <v>1419</v>
      </c>
      <c r="DE52" s="82">
        <v>209</v>
      </c>
      <c r="DF52" s="82">
        <v>78</v>
      </c>
      <c r="DG52" s="67">
        <f>SUM(CU52:DF52)</f>
        <v>24477</v>
      </c>
      <c r="DH52" s="67">
        <v>551</v>
      </c>
      <c r="DI52" s="82">
        <v>264</v>
      </c>
      <c r="DJ52" s="82">
        <v>2722</v>
      </c>
      <c r="DK52" s="82">
        <f>2232+28</f>
        <v>2260</v>
      </c>
      <c r="DL52" s="82">
        <v>2462</v>
      </c>
      <c r="DM52" s="82">
        <v>1850</v>
      </c>
      <c r="DN52" s="82">
        <v>877</v>
      </c>
      <c r="DO52" s="82">
        <v>2876.54</v>
      </c>
      <c r="DP52" s="82">
        <f>1971.98+240</f>
        <v>2211.98</v>
      </c>
      <c r="DQ52" s="82">
        <v>1536.61</v>
      </c>
      <c r="DR52" s="82">
        <f>1740.16+20.32</f>
        <v>1760.48</v>
      </c>
      <c r="DS52" s="82">
        <v>1153</v>
      </c>
      <c r="DT52" s="82">
        <f>SUM(DH52:DS52)</f>
        <v>20524.61</v>
      </c>
      <c r="DU52" s="82">
        <v>1742</v>
      </c>
      <c r="DV52" s="82">
        <v>1639</v>
      </c>
      <c r="DW52" s="82">
        <v>702</v>
      </c>
      <c r="DX52" s="82">
        <v>909.4</v>
      </c>
      <c r="DY52" s="82">
        <v>450</v>
      </c>
      <c r="DZ52" s="82">
        <v>834</v>
      </c>
      <c r="EA52" s="82">
        <v>870</v>
      </c>
      <c r="EB52" s="82">
        <v>414</v>
      </c>
      <c r="EC52" s="82">
        <v>1461</v>
      </c>
      <c r="ED52" s="82">
        <v>1248</v>
      </c>
      <c r="EE52" s="82">
        <v>433</v>
      </c>
      <c r="EF52" s="82">
        <v>435</v>
      </c>
      <c r="EG52" s="82">
        <f>SUM(DU52:EF52)</f>
        <v>11137.4</v>
      </c>
      <c r="EH52" s="82">
        <v>1007</v>
      </c>
      <c r="EI52" s="82">
        <v>638</v>
      </c>
      <c r="EJ52" s="82">
        <v>1392</v>
      </c>
      <c r="EK52" s="82">
        <v>2752</v>
      </c>
      <c r="EL52" s="82">
        <v>370</v>
      </c>
      <c r="EM52" s="82">
        <v>921</v>
      </c>
      <c r="EN52" s="82">
        <v>60</v>
      </c>
      <c r="EO52" s="82">
        <v>738</v>
      </c>
      <c r="EP52" s="82">
        <v>1353.84</v>
      </c>
      <c r="EQ52" s="82">
        <v>1317.36</v>
      </c>
      <c r="ER52" s="82">
        <v>3986.61</v>
      </c>
      <c r="ES52" s="82">
        <v>893.97</v>
      </c>
      <c r="ET52" s="82">
        <f>SUM(EH52:ES52)</f>
        <v>15429.78</v>
      </c>
      <c r="EU52" s="82">
        <v>1128.14</v>
      </c>
      <c r="EV52" s="82">
        <v>982.85</v>
      </c>
      <c r="EW52" s="82">
        <v>519.68</v>
      </c>
      <c r="EX52" s="82">
        <v>595.37</v>
      </c>
      <c r="EY52" s="82">
        <v>699.3000000000001</v>
      </c>
      <c r="EZ52" s="82">
        <v>896.64</v>
      </c>
      <c r="FA52" s="82">
        <v>1044.11</v>
      </c>
      <c r="FB52" s="82">
        <v>671.18</v>
      </c>
      <c r="FC52" s="82">
        <v>1317.15</v>
      </c>
      <c r="FD52" s="82">
        <v>563.1</v>
      </c>
      <c r="FE52" s="82">
        <v>1063.03</v>
      </c>
      <c r="FF52" s="82">
        <v>1091.5</v>
      </c>
      <c r="FG52" s="82">
        <f>SUM(EU52:FF52)</f>
        <v>10572.050000000001</v>
      </c>
      <c r="FH52" s="82">
        <v>1020.53</v>
      </c>
    </row>
    <row r="53" spans="1:164" ht="15.75">
      <c r="A53" s="65" t="s">
        <v>57</v>
      </c>
      <c r="B53" s="130" t="s">
        <v>33</v>
      </c>
      <c r="C53" s="91" t="s">
        <v>33</v>
      </c>
      <c r="D53" s="91" t="s">
        <v>33</v>
      </c>
      <c r="E53" s="91" t="s">
        <v>33</v>
      </c>
      <c r="F53" s="70">
        <v>563047</v>
      </c>
      <c r="G53" s="70">
        <v>1563730</v>
      </c>
      <c r="H53" s="70">
        <v>1072976</v>
      </c>
      <c r="I53" s="91" t="s">
        <v>33</v>
      </c>
      <c r="J53" s="91" t="s">
        <v>33</v>
      </c>
      <c r="K53" s="70">
        <v>313664</v>
      </c>
      <c r="L53" s="71">
        <v>104256</v>
      </c>
      <c r="M53" s="72">
        <v>71062</v>
      </c>
      <c r="N53" s="73">
        <v>68937.53</v>
      </c>
      <c r="O53" s="72">
        <v>277465.61</v>
      </c>
      <c r="P53" s="73">
        <v>301520</v>
      </c>
      <c r="Q53" s="73">
        <v>333540</v>
      </c>
      <c r="R53" s="73">
        <v>365500</v>
      </c>
      <c r="S53" s="75">
        <v>599001</v>
      </c>
      <c r="T53" s="73">
        <v>468154</v>
      </c>
      <c r="U53" s="73">
        <v>265940</v>
      </c>
      <c r="V53" s="73">
        <v>197358</v>
      </c>
      <c r="W53" s="73">
        <v>59400</v>
      </c>
      <c r="X53" s="73">
        <v>100223</v>
      </c>
      <c r="Y53" s="73">
        <v>68485</v>
      </c>
      <c r="Z53" s="150">
        <v>0</v>
      </c>
      <c r="AA53" s="150">
        <v>0</v>
      </c>
      <c r="AB53" s="150">
        <v>0</v>
      </c>
      <c r="AC53" s="150">
        <v>0</v>
      </c>
      <c r="AD53" s="150">
        <v>0</v>
      </c>
      <c r="AE53" s="157">
        <v>0</v>
      </c>
      <c r="AF53" s="157">
        <v>0</v>
      </c>
      <c r="AG53" s="157">
        <v>0</v>
      </c>
      <c r="AH53" s="157">
        <v>0</v>
      </c>
      <c r="AI53" s="157">
        <v>0</v>
      </c>
      <c r="AJ53" s="157">
        <v>0</v>
      </c>
      <c r="AK53" s="157">
        <v>0</v>
      </c>
      <c r="AL53" s="157">
        <v>0</v>
      </c>
      <c r="AM53" s="157">
        <v>0</v>
      </c>
      <c r="AN53" s="157">
        <v>0</v>
      </c>
      <c r="AO53" s="157">
        <v>0</v>
      </c>
      <c r="AP53" s="157">
        <v>0</v>
      </c>
      <c r="AQ53" s="157">
        <v>0</v>
      </c>
      <c r="AR53" s="157">
        <v>0</v>
      </c>
      <c r="AS53" s="157">
        <v>0</v>
      </c>
      <c r="AT53" s="157">
        <v>0</v>
      </c>
      <c r="AU53" s="157">
        <v>0</v>
      </c>
      <c r="AV53" s="157">
        <v>0</v>
      </c>
      <c r="AW53" s="157">
        <v>0</v>
      </c>
      <c r="AX53" s="157">
        <v>0</v>
      </c>
      <c r="AY53" s="157">
        <v>0</v>
      </c>
      <c r="AZ53" s="157">
        <v>0</v>
      </c>
      <c r="BA53" s="157">
        <v>0</v>
      </c>
      <c r="BB53" s="157">
        <v>0</v>
      </c>
      <c r="BC53" s="157">
        <v>0</v>
      </c>
      <c r="BD53" s="157">
        <v>0</v>
      </c>
      <c r="BE53" s="157">
        <v>0</v>
      </c>
      <c r="BF53" s="157">
        <v>0</v>
      </c>
      <c r="BG53" s="157">
        <v>0</v>
      </c>
      <c r="BH53" s="157">
        <v>0</v>
      </c>
      <c r="BI53" s="157">
        <v>0</v>
      </c>
      <c r="BJ53" s="157">
        <v>0</v>
      </c>
      <c r="BK53" s="157">
        <v>0</v>
      </c>
      <c r="BL53" s="157">
        <v>0</v>
      </c>
      <c r="BM53" s="157">
        <v>0</v>
      </c>
      <c r="BN53" s="157">
        <v>0</v>
      </c>
      <c r="BO53" s="157">
        <v>0</v>
      </c>
      <c r="BP53" s="157">
        <v>0</v>
      </c>
      <c r="BQ53" s="157">
        <v>0</v>
      </c>
      <c r="BR53" s="157">
        <v>0</v>
      </c>
      <c r="BS53" s="157">
        <v>0</v>
      </c>
      <c r="BT53" s="157">
        <v>0</v>
      </c>
      <c r="BU53" s="157">
        <v>0</v>
      </c>
      <c r="BV53" s="157">
        <v>0</v>
      </c>
      <c r="BW53" s="157">
        <v>0</v>
      </c>
      <c r="BX53" s="157">
        <v>0</v>
      </c>
      <c r="BY53" s="157">
        <v>0</v>
      </c>
      <c r="BZ53" s="157">
        <v>0</v>
      </c>
      <c r="CA53" s="157">
        <v>0</v>
      </c>
      <c r="CB53" s="157">
        <v>0</v>
      </c>
      <c r="CC53" s="157">
        <v>0</v>
      </c>
      <c r="CD53" s="157">
        <v>0</v>
      </c>
      <c r="CE53" s="157">
        <v>0</v>
      </c>
      <c r="CF53" s="157">
        <v>0</v>
      </c>
      <c r="CG53" s="157">
        <v>0</v>
      </c>
      <c r="CH53" s="157">
        <v>0</v>
      </c>
      <c r="CI53" s="157">
        <v>0</v>
      </c>
      <c r="CJ53" s="157">
        <v>0</v>
      </c>
      <c r="CK53" s="157">
        <v>0</v>
      </c>
      <c r="CL53" s="157">
        <v>0</v>
      </c>
      <c r="CM53" s="157">
        <v>0</v>
      </c>
      <c r="CN53" s="157">
        <v>0</v>
      </c>
      <c r="CO53" s="157">
        <v>0</v>
      </c>
      <c r="CP53" s="157">
        <v>0</v>
      </c>
      <c r="CQ53" s="157">
        <v>0</v>
      </c>
      <c r="CR53" s="157">
        <v>0</v>
      </c>
      <c r="CS53" s="157">
        <v>0</v>
      </c>
      <c r="CT53" s="157">
        <v>0</v>
      </c>
      <c r="CU53" s="157">
        <v>0</v>
      </c>
      <c r="CV53" s="157">
        <v>0</v>
      </c>
      <c r="CW53" s="157">
        <v>0</v>
      </c>
      <c r="CX53" s="157">
        <v>0</v>
      </c>
      <c r="CY53" s="157">
        <v>0</v>
      </c>
      <c r="CZ53" s="157">
        <v>0</v>
      </c>
      <c r="DA53" s="157">
        <v>0</v>
      </c>
      <c r="DB53" s="157">
        <v>0</v>
      </c>
      <c r="DC53" s="157">
        <v>0</v>
      </c>
      <c r="DD53" s="157">
        <v>0</v>
      </c>
      <c r="DE53" s="157">
        <v>0</v>
      </c>
      <c r="DF53" s="157">
        <v>0</v>
      </c>
      <c r="DG53" s="157">
        <v>0</v>
      </c>
      <c r="DH53" s="157">
        <v>0</v>
      </c>
      <c r="DI53" s="157">
        <v>0</v>
      </c>
      <c r="DJ53" s="157">
        <v>0</v>
      </c>
      <c r="DK53" s="157">
        <v>0</v>
      </c>
      <c r="DL53" s="157">
        <v>0</v>
      </c>
      <c r="DM53" s="157">
        <v>0</v>
      </c>
      <c r="DN53" s="157">
        <v>0</v>
      </c>
      <c r="DO53" s="157">
        <v>0</v>
      </c>
      <c r="DP53" s="157">
        <v>0</v>
      </c>
      <c r="DQ53" s="157">
        <v>0</v>
      </c>
      <c r="DR53" s="157">
        <v>0</v>
      </c>
      <c r="DS53" s="157">
        <v>0</v>
      </c>
      <c r="DT53" s="150">
        <v>0</v>
      </c>
      <c r="DU53" s="150">
        <v>0</v>
      </c>
      <c r="DV53" s="150">
        <v>0</v>
      </c>
      <c r="DW53" s="150">
        <v>0</v>
      </c>
      <c r="DX53" s="150">
        <v>0</v>
      </c>
      <c r="DY53" s="150">
        <v>0</v>
      </c>
      <c r="DZ53" s="150">
        <v>0</v>
      </c>
      <c r="EA53" s="150">
        <v>0</v>
      </c>
      <c r="EB53" s="150">
        <v>0</v>
      </c>
      <c r="EC53" s="150">
        <v>0</v>
      </c>
      <c r="ED53" s="150">
        <v>0</v>
      </c>
      <c r="EE53" s="157">
        <v>0</v>
      </c>
      <c r="EF53" s="150"/>
      <c r="EG53" s="150">
        <v>0</v>
      </c>
      <c r="EH53" s="150">
        <v>0</v>
      </c>
      <c r="EI53" s="150"/>
      <c r="EJ53" s="150">
        <v>0</v>
      </c>
      <c r="EK53" s="150">
        <v>0</v>
      </c>
      <c r="EL53" s="150"/>
      <c r="EM53" s="150">
        <v>0</v>
      </c>
      <c r="EN53" s="150"/>
      <c r="EO53" s="150">
        <v>0</v>
      </c>
      <c r="EP53" s="150">
        <v>0</v>
      </c>
      <c r="EQ53" s="157">
        <v>0</v>
      </c>
      <c r="ER53" s="157">
        <v>0</v>
      </c>
      <c r="ES53" s="157">
        <v>0</v>
      </c>
      <c r="ET53" s="150">
        <v>0</v>
      </c>
      <c r="EU53" s="150">
        <v>0</v>
      </c>
      <c r="EV53" s="150">
        <v>0</v>
      </c>
      <c r="EW53" s="150">
        <v>0</v>
      </c>
      <c r="EX53" s="150">
        <v>0</v>
      </c>
      <c r="EY53" s="150">
        <v>0</v>
      </c>
      <c r="EZ53" s="150">
        <v>0</v>
      </c>
      <c r="FA53" s="150">
        <v>0</v>
      </c>
      <c r="FB53" s="150">
        <v>0</v>
      </c>
      <c r="FC53" s="150">
        <v>0</v>
      </c>
      <c r="FD53" s="150">
        <v>0</v>
      </c>
      <c r="FE53" s="150">
        <v>0</v>
      </c>
      <c r="FF53" s="150">
        <v>0</v>
      </c>
      <c r="FG53" s="150">
        <v>0</v>
      </c>
      <c r="FH53" s="150">
        <v>0</v>
      </c>
    </row>
    <row r="54" spans="1:164" ht="15.75">
      <c r="A54" s="4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71"/>
      <c r="M54" s="72"/>
      <c r="N54" s="73"/>
      <c r="O54" s="72"/>
      <c r="P54" s="73"/>
      <c r="Q54" s="73"/>
      <c r="R54" s="73"/>
      <c r="S54" s="75"/>
      <c r="T54" s="75"/>
      <c r="U54" s="131"/>
      <c r="V54" s="132"/>
      <c r="W54" s="132"/>
      <c r="X54" s="73"/>
      <c r="Y54" s="73"/>
      <c r="Z54" s="73"/>
      <c r="AA54" s="66"/>
      <c r="AB54" s="67"/>
      <c r="AC54" s="67"/>
      <c r="AD54" s="67"/>
      <c r="AE54" s="67"/>
      <c r="AF54" s="67"/>
      <c r="AG54" s="67"/>
      <c r="AH54" s="67"/>
      <c r="AI54" s="67"/>
      <c r="AJ54" s="87"/>
      <c r="AK54" s="67"/>
      <c r="AL54" s="67"/>
      <c r="AM54" s="78"/>
      <c r="AN54" s="67"/>
      <c r="AO54" s="67"/>
      <c r="AP54" s="67"/>
      <c r="AQ54" s="67"/>
      <c r="AR54" s="78"/>
      <c r="AS54" s="67"/>
      <c r="AT54" s="67"/>
      <c r="AU54" s="67"/>
      <c r="AV54" s="67"/>
      <c r="AW54" s="67"/>
      <c r="AX54" s="67"/>
      <c r="AY54" s="78"/>
      <c r="AZ54" s="67"/>
      <c r="BA54" s="67"/>
      <c r="BB54" s="67"/>
      <c r="BC54" s="67"/>
      <c r="BD54" s="78"/>
      <c r="BE54" s="67"/>
      <c r="BF54" s="67"/>
      <c r="BG54" s="78"/>
      <c r="BH54" s="78"/>
      <c r="BI54" s="78"/>
      <c r="BJ54" s="78"/>
      <c r="BK54" s="67"/>
      <c r="BL54" s="67"/>
      <c r="BM54" s="67"/>
      <c r="BN54" s="67"/>
      <c r="BO54" s="8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>
        <f t="shared" si="14"/>
        <v>0</v>
      </c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>
        <f t="shared" si="15"/>
        <v>0</v>
      </c>
      <c r="DH54" s="67">
        <f>SUM(CT54:DE54)</f>
        <v>0</v>
      </c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82">
        <f t="shared" si="16"/>
        <v>0</v>
      </c>
      <c r="DU54" s="67">
        <f>SUM(CU54:DF54)</f>
        <v>0</v>
      </c>
      <c r="DV54" s="67">
        <f>SUM(CU54:DF54)</f>
        <v>0</v>
      </c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82">
        <f t="shared" si="17"/>
        <v>0</v>
      </c>
      <c r="EH54" s="67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67"/>
      <c r="EU54" s="67"/>
      <c r="EV54" s="67"/>
      <c r="EW54" s="67"/>
      <c r="EX54" s="67"/>
      <c r="EY54" s="67"/>
      <c r="EZ54" s="67"/>
      <c r="FA54" s="67"/>
      <c r="FB54" s="67"/>
      <c r="FC54" s="82"/>
      <c r="FD54" s="82"/>
      <c r="FE54" s="82"/>
      <c r="FF54" s="82"/>
      <c r="FG54" s="67"/>
      <c r="FH54" s="67"/>
    </row>
    <row r="55" spans="1:164" ht="15.75" hidden="1">
      <c r="A55" s="65" t="s">
        <v>58</v>
      </c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71"/>
      <c r="M55" s="72"/>
      <c r="N55" s="73"/>
      <c r="O55" s="72"/>
      <c r="P55" s="73"/>
      <c r="Q55" s="73"/>
      <c r="R55" s="73"/>
      <c r="S55" s="75"/>
      <c r="T55" s="75"/>
      <c r="U55" s="75"/>
      <c r="V55" s="75"/>
      <c r="W55" s="75"/>
      <c r="X55" s="75"/>
      <c r="Y55" s="73"/>
      <c r="Z55" s="73"/>
      <c r="AA55" s="73"/>
      <c r="AB55" s="73"/>
      <c r="AC55" s="67"/>
      <c r="AD55" s="67"/>
      <c r="AE55" s="67"/>
      <c r="AF55" s="67"/>
      <c r="AG55" s="67"/>
      <c r="AH55" s="67"/>
      <c r="AI55" s="67"/>
      <c r="AJ55" s="87"/>
      <c r="AK55" s="67"/>
      <c r="AL55" s="67"/>
      <c r="AM55" s="78"/>
      <c r="AN55" s="67"/>
      <c r="AO55" s="67"/>
      <c r="AP55" s="67"/>
      <c r="AQ55" s="67"/>
      <c r="AR55" s="78"/>
      <c r="AS55" s="67"/>
      <c r="AT55" s="67"/>
      <c r="AU55" s="67"/>
      <c r="AV55" s="87"/>
      <c r="AW55" s="67"/>
      <c r="AX55" s="67"/>
      <c r="AY55" s="67"/>
      <c r="AZ55" s="67"/>
      <c r="BA55" s="67"/>
      <c r="BB55" s="67"/>
      <c r="BC55" s="67"/>
      <c r="BD55" s="78"/>
      <c r="BE55" s="67"/>
      <c r="BF55" s="67"/>
      <c r="BG55" s="78">
        <f>SUM(AU55:BF55)</f>
        <v>0</v>
      </c>
      <c r="BH55" s="78"/>
      <c r="BI55" s="78"/>
      <c r="BJ55" s="78"/>
      <c r="BK55" s="87"/>
      <c r="BL55" s="67"/>
      <c r="BM55" s="87"/>
      <c r="BN55" s="67"/>
      <c r="BO55" s="67"/>
      <c r="BP55" s="67"/>
      <c r="BQ55" s="67"/>
      <c r="BR55" s="67"/>
      <c r="BS55" s="67"/>
      <c r="BT55" s="87"/>
      <c r="BU55" s="67">
        <f>SUM(BH55:BP55)</f>
        <v>0</v>
      </c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>
        <f t="shared" si="14"/>
        <v>0</v>
      </c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>
        <f t="shared" si="15"/>
        <v>0</v>
      </c>
      <c r="DH55" s="67">
        <f>SUM(CT55:DE55)</f>
        <v>0</v>
      </c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82">
        <f t="shared" si="16"/>
        <v>0</v>
      </c>
      <c r="DU55" s="67">
        <f>SUM(CU55:DF55)</f>
        <v>0</v>
      </c>
      <c r="DV55" s="67">
        <f>SUM(CU55:DF55)</f>
        <v>0</v>
      </c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82">
        <f t="shared" si="17"/>
        <v>0</v>
      </c>
      <c r="EH55" s="67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67"/>
      <c r="EU55" s="67"/>
      <c r="EV55" s="67"/>
      <c r="EW55" s="67"/>
      <c r="EX55" s="67"/>
      <c r="EY55" s="67"/>
      <c r="EZ55" s="67"/>
      <c r="FA55" s="67"/>
      <c r="FB55" s="67"/>
      <c r="FC55" s="82"/>
      <c r="FD55" s="82"/>
      <c r="FE55" s="82"/>
      <c r="FF55" s="82"/>
      <c r="FG55" s="67"/>
      <c r="FH55" s="67"/>
    </row>
    <row r="56" spans="1:164" ht="15.75" hidden="1">
      <c r="A56" s="4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71"/>
      <c r="M56" s="72"/>
      <c r="N56" s="73"/>
      <c r="O56" s="72"/>
      <c r="P56" s="73"/>
      <c r="Q56" s="73"/>
      <c r="R56" s="73"/>
      <c r="S56" s="75"/>
      <c r="T56" s="75"/>
      <c r="U56" s="75"/>
      <c r="V56" s="75"/>
      <c r="W56" s="75"/>
      <c r="X56" s="75"/>
      <c r="Y56" s="73"/>
      <c r="Z56" s="73"/>
      <c r="AA56" s="73"/>
      <c r="AB56" s="73"/>
      <c r="AC56" s="67"/>
      <c r="AD56" s="67"/>
      <c r="AE56" s="67"/>
      <c r="AF56" s="67"/>
      <c r="AG56" s="67"/>
      <c r="AH56" s="67"/>
      <c r="AI56" s="67"/>
      <c r="AJ56" s="87"/>
      <c r="AK56" s="67"/>
      <c r="AL56" s="67"/>
      <c r="AM56" s="78"/>
      <c r="AN56" s="67"/>
      <c r="AO56" s="67"/>
      <c r="AP56" s="67"/>
      <c r="AQ56" s="67"/>
      <c r="AR56" s="78"/>
      <c r="AS56" s="67"/>
      <c r="AT56" s="67"/>
      <c r="AU56" s="67"/>
      <c r="AV56" s="87"/>
      <c r="AW56" s="67"/>
      <c r="AX56" s="67"/>
      <c r="AY56" s="67"/>
      <c r="AZ56" s="67"/>
      <c r="BA56" s="67"/>
      <c r="BB56" s="67"/>
      <c r="BC56" s="67"/>
      <c r="BD56" s="78"/>
      <c r="BE56" s="67"/>
      <c r="BF56" s="67"/>
      <c r="BG56" s="78">
        <f>SUM(AU56:BF56)</f>
        <v>0</v>
      </c>
      <c r="BH56" s="78"/>
      <c r="BI56" s="78"/>
      <c r="BJ56" s="78"/>
      <c r="BK56" s="87"/>
      <c r="BL56" s="67"/>
      <c r="BM56" s="87"/>
      <c r="BN56" s="67"/>
      <c r="BO56" s="67"/>
      <c r="BP56" s="67"/>
      <c r="BQ56" s="67"/>
      <c r="BR56" s="67"/>
      <c r="BS56" s="67"/>
      <c r="BT56" s="87"/>
      <c r="BU56" s="67">
        <f>SUM(BH56:BP56)</f>
        <v>0</v>
      </c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>
        <f t="shared" si="14"/>
        <v>0</v>
      </c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>
        <f t="shared" si="15"/>
        <v>0</v>
      </c>
      <c r="DH56" s="67">
        <f>SUM(CT56:DE56)</f>
        <v>0</v>
      </c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82">
        <f t="shared" si="16"/>
        <v>0</v>
      </c>
      <c r="DU56" s="67">
        <f>SUM(CU56:DF56)</f>
        <v>0</v>
      </c>
      <c r="DV56" s="67">
        <f>SUM(CU56:DF56)</f>
        <v>0</v>
      </c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82">
        <f t="shared" si="17"/>
        <v>0</v>
      </c>
      <c r="EH56" s="67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67"/>
      <c r="EU56" s="67"/>
      <c r="EV56" s="67"/>
      <c r="EW56" s="67"/>
      <c r="EX56" s="67"/>
      <c r="EY56" s="67"/>
      <c r="EZ56" s="67"/>
      <c r="FA56" s="67"/>
      <c r="FB56" s="67"/>
      <c r="FC56" s="82"/>
      <c r="FD56" s="82"/>
      <c r="FE56" s="82"/>
      <c r="FF56" s="82"/>
      <c r="FG56" s="67"/>
      <c r="FH56" s="67"/>
    </row>
    <row r="57" spans="1:164" ht="15.75" hidden="1">
      <c r="A57" s="65" t="s">
        <v>59</v>
      </c>
      <c r="B57" s="164">
        <v>181845</v>
      </c>
      <c r="C57" s="70">
        <v>268559</v>
      </c>
      <c r="D57" s="70">
        <v>237063</v>
      </c>
      <c r="E57" s="70">
        <v>246049</v>
      </c>
      <c r="F57" s="70">
        <v>236929</v>
      </c>
      <c r="G57" s="70">
        <v>174488</v>
      </c>
      <c r="H57" s="70">
        <v>243248</v>
      </c>
      <c r="I57" s="70">
        <v>256280</v>
      </c>
      <c r="J57" s="70">
        <v>257660</v>
      </c>
      <c r="K57" s="70">
        <v>282530</v>
      </c>
      <c r="L57" s="71">
        <v>274049</v>
      </c>
      <c r="M57" s="72">
        <v>272170</v>
      </c>
      <c r="N57" s="73">
        <v>141547</v>
      </c>
      <c r="O57" s="72">
        <v>232640</v>
      </c>
      <c r="P57" s="73">
        <v>190347</v>
      </c>
      <c r="Q57" s="73">
        <v>176540</v>
      </c>
      <c r="R57" s="73">
        <v>146583</v>
      </c>
      <c r="S57" s="75">
        <v>160183</v>
      </c>
      <c r="T57" s="73">
        <v>110078</v>
      </c>
      <c r="U57" s="95" t="s">
        <v>64</v>
      </c>
      <c r="V57" s="95" t="s">
        <v>64</v>
      </c>
      <c r="W57" s="95" t="s">
        <v>64</v>
      </c>
      <c r="X57" s="95" t="s">
        <v>64</v>
      </c>
      <c r="Y57" s="95" t="s">
        <v>64</v>
      </c>
      <c r="Z57" s="95"/>
      <c r="AA57" s="95"/>
      <c r="AB57" s="95"/>
      <c r="AC57" s="67"/>
      <c r="AD57" s="67"/>
      <c r="AE57" s="87"/>
      <c r="AF57" s="87"/>
      <c r="AG57" s="87"/>
      <c r="AH57" s="87"/>
      <c r="AI57" s="102" t="s">
        <v>64</v>
      </c>
      <c r="AJ57" s="102" t="s">
        <v>64</v>
      </c>
      <c r="AK57" s="95" t="s">
        <v>64</v>
      </c>
      <c r="AL57" s="95" t="s">
        <v>64</v>
      </c>
      <c r="AM57" s="95" t="s">
        <v>64</v>
      </c>
      <c r="AN57" s="95" t="s">
        <v>64</v>
      </c>
      <c r="AO57" s="95" t="s">
        <v>64</v>
      </c>
      <c r="AP57" s="95" t="s">
        <v>64</v>
      </c>
      <c r="AQ57" s="95" t="s">
        <v>64</v>
      </c>
      <c r="AR57" s="95" t="s">
        <v>64</v>
      </c>
      <c r="AS57" s="94" t="s">
        <v>64</v>
      </c>
      <c r="AT57" s="94" t="s">
        <v>64</v>
      </c>
      <c r="AU57" s="102" t="s">
        <v>64</v>
      </c>
      <c r="AV57" s="95"/>
      <c r="AW57" s="95"/>
      <c r="AX57" s="95"/>
      <c r="AY57" s="95"/>
      <c r="AZ57" s="95"/>
      <c r="BA57" s="95"/>
      <c r="BB57" s="95"/>
      <c r="BC57" s="95"/>
      <c r="BD57" s="95"/>
      <c r="BE57" s="94"/>
      <c r="BF57" s="94"/>
      <c r="BG57" s="78">
        <f>SUM(AU57:BF57)</f>
        <v>0</v>
      </c>
      <c r="BH57" s="84"/>
      <c r="BI57" s="84"/>
      <c r="BJ57" s="84"/>
      <c r="BK57" s="95"/>
      <c r="BL57" s="95"/>
      <c r="BM57" s="95"/>
      <c r="BN57" s="95"/>
      <c r="BO57" s="95"/>
      <c r="BP57" s="95"/>
      <c r="BQ57" s="67"/>
      <c r="BR57" s="67"/>
      <c r="BS57" s="67"/>
      <c r="BT57" s="95"/>
      <c r="BU57" s="67">
        <f>SUM(BH57:BP57)</f>
        <v>0</v>
      </c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>
        <f t="shared" si="14"/>
        <v>0</v>
      </c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>
        <f t="shared" si="15"/>
        <v>0</v>
      </c>
      <c r="DH57" s="67">
        <f>SUM(CT57:DE57)</f>
        <v>0</v>
      </c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82">
        <f t="shared" si="16"/>
        <v>0</v>
      </c>
      <c r="DU57" s="67">
        <f>SUM(CU57:DF57)</f>
        <v>0</v>
      </c>
      <c r="DV57" s="67">
        <f>SUM(CU57:DF57)</f>
        <v>0</v>
      </c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82">
        <f t="shared" si="17"/>
        <v>0</v>
      </c>
      <c r="EH57" s="67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67"/>
      <c r="EU57" s="67"/>
      <c r="EV57" s="67"/>
      <c r="EW57" s="67"/>
      <c r="EX57" s="67"/>
      <c r="EY57" s="67"/>
      <c r="EZ57" s="67"/>
      <c r="FA57" s="67"/>
      <c r="FB57" s="67"/>
      <c r="FC57" s="82"/>
      <c r="FD57" s="82"/>
      <c r="FE57" s="82"/>
      <c r="FF57" s="82"/>
      <c r="FG57" s="67"/>
      <c r="FH57" s="67"/>
    </row>
    <row r="58" spans="1:164" ht="15.75">
      <c r="A58" s="133"/>
      <c r="B58" s="16"/>
      <c r="C58" s="16"/>
      <c r="D58" s="16"/>
      <c r="E58" s="16"/>
      <c r="F58" s="16"/>
      <c r="G58" s="16"/>
      <c r="H58" s="134"/>
      <c r="I58" s="16"/>
      <c r="J58" s="16"/>
      <c r="K58" s="134"/>
      <c r="L58" s="134"/>
      <c r="M58" s="135"/>
      <c r="N58" s="136"/>
      <c r="O58" s="135"/>
      <c r="P58" s="137"/>
      <c r="Q58" s="137"/>
      <c r="R58" s="137"/>
      <c r="S58" s="138"/>
      <c r="T58" s="138"/>
      <c r="U58" s="138"/>
      <c r="V58" s="138"/>
      <c r="W58" s="138"/>
      <c r="X58" s="138"/>
      <c r="Y58" s="136"/>
      <c r="Z58" s="136"/>
      <c r="AA58" s="136"/>
      <c r="AB58" s="136"/>
      <c r="AC58" s="67"/>
      <c r="AD58" s="67"/>
      <c r="AE58" s="67"/>
      <c r="AF58" s="67"/>
      <c r="AG58" s="67"/>
      <c r="AH58" s="67"/>
      <c r="AI58" s="45"/>
      <c r="AJ58" s="136"/>
      <c r="AK58" s="137"/>
      <c r="AL58" s="137"/>
      <c r="AM58" s="137"/>
      <c r="AN58" s="137"/>
      <c r="AO58" s="137"/>
      <c r="AP58" s="136"/>
      <c r="AQ58" s="136"/>
      <c r="AR58" s="139"/>
      <c r="AS58" s="137"/>
      <c r="AT58" s="138"/>
      <c r="AU58" s="45"/>
      <c r="AV58" s="140"/>
      <c r="AW58" s="137"/>
      <c r="AX58" s="137"/>
      <c r="AY58" s="137"/>
      <c r="AZ58" s="137"/>
      <c r="BA58" s="137"/>
      <c r="BB58" s="136"/>
      <c r="BC58" s="136"/>
      <c r="BD58" s="139"/>
      <c r="BE58" s="137"/>
      <c r="BF58" s="138"/>
      <c r="BG58" s="78">
        <f>SUM(AU58:BF58)</f>
        <v>0</v>
      </c>
      <c r="BH58" s="78"/>
      <c r="BI58" s="78"/>
      <c r="BJ58" s="78"/>
      <c r="BK58" s="140"/>
      <c r="BL58" s="137"/>
      <c r="BM58" s="138"/>
      <c r="BN58" s="137"/>
      <c r="BO58" s="136"/>
      <c r="BP58" s="136"/>
      <c r="BQ58" s="67"/>
      <c r="BR58" s="67"/>
      <c r="BS58" s="67"/>
      <c r="BT58" s="138"/>
      <c r="BU58" s="67">
        <f>SUM(BH58:BP58)</f>
        <v>0</v>
      </c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0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97"/>
      <c r="FD58" s="197"/>
      <c r="FE58" s="197"/>
      <c r="FF58" s="197"/>
      <c r="FG58" s="152"/>
      <c r="FH58" s="152"/>
    </row>
    <row r="59" spans="1:164" ht="15.75">
      <c r="A59" s="49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1"/>
      <c r="Z59" s="141"/>
      <c r="AA59" s="141"/>
      <c r="AB59" s="141"/>
      <c r="AC59" s="14"/>
      <c r="AD59" s="14"/>
      <c r="AE59" s="14"/>
      <c r="AF59" s="14"/>
      <c r="AG59" s="14"/>
      <c r="AH59" s="14"/>
      <c r="AI59" s="141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1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2"/>
      <c r="BH59" s="142"/>
      <c r="BI59" s="142"/>
      <c r="BJ59" s="142"/>
      <c r="BK59" s="14"/>
      <c r="BL59" s="14"/>
      <c r="BM59" s="14"/>
      <c r="BN59" s="14"/>
      <c r="BO59" s="14"/>
      <c r="BP59" s="14"/>
      <c r="BQ59" s="14"/>
      <c r="BR59" s="11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50"/>
      <c r="EV59" s="14"/>
      <c r="EW59" s="14"/>
      <c r="EX59" s="14"/>
      <c r="EY59" s="14"/>
      <c r="EZ59" s="14"/>
      <c r="FA59" s="14"/>
      <c r="FB59" s="14"/>
      <c r="FC59" s="198"/>
      <c r="FD59" s="198"/>
      <c r="FE59" s="198"/>
      <c r="FF59" s="198"/>
      <c r="FG59" s="50"/>
      <c r="FH59" s="50"/>
    </row>
    <row r="60" spans="1:164" ht="15.75">
      <c r="A60" s="143" t="s">
        <v>60</v>
      </c>
      <c r="B60" s="1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70"/>
      <c r="Z60" s="70"/>
      <c r="AA60" s="70"/>
      <c r="AB60" s="70"/>
      <c r="AC60" s="11"/>
      <c r="AD60" s="11"/>
      <c r="AE60" s="11"/>
      <c r="AF60" s="11"/>
      <c r="AG60" s="11"/>
      <c r="AH60" s="11"/>
      <c r="AI60" s="70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70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70"/>
      <c r="BH60" s="70"/>
      <c r="BI60" s="70"/>
      <c r="BJ60" s="70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27"/>
      <c r="EV60" s="11"/>
      <c r="EW60" s="11"/>
      <c r="EX60" s="11"/>
      <c r="EY60" s="11"/>
      <c r="EZ60" s="11"/>
      <c r="FA60" s="11"/>
      <c r="FB60" s="11"/>
      <c r="FC60" s="151"/>
      <c r="FD60" s="151"/>
      <c r="FE60" s="151"/>
      <c r="FF60" s="151"/>
      <c r="FG60" s="27"/>
      <c r="FH60" s="27"/>
    </row>
    <row r="61" spans="1:164" ht="15.75">
      <c r="A61" s="179" t="s">
        <v>61</v>
      </c>
      <c r="B61" s="1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70"/>
      <c r="Z61" s="70"/>
      <c r="AA61" s="70"/>
      <c r="AB61" s="70"/>
      <c r="AC61" s="11"/>
      <c r="AD61" s="11"/>
      <c r="AE61" s="11"/>
      <c r="AF61" s="11"/>
      <c r="AG61" s="11"/>
      <c r="AH61" s="11"/>
      <c r="AI61" s="70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70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70"/>
      <c r="BH61" s="70"/>
      <c r="BI61" s="70"/>
      <c r="BJ61" s="70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27"/>
      <c r="EV61" s="11"/>
      <c r="EW61" s="11"/>
      <c r="EX61" s="11"/>
      <c r="EY61" s="11"/>
      <c r="EZ61" s="11"/>
      <c r="FA61" s="11"/>
      <c r="FB61" s="11"/>
      <c r="FC61" s="151"/>
      <c r="FD61" s="151"/>
      <c r="FE61" s="151"/>
      <c r="FF61" s="151"/>
      <c r="FG61" s="27"/>
      <c r="FH61" s="27"/>
    </row>
    <row r="62" spans="1:164" ht="15.7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144"/>
      <c r="L62" s="144"/>
      <c r="M62" s="144"/>
      <c r="N62" s="144"/>
      <c r="O62" s="144"/>
      <c r="P62" s="41"/>
      <c r="Q62" s="41"/>
      <c r="R62" s="41"/>
      <c r="S62" s="41"/>
      <c r="T62" s="41"/>
      <c r="U62" s="41"/>
      <c r="V62" s="41"/>
      <c r="W62" s="41"/>
      <c r="X62" s="41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41"/>
      <c r="AL62" s="41"/>
      <c r="AM62" s="41"/>
      <c r="AN62" s="41"/>
      <c r="AO62" s="41"/>
      <c r="AP62" s="144"/>
      <c r="AQ62" s="144"/>
      <c r="AR62" s="41"/>
      <c r="AS62" s="41"/>
      <c r="AT62" s="41"/>
      <c r="AU62" s="144"/>
      <c r="AV62" s="144"/>
      <c r="AW62" s="41"/>
      <c r="AX62" s="41"/>
      <c r="AY62" s="41"/>
      <c r="AZ62" s="41"/>
      <c r="BA62" s="41"/>
      <c r="BB62" s="144"/>
      <c r="BC62" s="144"/>
      <c r="BD62" s="41"/>
      <c r="BE62" s="41"/>
      <c r="BF62" s="41"/>
      <c r="BG62" s="144"/>
      <c r="BH62" s="144"/>
      <c r="BI62" s="144"/>
      <c r="BJ62" s="144"/>
      <c r="BK62" s="144"/>
      <c r="BL62" s="41"/>
      <c r="BM62" s="41"/>
      <c r="BN62" s="41"/>
      <c r="BO62" s="144"/>
      <c r="BP62" s="144"/>
      <c r="BQ62" s="144"/>
      <c r="BR62" s="144"/>
      <c r="BS62" s="144"/>
      <c r="BT62" s="41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5"/>
      <c r="EV62" s="144"/>
      <c r="EW62" s="144"/>
      <c r="EX62" s="144"/>
      <c r="EY62" s="144"/>
      <c r="EZ62" s="144"/>
      <c r="FA62" s="144"/>
      <c r="FB62" s="144"/>
      <c r="FC62" s="199"/>
      <c r="FD62" s="199"/>
      <c r="FE62" s="199"/>
      <c r="FF62" s="199"/>
      <c r="FG62" s="145"/>
      <c r="FH62" s="145"/>
    </row>
    <row r="63" spans="1:164" ht="15.7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7"/>
      <c r="Z63" s="147"/>
      <c r="AA63" s="147"/>
      <c r="AB63" s="147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7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1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6"/>
      <c r="EH63" s="146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6"/>
      <c r="EU63" s="146"/>
      <c r="EV63" s="146"/>
      <c r="EW63" s="146"/>
      <c r="EX63" s="146"/>
      <c r="EY63" s="146"/>
      <c r="EZ63" s="146"/>
      <c r="FA63" s="146"/>
      <c r="FB63" s="146"/>
      <c r="FC63" s="124"/>
      <c r="FD63" s="124"/>
      <c r="FE63" s="124"/>
      <c r="FF63" s="124"/>
      <c r="FG63" s="146"/>
      <c r="FH63" s="146"/>
    </row>
    <row r="64" spans="1:164" ht="15.7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7"/>
      <c r="Z64" s="147"/>
      <c r="AA64" s="147"/>
      <c r="AB64" s="147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7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1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124"/>
      <c r="FD64" s="124"/>
      <c r="FE64" s="124"/>
      <c r="FF64" s="124"/>
      <c r="FG64" s="146"/>
      <c r="FH64" s="146"/>
    </row>
    <row r="65" spans="1:164" ht="15.7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7"/>
      <c r="Z65" s="147"/>
      <c r="AA65" s="147"/>
      <c r="AB65" s="147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6"/>
      <c r="ET65" s="146"/>
      <c r="EU65" s="146"/>
      <c r="EV65" s="146"/>
      <c r="EW65" s="146"/>
      <c r="EX65" s="146"/>
      <c r="EY65" s="146"/>
      <c r="EZ65" s="146"/>
      <c r="FA65" s="146"/>
      <c r="FB65" s="146"/>
      <c r="FC65" s="124"/>
      <c r="FD65" s="124"/>
      <c r="FE65" s="124"/>
      <c r="FF65" s="124"/>
      <c r="FG65" s="146"/>
      <c r="FH65" s="146"/>
    </row>
    <row r="66" spans="1:164" ht="15.75">
      <c r="A66" s="15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7"/>
      <c r="Z66" s="147"/>
      <c r="AA66" s="147"/>
      <c r="AB66" s="70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24"/>
      <c r="FD66" s="124"/>
      <c r="FE66" s="124"/>
      <c r="FF66" s="124"/>
      <c r="FG66" s="146"/>
      <c r="FH66" s="146"/>
    </row>
    <row r="67" spans="1:164" ht="15.75">
      <c r="A67" s="148" t="s">
        <v>83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7"/>
      <c r="Z67" s="147"/>
      <c r="AA67" s="147"/>
      <c r="AB67" s="147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146"/>
      <c r="DW67" s="146"/>
      <c r="DX67" s="146"/>
      <c r="DY67" s="146"/>
      <c r="DZ67" s="146"/>
      <c r="EA67" s="146"/>
      <c r="EB67" s="146"/>
      <c r="EC67" s="146"/>
      <c r="ED67" s="146"/>
      <c r="EE67" s="146"/>
      <c r="EF67" s="146"/>
      <c r="EG67" s="146"/>
      <c r="EH67" s="146"/>
      <c r="EI67" s="146"/>
      <c r="EJ67" s="146"/>
      <c r="EK67" s="146"/>
      <c r="EL67" s="146"/>
      <c r="EM67" s="146"/>
      <c r="EN67" s="146"/>
      <c r="EO67" s="146"/>
      <c r="EP67" s="146"/>
      <c r="EQ67" s="146"/>
      <c r="ER67" s="146"/>
      <c r="ES67" s="146"/>
      <c r="ET67" s="146"/>
      <c r="EU67" s="146"/>
      <c r="EV67" s="146"/>
      <c r="EW67" s="146"/>
      <c r="EX67" s="146"/>
      <c r="EY67" s="146"/>
      <c r="EZ67" s="146"/>
      <c r="FA67" s="146"/>
      <c r="FB67" s="146"/>
      <c r="FC67" s="124"/>
      <c r="FD67" s="124"/>
      <c r="FE67" s="124"/>
      <c r="FF67" s="124"/>
      <c r="FG67" s="146"/>
      <c r="FH67" s="146"/>
    </row>
    <row r="68" spans="1:164" ht="15.7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7"/>
      <c r="Z68" s="147"/>
      <c r="AA68" s="147"/>
      <c r="AB68" s="147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6"/>
      <c r="EH68" s="146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6"/>
      <c r="EU68" s="146"/>
      <c r="EV68" s="146"/>
      <c r="EW68" s="146"/>
      <c r="EX68" s="146"/>
      <c r="EY68" s="146"/>
      <c r="EZ68" s="146"/>
      <c r="FA68" s="146"/>
      <c r="FB68" s="146"/>
      <c r="FC68" s="124"/>
      <c r="FD68" s="124"/>
      <c r="FE68" s="124"/>
      <c r="FF68" s="124"/>
      <c r="FG68" s="146"/>
      <c r="FH68" s="146"/>
    </row>
    <row r="69" spans="1:164" ht="15.7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7"/>
      <c r="Z69" s="147"/>
      <c r="AA69" s="147"/>
      <c r="AB69" s="147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>
        <f>BW32+BW33</f>
        <v>733469</v>
      </c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24"/>
      <c r="FD69" s="124"/>
      <c r="FE69" s="124"/>
      <c r="FF69" s="124"/>
      <c r="FG69" s="146"/>
      <c r="FH69" s="146"/>
    </row>
    <row r="70" spans="1:164" ht="15.7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7"/>
      <c r="Z70" s="147"/>
      <c r="AA70" s="147"/>
      <c r="AB70" s="147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24"/>
      <c r="FD70" s="124"/>
      <c r="FE70" s="124"/>
      <c r="FF70" s="124"/>
      <c r="FG70" s="146"/>
      <c r="FH70" s="146"/>
    </row>
    <row r="71" spans="1:164" ht="15.7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7"/>
      <c r="Z71" s="147"/>
      <c r="AA71" s="147"/>
      <c r="AB71" s="147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>
        <v>157.1</v>
      </c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146"/>
      <c r="EL71" s="146"/>
      <c r="EM71" s="146"/>
      <c r="EN71" s="146"/>
      <c r="EO71" s="146"/>
      <c r="EP71" s="146"/>
      <c r="EQ71" s="146"/>
      <c r="ER71" s="146"/>
      <c r="ES71" s="146"/>
      <c r="ET71" s="146"/>
      <c r="EU71" s="146"/>
      <c r="EV71" s="146"/>
      <c r="EW71" s="146"/>
      <c r="EX71" s="146"/>
      <c r="EY71" s="146"/>
      <c r="EZ71" s="146"/>
      <c r="FA71" s="146"/>
      <c r="FB71" s="146"/>
      <c r="FC71" s="124"/>
      <c r="FD71" s="124"/>
      <c r="FE71" s="124"/>
      <c r="FF71" s="124"/>
      <c r="FG71" s="146"/>
      <c r="FH71" s="146"/>
    </row>
    <row r="72" spans="1:164" ht="15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7"/>
      <c r="Z72" s="147"/>
      <c r="AA72" s="147"/>
      <c r="AB72" s="147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24"/>
      <c r="FD72" s="124"/>
      <c r="FE72" s="124"/>
      <c r="FF72" s="124"/>
      <c r="FG72" s="146"/>
      <c r="FH72" s="146"/>
    </row>
    <row r="73" spans="1:164" ht="15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7"/>
      <c r="Z73" s="147"/>
      <c r="AA73" s="147"/>
      <c r="AB73" s="147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24"/>
      <c r="FD73" s="124"/>
      <c r="FE73" s="124"/>
      <c r="FF73" s="124"/>
      <c r="FG73" s="146"/>
      <c r="FH73" s="146"/>
    </row>
    <row r="74" spans="1:164" ht="15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7"/>
      <c r="Z74" s="147"/>
      <c r="AA74" s="147"/>
      <c r="AB74" s="147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46"/>
      <c r="EE74" s="146"/>
      <c r="EF74" s="146"/>
      <c r="EG74" s="146"/>
      <c r="EH74" s="146"/>
      <c r="EI74" s="146"/>
      <c r="EJ74" s="146"/>
      <c r="EK74" s="146"/>
      <c r="EL74" s="146"/>
      <c r="EM74" s="146"/>
      <c r="EN74" s="146"/>
      <c r="EO74" s="146"/>
      <c r="EP74" s="146"/>
      <c r="EQ74" s="146"/>
      <c r="ER74" s="146"/>
      <c r="ES74" s="146"/>
      <c r="ET74" s="146"/>
      <c r="EU74" s="146"/>
      <c r="EV74" s="146"/>
      <c r="EW74" s="146"/>
      <c r="EX74" s="146"/>
      <c r="EY74" s="146"/>
      <c r="EZ74" s="146"/>
      <c r="FA74" s="146"/>
      <c r="FB74" s="146"/>
      <c r="FC74" s="124"/>
      <c r="FD74" s="124"/>
      <c r="FE74" s="124"/>
      <c r="FF74" s="124"/>
      <c r="FG74" s="146"/>
      <c r="FH74" s="146"/>
    </row>
    <row r="75" spans="1:164" ht="15.7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7"/>
      <c r="Z75" s="147"/>
      <c r="AA75" s="147"/>
      <c r="AB75" s="147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24"/>
      <c r="FD75" s="124"/>
      <c r="FE75" s="124"/>
      <c r="FF75" s="124"/>
      <c r="FG75" s="146"/>
      <c r="FH75" s="146"/>
    </row>
    <row r="76" spans="1:164" ht="15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7"/>
      <c r="Z76" s="147"/>
      <c r="AA76" s="147"/>
      <c r="AB76" s="147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24"/>
      <c r="FD76" s="124"/>
      <c r="FE76" s="124"/>
      <c r="FF76" s="124"/>
      <c r="FG76" s="146"/>
      <c r="FH76" s="146"/>
    </row>
    <row r="77" spans="1:164" ht="15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7"/>
      <c r="Z77" s="147"/>
      <c r="AA77" s="147"/>
      <c r="AB77" s="147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24"/>
      <c r="FD77" s="124"/>
      <c r="FE77" s="124"/>
      <c r="FF77" s="124"/>
      <c r="FG77" s="146"/>
      <c r="FH77" s="146"/>
    </row>
    <row r="78" spans="25:28" ht="15.75">
      <c r="Y78" s="1"/>
      <c r="Z78" s="1"/>
      <c r="AA78" s="1"/>
      <c r="AB78" s="1"/>
    </row>
    <row r="79" spans="25:28" ht="15.75">
      <c r="Y79" s="1"/>
      <c r="Z79" s="1"/>
      <c r="AA79" s="1"/>
      <c r="AB79" s="1"/>
    </row>
    <row r="80" spans="25:28" ht="15.75">
      <c r="Y80" s="1"/>
      <c r="Z80" s="1"/>
      <c r="AA80" s="1"/>
      <c r="AB80" s="1"/>
    </row>
    <row r="81" spans="25:28" ht="15.75">
      <c r="Y81" s="1"/>
      <c r="Z81" s="1"/>
      <c r="AA81" s="1"/>
      <c r="AB81" s="1"/>
    </row>
    <row r="82" spans="25:28" ht="15.75">
      <c r="Y82" s="1"/>
      <c r="Z82" s="1"/>
      <c r="AA82" s="1"/>
      <c r="AB82" s="1"/>
    </row>
    <row r="83" spans="25:28" ht="15.75">
      <c r="Y83" s="1"/>
      <c r="Z83" s="1"/>
      <c r="AA83" s="1"/>
      <c r="AB83" s="1"/>
    </row>
    <row r="84" spans="25:28" ht="15.75">
      <c r="Y84" s="1"/>
      <c r="Z84" s="1"/>
      <c r="AA84" s="1"/>
      <c r="AB84" s="1"/>
    </row>
    <row r="85" spans="25:28" ht="15.75">
      <c r="Y85" s="1"/>
      <c r="Z85" s="1"/>
      <c r="AA85" s="1"/>
      <c r="AB85" s="1"/>
    </row>
    <row r="86" spans="25:28" ht="15.75">
      <c r="Y86" s="1"/>
      <c r="Z86" s="1"/>
      <c r="AA86" s="1"/>
      <c r="AB86" s="1"/>
    </row>
    <row r="87" spans="25:28" ht="15.75">
      <c r="Y87" s="1"/>
      <c r="Z87" s="1"/>
      <c r="AA87" s="1"/>
      <c r="AB87" s="1"/>
    </row>
    <row r="88" spans="25:28" ht="15.75">
      <c r="Y88" s="1"/>
      <c r="Z88" s="1"/>
      <c r="AA88" s="1"/>
      <c r="AB88" s="1"/>
    </row>
    <row r="89" spans="25:28" ht="15.75">
      <c r="Y89" s="1"/>
      <c r="Z89" s="1"/>
      <c r="AA89" s="1"/>
      <c r="AB89" s="1"/>
    </row>
    <row r="90" spans="25:28" ht="15.75">
      <c r="Y90" s="1"/>
      <c r="Z90" s="1"/>
      <c r="AA90" s="1"/>
      <c r="AB90" s="1"/>
    </row>
    <row r="91" spans="25:28" ht="15.75">
      <c r="Y91" s="1"/>
      <c r="Z91" s="1"/>
      <c r="AA91" s="1"/>
      <c r="AB91" s="1"/>
    </row>
    <row r="92" spans="25:28" ht="15.75">
      <c r="Y92" s="1"/>
      <c r="Z92" s="1"/>
      <c r="AA92" s="1"/>
      <c r="AB92" s="1"/>
    </row>
    <row r="93" spans="25:28" ht="15.75">
      <c r="Y93" s="1"/>
      <c r="Z93" s="1"/>
      <c r="AA93" s="1"/>
      <c r="AB93" s="1"/>
    </row>
    <row r="94" spans="25:28" ht="15.75">
      <c r="Y94" s="1"/>
      <c r="Z94" s="1"/>
      <c r="AA94" s="1"/>
      <c r="AB94" s="1"/>
    </row>
    <row r="95" spans="25:28" ht="15.75">
      <c r="Y95" s="1"/>
      <c r="Z95" s="1"/>
      <c r="AA95" s="1"/>
      <c r="AB95" s="1"/>
    </row>
    <row r="96" spans="25:28" ht="15.75">
      <c r="Y96" s="1"/>
      <c r="Z96" s="1"/>
      <c r="AA96" s="1"/>
      <c r="AB96" s="1"/>
    </row>
    <row r="97" spans="25:28" ht="15.75">
      <c r="Y97" s="1"/>
      <c r="Z97" s="1"/>
      <c r="AA97" s="1"/>
      <c r="AB97" s="1"/>
    </row>
    <row r="98" spans="25:28" ht="15.75">
      <c r="Y98" s="1"/>
      <c r="Z98" s="1"/>
      <c r="AA98" s="1"/>
      <c r="AB98" s="1"/>
    </row>
    <row r="99" spans="25:28" ht="15.75">
      <c r="Y99" s="1"/>
      <c r="Z99" s="1"/>
      <c r="AA99" s="1"/>
      <c r="AB99" s="1"/>
    </row>
  </sheetData>
  <sheetProtection/>
  <mergeCells count="9">
    <mergeCell ref="EU6:FG7"/>
    <mergeCell ref="EH6:ET7"/>
    <mergeCell ref="DV6:EG7"/>
    <mergeCell ref="BJ6:BJ7"/>
    <mergeCell ref="BR7:BT7"/>
    <mergeCell ref="CF6:CG7"/>
    <mergeCell ref="CH6:CT7"/>
    <mergeCell ref="CU6:DG7"/>
    <mergeCell ref="DI6:DT7"/>
  </mergeCells>
  <printOptions horizontalCentered="1" verticalCentered="1"/>
  <pageMargins left="0.11811023622047245" right="0.11811023622047245" top="0.5118110236220472" bottom="0.551181102362204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2018-04-02T14:38:33Z</cp:lastPrinted>
  <dcterms:created xsi:type="dcterms:W3CDTF">2000-08-22T08:24:04Z</dcterms:created>
  <dcterms:modified xsi:type="dcterms:W3CDTF">2018-04-03T08:01:25Z</dcterms:modified>
  <cp:category/>
  <cp:version/>
  <cp:contentType/>
  <cp:contentStatus/>
</cp:coreProperties>
</file>