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.8 Fr" sheetId="1" r:id="rId1"/>
  </sheets>
  <definedNames>
    <definedName name="_xlnm.Print_Area" localSheetId="0">'I.8 Fr'!$B$1:$F$425</definedName>
    <definedName name="Zone_impres_MI">'I.8 Fr'!$B$1:$G$425</definedName>
  </definedNames>
  <calcPr fullCalcOnLoad="1"/>
</workbook>
</file>

<file path=xl/sharedStrings.xml><?xml version="1.0" encoding="utf-8"?>
<sst xmlns="http://schemas.openxmlformats.org/spreadsheetml/2006/main" count="376" uniqueCount="72">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</sst>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4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7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5" applyNumberFormat="1" applyFont="1" applyAlignment="1">
      <alignment/>
    </xf>
    <xf numFmtId="20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200" fontId="0" fillId="0" borderId="0" xfId="45" applyNumberFormat="1" applyFont="1" applyAlignment="1">
      <alignment/>
    </xf>
    <xf numFmtId="190" fontId="0" fillId="0" borderId="0" xfId="45" applyNumberFormat="1" applyFont="1" applyAlignment="1">
      <alignment/>
    </xf>
    <xf numFmtId="198" fontId="0" fillId="0" borderId="0" xfId="0" applyNumberFormat="1" applyAlignment="1">
      <alignment/>
    </xf>
    <xf numFmtId="201" fontId="0" fillId="0" borderId="0" xfId="45" applyNumberFormat="1" applyFont="1" applyAlignment="1">
      <alignment/>
    </xf>
    <xf numFmtId="201" fontId="0" fillId="0" borderId="0" xfId="0" applyNumberFormat="1" applyAlignment="1">
      <alignment/>
    </xf>
    <xf numFmtId="191" fontId="0" fillId="0" borderId="0" xfId="45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201" fontId="0" fillId="0" borderId="0" xfId="45" applyNumberFormat="1" applyFont="1" applyFill="1" applyAlignment="1">
      <alignment/>
    </xf>
    <xf numFmtId="187" fontId="0" fillId="0" borderId="0" xfId="45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3" fillId="0" borderId="13" xfId="0" applyFont="1" applyBorder="1" applyAlignment="1">
      <alignment horizontal="fill"/>
    </xf>
    <xf numFmtId="37" fontId="23" fillId="0" borderId="14" xfId="0" applyFont="1" applyBorder="1" applyAlignment="1">
      <alignment horizontal="fill"/>
    </xf>
    <xf numFmtId="37" fontId="23" fillId="0" borderId="15" xfId="0" applyFont="1" applyBorder="1" applyAlignment="1">
      <alignment horizontal="fill"/>
    </xf>
    <xf numFmtId="37" fontId="23" fillId="0" borderId="10" xfId="0" applyFont="1" applyBorder="1" applyAlignment="1">
      <alignment/>
    </xf>
    <xf numFmtId="37" fontId="23" fillId="0" borderId="0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4" fillId="0" borderId="12" xfId="0" applyFont="1" applyBorder="1" applyAlignment="1">
      <alignment horizontal="right"/>
    </xf>
    <xf numFmtId="37" fontId="23" fillId="0" borderId="12" xfId="0" applyFont="1" applyBorder="1" applyAlignment="1">
      <alignment/>
    </xf>
    <xf numFmtId="37" fontId="23" fillId="0" borderId="10" xfId="0" applyFont="1" applyBorder="1" applyAlignment="1">
      <alignment horizontal="fill"/>
    </xf>
    <xf numFmtId="37" fontId="23" fillId="0" borderId="16" xfId="0" applyFont="1" applyBorder="1" applyAlignment="1">
      <alignment horizontal="fill"/>
    </xf>
    <xf numFmtId="37" fontId="23" fillId="0" borderId="17" xfId="0" applyFont="1" applyBorder="1" applyAlignment="1">
      <alignment horizontal="fill"/>
    </xf>
    <xf numFmtId="37" fontId="23" fillId="0" borderId="14" xfId="0" applyFont="1" applyBorder="1" applyAlignment="1">
      <alignment/>
    </xf>
    <xf numFmtId="37" fontId="23" fillId="0" borderId="18" xfId="0" applyFont="1" applyBorder="1" applyAlignment="1">
      <alignment/>
    </xf>
    <xf numFmtId="37" fontId="23" fillId="0" borderId="15" xfId="0" applyFont="1" applyBorder="1" applyAlignment="1">
      <alignment/>
    </xf>
    <xf numFmtId="37" fontId="23" fillId="0" borderId="11" xfId="0" applyFont="1" applyBorder="1" applyAlignment="1">
      <alignment/>
    </xf>
    <xf numFmtId="37" fontId="23" fillId="0" borderId="0" xfId="0" applyFont="1" applyBorder="1" applyAlignment="1">
      <alignment horizontal="right"/>
    </xf>
    <xf numFmtId="37" fontId="23" fillId="0" borderId="11" xfId="0" applyFont="1" applyBorder="1" applyAlignment="1">
      <alignment horizontal="right"/>
    </xf>
    <xf numFmtId="37" fontId="23" fillId="0" borderId="12" xfId="0" applyFont="1" applyBorder="1" applyAlignment="1">
      <alignment horizontal="right"/>
    </xf>
    <xf numFmtId="37" fontId="23" fillId="0" borderId="19" xfId="0" applyFont="1" applyBorder="1" applyAlignment="1">
      <alignment horizontal="fill"/>
    </xf>
    <xf numFmtId="3" fontId="23" fillId="0" borderId="14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7" fontId="23" fillId="0" borderId="11" xfId="0" applyFont="1" applyBorder="1" applyAlignment="1">
      <alignment horizontal="left"/>
    </xf>
    <xf numFmtId="1" fontId="23" fillId="0" borderId="11" xfId="0" applyNumberFormat="1" applyFont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7" fontId="23" fillId="0" borderId="11" xfId="0" applyFont="1" applyBorder="1" applyAlignment="1" quotePrefix="1">
      <alignment horizontal="left"/>
    </xf>
    <xf numFmtId="3" fontId="23" fillId="0" borderId="12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3" fontId="23" fillId="0" borderId="0" xfId="45" applyNumberFormat="1" applyFont="1" applyBorder="1" applyAlignment="1">
      <alignment horizontal="right"/>
    </xf>
    <xf numFmtId="3" fontId="23" fillId="0" borderId="11" xfId="45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/>
    </xf>
    <xf numFmtId="37" fontId="24" fillId="0" borderId="0" xfId="0" applyFont="1" applyAlignment="1">
      <alignment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7" fontId="23" fillId="0" borderId="0" xfId="0" applyFont="1" applyAlignment="1">
      <alignment/>
    </xf>
    <xf numFmtId="3" fontId="23" fillId="0" borderId="11" xfId="45" applyNumberFormat="1" applyFont="1" applyBorder="1" applyAlignment="1">
      <alignment/>
    </xf>
    <xf numFmtId="3" fontId="23" fillId="0" borderId="12" xfId="45" applyNumberFormat="1" applyFont="1" applyBorder="1" applyAlignment="1">
      <alignment/>
    </xf>
    <xf numFmtId="37" fontId="23" fillId="0" borderId="11" xfId="0" applyFont="1" applyFill="1" applyBorder="1" applyAlignment="1">
      <alignment horizontal="left"/>
    </xf>
    <xf numFmtId="3" fontId="23" fillId="0" borderId="11" xfId="0" applyNumberFormat="1" applyFont="1" applyFill="1" applyBorder="1" applyAlignment="1">
      <alignment horizontal="right"/>
    </xf>
    <xf numFmtId="37" fontId="23" fillId="0" borderId="0" xfId="0" applyNumberFormat="1" applyFont="1" applyAlignment="1">
      <alignment/>
    </xf>
    <xf numFmtId="37" fontId="23" fillId="0" borderId="11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7" fontId="23" fillId="0" borderId="13" xfId="0" applyFont="1" applyBorder="1" applyAlignment="1">
      <alignment/>
    </xf>
    <xf numFmtId="190" fontId="23" fillId="0" borderId="14" xfId="45" applyNumberFormat="1" applyFont="1" applyBorder="1" applyAlignment="1">
      <alignment/>
    </xf>
    <xf numFmtId="203" fontId="23" fillId="0" borderId="12" xfId="0" applyNumberFormat="1" applyFont="1" applyBorder="1" applyAlignment="1">
      <alignment/>
    </xf>
    <xf numFmtId="37" fontId="23" fillId="0" borderId="20" xfId="0" applyFont="1" applyBorder="1" applyAlignment="1">
      <alignment horizontal="fill"/>
    </xf>
    <xf numFmtId="37" fontId="23" fillId="0" borderId="12" xfId="0" applyNumberFormat="1" applyFont="1" applyBorder="1" applyAlignment="1">
      <alignment/>
    </xf>
    <xf numFmtId="37" fontId="23" fillId="0" borderId="11" xfId="0" applyFont="1" applyBorder="1" applyAlignment="1">
      <alignment horizontal="left" indent="1"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NumberFormat="1" applyFont="1" applyBorder="1" applyAlignment="1">
      <alignment/>
    </xf>
    <xf numFmtId="37" fontId="23" fillId="0" borderId="10" xfId="0" applyNumberFormat="1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Fill="1" applyBorder="1" applyAlignment="1">
      <alignment/>
    </xf>
    <xf numFmtId="37" fontId="23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191" fontId="0" fillId="0" borderId="0" xfId="45" applyNumberFormat="1" applyFont="1" applyFill="1" applyAlignment="1">
      <alignment/>
    </xf>
    <xf numFmtId="187" fontId="0" fillId="0" borderId="0" xfId="45" applyNumberFormat="1" applyFont="1" applyFill="1" applyAlignment="1">
      <alignment/>
    </xf>
    <xf numFmtId="37" fontId="23" fillId="0" borderId="11" xfId="0" applyFont="1" applyFill="1" applyBorder="1" applyAlignment="1">
      <alignment horizontal="left" indent="1"/>
    </xf>
    <xf numFmtId="37" fontId="24" fillId="0" borderId="10" xfId="0" applyFont="1" applyBorder="1" applyAlignment="1">
      <alignment horizontal="left"/>
    </xf>
    <xf numFmtId="37" fontId="24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4" fillId="0" borderId="19" xfId="0" applyFont="1" applyBorder="1" applyAlignment="1">
      <alignment/>
    </xf>
    <xf numFmtId="37" fontId="24" fillId="0" borderId="10" xfId="0" applyFont="1" applyBorder="1" applyAlignment="1">
      <alignment horizontal="center"/>
    </xf>
    <xf numFmtId="37" fontId="23" fillId="0" borderId="0" xfId="0" applyFont="1" applyAlignment="1">
      <alignment horizontal="center"/>
    </xf>
    <xf numFmtId="37" fontId="23" fillId="0" borderId="12" xfId="0" applyFont="1" applyBorder="1" applyAlignment="1">
      <alignment horizontal="center"/>
    </xf>
    <xf numFmtId="188" fontId="24" fillId="0" borderId="1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88" fontId="24" fillId="0" borderId="12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42"/>
  <sheetViews>
    <sheetView showGridLines="0" tabSelected="1" zoomScale="90" zoomScaleNormal="90" zoomScalePageLayoutView="0" workbookViewId="0" topLeftCell="B1">
      <pane xSplit="1" ySplit="9" topLeftCell="C406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I425" sqref="I425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18" t="s">
        <v>56</v>
      </c>
      <c r="C4" s="119"/>
      <c r="D4" s="119"/>
      <c r="E4" s="119"/>
      <c r="F4" s="120"/>
      <c r="G4" t="s">
        <v>43</v>
      </c>
    </row>
    <row r="5" spans="2:8" ht="15.75">
      <c r="B5" s="121" t="s">
        <v>59</v>
      </c>
      <c r="C5" s="122"/>
      <c r="D5" s="122"/>
      <c r="E5" s="122"/>
      <c r="F5" s="123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 hidden="1">
      <c r="B11" s="43"/>
      <c r="C11" s="50"/>
      <c r="D11" s="51"/>
      <c r="E11" s="51"/>
      <c r="F11" s="51"/>
    </row>
    <row r="12" spans="2:6" ht="15.75" hidden="1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 hidden="1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 hidden="1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 hidden="1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 hidden="1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 hidden="1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 hidden="1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 hidden="1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 hidden="1">
      <c r="B20" s="43"/>
      <c r="C20" s="50"/>
      <c r="D20" s="51"/>
      <c r="E20" s="51"/>
      <c r="F20" s="51"/>
    </row>
    <row r="21" spans="2:6" ht="15.75" hidden="1">
      <c r="B21" s="52" t="s">
        <v>6</v>
      </c>
      <c r="C21" s="50"/>
      <c r="D21" s="51"/>
      <c r="E21" s="51"/>
      <c r="F21" s="51"/>
    </row>
    <row r="22" spans="2:6" ht="15.75" hidden="1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 hidden="1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 hidden="1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 hidden="1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 hidden="1">
      <c r="B26" s="43"/>
      <c r="C26" s="50"/>
      <c r="D26" s="51"/>
      <c r="E26" s="51"/>
      <c r="F26" s="51"/>
    </row>
    <row r="27" spans="2:6" ht="15.75" hidden="1">
      <c r="B27" s="52" t="s">
        <v>7</v>
      </c>
      <c r="C27" s="50"/>
      <c r="D27" s="51"/>
      <c r="E27" s="51"/>
      <c r="F27" s="51"/>
    </row>
    <row r="28" spans="2:6" ht="15.75" hidden="1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 hidden="1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 hidden="1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 hidden="1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 hidden="1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 hidden="1">
      <c r="B33" s="55" t="s">
        <v>31</v>
      </c>
      <c r="C33" s="50"/>
      <c r="D33" s="51"/>
      <c r="E33" s="51"/>
      <c r="F33" s="51"/>
    </row>
    <row r="34" spans="2:6" ht="15.75" hidden="1">
      <c r="B34" s="55" t="s">
        <v>32</v>
      </c>
      <c r="C34" s="50"/>
      <c r="D34" s="51"/>
      <c r="E34" s="51"/>
      <c r="F34" s="51"/>
    </row>
    <row r="35" spans="2:6" ht="15.75" hidden="1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 hidden="1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 hidden="1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 hidden="1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 hidden="1">
      <c r="B39" s="55" t="s">
        <v>37</v>
      </c>
      <c r="C39" s="50"/>
      <c r="D39" s="51"/>
      <c r="E39" s="51"/>
      <c r="F39" s="51"/>
    </row>
    <row r="40" spans="2:6" ht="15.75" hidden="1">
      <c r="B40" s="55" t="s">
        <v>38</v>
      </c>
      <c r="C40" s="50"/>
      <c r="D40" s="51"/>
      <c r="E40" s="51"/>
      <c r="F40" s="51"/>
    </row>
    <row r="41" spans="2:6" ht="15.75" hidden="1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 hidden="1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 hidden="1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 hidden="1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 hidden="1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 hidden="1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 hidden="1">
      <c r="B47" s="55" t="s">
        <v>28</v>
      </c>
      <c r="C47" s="56"/>
      <c r="D47" s="56"/>
      <c r="E47" s="56"/>
      <c r="F47" s="51">
        <f t="shared" si="1"/>
        <v>0</v>
      </c>
    </row>
    <row r="48" spans="2:6" ht="15.75" hidden="1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 hidden="1">
      <c r="B49" s="52" t="s">
        <v>13</v>
      </c>
      <c r="C49" s="50"/>
      <c r="D49" s="51"/>
      <c r="E49" s="51"/>
      <c r="F49" s="51">
        <f t="shared" si="1"/>
        <v>0</v>
      </c>
    </row>
    <row r="50" spans="2:6" ht="15.75" hidden="1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 hidden="1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 hidden="1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 hidden="1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 hidden="1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 hidden="1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 hidden="1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 hidden="1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 hidden="1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 hidden="1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 hidden="1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 hidden="1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 hidden="1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 hidden="1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 hidden="1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 hidden="1">
      <c r="B65" s="52"/>
      <c r="C65" s="50"/>
      <c r="D65" s="58"/>
      <c r="E65" s="58"/>
      <c r="F65" s="51">
        <f t="shared" si="1"/>
        <v>0</v>
      </c>
    </row>
    <row r="66" spans="2:6" ht="15.75" hidden="1">
      <c r="B66" s="55" t="s">
        <v>27</v>
      </c>
      <c r="C66" s="57"/>
      <c r="D66" s="58"/>
      <c r="E66" s="58"/>
      <c r="F66" s="51">
        <f t="shared" si="1"/>
        <v>0</v>
      </c>
    </row>
    <row r="67" spans="2:6" ht="15.75" hidden="1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 hidden="1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 hidden="1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 hidden="1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 hidden="1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 hidden="1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 hidden="1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 hidden="1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 hidden="1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 hidden="1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 hidden="1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 hidden="1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 hidden="1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 hidden="1">
      <c r="B80" s="52"/>
      <c r="C80" s="57"/>
      <c r="D80" s="58"/>
      <c r="E80" s="58"/>
      <c r="F80" s="51">
        <f t="shared" si="1"/>
        <v>0</v>
      </c>
      <c r="H80" s="5"/>
    </row>
    <row r="81" spans="2:8" ht="15.75" hidden="1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 hidden="1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 hidden="1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 hidden="1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 hidden="1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 hidden="1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 hidden="1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 hidden="1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 hidden="1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 hidden="1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 hidden="1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 hidden="1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 hidden="1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 hidden="1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 hidden="1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 hidden="1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 hidden="1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 hidden="1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 hidden="1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 hidden="1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 hidden="1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 hidden="1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 hidden="1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 hidden="1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 hidden="1">
      <c r="B105" s="55" t="s">
        <v>34</v>
      </c>
      <c r="C105" s="57"/>
      <c r="D105" s="64"/>
      <c r="E105" s="64"/>
      <c r="F105" s="51"/>
      <c r="G105" s="2"/>
      <c r="H105" s="11"/>
    </row>
    <row r="106" spans="2:8" ht="15.75" hidden="1">
      <c r="B106" s="55" t="s">
        <v>35</v>
      </c>
      <c r="C106" s="57"/>
      <c r="D106" s="64"/>
      <c r="E106" s="64"/>
      <c r="F106" s="51"/>
      <c r="G106" s="2"/>
      <c r="H106" s="11"/>
    </row>
    <row r="107" spans="2:8" ht="15.75" hidden="1">
      <c r="B107" s="55" t="s">
        <v>36</v>
      </c>
      <c r="C107" s="57"/>
      <c r="D107" s="64"/>
      <c r="E107" s="64"/>
      <c r="F107" s="51"/>
      <c r="G107" s="2"/>
      <c r="H107" s="11"/>
    </row>
    <row r="108" spans="2:8" ht="15.75" hidden="1">
      <c r="B108" s="55" t="s">
        <v>37</v>
      </c>
      <c r="C108" s="57"/>
      <c r="D108" s="64"/>
      <c r="E108" s="64"/>
      <c r="F108" s="51"/>
      <c r="G108" s="2"/>
      <c r="H108" s="17"/>
    </row>
    <row r="109" spans="2:8" ht="15.75" hidden="1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 hidden="1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 hidden="1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 hidden="1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 hidden="1">
      <c r="B113" s="55" t="s">
        <v>42</v>
      </c>
      <c r="C113" s="62"/>
      <c r="D113" s="65"/>
      <c r="E113" s="65"/>
      <c r="F113" s="66"/>
      <c r="G113" s="2"/>
      <c r="H113" s="17"/>
    </row>
    <row r="114" spans="2:8" ht="15.75" hidden="1">
      <c r="B114" s="55" t="s">
        <v>44</v>
      </c>
      <c r="C114" s="57"/>
      <c r="D114" s="64"/>
      <c r="E114" s="64"/>
      <c r="F114" s="51"/>
      <c r="G114" s="2"/>
      <c r="H114" s="17"/>
    </row>
    <row r="115" spans="2:8" ht="15.75" hidden="1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 hidden="1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 hidden="1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 hidden="1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 hidden="1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 hidden="1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 hidden="1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 hidden="1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 hidden="1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 hidden="1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 hidden="1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 hidden="1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 hidden="1">
      <c r="B127" s="55" t="s">
        <v>58</v>
      </c>
      <c r="C127" s="62"/>
      <c r="D127" s="65"/>
      <c r="E127" s="65"/>
      <c r="F127" s="51"/>
      <c r="G127" s="2"/>
      <c r="H127" s="18"/>
    </row>
    <row r="128" spans="2:8" ht="15.75" hidden="1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 hidden="1">
      <c r="B129" s="52"/>
      <c r="C129" s="67"/>
      <c r="D129" s="32"/>
      <c r="E129" s="32"/>
      <c r="F129" s="43"/>
      <c r="G129" s="2"/>
      <c r="H129" s="18"/>
    </row>
    <row r="130" spans="2:8" ht="15.75" hidden="1">
      <c r="B130" s="55"/>
      <c r="C130" s="62"/>
      <c r="D130" s="63"/>
      <c r="E130" s="63"/>
      <c r="F130" s="51"/>
      <c r="H130" s="5"/>
    </row>
    <row r="131" spans="2:8" ht="15.75" hidden="1">
      <c r="B131" s="55" t="s">
        <v>32</v>
      </c>
      <c r="C131" s="62"/>
      <c r="D131" s="63"/>
      <c r="E131" s="63"/>
      <c r="F131" s="51"/>
      <c r="H131" s="5"/>
    </row>
    <row r="132" spans="2:8" ht="15.75" hidden="1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 hidden="1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 hidden="1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 hidden="1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 hidden="1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 hidden="1">
      <c r="B137" s="52"/>
      <c r="C137" s="68"/>
      <c r="D137" s="57"/>
      <c r="E137" s="58"/>
      <c r="F137" s="51"/>
      <c r="H137" s="5"/>
    </row>
    <row r="138" spans="2:8" ht="15.75" hidden="1">
      <c r="B138" s="55" t="s">
        <v>36</v>
      </c>
      <c r="C138" s="68">
        <f>SUM(C264:C275)</f>
        <v>176664.441</v>
      </c>
      <c r="D138" s="58">
        <f>SUM(D264:D275)</f>
        <v>16703.727000000003</v>
      </c>
      <c r="E138" s="58">
        <f>SUM(E264:E275)</f>
        <v>13332.731</v>
      </c>
      <c r="F138" s="58">
        <f>SUM(F264:F275)</f>
        <v>206700.89899999998</v>
      </c>
      <c r="H138" s="5"/>
    </row>
    <row r="139" spans="2:8" ht="15.75" hidden="1">
      <c r="B139" s="55">
        <v>2009</v>
      </c>
      <c r="C139" s="68"/>
      <c r="D139" s="69"/>
      <c r="E139" s="58"/>
      <c r="F139" s="51"/>
      <c r="H139" s="5"/>
    </row>
    <row r="140" spans="2:8" ht="15.75" hidden="1">
      <c r="B140" s="55">
        <v>2009</v>
      </c>
      <c r="C140" s="68"/>
      <c r="D140" s="69"/>
      <c r="E140" s="58"/>
      <c r="F140" s="51"/>
      <c r="H140" s="5"/>
    </row>
    <row r="141" spans="2:8" ht="15.75" hidden="1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 hidden="1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 hidden="1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 hidden="1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 hidden="1">
      <c r="B145" s="55" t="s">
        <v>37</v>
      </c>
      <c r="C145" s="58">
        <f>SUM(C278:C289)</f>
        <v>208229.43169999996</v>
      </c>
      <c r="D145" s="58">
        <f>SUM(D278:D289)</f>
        <v>14670.622000000001</v>
      </c>
      <c r="E145" s="58">
        <f>SUM(E278:E289)</f>
        <v>15350.46801</v>
      </c>
      <c r="F145" s="58">
        <f>SUM(F278:F289)</f>
        <v>238250.52170999997</v>
      </c>
      <c r="H145" s="5"/>
    </row>
    <row r="146" spans="2:8" ht="15.75" hidden="1">
      <c r="B146" s="55"/>
      <c r="C146" s="57"/>
      <c r="D146" s="58"/>
      <c r="E146" s="58"/>
      <c r="F146" s="56"/>
      <c r="H146" s="15"/>
    </row>
    <row r="147" spans="2:8" ht="15.75" hidden="1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 hidden="1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 hidden="1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 hidden="1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 hidden="1">
      <c r="B151" s="55" t="s">
        <v>31</v>
      </c>
      <c r="C151" s="57"/>
      <c r="D151" s="58"/>
      <c r="E151" s="58"/>
      <c r="F151" s="56"/>
      <c r="H151" s="11"/>
    </row>
    <row r="152" spans="2:8" ht="15.75" hidden="1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 hidden="1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 hidden="1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 hidden="1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 hidden="1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 hidden="1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 hidden="1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 hidden="1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 hidden="1">
      <c r="B160" s="55"/>
      <c r="C160" s="68"/>
      <c r="D160" s="69"/>
      <c r="E160" s="58"/>
      <c r="F160" s="56"/>
      <c r="H160" s="9"/>
      <c r="I160" s="11"/>
      <c r="J160" s="8"/>
    </row>
    <row r="161" spans="2:10" ht="15.75" hidden="1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 hidden="1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 hidden="1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 hidden="1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 hidden="1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 hidden="1">
      <c r="B166" s="55"/>
      <c r="C166" s="70"/>
      <c r="D166" s="71"/>
      <c r="E166" s="63"/>
      <c r="F166" s="56"/>
      <c r="H166" s="9"/>
      <c r="I166" s="11"/>
      <c r="J166" s="8"/>
    </row>
    <row r="167" spans="2:10" ht="15.75" hidden="1">
      <c r="B167" s="55"/>
      <c r="C167" s="72"/>
      <c r="D167" s="72"/>
      <c r="E167" s="72"/>
      <c r="F167" s="36"/>
      <c r="H167" s="9"/>
      <c r="I167" s="11"/>
      <c r="J167" s="8"/>
    </row>
    <row r="168" spans="2:10" ht="15.75" hidden="1">
      <c r="B168" s="55"/>
      <c r="C168" s="72"/>
      <c r="D168" s="72"/>
      <c r="E168" s="72"/>
      <c r="F168" s="36"/>
      <c r="H168" s="9"/>
      <c r="I168" s="11"/>
      <c r="J168" s="8"/>
    </row>
    <row r="169" spans="2:10" ht="15.75" hidden="1">
      <c r="B169" s="55"/>
      <c r="C169" s="70"/>
      <c r="D169" s="71"/>
      <c r="E169" s="63"/>
      <c r="F169" s="56"/>
      <c r="H169" s="9"/>
      <c r="I169" s="11"/>
      <c r="J169" s="8"/>
    </row>
    <row r="170" spans="2:10" ht="15.75" hidden="1">
      <c r="B170" s="55"/>
      <c r="C170" s="68"/>
      <c r="D170" s="69"/>
      <c r="E170" s="58"/>
      <c r="F170" s="56"/>
      <c r="H170" s="9"/>
      <c r="I170" s="11"/>
      <c r="J170" s="8"/>
    </row>
    <row r="171" spans="2:10" ht="15.75" hidden="1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 hidden="1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 hidden="1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 hidden="1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 hidden="1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 hidden="1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 hidden="1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 hidden="1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 hidden="1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 hidden="1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 hidden="1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 hidden="1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 hidden="1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 hidden="1">
      <c r="B184" s="55" t="s">
        <v>38</v>
      </c>
      <c r="C184" s="58">
        <f>C252+C253+C254+C255</f>
        <v>210501.729</v>
      </c>
      <c r="D184" s="58">
        <f>D252+D253+D254+D255</f>
        <v>15150.1476</v>
      </c>
      <c r="E184" s="58">
        <f>E252+E253+E254+E255</f>
        <v>18653.520812000002</v>
      </c>
      <c r="F184" s="58">
        <f>F252+F253+F254+F255</f>
        <v>244305.397412</v>
      </c>
      <c r="G184" s="9"/>
      <c r="H184" s="5"/>
      <c r="I184" s="11"/>
      <c r="J184" s="8"/>
    </row>
    <row r="185" spans="2:10" ht="15.75" hidden="1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 hidden="1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 hidden="1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 hidden="1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 hidden="1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 hidden="1">
      <c r="B190" s="52"/>
      <c r="C190" s="57"/>
      <c r="D190" s="58"/>
      <c r="E190" s="58"/>
      <c r="F190" s="56"/>
      <c r="H190" s="5"/>
      <c r="I190" s="11"/>
      <c r="J190" s="8"/>
    </row>
    <row r="191" spans="2:10" ht="15.75" hidden="1">
      <c r="B191" s="55"/>
      <c r="C191" s="57"/>
      <c r="D191" s="58"/>
      <c r="E191" s="58"/>
      <c r="F191" s="56"/>
      <c r="H191" s="5"/>
      <c r="I191" s="11"/>
      <c r="J191" s="8"/>
    </row>
    <row r="192" spans="2:10" ht="15.75" hidden="1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 hidden="1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 hidden="1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 hidden="1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 hidden="1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 hidden="1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 hidden="1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 hidden="1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 hidden="1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 hidden="1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 hidden="1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 hidden="1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 hidden="1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 hidden="1">
      <c r="B205" s="55" t="s">
        <v>39</v>
      </c>
      <c r="C205" s="58">
        <f>C258+C259+C260+C261</f>
        <v>212692.07049999997</v>
      </c>
      <c r="D205" s="58">
        <f>D258+D259+D260+D261</f>
        <v>14731.901</v>
      </c>
      <c r="E205" s="58">
        <f>E258+E259+E260+E261</f>
        <v>17112.8084</v>
      </c>
      <c r="F205" s="58">
        <f>F258+F259+F260+F261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SUM(C292:C295)</f>
        <v>227399.87800000003</v>
      </c>
      <c r="D206" s="58">
        <f>SUM(D292:D295)</f>
        <v>15042.34</v>
      </c>
      <c r="E206" s="58">
        <f>SUM(E292:E295)</f>
        <v>16848.7841</v>
      </c>
      <c r="F206" s="58">
        <f>SUM(F292:F295)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SUM(C298:C301)</f>
        <v>224773.568</v>
      </c>
      <c r="D207" s="58">
        <f>SUM(D298:D301)</f>
        <v>14620.314</v>
      </c>
      <c r="E207" s="58">
        <f>SUM(E298:E301)</f>
        <v>25529.2501</v>
      </c>
      <c r="F207" s="58">
        <f>SUM(F298:F301)</f>
        <v>264923.1321</v>
      </c>
      <c r="H207" s="15"/>
      <c r="I207" s="11"/>
      <c r="J207" s="8"/>
    </row>
    <row r="208" spans="2:10" ht="15.75">
      <c r="B208" s="55" t="s">
        <v>42</v>
      </c>
      <c r="C208" s="58">
        <f>C304+C305+C306+C307</f>
        <v>220106.62900000002</v>
      </c>
      <c r="D208" s="58">
        <f>D304+D305+D306+D307</f>
        <v>16368.629999999997</v>
      </c>
      <c r="E208" s="58">
        <f>E304+E305+E306+E307</f>
        <v>21333.2294</v>
      </c>
      <c r="F208" s="58">
        <f>F304+F305+F306+F307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C310+C311+C312+C313</f>
        <v>248262.237</v>
      </c>
      <c r="D209" s="58">
        <f>D310+D311+D312+D313</f>
        <v>17913.131</v>
      </c>
      <c r="E209" s="58">
        <f>E310+E311+E312+E313</f>
        <v>20688.19698</v>
      </c>
      <c r="F209" s="58">
        <f>F310+F311+F312+F313</f>
        <v>286863.56498</v>
      </c>
      <c r="H209" s="15"/>
      <c r="I209" s="11"/>
      <c r="J209" s="8"/>
    </row>
    <row r="210" spans="2:10" ht="15.75">
      <c r="B210" s="55" t="s">
        <v>45</v>
      </c>
      <c r="C210" s="58">
        <f>C316+C317+C318+C319</f>
        <v>216803.596</v>
      </c>
      <c r="D210" s="58">
        <f>D316+D317+D318+D319</f>
        <v>17805.441</v>
      </c>
      <c r="E210" s="58">
        <f>E316+E317+E318+E319</f>
        <v>23246.92221</v>
      </c>
      <c r="F210" s="58">
        <f>F316+F317+F318+F319</f>
        <v>257855.95921</v>
      </c>
      <c r="H210" s="15"/>
      <c r="I210" s="11"/>
      <c r="J210" s="8"/>
    </row>
    <row r="211" spans="2:10" ht="15.75">
      <c r="B211" s="52"/>
      <c r="C211" s="57"/>
      <c r="D211" s="58"/>
      <c r="E211" s="58"/>
      <c r="F211" s="56"/>
      <c r="H211" s="15"/>
      <c r="I211" s="11"/>
      <c r="J211" s="8"/>
    </row>
    <row r="212" spans="2:10" ht="15.75" hidden="1">
      <c r="B212" s="55" t="s">
        <v>36</v>
      </c>
      <c r="C212" s="57"/>
      <c r="D212" s="58"/>
      <c r="E212" s="58"/>
      <c r="F212" s="56"/>
      <c r="H212" s="15"/>
      <c r="I212" s="11"/>
      <c r="J212" s="8"/>
    </row>
    <row r="213" spans="2:10" ht="15.75" hidden="1">
      <c r="B213" s="52" t="s">
        <v>8</v>
      </c>
      <c r="C213" s="57">
        <v>45748.103</v>
      </c>
      <c r="D213" s="58">
        <v>3523.6710000000003</v>
      </c>
      <c r="E213" s="58">
        <v>2970.807</v>
      </c>
      <c r="F213" s="56">
        <v>52242.58099999999</v>
      </c>
      <c r="H213" s="15"/>
      <c r="I213" s="11"/>
      <c r="J213" s="8"/>
    </row>
    <row r="214" spans="2:10" ht="15.75" hidden="1">
      <c r="B214" s="52" t="s">
        <v>26</v>
      </c>
      <c r="C214" s="57">
        <v>44569.236999999994</v>
      </c>
      <c r="D214" s="58">
        <v>4658.871</v>
      </c>
      <c r="E214" s="58">
        <v>3387.858</v>
      </c>
      <c r="F214" s="56">
        <v>52615.966</v>
      </c>
      <c r="H214" s="15"/>
      <c r="I214" s="11"/>
      <c r="J214" s="8"/>
    </row>
    <row r="215" spans="2:10" ht="15.75" hidden="1">
      <c r="B215" s="52" t="s">
        <v>10</v>
      </c>
      <c r="C215" s="57">
        <v>42779.494999999995</v>
      </c>
      <c r="D215" s="58">
        <v>4417.79</v>
      </c>
      <c r="E215" s="58">
        <v>2578.826</v>
      </c>
      <c r="F215" s="56">
        <v>49776.111000000004</v>
      </c>
      <c r="H215" s="15"/>
      <c r="I215" s="11"/>
      <c r="J215" s="8"/>
    </row>
    <row r="216" spans="2:10" ht="15.75" hidden="1">
      <c r="B216" s="75" t="s">
        <v>12</v>
      </c>
      <c r="C216" s="57">
        <f>C273+C274+C275</f>
        <v>41999.266</v>
      </c>
      <c r="D216" s="64">
        <f>D273+D274+D275</f>
        <v>4103.395</v>
      </c>
      <c r="E216" s="64">
        <f>E273+E274+E275</f>
        <v>4395.24</v>
      </c>
      <c r="F216" s="58">
        <f>F273+F274+F275</f>
        <v>50497.901</v>
      </c>
      <c r="G216" s="2"/>
      <c r="H216" s="15"/>
      <c r="I216" s="11"/>
      <c r="J216" s="8"/>
    </row>
    <row r="217" spans="2:10" ht="15.75" hidden="1">
      <c r="B217" s="52"/>
      <c r="C217" s="62"/>
      <c r="D217" s="65"/>
      <c r="E217" s="65"/>
      <c r="F217" s="63"/>
      <c r="G217" s="2"/>
      <c r="H217" s="15"/>
      <c r="I217" s="11"/>
      <c r="J217" s="8"/>
    </row>
    <row r="218" spans="2:10" ht="15.75" hidden="1">
      <c r="B218" s="55" t="s">
        <v>34</v>
      </c>
      <c r="C218" s="57"/>
      <c r="D218" s="58"/>
      <c r="E218" s="58"/>
      <c r="F218" s="56"/>
      <c r="H218" s="15"/>
      <c r="I218" s="11"/>
      <c r="J218" s="8"/>
    </row>
    <row r="219" spans="2:10" ht="15.75" hidden="1">
      <c r="B219" s="52" t="s">
        <v>22</v>
      </c>
      <c r="C219" s="57">
        <v>14070.603</v>
      </c>
      <c r="D219" s="58">
        <v>1346.185</v>
      </c>
      <c r="E219" s="58">
        <v>619.7058</v>
      </c>
      <c r="F219" s="56">
        <f aca="true" t="shared" si="6" ref="F219:F230">SUM(C219:E219)</f>
        <v>16036.493799999998</v>
      </c>
      <c r="H219" s="15"/>
      <c r="I219" s="11"/>
      <c r="J219" s="8"/>
    </row>
    <row r="220" spans="2:10" ht="15.75" hidden="1">
      <c r="B220" s="52" t="s">
        <v>23</v>
      </c>
      <c r="C220" s="57">
        <v>13024.433</v>
      </c>
      <c r="D220" s="58">
        <v>1217.945</v>
      </c>
      <c r="E220" s="58">
        <v>486.991</v>
      </c>
      <c r="F220" s="56">
        <f t="shared" si="6"/>
        <v>14729.369</v>
      </c>
      <c r="H220" s="9"/>
      <c r="I220" s="11"/>
      <c r="J220" s="8"/>
    </row>
    <row r="221" spans="2:10" ht="15.75" hidden="1">
      <c r="B221" s="52" t="s">
        <v>24</v>
      </c>
      <c r="C221" s="57">
        <v>14521.927</v>
      </c>
      <c r="D221" s="58">
        <v>1302.385</v>
      </c>
      <c r="E221" s="58">
        <v>508.764</v>
      </c>
      <c r="F221" s="56">
        <f t="shared" si="6"/>
        <v>16333.076</v>
      </c>
      <c r="H221" s="9"/>
      <c r="I221" s="11"/>
      <c r="J221" s="8"/>
    </row>
    <row r="222" spans="2:10" ht="15.75" hidden="1">
      <c r="B222" s="52" t="s">
        <v>14</v>
      </c>
      <c r="C222" s="57">
        <v>14043.107</v>
      </c>
      <c r="D222" s="58">
        <v>1180.527</v>
      </c>
      <c r="E222" s="58">
        <v>672.134</v>
      </c>
      <c r="F222" s="56">
        <f t="shared" si="6"/>
        <v>15895.768</v>
      </c>
      <c r="H222" s="17"/>
      <c r="I222" s="11"/>
      <c r="J222" s="8"/>
    </row>
    <row r="223" spans="2:10" ht="15.75" hidden="1">
      <c r="B223" s="52" t="s">
        <v>15</v>
      </c>
      <c r="C223" s="57">
        <v>14751</v>
      </c>
      <c r="D223" s="58">
        <v>1143</v>
      </c>
      <c r="E223" s="58">
        <v>730</v>
      </c>
      <c r="F223" s="56">
        <f t="shared" si="6"/>
        <v>16624</v>
      </c>
      <c r="H223" s="17"/>
      <c r="I223" s="11"/>
      <c r="J223" s="8"/>
    </row>
    <row r="224" spans="2:10" ht="15.75" hidden="1">
      <c r="B224" s="52" t="s">
        <v>25</v>
      </c>
      <c r="C224" s="57">
        <v>13297.416</v>
      </c>
      <c r="D224" s="58">
        <v>1132.636</v>
      </c>
      <c r="E224" s="58">
        <v>747.6602</v>
      </c>
      <c r="F224" s="56">
        <f t="shared" si="6"/>
        <v>15177.7122</v>
      </c>
      <c r="H224" s="17"/>
      <c r="I224" s="11"/>
      <c r="J224" s="8"/>
    </row>
    <row r="225" spans="2:10" ht="15.75" hidden="1">
      <c r="B225" s="52" t="s">
        <v>16</v>
      </c>
      <c r="C225" s="57">
        <v>14527.201</v>
      </c>
      <c r="D225" s="58">
        <v>1162.162</v>
      </c>
      <c r="E225" s="58">
        <v>692.726</v>
      </c>
      <c r="F225" s="56">
        <f t="shared" si="6"/>
        <v>16382.089</v>
      </c>
      <c r="H225" s="17"/>
      <c r="I225" s="11"/>
      <c r="J225" s="8"/>
    </row>
    <row r="226" spans="2:10" ht="15.75" hidden="1">
      <c r="B226" s="52" t="s">
        <v>17</v>
      </c>
      <c r="C226" s="57">
        <v>14596.478</v>
      </c>
      <c r="D226" s="58">
        <v>1216.892</v>
      </c>
      <c r="E226" s="58">
        <v>684.604</v>
      </c>
      <c r="F226" s="56">
        <f t="shared" si="6"/>
        <v>16497.974</v>
      </c>
      <c r="H226" s="17"/>
      <c r="I226" s="11"/>
      <c r="J226" s="8"/>
    </row>
    <row r="227" spans="2:10" ht="15.75" hidden="1">
      <c r="B227" s="52" t="s">
        <v>18</v>
      </c>
      <c r="C227" s="57">
        <v>14387</v>
      </c>
      <c r="D227" s="58">
        <v>1061</v>
      </c>
      <c r="E227" s="58">
        <v>606</v>
      </c>
      <c r="F227" s="56">
        <f t="shared" si="6"/>
        <v>16054</v>
      </c>
      <c r="H227" s="17"/>
      <c r="I227" s="11"/>
      <c r="J227" s="8"/>
    </row>
    <row r="228" spans="2:10" ht="15.75" hidden="1">
      <c r="B228" s="52" t="s">
        <v>30</v>
      </c>
      <c r="C228" s="57">
        <v>14521.727</v>
      </c>
      <c r="D228" s="58">
        <v>1432.868</v>
      </c>
      <c r="E228" s="58">
        <v>600.084</v>
      </c>
      <c r="F228" s="56">
        <f t="shared" si="6"/>
        <v>16554.679</v>
      </c>
      <c r="H228" s="17"/>
      <c r="I228" s="11"/>
      <c r="J228" s="8"/>
    </row>
    <row r="229" spans="2:10" ht="15.75" hidden="1">
      <c r="B229" s="52" t="s">
        <v>20</v>
      </c>
      <c r="C229" s="57">
        <v>14108.422</v>
      </c>
      <c r="D229" s="58">
        <v>1261.482</v>
      </c>
      <c r="E229" s="58">
        <v>662.473</v>
      </c>
      <c r="F229" s="56">
        <f t="shared" si="6"/>
        <v>16032.377</v>
      </c>
      <c r="H229" s="17"/>
      <c r="I229" s="11"/>
      <c r="J229" s="8"/>
    </row>
    <row r="230" spans="2:10" ht="15.75" hidden="1">
      <c r="B230" s="52" t="s">
        <v>21</v>
      </c>
      <c r="C230" s="57">
        <v>14371.218</v>
      </c>
      <c r="D230" s="58">
        <v>1263.991</v>
      </c>
      <c r="E230" s="58">
        <v>666.174</v>
      </c>
      <c r="F230" s="56">
        <f t="shared" si="6"/>
        <v>16301.383000000002</v>
      </c>
      <c r="H230" s="17"/>
      <c r="I230" s="11"/>
      <c r="J230" s="8"/>
    </row>
    <row r="231" spans="2:10" ht="15.75" hidden="1">
      <c r="B231" s="52"/>
      <c r="C231" s="57"/>
      <c r="D231" s="58"/>
      <c r="E231" s="58"/>
      <c r="F231" s="56"/>
      <c r="H231" s="17"/>
      <c r="I231" s="11"/>
      <c r="J231" s="8"/>
    </row>
    <row r="232" spans="2:10" ht="15.75" hidden="1">
      <c r="B232" s="55" t="s">
        <v>37</v>
      </c>
      <c r="C232" s="57"/>
      <c r="D232" s="58"/>
      <c r="E232" s="58"/>
      <c r="F232" s="56"/>
      <c r="H232" s="17"/>
      <c r="I232" s="11"/>
      <c r="J232" s="8"/>
    </row>
    <row r="233" spans="2:10" ht="15.75" hidden="1">
      <c r="B233" s="52" t="s">
        <v>68</v>
      </c>
      <c r="C233" s="58">
        <f>SUM(C278:C280)</f>
        <v>50044.990999999995</v>
      </c>
      <c r="D233" s="58">
        <f>SUM(D278:D280)</f>
        <v>2849.272</v>
      </c>
      <c r="E233" s="58">
        <f>SUM(E278:E280)</f>
        <v>4713.5470000000005</v>
      </c>
      <c r="F233" s="58">
        <f>SUM(F278:F280)</f>
        <v>57607.810000000005</v>
      </c>
      <c r="H233" s="17"/>
      <c r="I233" s="11"/>
      <c r="J233" s="8"/>
    </row>
    <row r="234" spans="2:10" ht="15.75" hidden="1">
      <c r="B234" s="52" t="s">
        <v>26</v>
      </c>
      <c r="C234" s="57">
        <f>C281+C282+C283</f>
        <v>52807.7961</v>
      </c>
      <c r="D234" s="58">
        <f>D281+D282+D283</f>
        <v>3264.725</v>
      </c>
      <c r="E234" s="64">
        <f>E281+E282+E283</f>
        <v>4079.09</v>
      </c>
      <c r="F234" s="58">
        <f>F281+F282+F283</f>
        <v>60151.6111</v>
      </c>
      <c r="G234" s="1"/>
      <c r="H234" s="17"/>
      <c r="I234" s="11"/>
      <c r="J234" s="8"/>
    </row>
    <row r="235" spans="2:10" ht="15.75" hidden="1">
      <c r="B235" s="52" t="s">
        <v>10</v>
      </c>
      <c r="C235" s="58">
        <f>C284+C285+C286</f>
        <v>51841.846600000004</v>
      </c>
      <c r="D235" s="58">
        <f>D284+D285+D286</f>
        <v>4432.356000000001</v>
      </c>
      <c r="E235" s="58">
        <f>E284+E285+E286</f>
        <v>2821.17211</v>
      </c>
      <c r="F235" s="68">
        <f>F284+F285+F286</f>
        <v>59095.374710000004</v>
      </c>
      <c r="G235" s="2"/>
      <c r="H235" s="17"/>
      <c r="I235" s="11"/>
      <c r="J235" s="8"/>
    </row>
    <row r="236" spans="2:10" s="28" customFormat="1" ht="15.75" hidden="1">
      <c r="B236" s="75" t="s">
        <v>12</v>
      </c>
      <c r="C236" s="76">
        <f>C287+C288+C289</f>
        <v>53534.797999999995</v>
      </c>
      <c r="D236" s="76">
        <f>D287+D288+D289</f>
        <v>4124.269</v>
      </c>
      <c r="E236" s="76">
        <f>E287+E288+E289</f>
        <v>3736.6588999999994</v>
      </c>
      <c r="F236" s="76">
        <f>F287+F288+F289</f>
        <v>61395.72589999999</v>
      </c>
      <c r="G236" s="7"/>
      <c r="H236" s="25"/>
      <c r="I236" s="26"/>
      <c r="J236" s="27"/>
    </row>
    <row r="237" spans="2:10" ht="15.75" hidden="1">
      <c r="B237" s="55" t="s">
        <v>35</v>
      </c>
      <c r="C237" s="57"/>
      <c r="D237" s="58"/>
      <c r="E237" s="58"/>
      <c r="F237" s="56"/>
      <c r="H237" s="17"/>
      <c r="I237" s="11"/>
      <c r="J237" s="8"/>
    </row>
    <row r="238" spans="2:10" ht="15.75" hidden="1">
      <c r="B238" s="52" t="s">
        <v>22</v>
      </c>
      <c r="C238" s="57">
        <v>14122.184</v>
      </c>
      <c r="D238" s="58">
        <v>1344.893</v>
      </c>
      <c r="E238" s="58">
        <v>736.341</v>
      </c>
      <c r="F238" s="56">
        <f aca="true" t="shared" si="7" ref="F238:F249">SUM(C238:E238)</f>
        <v>16203.418</v>
      </c>
      <c r="H238" s="17"/>
      <c r="I238" s="11"/>
      <c r="J238" s="8"/>
    </row>
    <row r="239" spans="2:10" ht="15.75" hidden="1">
      <c r="B239" s="52" t="s">
        <v>23</v>
      </c>
      <c r="C239" s="57">
        <v>13372.107</v>
      </c>
      <c r="D239" s="58">
        <v>1230.989</v>
      </c>
      <c r="E239" s="58">
        <v>892.517</v>
      </c>
      <c r="F239" s="56">
        <f t="shared" si="7"/>
        <v>15495.613</v>
      </c>
      <c r="H239" s="17"/>
      <c r="I239" s="11"/>
      <c r="J239" s="8"/>
    </row>
    <row r="240" spans="2:10" ht="15.75" hidden="1">
      <c r="B240" s="52" t="s">
        <v>24</v>
      </c>
      <c r="C240" s="57">
        <v>14679.373</v>
      </c>
      <c r="D240" s="58">
        <v>1063.889</v>
      </c>
      <c r="E240" s="58">
        <v>1033.969</v>
      </c>
      <c r="F240" s="56">
        <f t="shared" si="7"/>
        <v>16777.231</v>
      </c>
      <c r="H240" s="17"/>
      <c r="I240" s="11"/>
      <c r="J240" s="8"/>
    </row>
    <row r="241" spans="2:10" ht="15.75" hidden="1">
      <c r="B241" s="52" t="s">
        <v>14</v>
      </c>
      <c r="C241" s="57">
        <v>15126.401</v>
      </c>
      <c r="D241" s="58">
        <v>771.732</v>
      </c>
      <c r="E241" s="58">
        <v>1084.642</v>
      </c>
      <c r="F241" s="56">
        <f t="shared" si="7"/>
        <v>16982.775</v>
      </c>
      <c r="H241" s="17"/>
      <c r="I241" s="11"/>
      <c r="J241" s="8"/>
    </row>
    <row r="242" spans="2:10" ht="15.75" hidden="1">
      <c r="B242" s="52" t="s">
        <v>15</v>
      </c>
      <c r="C242" s="57">
        <v>15617.891</v>
      </c>
      <c r="D242" s="58">
        <v>843.489</v>
      </c>
      <c r="E242" s="58">
        <v>1068.557</v>
      </c>
      <c r="F242" s="56">
        <f t="shared" si="7"/>
        <v>17529.937</v>
      </c>
      <c r="H242" s="17"/>
      <c r="I242" s="11"/>
      <c r="J242" s="8"/>
    </row>
    <row r="243" spans="2:10" ht="15.75" hidden="1">
      <c r="B243" s="52" t="s">
        <v>25</v>
      </c>
      <c r="C243" s="57">
        <v>15370.027</v>
      </c>
      <c r="D243" s="58">
        <v>1243.399</v>
      </c>
      <c r="E243" s="58">
        <v>512.288</v>
      </c>
      <c r="F243" s="56">
        <f t="shared" si="7"/>
        <v>17125.714</v>
      </c>
      <c r="H243" s="15"/>
      <c r="I243" s="11"/>
      <c r="J243" s="8"/>
    </row>
    <row r="244" spans="2:10" ht="15.75" hidden="1">
      <c r="B244" s="52" t="s">
        <v>16</v>
      </c>
      <c r="C244" s="57">
        <v>15757.121</v>
      </c>
      <c r="D244" s="58">
        <v>1116.383</v>
      </c>
      <c r="E244" s="58">
        <v>800.766</v>
      </c>
      <c r="F244" s="56">
        <f t="shared" si="7"/>
        <v>17674.27</v>
      </c>
      <c r="H244" s="17"/>
      <c r="I244" s="11"/>
      <c r="J244" s="8"/>
    </row>
    <row r="245" spans="2:10" ht="15.75" hidden="1">
      <c r="B245" s="52" t="s">
        <v>17</v>
      </c>
      <c r="C245" s="57">
        <v>16205.876</v>
      </c>
      <c r="D245" s="58">
        <v>1147.225</v>
      </c>
      <c r="E245" s="58">
        <v>695.62</v>
      </c>
      <c r="F245" s="56">
        <f t="shared" si="7"/>
        <v>18048.720999999998</v>
      </c>
      <c r="H245" s="17"/>
      <c r="I245" s="11"/>
      <c r="J245" s="8"/>
    </row>
    <row r="246" spans="2:10" ht="15.75" hidden="1">
      <c r="B246" s="52" t="s">
        <v>18</v>
      </c>
      <c r="C246" s="57">
        <v>15669.245</v>
      </c>
      <c r="D246" s="58">
        <v>1159.897</v>
      </c>
      <c r="E246" s="58">
        <v>624.719</v>
      </c>
      <c r="F246" s="56">
        <f t="shared" si="7"/>
        <v>17453.861</v>
      </c>
      <c r="H246" s="17"/>
      <c r="I246" s="11"/>
      <c r="J246" s="8"/>
    </row>
    <row r="247" spans="2:10" ht="15.75" hidden="1">
      <c r="B247" s="52" t="s">
        <v>30</v>
      </c>
      <c r="C247" s="57">
        <v>16007.285</v>
      </c>
      <c r="D247" s="58">
        <v>926.641</v>
      </c>
      <c r="E247" s="58">
        <v>838.95</v>
      </c>
      <c r="F247" s="56">
        <f t="shared" si="7"/>
        <v>17772.876</v>
      </c>
      <c r="H247" s="17"/>
      <c r="I247" s="11"/>
      <c r="J247" s="8"/>
    </row>
    <row r="248" spans="2:10" ht="15.75" hidden="1">
      <c r="B248" s="52" t="s">
        <v>20</v>
      </c>
      <c r="C248" s="57">
        <v>16034.53</v>
      </c>
      <c r="D248" s="58">
        <v>729.272</v>
      </c>
      <c r="E248" s="58">
        <v>844.497</v>
      </c>
      <c r="F248" s="56">
        <f t="shared" si="7"/>
        <v>17608.299</v>
      </c>
      <c r="H248" s="9"/>
      <c r="I248" s="11"/>
      <c r="J248" s="8"/>
    </row>
    <row r="249" spans="2:10" ht="15.75" hidden="1">
      <c r="B249" s="52" t="s">
        <v>21</v>
      </c>
      <c r="C249" s="57">
        <v>15961.964</v>
      </c>
      <c r="D249" s="58">
        <v>1089.941</v>
      </c>
      <c r="E249" s="58">
        <v>703.802</v>
      </c>
      <c r="F249" s="56">
        <f t="shared" si="7"/>
        <v>17755.707</v>
      </c>
      <c r="H249" s="17"/>
      <c r="I249" s="11"/>
      <c r="J249" s="8"/>
    </row>
    <row r="250" spans="2:10" ht="15.75" hidden="1">
      <c r="B250" s="52"/>
      <c r="C250" s="57"/>
      <c r="D250" s="58"/>
      <c r="E250" s="58"/>
      <c r="F250" s="56"/>
      <c r="H250" s="17"/>
      <c r="I250" s="11"/>
      <c r="J250" s="8"/>
    </row>
    <row r="251" spans="2:10" ht="15.75" hidden="1">
      <c r="B251" s="55" t="s">
        <v>38</v>
      </c>
      <c r="C251" s="57"/>
      <c r="D251" s="58"/>
      <c r="E251" s="58"/>
      <c r="F251" s="56"/>
      <c r="H251" s="17"/>
      <c r="I251" s="11"/>
      <c r="J251" s="8"/>
    </row>
    <row r="252" spans="2:10" ht="15.75" hidden="1">
      <c r="B252" s="52" t="s">
        <v>68</v>
      </c>
      <c r="C252" s="57">
        <f>SUM(C322:C324)</f>
        <v>55642.762</v>
      </c>
      <c r="D252" s="64">
        <f>SUM(D322:D324)</f>
        <v>3448.233</v>
      </c>
      <c r="E252" s="64">
        <f>SUM(E322:E324)</f>
        <v>4117.0132</v>
      </c>
      <c r="F252" s="58">
        <f>SUM(F322:F324)</f>
        <v>63208.0082</v>
      </c>
      <c r="G252" s="1"/>
      <c r="H252" s="17"/>
      <c r="I252" s="11"/>
      <c r="J252" s="8"/>
    </row>
    <row r="253" spans="2:10" ht="15.75" hidden="1">
      <c r="B253" s="52" t="s">
        <v>26</v>
      </c>
      <c r="C253" s="58">
        <f>SUM(C325:C327)</f>
        <v>56624.98649999999</v>
      </c>
      <c r="D253" s="58">
        <f>SUM(D325:D327)</f>
        <v>3598.0986</v>
      </c>
      <c r="E253" s="58">
        <f>SUM(E325:E327)</f>
        <v>4918.776972</v>
      </c>
      <c r="F253" s="58">
        <f>SUM(F325:F327)</f>
        <v>65141.86207199999</v>
      </c>
      <c r="G253" s="2"/>
      <c r="H253" s="17"/>
      <c r="I253" s="11"/>
      <c r="J253" s="8"/>
    </row>
    <row r="254" spans="2:10" ht="15.75" hidden="1">
      <c r="B254" s="52" t="s">
        <v>61</v>
      </c>
      <c r="C254" s="58">
        <f>SUM(C328:C330)</f>
        <v>49714.147000000004</v>
      </c>
      <c r="D254" s="58">
        <f>SUM(D328:D330)</f>
        <v>4240.946</v>
      </c>
      <c r="E254" s="58">
        <f>SUM(E328:E330)</f>
        <v>4617.32264</v>
      </c>
      <c r="F254" s="58">
        <f>SUM(F328:F330)</f>
        <v>58572.41564000001</v>
      </c>
      <c r="G254" s="2"/>
      <c r="H254" s="17"/>
      <c r="I254" s="11"/>
      <c r="J254" s="8"/>
    </row>
    <row r="255" spans="2:10" ht="15.75" hidden="1">
      <c r="B255" s="75" t="s">
        <v>12</v>
      </c>
      <c r="C255" s="58">
        <f>SUM(C331:C333)</f>
        <v>48519.8335</v>
      </c>
      <c r="D255" s="58">
        <f>SUM(D331:D333)</f>
        <v>3862.8700000000003</v>
      </c>
      <c r="E255" s="58">
        <f>SUM(E331:E333)</f>
        <v>5000.408</v>
      </c>
      <c r="F255" s="58">
        <f>SUM(F331:F333)</f>
        <v>57383.1115</v>
      </c>
      <c r="G255" s="2"/>
      <c r="H255" s="17"/>
      <c r="I255" s="11"/>
      <c r="J255" s="8"/>
    </row>
    <row r="256" spans="2:10" ht="15.75" hidden="1">
      <c r="B256" s="52"/>
      <c r="C256" s="57"/>
      <c r="D256" s="58"/>
      <c r="E256" s="58"/>
      <c r="F256" s="56"/>
      <c r="H256" s="17"/>
      <c r="I256" s="11"/>
      <c r="J256" s="8"/>
    </row>
    <row r="257" spans="2:10" ht="15.75" hidden="1">
      <c r="B257" s="55" t="s">
        <v>39</v>
      </c>
      <c r="C257" s="57"/>
      <c r="D257" s="58"/>
      <c r="E257" s="58"/>
      <c r="F257" s="56"/>
      <c r="H257" s="17"/>
      <c r="I257" s="11"/>
      <c r="J257" s="8"/>
    </row>
    <row r="258" spans="2:10" ht="15.75" hidden="1">
      <c r="B258" s="52" t="s">
        <v>69</v>
      </c>
      <c r="C258" s="58">
        <f>SUM(C336:C338)</f>
        <v>55413.9865</v>
      </c>
      <c r="D258" s="58">
        <f>SUM(D336:D338)</f>
        <v>3413.5509999999995</v>
      </c>
      <c r="E258" s="58">
        <f>SUM(E336:E338)</f>
        <v>4578.732900000001</v>
      </c>
      <c r="F258" s="58">
        <f>SUM(F336:F338)</f>
        <v>63406.270399999994</v>
      </c>
      <c r="G258" s="1"/>
      <c r="H258" s="17"/>
      <c r="I258" s="11"/>
      <c r="J258" s="8"/>
    </row>
    <row r="259" spans="2:10" ht="15.75" hidden="1">
      <c r="B259" s="52" t="s">
        <v>26</v>
      </c>
      <c r="C259" s="58">
        <f>SUM(C339:C341)</f>
        <v>56587.966</v>
      </c>
      <c r="D259" s="58">
        <f>SUM(D339:D341)</f>
        <v>3565.9950000000003</v>
      </c>
      <c r="E259" s="58">
        <f>SUM(E339:E341)</f>
        <v>4789.0206</v>
      </c>
      <c r="F259" s="58">
        <f>SUM(F342:F344)</f>
        <v>58293.265999999996</v>
      </c>
      <c r="G259" s="2"/>
      <c r="H259" s="17"/>
      <c r="I259" s="11"/>
      <c r="J259" s="8"/>
    </row>
    <row r="260" spans="2:10" ht="15.75" hidden="1">
      <c r="B260" s="52" t="s">
        <v>61</v>
      </c>
      <c r="C260" s="58">
        <f>SUM(C342:C344)</f>
        <v>50504.753</v>
      </c>
      <c r="D260" s="58">
        <f>SUM(D342:D344)</f>
        <v>3941.3109999999997</v>
      </c>
      <c r="E260" s="58">
        <f>SUM(E342:E344)</f>
        <v>3847.202</v>
      </c>
      <c r="F260" s="58">
        <f>SUM(F342:F344)</f>
        <v>58293.265999999996</v>
      </c>
      <c r="G260" s="2"/>
      <c r="H260" s="17"/>
      <c r="I260" s="11"/>
      <c r="J260" s="8"/>
    </row>
    <row r="261" spans="2:10" ht="15.75" hidden="1">
      <c r="B261" s="52" t="s">
        <v>11</v>
      </c>
      <c r="C261" s="58">
        <f>SUM(C345:C347)</f>
        <v>50185.365000000005</v>
      </c>
      <c r="D261" s="58">
        <f>SUM(D345:D347)</f>
        <v>3811.044</v>
      </c>
      <c r="E261" s="58">
        <f>SUM(E345:E347)</f>
        <v>3897.8529</v>
      </c>
      <c r="F261" s="58">
        <f>SUM(F345:F347)</f>
        <v>57894.2619</v>
      </c>
      <c r="G261" s="2"/>
      <c r="H261" s="17"/>
      <c r="I261" s="11"/>
      <c r="J261" s="8"/>
    </row>
    <row r="262" spans="2:10" ht="15.75" hidden="1">
      <c r="B262" s="52"/>
      <c r="C262" s="57"/>
      <c r="D262" s="58"/>
      <c r="E262" s="58"/>
      <c r="F262" s="56"/>
      <c r="H262" s="17"/>
      <c r="I262" s="11"/>
      <c r="J262" s="8"/>
    </row>
    <row r="263" spans="2:10" ht="15.75" hidden="1">
      <c r="B263" s="55" t="s">
        <v>36</v>
      </c>
      <c r="C263" s="57"/>
      <c r="D263" s="58"/>
      <c r="E263" s="58"/>
      <c r="F263" s="56"/>
      <c r="H263" s="17"/>
      <c r="I263" s="11"/>
      <c r="J263" s="8"/>
    </row>
    <row r="264" spans="2:10" ht="15.75" hidden="1">
      <c r="B264" s="52" t="s">
        <v>22</v>
      </c>
      <c r="C264" s="57">
        <v>15961</v>
      </c>
      <c r="D264" s="58">
        <v>890.787</v>
      </c>
      <c r="E264" s="58">
        <v>905.964</v>
      </c>
      <c r="F264" s="56">
        <f aca="true" t="shared" si="8" ref="F264:F275">SUM(C264:E264)</f>
        <v>17757.751</v>
      </c>
      <c r="H264" s="17"/>
      <c r="I264" s="11"/>
      <c r="J264" s="8"/>
    </row>
    <row r="265" spans="2:10" ht="15.75" hidden="1">
      <c r="B265" s="52" t="s">
        <v>23</v>
      </c>
      <c r="C265" s="57">
        <v>13740.614</v>
      </c>
      <c r="D265" s="58">
        <v>1342.254</v>
      </c>
      <c r="E265" s="58">
        <v>911.308</v>
      </c>
      <c r="F265" s="56">
        <f t="shared" si="8"/>
        <v>15994.176</v>
      </c>
      <c r="H265" s="17"/>
      <c r="I265" s="11"/>
      <c r="J265" s="8"/>
    </row>
    <row r="266" spans="2:10" ht="15.75" hidden="1">
      <c r="B266" s="52" t="s">
        <v>24</v>
      </c>
      <c r="C266" s="57">
        <v>16046.489</v>
      </c>
      <c r="D266" s="58">
        <v>1290.63</v>
      </c>
      <c r="E266" s="58">
        <v>1153.535</v>
      </c>
      <c r="F266" s="56">
        <f t="shared" si="8"/>
        <v>18490.654</v>
      </c>
      <c r="H266" s="17"/>
      <c r="I266" s="11"/>
      <c r="J266" s="8"/>
    </row>
    <row r="267" spans="2:10" ht="15.75" hidden="1">
      <c r="B267" s="52" t="s">
        <v>14</v>
      </c>
      <c r="C267" s="57">
        <v>14140.269</v>
      </c>
      <c r="D267" s="58">
        <v>1468.53</v>
      </c>
      <c r="E267" s="58">
        <v>1224.057</v>
      </c>
      <c r="F267" s="56">
        <f t="shared" si="8"/>
        <v>16832.856</v>
      </c>
      <c r="H267" s="17"/>
      <c r="I267" s="11"/>
      <c r="J267" s="8"/>
    </row>
    <row r="268" spans="2:10" ht="15.75" hidden="1">
      <c r="B268" s="52" t="s">
        <v>15</v>
      </c>
      <c r="C268" s="57">
        <v>15476.041</v>
      </c>
      <c r="D268" s="58">
        <v>1656.132</v>
      </c>
      <c r="E268" s="58">
        <v>1301.26</v>
      </c>
      <c r="F268" s="56">
        <f t="shared" si="8"/>
        <v>18433.432999999997</v>
      </c>
      <c r="H268" s="17"/>
      <c r="I268" s="11"/>
      <c r="J268" s="8"/>
    </row>
    <row r="269" spans="2:10" ht="15.75" hidden="1">
      <c r="B269" s="52" t="s">
        <v>25</v>
      </c>
      <c r="C269" s="57">
        <v>14952.927</v>
      </c>
      <c r="D269" s="58">
        <v>1534.209</v>
      </c>
      <c r="E269" s="58">
        <v>862.541</v>
      </c>
      <c r="F269" s="56">
        <f t="shared" si="8"/>
        <v>17349.677</v>
      </c>
      <c r="H269" s="17"/>
      <c r="I269" s="11"/>
      <c r="J269" s="8"/>
    </row>
    <row r="270" spans="2:10" ht="15.75" hidden="1">
      <c r="B270" s="52" t="s">
        <v>16</v>
      </c>
      <c r="C270" s="57">
        <v>15618.201</v>
      </c>
      <c r="D270" s="58">
        <v>1565.979</v>
      </c>
      <c r="E270" s="58">
        <v>719.503</v>
      </c>
      <c r="F270" s="56">
        <f t="shared" si="8"/>
        <v>17903.683</v>
      </c>
      <c r="H270" s="17"/>
      <c r="I270" s="11"/>
      <c r="J270" s="8"/>
    </row>
    <row r="271" spans="2:10" ht="15.75" hidden="1">
      <c r="B271" s="52" t="s">
        <v>17</v>
      </c>
      <c r="C271" s="57">
        <f>15253.886+697.8</f>
        <v>15951.686</v>
      </c>
      <c r="D271" s="58">
        <v>1555.891</v>
      </c>
      <c r="E271" s="58">
        <v>748.163</v>
      </c>
      <c r="F271" s="56">
        <f t="shared" si="8"/>
        <v>18255.74</v>
      </c>
      <c r="H271" s="17"/>
      <c r="I271" s="11"/>
      <c r="J271" s="8"/>
    </row>
    <row r="272" spans="2:10" ht="15.75" hidden="1">
      <c r="B272" s="52" t="s">
        <v>18</v>
      </c>
      <c r="C272" s="57">
        <f>11907.408+870.54</f>
        <v>12777.948</v>
      </c>
      <c r="D272" s="58">
        <v>1295.92</v>
      </c>
      <c r="E272" s="58">
        <v>1111.16</v>
      </c>
      <c r="F272" s="56">
        <f t="shared" si="8"/>
        <v>15185.028</v>
      </c>
      <c r="H272" s="19"/>
      <c r="I272" s="11"/>
      <c r="J272" s="8"/>
    </row>
    <row r="273" spans="2:10" ht="15.75" customHeight="1" hidden="1">
      <c r="B273" s="52" t="s">
        <v>30</v>
      </c>
      <c r="C273" s="57">
        <f>11342.325+908.55</f>
        <v>12250.875</v>
      </c>
      <c r="D273" s="58">
        <v>1340.549</v>
      </c>
      <c r="E273" s="58">
        <v>1473.245</v>
      </c>
      <c r="F273" s="56">
        <f t="shared" si="8"/>
        <v>15064.668999999998</v>
      </c>
      <c r="H273" s="19"/>
      <c r="I273" s="11"/>
      <c r="J273" s="8"/>
    </row>
    <row r="274" spans="2:10" ht="15.75" hidden="1">
      <c r="B274" s="52" t="s">
        <v>20</v>
      </c>
      <c r="C274" s="57">
        <f>12965.319+785.25</f>
        <v>13750.569</v>
      </c>
      <c r="D274" s="58">
        <v>1399.367</v>
      </c>
      <c r="E274" s="58">
        <v>1409.454</v>
      </c>
      <c r="F274" s="56">
        <f t="shared" si="8"/>
        <v>16559.39</v>
      </c>
      <c r="H274" s="19"/>
      <c r="I274" s="11"/>
      <c r="J274" s="8"/>
    </row>
    <row r="275" spans="2:10" ht="15.75" hidden="1">
      <c r="B275" s="52" t="s">
        <v>21</v>
      </c>
      <c r="C275" s="68">
        <f>14891.122+1106.7</f>
        <v>15997.822</v>
      </c>
      <c r="D275" s="58">
        <v>1363.479</v>
      </c>
      <c r="E275" s="58">
        <v>1512.541</v>
      </c>
      <c r="F275" s="56">
        <f t="shared" si="8"/>
        <v>18873.842</v>
      </c>
      <c r="H275" s="19"/>
      <c r="I275" s="11"/>
      <c r="J275" s="8"/>
    </row>
    <row r="276" spans="2:10" ht="15.75" hidden="1">
      <c r="B276" s="43"/>
      <c r="C276" s="68"/>
      <c r="D276" s="58"/>
      <c r="E276" s="58"/>
      <c r="F276" s="56"/>
      <c r="G276" s="24"/>
      <c r="H276" s="21"/>
      <c r="I276" s="22"/>
      <c r="J276" s="20">
        <v>1178.22</v>
      </c>
    </row>
    <row r="277" spans="2:10" ht="15.75" hidden="1">
      <c r="B277" s="55" t="s">
        <v>37</v>
      </c>
      <c r="C277" s="68"/>
      <c r="D277" s="58"/>
      <c r="E277" s="58"/>
      <c r="F277" s="56"/>
      <c r="H277" s="19"/>
      <c r="I277" s="11"/>
      <c r="J277" s="8"/>
    </row>
    <row r="278" spans="2:10" ht="15.75" hidden="1">
      <c r="B278" s="52" t="s">
        <v>22</v>
      </c>
      <c r="C278" s="68">
        <f>(3522.32+4919.814+2006.661+5373+1178.22-639.709)</f>
        <v>16360.305999999999</v>
      </c>
      <c r="D278" s="58">
        <f>(330.58+639.709)</f>
        <v>970.289</v>
      </c>
      <c r="E278" s="58">
        <f>1070.685+506.97+252.015+119.208</f>
        <v>1948.8780000000002</v>
      </c>
      <c r="F278" s="56">
        <f aca="true" t="shared" si="9" ref="F278:F289">SUM(C278:E278)</f>
        <v>19279.472999999998</v>
      </c>
      <c r="H278" s="19"/>
      <c r="I278" s="11"/>
      <c r="J278" s="8"/>
    </row>
    <row r="279" spans="2:10" ht="15.75" hidden="1">
      <c r="B279" s="52" t="s">
        <v>23</v>
      </c>
      <c r="C279" s="68">
        <f>3686.855+4200.04+4954+2019.699+1248.76-559.691</f>
        <v>15549.663</v>
      </c>
      <c r="D279" s="58">
        <f>307.204+559.691</f>
        <v>866.895</v>
      </c>
      <c r="E279" s="58">
        <f>516.39+147.195+107.913+542.813</f>
        <v>1314.3110000000001</v>
      </c>
      <c r="F279" s="56">
        <f t="shared" si="9"/>
        <v>17730.869000000002</v>
      </c>
      <c r="H279" s="19"/>
      <c r="I279" s="11"/>
      <c r="J279" s="8"/>
    </row>
    <row r="280" spans="2:10" ht="15.75" hidden="1">
      <c r="B280" s="52" t="s">
        <v>24</v>
      </c>
      <c r="C280" s="68">
        <f>4297.02+5179.083+6070+2256.675+1008.88-676.636</f>
        <v>18135.022</v>
      </c>
      <c r="D280" s="58">
        <f>335.452+676.636</f>
        <v>1012.088</v>
      </c>
      <c r="E280" s="58">
        <f>615.52+257.565+102.432+474.841</f>
        <v>1450.3580000000002</v>
      </c>
      <c r="F280" s="56">
        <f t="shared" si="9"/>
        <v>20597.468</v>
      </c>
      <c r="H280" s="19"/>
      <c r="I280" s="11"/>
      <c r="J280" s="8"/>
    </row>
    <row r="281" spans="2:10" ht="15.75" hidden="1">
      <c r="B281" s="52" t="s">
        <v>14</v>
      </c>
      <c r="C281" s="68">
        <f>(4495.89+4212.2518+5961+2208.5+959.62-667.154)</f>
        <v>17170.1078</v>
      </c>
      <c r="D281" s="58">
        <f>(310.686+667.154)</f>
        <v>977.8399999999999</v>
      </c>
      <c r="E281" s="58">
        <f>(587.84+166.335+110.976+463.188)</f>
        <v>1328.339</v>
      </c>
      <c r="F281" s="56">
        <f t="shared" si="9"/>
        <v>19476.2868</v>
      </c>
      <c r="H281" s="19"/>
      <c r="I281" s="11"/>
      <c r="J281" s="8"/>
    </row>
    <row r="282" spans="2:10" ht="15.75" hidden="1">
      <c r="B282" s="52" t="s">
        <v>15</v>
      </c>
      <c r="C282" s="68">
        <f>(4727.86+4303.1603+6411+2225.307+826.24-663.055)</f>
        <v>17830.512300000002</v>
      </c>
      <c r="D282" s="58">
        <f>(337.63+663.055)</f>
        <v>1000.685</v>
      </c>
      <c r="E282" s="58">
        <f>(565.946+246.435+118.116+598.772)</f>
        <v>1529.2690000000002</v>
      </c>
      <c r="F282" s="56">
        <f t="shared" si="9"/>
        <v>20360.466300000004</v>
      </c>
      <c r="H282" s="19"/>
      <c r="I282" s="11"/>
      <c r="J282" s="8"/>
    </row>
    <row r="283" spans="2:10" ht="15.75" hidden="1">
      <c r="B283" s="52" t="s">
        <v>25</v>
      </c>
      <c r="C283" s="68">
        <f>(5834.57+3834.784+2157.399+6578+401.15-998.727)</f>
        <v>17807.176</v>
      </c>
      <c r="D283" s="58">
        <v>1286.2</v>
      </c>
      <c r="E283" s="58">
        <f>578.393+409.49+104.655+128.944</f>
        <v>1221.482</v>
      </c>
      <c r="F283" s="56">
        <f t="shared" si="9"/>
        <v>20314.858</v>
      </c>
      <c r="H283" s="19"/>
      <c r="I283" s="11"/>
      <c r="J283" s="8"/>
    </row>
    <row r="284" spans="2:10" ht="15.75" hidden="1">
      <c r="B284" s="52" t="s">
        <v>16</v>
      </c>
      <c r="C284" s="72">
        <f>(6402.38+3317.9566+2144.813+6778+345.98-1135.582)</f>
        <v>17853.5476</v>
      </c>
      <c r="D284" s="58">
        <f>1135.582+346.72</f>
        <v>1482.3020000000001</v>
      </c>
      <c r="E284" s="72">
        <f>345.2211+66.615+133.548+538.453</f>
        <v>1083.8371</v>
      </c>
      <c r="F284" s="51">
        <f t="shared" si="9"/>
        <v>20419.686700000002</v>
      </c>
      <c r="H284" s="19"/>
      <c r="I284" s="11"/>
      <c r="J284" s="8"/>
    </row>
    <row r="285" spans="2:10" ht="15.75" hidden="1">
      <c r="B285" s="52" t="s">
        <v>17</v>
      </c>
      <c r="C285" s="77">
        <f>7295.75+1636.2+6193+2422.485+754.97-1131.218</f>
        <v>17171.187</v>
      </c>
      <c r="D285" s="32">
        <f>1131.218+331.62</f>
        <v>1462.8380000000002</v>
      </c>
      <c r="E285" s="43">
        <f>273.641+79.185+126.048+473.575</f>
        <v>952.4490000000001</v>
      </c>
      <c r="F285" s="51">
        <f t="shared" si="9"/>
        <v>19586.474000000002</v>
      </c>
      <c r="H285" s="19"/>
      <c r="I285" s="11"/>
      <c r="J285" s="8"/>
    </row>
    <row r="286" spans="2:10" ht="15.75" hidden="1">
      <c r="B286" s="52" t="s">
        <v>18</v>
      </c>
      <c r="C286" s="77">
        <f>8317.28+0+5823+2147.541+861.06+653.758-985.527</f>
        <v>16817.112</v>
      </c>
      <c r="D286" s="32">
        <f>1131.218+355.998</f>
        <v>1487.2160000000001</v>
      </c>
      <c r="E286" s="43">
        <f>308.34801+70.905+109.848+295.785</f>
        <v>784.88601</v>
      </c>
      <c r="F286" s="51">
        <f t="shared" si="9"/>
        <v>19089.21401</v>
      </c>
      <c r="H286" s="19"/>
      <c r="I286" s="11"/>
      <c r="J286" s="8"/>
    </row>
    <row r="287" spans="2:10" ht="15.75" hidden="1">
      <c r="B287" s="52" t="s">
        <v>30</v>
      </c>
      <c r="C287" s="77">
        <f>5058.55+0+5966+2370.475+355.3+1900.159-1009.364</f>
        <v>14641.119999999999</v>
      </c>
      <c r="D287" s="32">
        <f>1009.364+367.388</f>
        <v>1376.752</v>
      </c>
      <c r="E287" s="43">
        <f>307.1103+32.625+121.224+815.265</f>
        <v>1276.2242999999999</v>
      </c>
      <c r="F287" s="51">
        <f t="shared" si="9"/>
        <v>17294.096299999997</v>
      </c>
      <c r="H287" s="19"/>
      <c r="I287" s="11"/>
      <c r="J287" s="8"/>
    </row>
    <row r="288" spans="2:10" ht="15.75" hidden="1">
      <c r="B288" s="52" t="s">
        <v>20</v>
      </c>
      <c r="C288" s="77">
        <f>4144.31+3798.48+6384+1765.374+1049.58+3837.94-908.564</f>
        <v>20071.12</v>
      </c>
      <c r="D288" s="32">
        <f>466.942+908.564</f>
        <v>1375.5059999999999</v>
      </c>
      <c r="E288" s="43">
        <f>349.646+36.96+127.692+776.851</f>
        <v>1291.149</v>
      </c>
      <c r="F288" s="51">
        <f t="shared" si="9"/>
        <v>22737.775</v>
      </c>
      <c r="H288" s="19"/>
      <c r="I288" s="11"/>
      <c r="J288" s="8"/>
    </row>
    <row r="289" spans="2:10" ht="15.75" hidden="1">
      <c r="B289" s="52" t="s">
        <v>21</v>
      </c>
      <c r="C289" s="77">
        <f>3987.45+4324.11+7011+2197.649+936.69+1217.986-852.327</f>
        <v>18822.557999999997</v>
      </c>
      <c r="D289" s="32">
        <f>852.327+519.684</f>
        <v>1372.011</v>
      </c>
      <c r="E289" s="43">
        <f>402.2886+85.545+73.248+608.204</f>
        <v>1169.2856</v>
      </c>
      <c r="F289" s="51">
        <f t="shared" si="9"/>
        <v>21363.854599999995</v>
      </c>
      <c r="H289" s="19"/>
      <c r="I289" s="11"/>
      <c r="J289" s="8"/>
    </row>
    <row r="290" spans="2:10" ht="15.75" hidden="1">
      <c r="B290" s="52"/>
      <c r="C290" s="77"/>
      <c r="D290" s="32"/>
      <c r="E290" s="43"/>
      <c r="F290" s="51"/>
      <c r="H290" s="19"/>
      <c r="I290" s="11"/>
      <c r="J290" s="8"/>
    </row>
    <row r="291" spans="2:10" ht="15.75" hidden="1">
      <c r="B291" s="55" t="s">
        <v>40</v>
      </c>
      <c r="C291" s="77"/>
      <c r="D291" s="32"/>
      <c r="E291" s="43"/>
      <c r="F291" s="51"/>
      <c r="H291" s="19"/>
      <c r="I291" s="11"/>
      <c r="J291" s="8"/>
    </row>
    <row r="292" spans="2:10" ht="15.75" hidden="1">
      <c r="B292" s="52" t="s">
        <v>69</v>
      </c>
      <c r="C292" s="78">
        <f>SUM(C350:C352)</f>
        <v>51160.86200000001</v>
      </c>
      <c r="D292" s="78">
        <f>SUM(D350:D352)</f>
        <v>3400.3599999999997</v>
      </c>
      <c r="E292" s="78">
        <f>SUM(E350:E352)</f>
        <v>4054.2562</v>
      </c>
      <c r="F292" s="78">
        <f>SUM(F350:F352)</f>
        <v>58615.478200000005</v>
      </c>
      <c r="H292" s="19"/>
      <c r="I292" s="11"/>
      <c r="J292" s="8"/>
    </row>
    <row r="293" spans="2:10" ht="15.75" hidden="1">
      <c r="B293" s="85" t="str">
        <f>B259</f>
        <v>  2ème Trim.</v>
      </c>
      <c r="C293" s="78">
        <f>SUM(C353:C355)</f>
        <v>58353.801999999996</v>
      </c>
      <c r="D293" s="78">
        <f>SUM(D353:D355)</f>
        <v>4313.583</v>
      </c>
      <c r="E293" s="78">
        <f>SUM(E353:E355)</f>
        <v>3981.6255</v>
      </c>
      <c r="F293" s="84">
        <f>SUM(F353:F355)</f>
        <v>66649.0105</v>
      </c>
      <c r="H293" s="19"/>
      <c r="I293" s="11"/>
      <c r="J293" s="8"/>
    </row>
    <row r="294" spans="2:10" ht="15.75" hidden="1">
      <c r="B294" s="85" t="s">
        <v>61</v>
      </c>
      <c r="C294" s="78">
        <f>SUM(C356:C358)</f>
        <v>60852.677</v>
      </c>
      <c r="D294" s="78">
        <f>SUM(D356:D358)</f>
        <v>3820.277</v>
      </c>
      <c r="E294" s="78">
        <f>SUM(E356:E358)</f>
        <v>3613.9455</v>
      </c>
      <c r="F294" s="78">
        <f>SUM(F356:F358)</f>
        <v>68286.8995</v>
      </c>
      <c r="H294" s="19"/>
      <c r="I294" s="11"/>
      <c r="J294" s="8"/>
    </row>
    <row r="295" spans="2:10" ht="15.75" hidden="1">
      <c r="B295" s="85" t="s">
        <v>11</v>
      </c>
      <c r="C295" s="78">
        <f>SUM(C359:C361)</f>
        <v>57032.537</v>
      </c>
      <c r="D295" s="78">
        <f>SUM(D359:D361)</f>
        <v>3508.12</v>
      </c>
      <c r="E295" s="78">
        <f>SUM(E359:E361)</f>
        <v>5198.9569</v>
      </c>
      <c r="F295" s="78">
        <f>SUM(F359:F361)</f>
        <v>65739.6139</v>
      </c>
      <c r="H295" s="19"/>
      <c r="I295" s="11"/>
      <c r="J295" s="8"/>
    </row>
    <row r="296" spans="2:10" ht="15.75" hidden="1">
      <c r="B296" s="52"/>
      <c r="C296" s="92"/>
      <c r="D296" s="93"/>
      <c r="E296" s="78"/>
      <c r="F296" s="78"/>
      <c r="H296" s="19"/>
      <c r="I296" s="11"/>
      <c r="J296" s="8"/>
    </row>
    <row r="297" spans="2:10" ht="15.75" hidden="1">
      <c r="B297" s="55" t="s">
        <v>41</v>
      </c>
      <c r="C297" s="92"/>
      <c r="D297" s="93"/>
      <c r="E297" s="78"/>
      <c r="F297" s="78"/>
      <c r="H297" s="19"/>
      <c r="I297" s="11"/>
      <c r="J297" s="8"/>
    </row>
    <row r="298" spans="2:10" ht="15.75" hidden="1">
      <c r="B298" s="85" t="s">
        <v>69</v>
      </c>
      <c r="C298" s="78">
        <f>C364+C365+C366</f>
        <v>60543.67300000001</v>
      </c>
      <c r="D298" s="78">
        <f>D364+D365+D366</f>
        <v>3546.3830000000003</v>
      </c>
      <c r="E298" s="78">
        <f>E364+E365+E366</f>
        <v>5076.8455</v>
      </c>
      <c r="F298" s="78">
        <f>F364+F365+F366</f>
        <v>69166.9015</v>
      </c>
      <c r="H298" s="19"/>
      <c r="I298" s="11"/>
      <c r="J298" s="8"/>
    </row>
    <row r="299" spans="2:10" ht="15.75" hidden="1">
      <c r="B299" s="85" t="s">
        <v>26</v>
      </c>
      <c r="C299" s="78">
        <f>C367+C368+C369</f>
        <v>59215.636999999995</v>
      </c>
      <c r="D299" s="78">
        <f>D367+D368+D369</f>
        <v>4086.141</v>
      </c>
      <c r="E299" s="78">
        <f>E367+E368+E369</f>
        <v>6867.488200000001</v>
      </c>
      <c r="F299" s="78">
        <f>F367+F368+F369</f>
        <v>70169.26619999998</v>
      </c>
      <c r="H299" s="19"/>
      <c r="I299" s="11"/>
      <c r="J299" s="8"/>
    </row>
    <row r="300" spans="2:10" ht="15.75" hidden="1">
      <c r="B300" s="85" t="s">
        <v>61</v>
      </c>
      <c r="C300" s="78">
        <f>C370+C371+C372</f>
        <v>49539.818</v>
      </c>
      <c r="D300" s="78">
        <f>D370+D371+D372</f>
        <v>3422.3700000000003</v>
      </c>
      <c r="E300" s="78">
        <f>E370+E371+E372</f>
        <v>7394.9867</v>
      </c>
      <c r="F300" s="78">
        <f>F370+F371+F372</f>
        <v>60357.1747</v>
      </c>
      <c r="H300" s="19"/>
      <c r="I300" s="11"/>
      <c r="J300" s="8"/>
    </row>
    <row r="301" spans="2:10" ht="15.75" hidden="1">
      <c r="B301" s="85" t="s">
        <v>11</v>
      </c>
      <c r="C301" s="78">
        <f>C373+C374+C375</f>
        <v>55474.439999999995</v>
      </c>
      <c r="D301" s="78">
        <f>D373+D374+D375</f>
        <v>3565.42</v>
      </c>
      <c r="E301" s="78">
        <f>E373+E374+E375</f>
        <v>6189.929700000001</v>
      </c>
      <c r="F301" s="78">
        <f>F373+F374+F375</f>
        <v>65229.78970000001</v>
      </c>
      <c r="H301" s="19"/>
      <c r="I301" s="11"/>
      <c r="J301" s="8"/>
    </row>
    <row r="302" spans="2:10" ht="15.75" hidden="1">
      <c r="B302" s="52"/>
      <c r="C302" s="92"/>
      <c r="D302" s="78"/>
      <c r="E302" s="78"/>
      <c r="F302" s="78"/>
      <c r="H302" s="19"/>
      <c r="I302" s="11"/>
      <c r="J302" s="8"/>
    </row>
    <row r="303" spans="2:10" ht="15.75">
      <c r="B303" s="55" t="s">
        <v>42</v>
      </c>
      <c r="C303" s="92"/>
      <c r="D303" s="78"/>
      <c r="E303" s="78"/>
      <c r="F303" s="78"/>
      <c r="H303" s="19"/>
      <c r="I303" s="11"/>
      <c r="J303" s="8"/>
    </row>
    <row r="304" spans="2:10" ht="15.75">
      <c r="B304" s="85" t="s">
        <v>8</v>
      </c>
      <c r="C304" s="78">
        <f>C378+C379+C380</f>
        <v>56594.020000000004</v>
      </c>
      <c r="D304" s="78">
        <f>D378+D379+D380</f>
        <v>3483.8999999999996</v>
      </c>
      <c r="E304" s="78">
        <f>E378+E379+E380</f>
        <v>4981.4310000000005</v>
      </c>
      <c r="F304" s="78">
        <f>F378+F379+F380</f>
        <v>65059.351</v>
      </c>
      <c r="H304" s="19"/>
      <c r="I304" s="11"/>
      <c r="J304" s="8"/>
    </row>
    <row r="305" spans="2:10" ht="15.75">
      <c r="B305" s="85" t="s">
        <v>26</v>
      </c>
      <c r="C305" s="78">
        <f>C381+C382+C383</f>
        <v>54324.368</v>
      </c>
      <c r="D305" s="78">
        <f>D381+D382+D383</f>
        <v>4211.821</v>
      </c>
      <c r="E305" s="78">
        <f>E381+E382+E383</f>
        <v>7133.6684000000005</v>
      </c>
      <c r="F305" s="78">
        <f>F381+F382+F383</f>
        <v>65669.85740000001</v>
      </c>
      <c r="H305" s="19"/>
      <c r="I305" s="11"/>
      <c r="J305" s="8"/>
    </row>
    <row r="306" spans="2:10" ht="15.75">
      <c r="B306" s="85" t="s">
        <v>61</v>
      </c>
      <c r="C306" s="78">
        <f>C384+C385+C386</f>
        <v>54667.507</v>
      </c>
      <c r="D306" s="78">
        <f>D384+D385+D386</f>
        <v>4613.272</v>
      </c>
      <c r="E306" s="78">
        <f>E384+E385+E386</f>
        <v>4606.285999999999</v>
      </c>
      <c r="F306" s="78">
        <f>F384+F385+F386</f>
        <v>63887.064999999995</v>
      </c>
      <c r="H306" s="19"/>
      <c r="I306" s="11"/>
      <c r="J306" s="8"/>
    </row>
    <row r="307" spans="2:10" ht="15.75">
      <c r="B307" s="85" t="s">
        <v>11</v>
      </c>
      <c r="C307" s="78">
        <f>C387+C388+C389</f>
        <v>54520.734</v>
      </c>
      <c r="D307" s="78">
        <f>D387+D388+D389</f>
        <v>4059.6369999999997</v>
      </c>
      <c r="E307" s="78">
        <f>E387+E388+E389</f>
        <v>4611.844</v>
      </c>
      <c r="F307" s="78">
        <f>F387+F388+F389</f>
        <v>63192.21500000001</v>
      </c>
      <c r="H307" s="19"/>
      <c r="I307" s="11"/>
      <c r="J307" s="8"/>
    </row>
    <row r="308" spans="2:10" ht="15.75">
      <c r="B308" s="52"/>
      <c r="C308" s="92"/>
      <c r="D308" s="78"/>
      <c r="E308" s="78"/>
      <c r="F308" s="78"/>
      <c r="H308" s="19"/>
      <c r="I308" s="11"/>
      <c r="J308" s="8"/>
    </row>
    <row r="309" spans="2:10" ht="15.75">
      <c r="B309" s="55" t="s">
        <v>44</v>
      </c>
      <c r="C309" s="92"/>
      <c r="D309" s="78"/>
      <c r="E309" s="78"/>
      <c r="F309" s="78"/>
      <c r="H309" s="19"/>
      <c r="I309" s="11"/>
      <c r="J309" s="8"/>
    </row>
    <row r="310" spans="2:10" ht="15.75">
      <c r="B310" s="85" t="s">
        <v>8</v>
      </c>
      <c r="C310" s="78">
        <f>C392+C393+C394</f>
        <v>60828.577000000005</v>
      </c>
      <c r="D310" s="78">
        <f>D392+D393+D394</f>
        <v>3040.985</v>
      </c>
      <c r="E310" s="78">
        <f>E392+E393+E394</f>
        <v>5439.8954</v>
      </c>
      <c r="F310" s="78">
        <f>F392+F393+F394</f>
        <v>69309.45740000001</v>
      </c>
      <c r="H310" s="19"/>
      <c r="I310" s="11"/>
      <c r="J310" s="8"/>
    </row>
    <row r="311" spans="2:10" ht="15.75">
      <c r="B311" s="85" t="s">
        <v>26</v>
      </c>
      <c r="C311" s="78">
        <f>C395+C396+C397</f>
        <v>64646.062000000005</v>
      </c>
      <c r="D311" s="78">
        <f>D395+D396+D397</f>
        <v>5195.947999999999</v>
      </c>
      <c r="E311" s="78">
        <f>E395+E396+E397</f>
        <v>4736.75784</v>
      </c>
      <c r="F311" s="78">
        <f>F395+F396+F397</f>
        <v>74578.76784</v>
      </c>
      <c r="H311" s="19"/>
      <c r="I311" s="11"/>
      <c r="J311" s="8"/>
    </row>
    <row r="312" spans="2:10" ht="15.75">
      <c r="B312" s="85" t="s">
        <v>61</v>
      </c>
      <c r="C312" s="78">
        <f>C398+C399+C400</f>
        <v>62196.638999999996</v>
      </c>
      <c r="D312" s="78">
        <f>D398+D399+D400</f>
        <v>4870.992</v>
      </c>
      <c r="E312" s="78">
        <f>E398+E399+E400</f>
        <v>4774.60764</v>
      </c>
      <c r="F312" s="78">
        <f>F398+F399+F400</f>
        <v>71842.23864</v>
      </c>
      <c r="H312" s="19"/>
      <c r="I312" s="11"/>
      <c r="J312" s="8"/>
    </row>
    <row r="313" spans="2:10" ht="15.75">
      <c r="B313" s="85" t="s">
        <v>11</v>
      </c>
      <c r="C313" s="78">
        <f>C401+C402+C403</f>
        <v>60590.95900000001</v>
      </c>
      <c r="D313" s="78">
        <f>D401+D402+D403</f>
        <v>4805.206</v>
      </c>
      <c r="E313" s="78">
        <f>E401+E402+E403</f>
        <v>5736.9361</v>
      </c>
      <c r="F313" s="78">
        <f>F401+F402+F403</f>
        <v>71133.1011</v>
      </c>
      <c r="H313" s="19"/>
      <c r="I313" s="11"/>
      <c r="J313" s="8"/>
    </row>
    <row r="314" spans="2:10" ht="15.75">
      <c r="B314" s="85"/>
      <c r="C314" s="92"/>
      <c r="D314" s="78"/>
      <c r="E314" s="78"/>
      <c r="F314" s="78"/>
      <c r="H314" s="19"/>
      <c r="I314" s="11"/>
      <c r="J314" s="8"/>
    </row>
    <row r="315" spans="2:10" ht="15.75">
      <c r="B315" s="55" t="s">
        <v>45</v>
      </c>
      <c r="C315" s="92"/>
      <c r="D315" s="78"/>
      <c r="E315" s="78"/>
      <c r="F315" s="78"/>
      <c r="H315" s="19"/>
      <c r="I315" s="11"/>
      <c r="J315" s="8"/>
    </row>
    <row r="316" spans="2:10" ht="15.75">
      <c r="B316" s="85" t="s">
        <v>8</v>
      </c>
      <c r="C316" s="78">
        <f>C406+C407+C408</f>
        <v>55236.894</v>
      </c>
      <c r="D316" s="78">
        <f>D406+D407+D408</f>
        <v>4492.407999999999</v>
      </c>
      <c r="E316" s="78">
        <f>E406+E407+E408</f>
        <v>6330.98229</v>
      </c>
      <c r="F316" s="78">
        <f>F406+F407+F408</f>
        <v>66060.28429000001</v>
      </c>
      <c r="H316" s="19"/>
      <c r="I316" s="11"/>
      <c r="J316" s="8"/>
    </row>
    <row r="317" spans="2:10" ht="15.75">
      <c r="B317" s="85" t="s">
        <v>26</v>
      </c>
      <c r="C317" s="78">
        <f>C409+C410+C411</f>
        <v>50019.441999999995</v>
      </c>
      <c r="D317" s="78">
        <f>D409+D410+D411</f>
        <v>4014.527</v>
      </c>
      <c r="E317" s="78">
        <f>E409+E410+E411</f>
        <v>5976.202179999999</v>
      </c>
      <c r="F317" s="78">
        <f>F409+F410+F411</f>
        <v>60010.17118</v>
      </c>
      <c r="H317" s="19"/>
      <c r="I317" s="11"/>
      <c r="J317" s="8"/>
    </row>
    <row r="318" spans="2:10" ht="15.75">
      <c r="B318" s="85" t="s">
        <v>61</v>
      </c>
      <c r="C318" s="78">
        <f>C412+C413+C414</f>
        <v>48166.227</v>
      </c>
      <c r="D318" s="78">
        <f>D412+D413+D414</f>
        <v>4589.853</v>
      </c>
      <c r="E318" s="78">
        <f>E412+E413+E414</f>
        <v>5665.8223</v>
      </c>
      <c r="F318" s="78">
        <f>F412+F413+F414</f>
        <v>58421.902299999994</v>
      </c>
      <c r="H318" s="19"/>
      <c r="I318" s="11"/>
      <c r="J318" s="8"/>
    </row>
    <row r="319" spans="2:10" ht="15.75">
      <c r="B319" s="85" t="s">
        <v>11</v>
      </c>
      <c r="C319" s="78">
        <f>C415+C416+C417</f>
        <v>63381.032999999996</v>
      </c>
      <c r="D319" s="78">
        <f>D415+D416+D417</f>
        <v>4708.653</v>
      </c>
      <c r="E319" s="78">
        <f>E415+E416+E417</f>
        <v>5273.915440000001</v>
      </c>
      <c r="F319" s="78">
        <f>F415+F416+F417</f>
        <v>73363.60144</v>
      </c>
      <c r="H319" s="19"/>
      <c r="I319" s="11"/>
      <c r="J319" s="8"/>
    </row>
    <row r="320" spans="2:10" ht="15.75">
      <c r="B320" s="52"/>
      <c r="C320" s="77"/>
      <c r="D320" s="78"/>
      <c r="E320" s="78"/>
      <c r="F320" s="78"/>
      <c r="H320" s="19"/>
      <c r="I320" s="11"/>
      <c r="J320" s="8"/>
    </row>
    <row r="321" spans="2:10" ht="15.75" hidden="1">
      <c r="B321" s="55" t="s">
        <v>38</v>
      </c>
      <c r="C321" s="72"/>
      <c r="D321" s="58"/>
      <c r="E321" s="58"/>
      <c r="F321" s="51"/>
      <c r="H321" s="19"/>
      <c r="I321" s="11"/>
      <c r="J321" s="8"/>
    </row>
    <row r="322" spans="2:10" ht="15.75" hidden="1">
      <c r="B322" s="52" t="s">
        <v>22</v>
      </c>
      <c r="C322" s="68">
        <f>3397.58+3944.01+7130+2382.556+1080.26+1255.371-723.927</f>
        <v>18465.85</v>
      </c>
      <c r="D322" s="58">
        <f>723.927+504</f>
        <v>1227.9270000000001</v>
      </c>
      <c r="E322" s="58">
        <f>418.3714+85.395+126.876+713.222</f>
        <v>1343.8644</v>
      </c>
      <c r="F322" s="51">
        <f aca="true" t="shared" si="10" ref="F322:F333">SUM(C322:E322)</f>
        <v>21037.641399999997</v>
      </c>
      <c r="H322" s="19"/>
      <c r="I322" s="11"/>
      <c r="J322" s="8"/>
    </row>
    <row r="323" spans="2:10" ht="15.75" hidden="1">
      <c r="B323" s="52" t="s">
        <v>23</v>
      </c>
      <c r="C323" s="72">
        <f>3337.24+3779.727+6835+1551.847+995.49+1117.37-530.137</f>
        <v>17086.537</v>
      </c>
      <c r="D323" s="43">
        <f>530.137+558.302</f>
        <v>1088.4389999999999</v>
      </c>
      <c r="E323" s="58">
        <f>374.6014+59.04+116.844+659.229</f>
        <v>1209.7144</v>
      </c>
      <c r="F323" s="51">
        <f t="shared" si="10"/>
        <v>19384.6904</v>
      </c>
      <c r="H323" s="19"/>
      <c r="I323" s="11"/>
      <c r="J323" s="8"/>
    </row>
    <row r="324" spans="2:10" ht="15.75" hidden="1">
      <c r="B324" s="52" t="s">
        <v>24</v>
      </c>
      <c r="C324" s="34">
        <f>3407.41+5001.465+7650+2428.745+957.92+1161.162-516.327</f>
        <v>20090.374999999996</v>
      </c>
      <c r="D324" s="43">
        <f>516.327+615.54</f>
        <v>1131.867</v>
      </c>
      <c r="E324" s="58">
        <f>533.4184+64.23+117.48+848.306</f>
        <v>1563.4344</v>
      </c>
      <c r="F324" s="51">
        <f t="shared" si="10"/>
        <v>22785.676399999997</v>
      </c>
      <c r="H324" s="19"/>
      <c r="I324" s="11"/>
      <c r="J324" s="8"/>
    </row>
    <row r="325" spans="2:10" ht="15.75" hidden="1">
      <c r="B325" s="52" t="s">
        <v>60</v>
      </c>
      <c r="C325" s="34">
        <f>4263.27+4409.882+6775+2218.024+1203.71+758.882-772.418</f>
        <v>18856.35</v>
      </c>
      <c r="D325" s="43">
        <f>772.418+258.044</f>
        <v>1030.462</v>
      </c>
      <c r="E325" s="58">
        <f>587.777+64.23+127.488+836.383</f>
        <v>1615.8780000000002</v>
      </c>
      <c r="F325" s="51">
        <f t="shared" si="10"/>
        <v>21502.69</v>
      </c>
      <c r="H325" s="19"/>
      <c r="I325" s="11"/>
      <c r="J325" s="8"/>
    </row>
    <row r="326" spans="2:10" ht="15.75" hidden="1">
      <c r="B326" s="52" t="s">
        <v>15</v>
      </c>
      <c r="C326" s="34">
        <f>5662.69+4334.6085+6967+2260.836+1384.46-865.145</f>
        <v>19744.4495</v>
      </c>
      <c r="D326" s="43">
        <f>865.145+399.4986</f>
        <v>1264.6435999999999</v>
      </c>
      <c r="E326" s="58">
        <f>536.5206+130.896+1114.071456</f>
        <v>1781.4880559999997</v>
      </c>
      <c r="F326" s="51">
        <f t="shared" si="10"/>
        <v>22790.581155999997</v>
      </c>
      <c r="H326" s="19"/>
      <c r="I326" s="11"/>
      <c r="J326" s="8"/>
    </row>
    <row r="327" spans="2:10" ht="15.75" hidden="1">
      <c r="B327" s="52" t="s">
        <v>25</v>
      </c>
      <c r="C327" s="34">
        <f>6460.59+3000.375+6460+1781.797+1248.37-926.945</f>
        <v>18024.186999999998</v>
      </c>
      <c r="D327" s="43">
        <f>376.048+926.945</f>
        <v>1302.993</v>
      </c>
      <c r="E327" s="58">
        <f>299.7689+82.92+124.74+1013.982016</f>
        <v>1521.410916</v>
      </c>
      <c r="F327" s="51">
        <f t="shared" si="10"/>
        <v>20848.590915999997</v>
      </c>
      <c r="H327" s="19"/>
      <c r="I327" s="11"/>
      <c r="J327" s="8"/>
    </row>
    <row r="328" spans="2:10" ht="15.75" hidden="1">
      <c r="B328" s="52" t="s">
        <v>16</v>
      </c>
      <c r="C328" s="34">
        <f>6877.57+2786.742+6645+2154.803+948.56-1185.764</f>
        <v>18226.911</v>
      </c>
      <c r="D328" s="43">
        <f>266.24+1185.764</f>
        <v>1452.004</v>
      </c>
      <c r="E328" s="58">
        <f>322.3428+88.05+129.444+1291.76888</f>
        <v>1831.6056800000001</v>
      </c>
      <c r="F328" s="51">
        <f t="shared" si="10"/>
        <v>21510.52068</v>
      </c>
      <c r="H328" s="19"/>
      <c r="I328" s="11"/>
      <c r="J328" s="8"/>
    </row>
    <row r="329" spans="2:10" ht="15.75" hidden="1">
      <c r="B329" s="52" t="s">
        <v>17</v>
      </c>
      <c r="C329" s="34">
        <f>7467.35+2560.95+5510+2200.249-1098.982</f>
        <v>16639.567</v>
      </c>
      <c r="D329" s="43">
        <f>342.848+1098.982</f>
        <v>1441.83</v>
      </c>
      <c r="E329" s="58">
        <f>262.4241+54.12+122.496+937.66928</f>
        <v>1376.70938</v>
      </c>
      <c r="F329" s="51">
        <f t="shared" si="10"/>
        <v>19458.106379999997</v>
      </c>
      <c r="H329" s="19"/>
      <c r="I329" s="11"/>
      <c r="J329" s="8"/>
    </row>
    <row r="330" spans="2:10" ht="15.75" hidden="1">
      <c r="B330" s="52" t="s">
        <v>62</v>
      </c>
      <c r="C330" s="34">
        <f>4755.63+3098.182+6095+1661.959+247.68-1010.782</f>
        <v>14847.669000000002</v>
      </c>
      <c r="D330" s="43">
        <f>336.33+1010.782</f>
        <v>1347.112</v>
      </c>
      <c r="E330" s="58">
        <f>285.27+67.53+112.692+943.51558</f>
        <v>1409.00758</v>
      </c>
      <c r="F330" s="51">
        <f t="shared" si="10"/>
        <v>17603.788580000004</v>
      </c>
      <c r="H330" s="19"/>
      <c r="I330" s="11"/>
      <c r="J330" s="8"/>
    </row>
    <row r="331" spans="2:10" ht="15.75" hidden="1">
      <c r="B331" s="52" t="s">
        <v>30</v>
      </c>
      <c r="C331" s="34">
        <f>3485.55+3495.9645+6457+1915.847+543.72-1193.782</f>
        <v>14704.299500000001</v>
      </c>
      <c r="D331" s="43">
        <f>355.696+1193.782</f>
        <v>1549.478</v>
      </c>
      <c r="E331" s="58">
        <f>382.327+184.02+110.028+1090.8171</f>
        <v>1767.1921</v>
      </c>
      <c r="F331" s="51">
        <f t="shared" si="10"/>
        <v>18020.9696</v>
      </c>
      <c r="H331" s="19"/>
      <c r="I331" s="11"/>
      <c r="J331" s="8"/>
    </row>
    <row r="332" spans="2:10" ht="15.75" hidden="1">
      <c r="B332" s="52" t="s">
        <v>63</v>
      </c>
      <c r="C332" s="34">
        <f>3654.28+4703.045+6298+1674.189+20.86-833.073</f>
        <v>15517.301000000001</v>
      </c>
      <c r="D332" s="43">
        <f>355.696+833.073</f>
        <v>1188.769</v>
      </c>
      <c r="E332" s="58">
        <f>534.1557+227+415+116.46+868.7759</f>
        <v>2161.3916</v>
      </c>
      <c r="F332" s="51">
        <f t="shared" si="10"/>
        <v>18867.4616</v>
      </c>
      <c r="H332" s="19"/>
      <c r="I332" s="11"/>
      <c r="J332" s="8"/>
    </row>
    <row r="333" spans="2:10" ht="15.75" hidden="1">
      <c r="B333" s="52" t="s">
        <v>21</v>
      </c>
      <c r="C333" s="34">
        <f>4343.73+5460.682+6790+2278.13-574.309</f>
        <v>18298.233</v>
      </c>
      <c r="D333" s="43">
        <f>574.309+550.314</f>
        <v>1124.623</v>
      </c>
      <c r="E333" s="58">
        <f>628.0883+302.7+141.036</f>
        <v>1071.8243</v>
      </c>
      <c r="F333" s="51">
        <f t="shared" si="10"/>
        <v>20494.6803</v>
      </c>
      <c r="H333" s="19"/>
      <c r="I333" s="11"/>
      <c r="J333" s="8"/>
    </row>
    <row r="334" spans="2:10" ht="15.75" hidden="1">
      <c r="B334" s="52"/>
      <c r="C334" s="34"/>
      <c r="D334" s="43"/>
      <c r="E334" s="58"/>
      <c r="F334" s="51"/>
      <c r="H334" s="19"/>
      <c r="I334" s="11"/>
      <c r="J334" s="8"/>
    </row>
    <row r="335" spans="2:10" ht="15.75" hidden="1">
      <c r="B335" s="55" t="s">
        <v>39</v>
      </c>
      <c r="C335" s="34"/>
      <c r="D335" s="43"/>
      <c r="E335" s="58"/>
      <c r="F335" s="51"/>
      <c r="H335" s="19"/>
      <c r="I335" s="11"/>
      <c r="J335" s="8"/>
    </row>
    <row r="336" spans="2:10" ht="15.75" hidden="1">
      <c r="B336" s="52" t="s">
        <v>22</v>
      </c>
      <c r="C336" s="34">
        <f>6466.02+4421.928+7489+846.299-915</f>
        <v>18308.247</v>
      </c>
      <c r="D336" s="43">
        <f>915+371.814</f>
        <v>1286.814</v>
      </c>
      <c r="E336" s="58">
        <f>346.4746+110.49+144.924+866.428</f>
        <v>1468.3166</v>
      </c>
      <c r="F336" s="51">
        <f aca="true" t="shared" si="11" ref="F336:F345">SUM(C336:E336)</f>
        <v>21063.3776</v>
      </c>
      <c r="H336" s="19"/>
      <c r="I336" s="11"/>
      <c r="J336" s="8"/>
    </row>
    <row r="337" spans="2:10" ht="15.75" hidden="1">
      <c r="B337" s="52" t="s">
        <v>23</v>
      </c>
      <c r="C337" s="34">
        <f>6188.07+5857.7085+6851-713.836</f>
        <v>18182.9425</v>
      </c>
      <c r="D337" s="43">
        <f>713.836+309.782</f>
        <v>1023.6179999999999</v>
      </c>
      <c r="E337" s="58">
        <f>490.4942+67.125+129.24+858.118</f>
        <v>1544.9772</v>
      </c>
      <c r="F337" s="51">
        <f t="shared" si="11"/>
        <v>20751.5377</v>
      </c>
      <c r="H337" s="19"/>
      <c r="I337" s="11"/>
      <c r="J337" s="8"/>
    </row>
    <row r="338" spans="2:10" ht="15.75" hidden="1">
      <c r="B338" s="52" t="s">
        <v>24</v>
      </c>
      <c r="C338" s="34">
        <f>4750.032+6208.43+7070+1827.39-933.055</f>
        <v>18922.797</v>
      </c>
      <c r="D338" s="43">
        <f>170.064+933.055</f>
        <v>1103.119</v>
      </c>
      <c r="E338" s="58">
        <f>671.8341+79.8+134.184+679.621</f>
        <v>1565.4391</v>
      </c>
      <c r="F338" s="51">
        <f t="shared" si="11"/>
        <v>21591.355099999997</v>
      </c>
      <c r="H338" s="19"/>
      <c r="I338" s="11"/>
      <c r="J338" s="8"/>
    </row>
    <row r="339" spans="2:10" ht="15.75" hidden="1">
      <c r="B339" s="52" t="s">
        <v>60</v>
      </c>
      <c r="C339" s="34">
        <f>5474.37+5104.407+6590+2353.282-778.8</f>
        <v>18743.259000000002</v>
      </c>
      <c r="D339" s="43">
        <f>295.62+778.8</f>
        <v>1074.42</v>
      </c>
      <c r="E339" s="58">
        <f>531.9212+119.415+134.28+672.567</f>
        <v>1458.1832</v>
      </c>
      <c r="F339" s="51">
        <f t="shared" si="11"/>
        <v>21275.862200000003</v>
      </c>
      <c r="H339" s="19"/>
      <c r="I339" s="11"/>
      <c r="J339" s="8"/>
    </row>
    <row r="340" spans="2:10" ht="15.75" hidden="1">
      <c r="B340" s="52" t="s">
        <v>65</v>
      </c>
      <c r="C340" s="34">
        <f>4716.35+5481.441+6920+2489.455-442.145</f>
        <v>19165.101</v>
      </c>
      <c r="D340" s="43">
        <f>719.872+442.142</f>
        <v>1162.014</v>
      </c>
      <c r="E340" s="58">
        <f>628.1929+205.5+139.116+851.801</f>
        <v>1824.6099</v>
      </c>
      <c r="F340" s="51">
        <f t="shared" si="11"/>
        <v>22151.724899999997</v>
      </c>
      <c r="H340" s="19"/>
      <c r="I340" s="11"/>
      <c r="J340" s="8"/>
    </row>
    <row r="341" spans="2:10" ht="15.75" hidden="1">
      <c r="B341" s="52" t="s">
        <v>25</v>
      </c>
      <c r="C341" s="34">
        <f>5966.41+4054.134+6941+2319.027+63.89-664.855</f>
        <v>18679.606000000003</v>
      </c>
      <c r="D341" s="43">
        <f>664.706+664.855</f>
        <v>1329.5610000000001</v>
      </c>
      <c r="E341" s="58">
        <f>531.0885+87.03+64.8+823.309</f>
        <v>1506.2275</v>
      </c>
      <c r="F341" s="51">
        <f t="shared" si="11"/>
        <v>21515.394500000006</v>
      </c>
      <c r="H341" s="19"/>
      <c r="I341" s="11"/>
      <c r="J341" s="8"/>
    </row>
    <row r="342" spans="2:10" ht="15.75" hidden="1">
      <c r="B342" s="52" t="s">
        <v>16</v>
      </c>
      <c r="C342" s="34">
        <f>5433.83+3247.604+7117+2315.415+367.54-636.055</f>
        <v>17845.334</v>
      </c>
      <c r="D342" s="43">
        <f>636.055+697.036</f>
        <v>1333.091</v>
      </c>
      <c r="E342" s="58">
        <f>436.785+95.205+65.004+824.146</f>
        <v>1421.1399999999999</v>
      </c>
      <c r="F342" s="51">
        <f t="shared" si="11"/>
        <v>20599.565</v>
      </c>
      <c r="H342" s="19"/>
      <c r="I342" s="11"/>
      <c r="J342" s="8"/>
    </row>
    <row r="343" spans="2:10" ht="15.75" hidden="1">
      <c r="B343" s="52" t="s">
        <v>17</v>
      </c>
      <c r="C343" s="34">
        <f>4980.1+2900.288+6892+2199.653+573.92-842.564</f>
        <v>16703.397</v>
      </c>
      <c r="D343" s="43">
        <f>547.718+842.564</f>
        <v>1390.282</v>
      </c>
      <c r="E343" s="58">
        <f>380.9675+77.66+104.436+774.745</f>
        <v>1337.8085</v>
      </c>
      <c r="F343" s="51">
        <f t="shared" si="11"/>
        <v>19431.4875</v>
      </c>
      <c r="H343" s="19"/>
      <c r="I343" s="11"/>
      <c r="J343" s="8"/>
    </row>
    <row r="344" spans="2:10" ht="15.75" hidden="1">
      <c r="B344" s="52" t="s">
        <v>62</v>
      </c>
      <c r="C344" s="34">
        <f>4656.15+2948.295+6799+1468.811+712.13-628.364</f>
        <v>15956.021999999999</v>
      </c>
      <c r="D344" s="43">
        <f>589.574+628.364</f>
        <v>1217.938</v>
      </c>
      <c r="E344" s="58">
        <f>366.2825+58.38+118.104+545.487</f>
        <v>1088.2535</v>
      </c>
      <c r="F344" s="51">
        <f t="shared" si="11"/>
        <v>18262.213499999998</v>
      </c>
      <c r="H344" s="19"/>
      <c r="I344" s="11"/>
      <c r="J344" s="8"/>
    </row>
    <row r="345" spans="2:10" ht="15.75" hidden="1">
      <c r="B345" s="52" t="s">
        <v>30</v>
      </c>
      <c r="C345" s="34">
        <f>5012.17+3881.829+6300+2004.544+480.65-612.255</f>
        <v>17066.938000000002</v>
      </c>
      <c r="D345" s="43">
        <f>612.255+593.646</f>
        <v>1205.9009999999998</v>
      </c>
      <c r="E345" s="58">
        <f>364.058+45.21+111.096+745.346</f>
        <v>1265.71</v>
      </c>
      <c r="F345" s="51">
        <f t="shared" si="11"/>
        <v>19538.549</v>
      </c>
      <c r="H345" s="19"/>
      <c r="I345" s="11"/>
      <c r="J345" s="8"/>
    </row>
    <row r="346" spans="2:10" ht="15.75" hidden="1">
      <c r="B346" s="52" t="s">
        <v>63</v>
      </c>
      <c r="C346" s="34">
        <f>4668.86+3869.717+6401+1355.845+248.47-480.42</f>
        <v>16063.472</v>
      </c>
      <c r="D346" s="43">
        <f>480.42+743.69</f>
        <v>1224.1100000000001</v>
      </c>
      <c r="E346" s="58">
        <f>327.604+108.48+114.696+829.478</f>
        <v>1380.2579999999998</v>
      </c>
      <c r="F346" s="51">
        <f>SUM(C346:E346)</f>
        <v>18667.839999999997</v>
      </c>
      <c r="H346" s="19"/>
      <c r="I346" s="11"/>
      <c r="J346" s="8"/>
    </row>
    <row r="347" spans="2:10" ht="15.75" hidden="1">
      <c r="B347" s="52" t="s">
        <v>21</v>
      </c>
      <c r="C347" s="34">
        <f>3546.64+4811.394+6609+2163.03+441-516.109</f>
        <v>17054.954999999998</v>
      </c>
      <c r="D347" s="43">
        <f>516.109+864.924</f>
        <v>1381.033</v>
      </c>
      <c r="E347" s="58">
        <f>133.3279+139.2+133.956+845.401</f>
        <v>1251.8849</v>
      </c>
      <c r="F347" s="51">
        <f>SUM(C347:E347)</f>
        <v>19687.8729</v>
      </c>
      <c r="H347" s="19"/>
      <c r="I347" s="11"/>
      <c r="J347" s="8"/>
    </row>
    <row r="348" spans="2:10" ht="15.75" hidden="1">
      <c r="B348" s="52"/>
      <c r="C348" s="34"/>
      <c r="D348" s="43"/>
      <c r="E348" s="58"/>
      <c r="F348" s="51"/>
      <c r="H348" s="19"/>
      <c r="I348" s="11"/>
      <c r="J348" s="8"/>
    </row>
    <row r="349" spans="2:10" ht="15.75" hidden="1">
      <c r="B349" s="55" t="s">
        <v>40</v>
      </c>
      <c r="C349" s="34"/>
      <c r="D349" s="43"/>
      <c r="E349" s="58"/>
      <c r="F349" s="51"/>
      <c r="H349" s="19"/>
      <c r="I349" s="11"/>
      <c r="J349" s="8"/>
    </row>
    <row r="350" spans="2:10" ht="15.75" hidden="1">
      <c r="B350" s="52" t="s">
        <v>22</v>
      </c>
      <c r="C350" s="34">
        <f>3272.86+4730.523+7036+2306.279+483.83-554.564</f>
        <v>17274.928000000004</v>
      </c>
      <c r="D350" s="43">
        <f>663.924+554.564</f>
        <v>1218.4879999999998</v>
      </c>
      <c r="E350" s="58">
        <f>156.8983+219.255+90.768+799.571</f>
        <v>1266.4923</v>
      </c>
      <c r="F350" s="51">
        <f aca="true" t="shared" si="12" ref="F350:F356">SUM(C350:E350)</f>
        <v>19759.908300000003</v>
      </c>
      <c r="H350" s="19"/>
      <c r="I350" s="11"/>
      <c r="J350" s="8"/>
    </row>
    <row r="351" spans="2:10" ht="15.75" hidden="1">
      <c r="B351" s="52" t="s">
        <v>23</v>
      </c>
      <c r="C351" s="34">
        <f>3558.67+4185.783+7104+985.657+332.32-247.745</f>
        <v>15918.685</v>
      </c>
      <c r="D351" s="43">
        <f>743.78+247.745</f>
        <v>991.525</v>
      </c>
      <c r="E351" s="58">
        <f>465.18+128.145+73.008+702.294</f>
        <v>1368.627</v>
      </c>
      <c r="F351" s="51">
        <f t="shared" si="12"/>
        <v>18278.837</v>
      </c>
      <c r="H351" s="19"/>
      <c r="I351" s="11"/>
      <c r="J351" s="8"/>
    </row>
    <row r="352" spans="2:10" ht="15.75" hidden="1">
      <c r="B352" s="52" t="s">
        <v>24</v>
      </c>
      <c r="C352" s="34">
        <f>4978.57+4875.906+7794+80.668+485.85-247.745</f>
        <v>17967.249</v>
      </c>
      <c r="D352" s="43">
        <f>942.602+247.745</f>
        <v>1190.347</v>
      </c>
      <c r="E352" s="58">
        <f>512.5759+134.625+771.936</f>
        <v>1419.1369</v>
      </c>
      <c r="F352" s="51">
        <f t="shared" si="12"/>
        <v>20576.732900000003</v>
      </c>
      <c r="H352" s="19"/>
      <c r="I352" s="11"/>
      <c r="J352" s="8"/>
    </row>
    <row r="353" spans="2:10" ht="15.75" hidden="1">
      <c r="B353" s="52" t="s">
        <v>60</v>
      </c>
      <c r="C353" s="34">
        <f>3384.58+5674.095+6680+2363.632+889.824-409.8</f>
        <v>18582.331000000002</v>
      </c>
      <c r="D353" s="43">
        <f>883.254+409.8</f>
        <v>1293.054</v>
      </c>
      <c r="E353" s="58">
        <f>454.6412+214.74+88.488+813.953</f>
        <v>1571.8222</v>
      </c>
      <c r="F353" s="51">
        <f t="shared" si="12"/>
        <v>21447.2072</v>
      </c>
      <c r="H353" s="19"/>
      <c r="I353" s="11"/>
      <c r="J353" s="8"/>
    </row>
    <row r="354" spans="2:10" ht="15.75" hidden="1">
      <c r="B354" s="52" t="s">
        <v>65</v>
      </c>
      <c r="C354" s="34">
        <f>5734.59+4844.637+7123+2274.613+59.47+1391.387-746.073</f>
        <v>20681.624</v>
      </c>
      <c r="D354" s="43">
        <f>960.756+746.073</f>
        <v>1706.829</v>
      </c>
      <c r="E354" s="58">
        <f>45.59+189.645+76.236+657.445</f>
        <v>968.916</v>
      </c>
      <c r="F354" s="51">
        <f t="shared" si="12"/>
        <v>23357.369000000002</v>
      </c>
      <c r="H354" s="19"/>
      <c r="I354" s="11"/>
      <c r="J354" s="8"/>
    </row>
    <row r="355" spans="2:10" ht="15.75" hidden="1">
      <c r="B355" s="52" t="s">
        <v>25</v>
      </c>
      <c r="C355" s="34">
        <f>5653.12+3462.627+6630+2204.602+92.04+1540.658-493.2</f>
        <v>19089.846999999998</v>
      </c>
      <c r="D355" s="43">
        <f>493.2+820.5</f>
        <v>1313.7</v>
      </c>
      <c r="E355" s="58">
        <f>353.5273+130.77+82.296+874.294</f>
        <v>1440.8873</v>
      </c>
      <c r="F355" s="51">
        <f t="shared" si="12"/>
        <v>21844.434299999997</v>
      </c>
      <c r="H355" s="19"/>
      <c r="I355" s="11"/>
      <c r="J355" s="8"/>
    </row>
    <row r="356" spans="2:10" ht="15.75" hidden="1">
      <c r="B356" s="52" t="s">
        <v>16</v>
      </c>
      <c r="C356" s="34">
        <f>7051.39+2921.016+6981+2122.132+36.51+1552.156-604.855</f>
        <v>20059.349000000002</v>
      </c>
      <c r="D356" s="43">
        <f>604.855+711.858</f>
        <v>1316.713</v>
      </c>
      <c r="E356" s="58">
        <f>356.891+87.075+83.532+514.272</f>
        <v>1041.77</v>
      </c>
      <c r="F356" s="51">
        <f t="shared" si="12"/>
        <v>22417.832000000002</v>
      </c>
      <c r="H356" s="19"/>
      <c r="I356" s="11"/>
      <c r="J356" s="8"/>
    </row>
    <row r="357" spans="2:10" ht="15.75" hidden="1">
      <c r="B357" s="52" t="s">
        <v>17</v>
      </c>
      <c r="C357" s="34">
        <f>7232.02+2912.721+6376+2353.427+689.282+1559.996-630.982</f>
        <v>20492.464</v>
      </c>
      <c r="D357" s="43">
        <f>630.982+652.392</f>
        <v>1283.374</v>
      </c>
      <c r="E357" s="58">
        <f>338.201+52.38+70.776+861.179</f>
        <v>1322.536</v>
      </c>
      <c r="F357" s="51">
        <f>SUM(C357:E357)</f>
        <v>23098.374</v>
      </c>
      <c r="H357" s="19"/>
      <c r="I357" s="11"/>
      <c r="J357" s="8"/>
    </row>
    <row r="358" spans="2:10" ht="15.75" hidden="1">
      <c r="B358" s="52" t="s">
        <v>62</v>
      </c>
      <c r="C358" s="34">
        <f>6783.74+2905.539+6413+2086.83+1295.534+1492.039-675.818</f>
        <v>20300.864</v>
      </c>
      <c r="D358" s="43">
        <f>675.818+544.372</f>
        <v>1220.19</v>
      </c>
      <c r="E358" s="58">
        <f>320.1225+34.365+81.684+813.468</f>
        <v>1249.6395</v>
      </c>
      <c r="F358" s="51">
        <f>SUM(C358:E358)</f>
        <v>22770.6935</v>
      </c>
      <c r="H358" s="19"/>
      <c r="I358" s="11"/>
      <c r="J358" s="8"/>
    </row>
    <row r="359" spans="2:10" ht="15.75" hidden="1">
      <c r="B359" s="52" t="s">
        <v>30</v>
      </c>
      <c r="C359" s="86">
        <f>7395.97+3148.74+7147+1939.081+802.308+1371.764-713.564</f>
        <v>21091.299</v>
      </c>
      <c r="D359" s="43">
        <f>601.832+713.564</f>
        <v>1315.396</v>
      </c>
      <c r="E359" s="58">
        <f>69.122+347.43+83.7+781.229+181.685</f>
        <v>1463.166</v>
      </c>
      <c r="F359" s="51">
        <f>SUM(C359:E359)</f>
        <v>23869.861</v>
      </c>
      <c r="H359" s="19"/>
      <c r="I359" s="11"/>
      <c r="J359" s="8"/>
    </row>
    <row r="360" spans="2:10" ht="15.75" hidden="1">
      <c r="B360" s="52" t="s">
        <v>63</v>
      </c>
      <c r="C360" s="87">
        <f>4001.655+4448.8+5770+1852.2-574.091</f>
        <v>15498.564</v>
      </c>
      <c r="D360" s="43">
        <f>574.091+620.432</f>
        <v>1194.5230000000001</v>
      </c>
      <c r="E360" s="58">
        <f>421.775+115.075+79.764+819.425+202.519</f>
        <v>1638.558</v>
      </c>
      <c r="F360" s="51">
        <f>SUM(C360:E360)</f>
        <v>18331.645</v>
      </c>
      <c r="H360" s="19"/>
      <c r="I360" s="11"/>
      <c r="J360" s="8"/>
    </row>
    <row r="361" spans="2:10" ht="15.75" hidden="1">
      <c r="B361" s="52" t="s">
        <v>21</v>
      </c>
      <c r="C361" s="88">
        <f>(3995.41+5286.519+2016.102+5589+41.791+2528.267+1559.676-574.091)</f>
        <v>20442.674000000003</v>
      </c>
      <c r="D361" s="43">
        <f>574.091+424.11</f>
        <v>998.201</v>
      </c>
      <c r="E361" s="58">
        <f>604.6869+201.945+90.756+960.337+239.508</f>
        <v>2097.2329</v>
      </c>
      <c r="F361" s="51">
        <f>SUM(C361:E361)</f>
        <v>23538.107900000003</v>
      </c>
      <c r="H361" s="19"/>
      <c r="I361" s="11"/>
      <c r="J361" s="8"/>
    </row>
    <row r="362" spans="2:10" ht="15.75" hidden="1">
      <c r="B362" s="52"/>
      <c r="C362" s="89"/>
      <c r="D362" s="43"/>
      <c r="E362" s="58"/>
      <c r="F362" s="51"/>
      <c r="H362" s="19"/>
      <c r="I362" s="11"/>
      <c r="J362" s="8"/>
    </row>
    <row r="363" spans="2:10" ht="15.75" hidden="1">
      <c r="B363" s="55" t="s">
        <v>41</v>
      </c>
      <c r="C363" s="89"/>
      <c r="D363" s="43"/>
      <c r="E363" s="58"/>
      <c r="F363" s="51"/>
      <c r="H363" s="19"/>
      <c r="I363" s="11"/>
      <c r="J363" s="8"/>
    </row>
    <row r="364" spans="2:10" ht="15.75" hidden="1">
      <c r="B364" s="52" t="s">
        <v>22</v>
      </c>
      <c r="C364" s="89">
        <f>4504.14+5472.432+6758+1679.2+54.38+1192.329+1559.716-421.255</f>
        <v>20798.942000000003</v>
      </c>
      <c r="D364" s="43">
        <f>421.255+713.33</f>
        <v>1134.585</v>
      </c>
      <c r="E364" s="58">
        <f>578.252+85.47+229.152+995.162+258.929</f>
        <v>2146.965</v>
      </c>
      <c r="F364" s="51">
        <f aca="true" t="shared" si="13" ref="F364:F374">SUM(C364:E364)</f>
        <v>24080.492000000002</v>
      </c>
      <c r="H364" s="19"/>
      <c r="I364" s="11"/>
      <c r="J364" s="8"/>
    </row>
    <row r="365" spans="2:10" ht="15.75" hidden="1">
      <c r="B365" s="52" t="s">
        <v>23</v>
      </c>
      <c r="C365" s="90">
        <f>6046.87+5211.192+4774+968.46+96.95+220.786+1536.916-309.109</f>
        <v>18546.065000000002</v>
      </c>
      <c r="D365" s="43">
        <f>760.254+309.109</f>
        <v>1069.363</v>
      </c>
      <c r="E365" s="58">
        <f>524.4393+160.455+79.74+455.982+192.243</f>
        <v>1412.8593</v>
      </c>
      <c r="F365" s="51">
        <f t="shared" si="13"/>
        <v>21028.287300000004</v>
      </c>
      <c r="H365" s="19"/>
      <c r="I365" s="11"/>
      <c r="J365" s="8"/>
    </row>
    <row r="366" spans="2:10" ht="15.75" hidden="1">
      <c r="B366" s="52" t="s">
        <v>24</v>
      </c>
      <c r="C366" s="91">
        <f>6813.88+5395.968+6047+1353.113+554.971+1559.989-526.255</f>
        <v>21198.666</v>
      </c>
      <c r="D366" s="43">
        <f>816.18+526.255</f>
        <v>1342.435</v>
      </c>
      <c r="E366" s="58">
        <f>576.5832+148.935+91.968+448.665+250.87</f>
        <v>1517.0212000000001</v>
      </c>
      <c r="F366" s="51">
        <f t="shared" si="13"/>
        <v>24058.1222</v>
      </c>
      <c r="H366" s="19"/>
      <c r="I366" s="11"/>
      <c r="J366" s="8"/>
    </row>
    <row r="367" spans="2:10" ht="15.75" hidden="1">
      <c r="B367" s="52" t="s">
        <v>60</v>
      </c>
      <c r="C367" s="94">
        <f>4785.54+5607.187+6426+2026.4+88.11+704.179+1559.256-444.218</f>
        <v>20752.454</v>
      </c>
      <c r="D367" s="43">
        <f>895.484+444.218</f>
        <v>1339.702</v>
      </c>
      <c r="E367" s="58">
        <f>656.8628+82.05+71.892+670.69+236.42</f>
        <v>1717.9148</v>
      </c>
      <c r="F367" s="51">
        <f t="shared" si="13"/>
        <v>23810.0708</v>
      </c>
      <c r="H367" s="19"/>
      <c r="I367" s="11"/>
      <c r="J367" s="8"/>
    </row>
    <row r="368" spans="2:10" ht="15.75" hidden="1">
      <c r="B368" s="52" t="s">
        <v>65</v>
      </c>
      <c r="C368" s="95">
        <f>5546.21+4477.838+6335+2104.102+444.12+415.727+1559.639-694.473</f>
        <v>20188.162999999993</v>
      </c>
      <c r="D368" s="43">
        <f>691.24+694.473</f>
        <v>1385.713</v>
      </c>
      <c r="E368" s="58">
        <f>525.2622+76.5+88.332+1681.583+228.867</f>
        <v>2600.5442000000003</v>
      </c>
      <c r="F368" s="51">
        <f t="shared" si="13"/>
        <v>24174.420199999993</v>
      </c>
      <c r="H368" s="19"/>
      <c r="I368" s="11"/>
      <c r="J368" s="8"/>
    </row>
    <row r="369" spans="2:10" ht="15.75" hidden="1">
      <c r="B369" s="85" t="s">
        <v>25</v>
      </c>
      <c r="C369" s="96">
        <f>4945.92+3921.732+5873+2145.117+70.94+464.73+1559.999-706.418</f>
        <v>18275.019999999997</v>
      </c>
      <c r="D369" s="43">
        <f>654.308+706.418</f>
        <v>1360.726</v>
      </c>
      <c r="E369" s="51">
        <f>345.6842+64.8+123.3+1760.47+254.775</f>
        <v>2549.0292</v>
      </c>
      <c r="F369" s="51">
        <f t="shared" si="13"/>
        <v>22184.775199999996</v>
      </c>
      <c r="H369" s="19"/>
      <c r="I369" s="11"/>
      <c r="J369" s="8"/>
    </row>
    <row r="370" spans="2:10" ht="15.75" hidden="1">
      <c r="B370" s="85" t="s">
        <v>16</v>
      </c>
      <c r="C370" s="97">
        <f>4180.76+3120.336+5860+2058.991+125.94+511.129+1559.998-632.618</f>
        <v>16784.536000000004</v>
      </c>
      <c r="D370" s="43">
        <f>571.38+632.618</f>
        <v>1203.998</v>
      </c>
      <c r="E370" s="51">
        <f>333.5119+81.33+122.4+1912.839+161.282</f>
        <v>2611.3629</v>
      </c>
      <c r="F370" s="51">
        <f t="shared" si="13"/>
        <v>20599.896900000003</v>
      </c>
      <c r="H370" s="19"/>
      <c r="I370" s="11"/>
      <c r="J370" s="8"/>
    </row>
    <row r="371" spans="2:10" ht="15.75" hidden="1">
      <c r="B371" s="85" t="s">
        <v>17</v>
      </c>
      <c r="C371" s="98">
        <f>3246.46+3048.57+5070+2251.189+57.11+335.51+3153.757-924.109</f>
        <v>16238.487000000001</v>
      </c>
      <c r="D371" s="43">
        <f>164.136+924.109</f>
        <v>1088.2450000000001</v>
      </c>
      <c r="E371" s="51">
        <f>285.0419+104.676+1783.259+120.7</f>
        <v>2293.6769</v>
      </c>
      <c r="F371" s="51">
        <f t="shared" si="13"/>
        <v>19620.4089</v>
      </c>
      <c r="H371" s="19"/>
      <c r="I371" s="11"/>
      <c r="J371" s="8"/>
    </row>
    <row r="372" spans="2:10" ht="15.75" hidden="1">
      <c r="B372" s="85" t="s">
        <v>62</v>
      </c>
      <c r="C372" s="99">
        <f>3041.88+3387.72+5098+2266.362+19.91+13.535+3219.679-530.291</f>
        <v>16516.795</v>
      </c>
      <c r="D372" s="43">
        <f>599.836+530.291</f>
        <v>1130.127</v>
      </c>
      <c r="E372" s="51">
        <f>349.6309+70.635+108.12+1703.761+257.8</f>
        <v>2489.9469</v>
      </c>
      <c r="F372" s="51">
        <f t="shared" si="13"/>
        <v>20136.868899999998</v>
      </c>
      <c r="H372" s="19"/>
      <c r="I372" s="11"/>
      <c r="J372" s="8"/>
    </row>
    <row r="373" spans="2:10" ht="15.75" hidden="1">
      <c r="B373" s="85" t="s">
        <v>30</v>
      </c>
      <c r="C373" s="100">
        <f>3215.91+4230.114+5165+2224.2+293.733+3219.231-496.964</f>
        <v>17851.224</v>
      </c>
      <c r="D373" s="43">
        <f>759.58+496.964</f>
        <v>1256.544</v>
      </c>
      <c r="E373" s="51">
        <f>501.8991+93.825+78.816+1356.635+264.8</f>
        <v>2295.9751</v>
      </c>
      <c r="F373" s="51">
        <f t="shared" si="13"/>
        <v>21403.7431</v>
      </c>
      <c r="H373" s="19"/>
      <c r="I373" s="11"/>
      <c r="J373" s="8"/>
    </row>
    <row r="374" spans="2:10" ht="15.75" hidden="1">
      <c r="B374" s="85" t="s">
        <v>63</v>
      </c>
      <c r="C374" s="101">
        <f>3423.02+3983.196+5130+2028.2+525.542+3138.307-449.127</f>
        <v>17779.138</v>
      </c>
      <c r="D374" s="43">
        <f>662.328+449.127</f>
        <v>1111.455</v>
      </c>
      <c r="E374" s="51">
        <f>510.52+53.235+85.284+1051.644+268</f>
        <v>1968.683</v>
      </c>
      <c r="F374" s="51">
        <f t="shared" si="13"/>
        <v>20859.276</v>
      </c>
      <c r="H374" s="19"/>
      <c r="I374" s="11"/>
      <c r="J374" s="8"/>
    </row>
    <row r="375" spans="2:10" ht="15.75" hidden="1">
      <c r="B375" s="85" t="s">
        <v>21</v>
      </c>
      <c r="C375" s="102">
        <f>3879.05+4955.559+6162+1531.8+470.145+3214.033-368.509</f>
        <v>19844.078</v>
      </c>
      <c r="D375" s="43">
        <f>828.912+368.509</f>
        <v>1197.421</v>
      </c>
      <c r="E375" s="51">
        <f>559.8186+127.95+95.22+973.683+168.6</f>
        <v>1925.2716</v>
      </c>
      <c r="F375" s="51">
        <f>SUM(C375:E375)</f>
        <v>22966.7706</v>
      </c>
      <c r="H375" s="19"/>
      <c r="I375" s="11"/>
      <c r="J375" s="8"/>
    </row>
    <row r="376" spans="2:10" ht="15.75" hidden="1">
      <c r="B376" s="52"/>
      <c r="C376" s="103"/>
      <c r="D376" s="43"/>
      <c r="E376" s="51"/>
      <c r="F376" s="51"/>
      <c r="H376" s="19"/>
      <c r="I376" s="11"/>
      <c r="J376" s="8"/>
    </row>
    <row r="377" spans="2:10" ht="15.75" hidden="1">
      <c r="B377" s="55" t="s">
        <v>42</v>
      </c>
      <c r="C377" s="103"/>
      <c r="D377" s="43"/>
      <c r="E377" s="51"/>
      <c r="F377" s="51"/>
      <c r="H377" s="19"/>
      <c r="I377" s="11"/>
      <c r="J377" s="8"/>
    </row>
    <row r="378" spans="2:10" ht="15.75" customHeight="1" hidden="1">
      <c r="B378" s="85" t="s">
        <v>22</v>
      </c>
      <c r="C378" s="103">
        <f>4833.85+5146.617+6249+2204+248.612+1559.998-253.309</f>
        <v>19988.768</v>
      </c>
      <c r="D378" s="43">
        <f>881.028+253.309</f>
        <v>1134.337</v>
      </c>
      <c r="E378" s="51">
        <f>667.9+101.01+86.316+807.543+159</f>
        <v>1821.769</v>
      </c>
      <c r="F378" s="51">
        <f aca="true" t="shared" si="14" ref="F378:F389">SUM(C378:E378)</f>
        <v>22944.874</v>
      </c>
      <c r="H378" s="19"/>
      <c r="I378" s="11"/>
      <c r="J378" s="8"/>
    </row>
    <row r="379" spans="2:10" ht="15.75" hidden="1">
      <c r="B379" s="85" t="s">
        <v>23</v>
      </c>
      <c r="C379" s="104">
        <f>5188.47+4683.735+4740+1428.2+220.515+1559.999-324.873</f>
        <v>17496.046000000002</v>
      </c>
      <c r="D379" s="43">
        <f>789.128+324.873</f>
        <v>1114.001</v>
      </c>
      <c r="E379" s="51">
        <f>589.0944+88.995+81.54+327.677+204.4</f>
        <v>1291.7064</v>
      </c>
      <c r="F379" s="51">
        <f t="shared" si="14"/>
        <v>19901.7534</v>
      </c>
      <c r="H379" s="19"/>
      <c r="I379" s="11"/>
      <c r="J379" s="8"/>
    </row>
    <row r="380" spans="2:10" ht="15.75" hidden="1">
      <c r="B380" s="85" t="s">
        <v>24</v>
      </c>
      <c r="C380" s="43">
        <f>5939.29+4666.935+7234+83.61+1559.989-374.618</f>
        <v>19109.206000000002</v>
      </c>
      <c r="D380" s="105">
        <f>860.944+374.618</f>
        <v>1235.562</v>
      </c>
      <c r="E380" s="51">
        <f>651.3406+90+82.068+852.447+192.1</f>
        <v>1867.9555999999998</v>
      </c>
      <c r="F380" s="51">
        <f t="shared" si="14"/>
        <v>22212.723600000005</v>
      </c>
      <c r="H380" s="19"/>
      <c r="I380" s="11"/>
      <c r="J380" s="8"/>
    </row>
    <row r="381" spans="2:10" ht="15.75" hidden="1">
      <c r="B381" s="85" t="s">
        <v>60</v>
      </c>
      <c r="C381" s="43">
        <f>4844.43+5841.927+5803+1322.044+1489.284-447.327</f>
        <v>18853.358</v>
      </c>
      <c r="D381" s="106">
        <f>447.327+890.812</f>
        <v>1338.1390000000001</v>
      </c>
      <c r="E381" s="51">
        <f>669.168+167.7+53.976+1274.681+147.4</f>
        <v>2312.925</v>
      </c>
      <c r="F381" s="51">
        <f t="shared" si="14"/>
        <v>22504.422</v>
      </c>
      <c r="H381" s="19"/>
      <c r="I381" s="11"/>
      <c r="J381" s="8"/>
    </row>
    <row r="382" spans="2:10" ht="15.75" hidden="1">
      <c r="B382" s="85" t="s">
        <v>65</v>
      </c>
      <c r="C382" s="43">
        <f>3569.88+5612.652+5589+1814.43+1536.023-534.273</f>
        <v>17587.712</v>
      </c>
      <c r="D382" s="107">
        <f>880.276+534.273</f>
        <v>1414.549</v>
      </c>
      <c r="E382" s="51">
        <f>694.8257+239.55+1494.074+306</f>
        <v>2734.4497</v>
      </c>
      <c r="F382" s="51">
        <f t="shared" si="14"/>
        <v>21736.7107</v>
      </c>
      <c r="H382" s="19"/>
      <c r="I382" s="11"/>
      <c r="J382" s="8"/>
    </row>
    <row r="383" spans="2:10" ht="15.75" hidden="1">
      <c r="B383" s="85" t="s">
        <v>25</v>
      </c>
      <c r="C383" s="43">
        <f>4761.41+4581.216+5754+2025.227+1559.99-798.545</f>
        <v>17883.298000000003</v>
      </c>
      <c r="D383" s="43">
        <f>798.545+660.588</f>
        <v>1459.1329999999998</v>
      </c>
      <c r="E383" s="51">
        <f>618.0647+1202.679+265.55</f>
        <v>2086.2937</v>
      </c>
      <c r="F383" s="51">
        <f t="shared" si="14"/>
        <v>21428.724700000006</v>
      </c>
      <c r="G383" s="43"/>
      <c r="H383" s="19"/>
      <c r="I383" s="11"/>
      <c r="J383" s="8"/>
    </row>
    <row r="384" spans="2:10" s="28" customFormat="1" ht="15.75" hidden="1">
      <c r="B384" s="113" t="s">
        <v>16</v>
      </c>
      <c r="C384" s="108">
        <f>6189.78+4581.216+6297+2097.586+16.187+1559.994-1190.291</f>
        <v>19551.471999999998</v>
      </c>
      <c r="D384" s="109">
        <f>1190.291+510.204</f>
        <v>1700.495</v>
      </c>
      <c r="E384" s="110">
        <f>404.515+90.805+1219.963+262.7</f>
        <v>1977.983</v>
      </c>
      <c r="F384" s="110">
        <f t="shared" si="14"/>
        <v>23229.949999999997</v>
      </c>
      <c r="G384" s="108"/>
      <c r="H384" s="111"/>
      <c r="I384" s="112"/>
      <c r="J384" s="27"/>
    </row>
    <row r="385" spans="2:10" s="28" customFormat="1" ht="15.75" hidden="1">
      <c r="B385" s="113" t="s">
        <v>17</v>
      </c>
      <c r="C385" s="108">
        <f>5269.81+3935.862+5765+1996.965+195.137+2484.732-1150.364</f>
        <v>18497.141999999996</v>
      </c>
      <c r="D385" s="109">
        <f>1150.364+382.94</f>
        <v>1533.304</v>
      </c>
      <c r="E385" s="110">
        <f>331.1863+61.95+979.01+234</f>
        <v>1606.1462999999999</v>
      </c>
      <c r="F385" s="110">
        <f t="shared" si="14"/>
        <v>21636.592299999997</v>
      </c>
      <c r="G385" s="108"/>
      <c r="H385" s="111"/>
      <c r="I385" s="112"/>
      <c r="J385" s="27"/>
    </row>
    <row r="386" spans="2:10" s="28" customFormat="1" ht="15.75" hidden="1">
      <c r="B386" s="113" t="s">
        <v>62</v>
      </c>
      <c r="C386" s="108">
        <f>3005.25+2997.519+5629+2117.167+797.788+2988.042-915.873</f>
        <v>16618.893</v>
      </c>
      <c r="D386" s="109">
        <f>915.873+463.6</f>
        <v>1379.473</v>
      </c>
      <c r="E386" s="110">
        <f>296.7487+31.65+480.358+213.4</f>
        <v>1022.1566999999999</v>
      </c>
      <c r="F386" s="110">
        <f t="shared" si="14"/>
        <v>19020.5227</v>
      </c>
      <c r="G386" s="108"/>
      <c r="H386" s="111"/>
      <c r="I386" s="112"/>
      <c r="J386" s="27"/>
    </row>
    <row r="387" spans="2:10" s="28" customFormat="1" ht="15.75" hidden="1">
      <c r="B387" s="113" t="s">
        <v>30</v>
      </c>
      <c r="C387" s="108">
        <f>2862.95+3919.5+5815+1954.4+755.333+3353.039-919.636</f>
        <v>17740.586000000003</v>
      </c>
      <c r="D387" s="109">
        <f>919.636+480.6</f>
        <v>1400.2359999999999</v>
      </c>
      <c r="E387" s="110">
        <f>501.188+36.03+494.58+252.3</f>
        <v>1284.098</v>
      </c>
      <c r="F387" s="110">
        <f t="shared" si="14"/>
        <v>20424.920000000006</v>
      </c>
      <c r="G387" s="108"/>
      <c r="H387" s="111"/>
      <c r="I387" s="112"/>
      <c r="J387" s="27"/>
    </row>
    <row r="388" spans="2:10" s="28" customFormat="1" ht="15.75" hidden="1">
      <c r="B388" s="113" t="s">
        <v>63</v>
      </c>
      <c r="C388" s="108">
        <f>2191.1+4932.312+5787+1878.912+509.282+3078.256-712.309</f>
        <v>17664.553</v>
      </c>
      <c r="D388" s="109">
        <f>628.928+712.309</f>
        <v>1341.237</v>
      </c>
      <c r="E388" s="110">
        <f>634.043+93.405+672.204+237.5</f>
        <v>1637.152</v>
      </c>
      <c r="F388" s="110">
        <f t="shared" si="14"/>
        <v>20642.942000000003</v>
      </c>
      <c r="G388" s="108"/>
      <c r="H388" s="111"/>
      <c r="I388" s="112"/>
      <c r="J388" s="27"/>
    </row>
    <row r="389" spans="2:10" s="28" customFormat="1" ht="15.75" hidden="1">
      <c r="B389" s="113" t="s">
        <v>21</v>
      </c>
      <c r="C389" s="108">
        <f>3199.28+5122.026+6351+1837.992+128.251+3014.046-537</f>
        <v>19115.594999999998</v>
      </c>
      <c r="D389" s="109">
        <f>781.164+537</f>
        <v>1318.164</v>
      </c>
      <c r="E389" s="110">
        <f>681.426+188.34+563.328+257.5</f>
        <v>1690.594</v>
      </c>
      <c r="F389" s="110">
        <f t="shared" si="14"/>
        <v>22124.353</v>
      </c>
      <c r="G389" s="108"/>
      <c r="H389" s="111"/>
      <c r="I389" s="112"/>
      <c r="J389" s="27"/>
    </row>
    <row r="390" spans="2:10" s="28" customFormat="1" ht="15.75" hidden="1">
      <c r="B390" s="75"/>
      <c r="C390" s="108"/>
      <c r="D390" s="109"/>
      <c r="E390" s="110"/>
      <c r="F390" s="110"/>
      <c r="G390" s="108"/>
      <c r="H390" s="111"/>
      <c r="I390" s="112"/>
      <c r="J390" s="27"/>
    </row>
    <row r="391" spans="2:10" s="28" customFormat="1" ht="15.75">
      <c r="B391" s="55" t="s">
        <v>44</v>
      </c>
      <c r="C391" s="108"/>
      <c r="D391" s="109"/>
      <c r="E391" s="110"/>
      <c r="F391" s="110"/>
      <c r="G391" s="108"/>
      <c r="H391" s="111"/>
      <c r="I391" s="112"/>
      <c r="J391" s="27"/>
    </row>
    <row r="392" spans="2:10" s="28" customFormat="1" ht="15.75" hidden="1">
      <c r="B392" s="85" t="s">
        <v>22</v>
      </c>
      <c r="C392" s="108">
        <f>3629.22+5158.86+7711+1929.352+72.348+1700.348-773.673</f>
        <v>19427.455000000005</v>
      </c>
      <c r="D392" s="109">
        <f>637.276+773.673</f>
        <v>1410.949</v>
      </c>
      <c r="E392" s="110">
        <f>634.3696+81.63+925.28+200.6</f>
        <v>1841.8795999999998</v>
      </c>
      <c r="F392" s="110">
        <f aca="true" t="shared" si="15" ref="F392:F403">SUM(C392:E392)</f>
        <v>22680.283600000006</v>
      </c>
      <c r="G392" s="108"/>
      <c r="H392" s="111"/>
      <c r="I392" s="112"/>
      <c r="J392" s="27"/>
    </row>
    <row r="393" spans="2:10" s="28" customFormat="1" ht="15.75">
      <c r="B393" s="85" t="s">
        <v>23</v>
      </c>
      <c r="C393" s="108">
        <f>3569.14+4699.758+8708+1909.396+35.298+1559.897-135.709</f>
        <v>20345.780000000002</v>
      </c>
      <c r="D393" s="109">
        <f>0+135.709</f>
        <v>135.709</v>
      </c>
      <c r="E393" s="110">
        <f>670.2354+150.99+828.167+196.3</f>
        <v>1845.6924000000001</v>
      </c>
      <c r="F393" s="110">
        <f t="shared" si="15"/>
        <v>22327.1814</v>
      </c>
      <c r="G393" s="108"/>
      <c r="H393" s="111"/>
      <c r="I393" s="112"/>
      <c r="J393" s="27"/>
    </row>
    <row r="394" spans="2:10" s="28" customFormat="1" ht="15.75">
      <c r="B394" s="85" t="s">
        <v>24</v>
      </c>
      <c r="C394" s="108">
        <f>5435.98+5232.633+9005+1469.553+132.654+1273.849-1494.327</f>
        <v>21055.341999999993</v>
      </c>
      <c r="D394" s="109">
        <f>0+1494.327</f>
        <v>1494.327</v>
      </c>
      <c r="E394" s="110">
        <f>722.3244+131.67+642.529+255.8</f>
        <v>1752.3234</v>
      </c>
      <c r="F394" s="110">
        <f t="shared" si="15"/>
        <v>24301.992399999996</v>
      </c>
      <c r="G394" s="108"/>
      <c r="H394" s="111"/>
      <c r="I394" s="112"/>
      <c r="J394" s="27"/>
    </row>
    <row r="395" spans="2:10" s="28" customFormat="1" ht="15.75">
      <c r="B395" s="85" t="s">
        <v>60</v>
      </c>
      <c r="C395" s="108">
        <f>7805.01+5168.457+7189+2079.146+97.977+366.688-1341.491</f>
        <v>21364.786999999997</v>
      </c>
      <c r="D395" s="109">
        <f>359.2+1341.491</f>
        <v>1700.691</v>
      </c>
      <c r="E395" s="110">
        <f>455.539+131.805+741.875+248.4</f>
        <v>1577.6190000000001</v>
      </c>
      <c r="F395" s="110">
        <f t="shared" si="15"/>
        <v>24643.096999999994</v>
      </c>
      <c r="G395" s="108"/>
      <c r="H395" s="111"/>
      <c r="I395" s="112"/>
      <c r="J395" s="27"/>
    </row>
    <row r="396" spans="2:10" s="28" customFormat="1" ht="15.75">
      <c r="B396" s="85" t="s">
        <v>65</v>
      </c>
      <c r="C396" s="108">
        <f>7469.18+5100.123+7941+2318.045+64.292+620.182-1241.321</f>
        <v>22271.501</v>
      </c>
      <c r="D396" s="109">
        <f>620.58+1241.321</f>
        <v>1861.9009999999998</v>
      </c>
      <c r="E396" s="110">
        <f>595.2844+132.495+606.51104+308.8</f>
        <v>1643.09044</v>
      </c>
      <c r="F396" s="110">
        <f t="shared" si="15"/>
        <v>25776.49244</v>
      </c>
      <c r="G396" s="108"/>
      <c r="H396" s="111"/>
      <c r="I396" s="112"/>
      <c r="J396" s="27"/>
    </row>
    <row r="397" spans="2:10" s="28" customFormat="1" ht="15.75">
      <c r="B397" s="85" t="s">
        <v>25</v>
      </c>
      <c r="C397" s="108">
        <f>6281.46+3489.84+8303+2427.878+77.88+1452.552-1022.836</f>
        <v>21009.774</v>
      </c>
      <c r="D397" s="109">
        <f>610.52+1022.836</f>
        <v>1633.356</v>
      </c>
      <c r="E397" s="110">
        <f>326.527+75.54+9.336+828.2454+276.4</f>
        <v>1516.0484000000001</v>
      </c>
      <c r="F397" s="110">
        <f t="shared" si="15"/>
        <v>24159.1784</v>
      </c>
      <c r="G397" s="108"/>
      <c r="H397" s="111"/>
      <c r="I397" s="112"/>
      <c r="J397" s="27"/>
    </row>
    <row r="398" spans="2:10" s="28" customFormat="1" ht="15.75">
      <c r="B398" s="85" t="s">
        <v>16</v>
      </c>
      <c r="C398" s="108">
        <f>7362.07+3154.179+7693+2291.941+165.989+1559.859-897.709</f>
        <v>21329.329</v>
      </c>
      <c r="D398" s="109">
        <f>689.2+897.709</f>
        <v>1586.909</v>
      </c>
      <c r="E398" s="110">
        <f>361.431+75.195+712.68544+287.9</f>
        <v>1437.21144</v>
      </c>
      <c r="F398" s="110">
        <f t="shared" si="15"/>
        <v>24353.44944</v>
      </c>
      <c r="G398" s="108"/>
      <c r="H398" s="111"/>
      <c r="I398" s="112"/>
      <c r="J398" s="27"/>
    </row>
    <row r="399" spans="2:10" s="28" customFormat="1" ht="15.75">
      <c r="B399" s="85" t="s">
        <v>17</v>
      </c>
      <c r="C399" s="108">
        <f>6780.82+2516.619+7813+2368.299+160.385+2242.066-1090.691</f>
        <v>20790.497999999996</v>
      </c>
      <c r="D399" s="109">
        <f>597.7+1090.691</f>
        <v>1688.391</v>
      </c>
      <c r="E399" s="110">
        <f>330.871+41.895+1168.21024+267</f>
        <v>1807.97624</v>
      </c>
      <c r="F399" s="110">
        <f t="shared" si="15"/>
        <v>24286.865239999996</v>
      </c>
      <c r="G399" s="108"/>
      <c r="H399" s="111"/>
      <c r="I399" s="112"/>
      <c r="J399" s="27"/>
    </row>
    <row r="400" spans="2:10" s="28" customFormat="1" ht="15.75">
      <c r="B400" s="85" t="s">
        <v>62</v>
      </c>
      <c r="C400" s="108">
        <f>5852.99+2500.113+7878+2162.253+144.387+2790.069-1251</f>
        <v>20076.811999999998</v>
      </c>
      <c r="D400" s="109">
        <f>344.692+1251</f>
        <v>1595.692</v>
      </c>
      <c r="E400" s="110">
        <f>297.291+1115.28396+116.845</f>
        <v>1529.41996</v>
      </c>
      <c r="F400" s="110">
        <f t="shared" si="15"/>
        <v>23201.923959999996</v>
      </c>
      <c r="G400" s="108"/>
      <c r="H400" s="111"/>
      <c r="I400" s="112"/>
      <c r="J400" s="27"/>
    </row>
    <row r="401" spans="2:10" s="28" customFormat="1" ht="15.75">
      <c r="B401" s="85" t="s">
        <v>30</v>
      </c>
      <c r="C401" s="108">
        <f>5687.02+2965.683+8138+2577.804+269.801+2856.764-1222.636</f>
        <v>21272.436</v>
      </c>
      <c r="D401" s="109">
        <f>428.228+1222.636</f>
        <v>1650.864</v>
      </c>
      <c r="E401" s="110">
        <f>399.404+71.025+0+1190.35472+225.8</f>
        <v>1886.5837199999999</v>
      </c>
      <c r="F401" s="110">
        <f t="shared" si="15"/>
        <v>24809.88372</v>
      </c>
      <c r="G401" s="108"/>
      <c r="H401" s="111"/>
      <c r="I401" s="112"/>
      <c r="J401" s="27"/>
    </row>
    <row r="402" spans="2:10" s="28" customFormat="1" ht="15.75">
      <c r="B402" s="85" t="s">
        <v>63</v>
      </c>
      <c r="C402" s="108">
        <f>5304.72+3020.199+7021+2372.422+270.702+3040.159-1092.818</f>
        <v>19936.384000000002</v>
      </c>
      <c r="D402" s="109">
        <f>537.132+1092.818</f>
        <v>1629.9499999999998</v>
      </c>
      <c r="E402" s="110">
        <f>446.1989+50.94+12.984+1157.14788+252.6</f>
        <v>1919.8707799999997</v>
      </c>
      <c r="F402" s="110">
        <f t="shared" si="15"/>
        <v>23486.204780000004</v>
      </c>
      <c r="G402" s="108"/>
      <c r="H402" s="111"/>
      <c r="I402" s="112"/>
      <c r="J402" s="27"/>
    </row>
    <row r="403" spans="2:10" s="28" customFormat="1" ht="15.75">
      <c r="B403" s="85" t="s">
        <v>21</v>
      </c>
      <c r="C403" s="108">
        <f>4998.66+3573.696+6975+1651.198+325.269+2806.916-948.6</f>
        <v>19382.139000000003</v>
      </c>
      <c r="D403" s="109">
        <f>575.792+948.6</f>
        <v>1524.392</v>
      </c>
      <c r="E403" s="110">
        <f>416.6762+18.816+1234.9894+260</f>
        <v>1930.4815999999998</v>
      </c>
      <c r="F403" s="110">
        <f t="shared" si="15"/>
        <v>22837.012600000002</v>
      </c>
      <c r="G403" s="108"/>
      <c r="H403" s="111"/>
      <c r="I403" s="112"/>
      <c r="J403" s="27"/>
    </row>
    <row r="404" spans="2:10" s="28" customFormat="1" ht="15.75">
      <c r="B404" s="85"/>
      <c r="C404" s="108"/>
      <c r="D404" s="109"/>
      <c r="E404" s="110"/>
      <c r="F404" s="110"/>
      <c r="G404" s="108"/>
      <c r="H404" s="111"/>
      <c r="I404" s="112"/>
      <c r="J404" s="27"/>
    </row>
    <row r="405" spans="2:10" s="28" customFormat="1" ht="15.75">
      <c r="B405" s="55" t="s">
        <v>45</v>
      </c>
      <c r="C405" s="108"/>
      <c r="D405" s="109"/>
      <c r="E405" s="110"/>
      <c r="F405" s="110"/>
      <c r="G405" s="108"/>
      <c r="H405" s="111"/>
      <c r="I405" s="112"/>
      <c r="J405" s="27"/>
    </row>
    <row r="406" spans="2:10" s="28" customFormat="1" ht="15.75">
      <c r="B406" s="85" t="s">
        <v>22</v>
      </c>
      <c r="C406" s="108">
        <f>3247.13+4270.413+7551+1925.521+336.913+2965.146-583.826-906.818</f>
        <v>18805.479</v>
      </c>
      <c r="D406" s="109">
        <f>583.826+906.818</f>
        <v>1490.644</v>
      </c>
      <c r="E406" s="110">
        <f>543.2743+35.415+1296.45152+260.9</f>
        <v>2136.04082</v>
      </c>
      <c r="F406" s="110">
        <f aca="true" t="shared" si="16" ref="F406:F417">SUM(C406:E406)</f>
        <v>22432.16382</v>
      </c>
      <c r="G406" s="108"/>
      <c r="H406" s="111"/>
      <c r="I406" s="112"/>
      <c r="J406" s="27"/>
    </row>
    <row r="407" spans="2:10" s="28" customFormat="1" ht="15.75">
      <c r="B407" s="85" t="s">
        <v>23</v>
      </c>
      <c r="C407" s="108">
        <f>3695.055+3033.2+5784+2178.864+324.647+2831.452-820.745</f>
        <v>17026.473</v>
      </c>
      <c r="D407" s="109">
        <f>532.026+820.745</f>
        <v>1352.771</v>
      </c>
      <c r="E407" s="110">
        <f>460.0747+35.19+1333.33777+248.8</f>
        <v>2077.40247</v>
      </c>
      <c r="F407" s="110">
        <f t="shared" si="16"/>
        <v>20456.646470000003</v>
      </c>
      <c r="G407" s="108"/>
      <c r="H407" s="111"/>
      <c r="I407" s="112"/>
      <c r="J407" s="27"/>
    </row>
    <row r="408" spans="2:10" s="28" customFormat="1" ht="15.75">
      <c r="B408" s="85" t="s">
        <v>24</v>
      </c>
      <c r="C408" s="108">
        <f>3396.93+4778.991+6232+2372.81+396.611+3199.873-972.273</f>
        <v>19404.942</v>
      </c>
      <c r="D408" s="109">
        <f>676.72+972.273</f>
        <v>1648.993</v>
      </c>
      <c r="E408" s="110">
        <f>632.7084+178.86+0+1036.9706+269</f>
        <v>2117.539</v>
      </c>
      <c r="F408" s="110">
        <f t="shared" si="16"/>
        <v>23171.474</v>
      </c>
      <c r="G408" s="108"/>
      <c r="H408" s="111"/>
      <c r="I408" s="112"/>
      <c r="J408" s="27"/>
    </row>
    <row r="409" spans="2:10" s="28" customFormat="1" ht="15.75">
      <c r="B409" s="85" t="s">
        <v>60</v>
      </c>
      <c r="C409" s="108">
        <f>3596+3906.462+5872+2171.995+150.302+2599.913-788.673</f>
        <v>17507.999</v>
      </c>
      <c r="D409" s="109">
        <f>304.648+788.673</f>
        <v>1093.321</v>
      </c>
      <c r="E409" s="110">
        <f>100.44+1478.53222+215.8</f>
        <v>1794.77222</v>
      </c>
      <c r="F409" s="110">
        <f t="shared" si="16"/>
        <v>20396.09222</v>
      </c>
      <c r="G409" s="108"/>
      <c r="H409" s="111"/>
      <c r="I409" s="112"/>
      <c r="J409" s="27"/>
    </row>
    <row r="410" spans="2:10" s="28" customFormat="1" ht="15.75">
      <c r="B410" s="85" t="s">
        <v>65</v>
      </c>
      <c r="C410" s="108">
        <f>3835.47+3042.743+6101+1943.694+146.406+3403.518-1188.382</f>
        <v>17284.448999999997</v>
      </c>
      <c r="D410" s="109">
        <f>297.392+1188.382</f>
        <v>1485.7740000000001</v>
      </c>
      <c r="E410" s="110">
        <f>483.5875+120.3+1500.73378+144.1</f>
        <v>2248.7212799999998</v>
      </c>
      <c r="F410" s="110">
        <f t="shared" si="16"/>
        <v>21018.944279999996</v>
      </c>
      <c r="G410" s="108"/>
      <c r="H410" s="111"/>
      <c r="I410" s="112"/>
      <c r="J410" s="27"/>
    </row>
    <row r="411" spans="2:10" s="28" customFormat="1" ht="15.75">
      <c r="B411" s="85" t="s">
        <v>25</v>
      </c>
      <c r="C411" s="108">
        <f>3685.83+2309.601+4715+1974.258+304.877+3421.228-1183.8</f>
        <v>15226.994000000002</v>
      </c>
      <c r="D411" s="109">
        <f>251.632+1183.8</f>
        <v>1435.432</v>
      </c>
      <c r="E411" s="110">
        <f>307.3432+73.26+1483.90548+68.2</f>
        <v>1932.70868</v>
      </c>
      <c r="F411" s="110">
        <f t="shared" si="16"/>
        <v>18595.134680000003</v>
      </c>
      <c r="G411" s="108"/>
      <c r="H411" s="111"/>
      <c r="I411" s="112"/>
      <c r="J411" s="27"/>
    </row>
    <row r="412" spans="2:10" s="28" customFormat="1" ht="15.75">
      <c r="B412" s="85" t="s">
        <v>16</v>
      </c>
      <c r="C412" s="108">
        <f>3833.99+1967.343+4603+2068.612+573.417+3818.041-1116.655</f>
        <v>15747.747999999998</v>
      </c>
      <c r="D412" s="109">
        <f>348.828+1116.655</f>
        <v>1465.483</v>
      </c>
      <c r="E412" s="110">
        <f>276.5338+67.575+1690.31368+204.2</f>
        <v>2238.62248</v>
      </c>
      <c r="F412" s="110">
        <f t="shared" si="16"/>
        <v>19451.853479999998</v>
      </c>
      <c r="G412" s="108"/>
      <c r="H412" s="111"/>
      <c r="I412" s="112"/>
      <c r="J412" s="27"/>
    </row>
    <row r="413" spans="2:10" s="28" customFormat="1" ht="15.75">
      <c r="B413" s="85" t="s">
        <v>17</v>
      </c>
      <c r="C413" s="108">
        <f>3928.37+1938.846+4289+2058.595+941.735+4011.014-1333.036</f>
        <v>15834.524000000001</v>
      </c>
      <c r="D413" s="109">
        <f>313.152+1333.036</f>
        <v>1646.188</v>
      </c>
      <c r="E413" s="110">
        <f>243.357+10.575+0+1321.03432+183.6</f>
        <v>1758.56632</v>
      </c>
      <c r="F413" s="110">
        <f t="shared" si="16"/>
        <v>19239.278319999998</v>
      </c>
      <c r="G413" s="108"/>
      <c r="H413" s="111"/>
      <c r="I413" s="112"/>
      <c r="J413" s="27"/>
    </row>
    <row r="414" spans="2:10" s="28" customFormat="1" ht="15.75">
      <c r="B414" s="85" t="s">
        <v>62</v>
      </c>
      <c r="C414" s="108">
        <f>1926.41+1998.108+4155+1703.863+3278.3+937.373+3824.883-1239.982</f>
        <v>16583.954999999998</v>
      </c>
      <c r="D414" s="109">
        <f>238.2+1239.982</f>
        <v>1478.182</v>
      </c>
      <c r="E414" s="110">
        <f>233.9288+0+0+1241.3047+193.4</f>
        <v>1668.6335</v>
      </c>
      <c r="F414" s="110">
        <f t="shared" si="16"/>
        <v>19730.7705</v>
      </c>
      <c r="G414" s="108"/>
      <c r="H414" s="111"/>
      <c r="I414" s="112"/>
      <c r="J414" s="27"/>
    </row>
    <row r="415" spans="2:10" s="28" customFormat="1" ht="15.75">
      <c r="B415" s="85" t="s">
        <v>30</v>
      </c>
      <c r="C415" s="108">
        <f>1521.89+2702.902+5565+349.559+8934.066+59.315+3633.931-1239.982</f>
        <v>21526.681</v>
      </c>
      <c r="D415" s="109">
        <f>119.048+1239.982</f>
        <v>1359.03</v>
      </c>
      <c r="E415" s="110">
        <f>294.5751+5.505+937.96668+224.9</f>
        <v>1462.9467800000002</v>
      </c>
      <c r="F415" s="110">
        <f t="shared" si="16"/>
        <v>24348.65778</v>
      </c>
      <c r="G415" s="108"/>
      <c r="H415" s="111"/>
      <c r="I415" s="112"/>
      <c r="J415" s="27"/>
    </row>
    <row r="416" spans="2:10" s="28" customFormat="1" ht="15.75">
      <c r="B416" s="85" t="s">
        <v>63</v>
      </c>
      <c r="C416" s="108">
        <f>1177.16+3118.521+4047+1499.997+9753.237+1825.306-1286.4</f>
        <v>20134.821</v>
      </c>
      <c r="D416" s="109">
        <f>443.684+1286.4</f>
        <v>1730.084</v>
      </c>
      <c r="E416" s="110">
        <f>319.1806+29.415+0+1284.156+152.7</f>
        <v>1785.4516</v>
      </c>
      <c r="F416" s="110">
        <f t="shared" si="16"/>
        <v>23650.3566</v>
      </c>
      <c r="G416" s="108"/>
      <c r="H416" s="111"/>
      <c r="I416" s="112"/>
      <c r="J416" s="27"/>
    </row>
    <row r="417" spans="2:10" s="28" customFormat="1" ht="15.75">
      <c r="B417" s="85" t="s">
        <v>21</v>
      </c>
      <c r="C417" s="108">
        <f>1301.03+3207.078+4649+1628.312+12168.966-1234.855</f>
        <v>21719.531</v>
      </c>
      <c r="D417" s="109">
        <f>384.684+1234.855</f>
        <v>1619.539</v>
      </c>
      <c r="E417" s="110">
        <f>341.2055+67.935+1585.77656+30.6</f>
        <v>2025.51706</v>
      </c>
      <c r="F417" s="110">
        <f t="shared" si="16"/>
        <v>25364.587059999998</v>
      </c>
      <c r="G417" s="108"/>
      <c r="H417" s="111"/>
      <c r="I417" s="112"/>
      <c r="J417" s="27"/>
    </row>
    <row r="418" spans="2:10" s="28" customFormat="1" ht="15.75">
      <c r="B418" s="85"/>
      <c r="C418" s="108"/>
      <c r="D418" s="109"/>
      <c r="E418" s="110"/>
      <c r="F418" s="110"/>
      <c r="G418" s="108"/>
      <c r="H418" s="111"/>
      <c r="I418" s="112"/>
      <c r="J418" s="27"/>
    </row>
    <row r="419" spans="2:10" s="28" customFormat="1" ht="15.75">
      <c r="B419" s="55" t="s">
        <v>46</v>
      </c>
      <c r="C419" s="108"/>
      <c r="D419" s="109"/>
      <c r="E419" s="110"/>
      <c r="F419" s="110"/>
      <c r="G419" s="108"/>
      <c r="H419" s="111"/>
      <c r="I419" s="112"/>
      <c r="J419" s="27"/>
    </row>
    <row r="420" spans="2:10" s="28" customFormat="1" ht="15.75">
      <c r="B420" s="85" t="s">
        <v>22</v>
      </c>
      <c r="C420" s="108">
        <f>2488.2+2463.07+4771+1686.744+9899.817-1107.927</f>
        <v>20200.904</v>
      </c>
      <c r="D420" s="109">
        <f>515.304+1107.927</f>
        <v>1623.2309999999998</v>
      </c>
      <c r="E420" s="110">
        <f>487.827+123.975+4.08+1568.6436+151.9</f>
        <v>2336.4256</v>
      </c>
      <c r="F420" s="110">
        <f>SUM(C420:E420)</f>
        <v>24160.560599999997</v>
      </c>
      <c r="G420" s="108"/>
      <c r="H420" s="111"/>
      <c r="I420" s="112"/>
      <c r="J420" s="27"/>
    </row>
    <row r="421" spans="2:10" s="28" customFormat="1" ht="15.75">
      <c r="B421" s="85" t="s">
        <v>23</v>
      </c>
      <c r="C421" s="108">
        <f>2438.83+3802.092+3822+1761.292+7833.0285-1011.491</f>
        <v>18645.7515</v>
      </c>
      <c r="D421" s="109">
        <f>515.836+1011.491</f>
        <v>1527.327</v>
      </c>
      <c r="E421" s="110">
        <f>399.558+87.15+22.32+1340.9992+229</f>
        <v>2079.0272</v>
      </c>
      <c r="F421" s="110">
        <f>SUM(C421:E421)</f>
        <v>22252.1057</v>
      </c>
      <c r="G421" s="108"/>
      <c r="H421" s="111"/>
      <c r="I421" s="112"/>
      <c r="J421" s="27"/>
    </row>
    <row r="422" spans="2:10" ht="15.75">
      <c r="B422" s="52"/>
      <c r="C422" s="34"/>
      <c r="D422" s="43"/>
      <c r="E422" s="58"/>
      <c r="F422" s="79"/>
      <c r="H422" s="19"/>
      <c r="I422" s="11"/>
      <c r="J422" s="8"/>
    </row>
    <row r="423" spans="2:10" ht="15.75">
      <c r="B423" s="80"/>
      <c r="C423" s="81"/>
      <c r="D423" s="81"/>
      <c r="E423" s="81"/>
      <c r="F423" s="56"/>
      <c r="H423" s="17"/>
      <c r="I423" s="14"/>
      <c r="J423" s="8"/>
    </row>
    <row r="424" spans="2:11" ht="15.75">
      <c r="B424" s="114" t="s">
        <v>71</v>
      </c>
      <c r="C424" s="72"/>
      <c r="D424" s="72"/>
      <c r="E424" s="72"/>
      <c r="F424" s="82"/>
      <c r="H424" s="17"/>
      <c r="I424" s="9"/>
      <c r="J424" s="12"/>
      <c r="K424" s="8"/>
    </row>
    <row r="425" spans="2:8" ht="15.75">
      <c r="B425" s="83"/>
      <c r="C425" s="38"/>
      <c r="D425" s="38"/>
      <c r="E425" s="38"/>
      <c r="F425" s="39"/>
      <c r="G425" s="8"/>
      <c r="H425" s="17"/>
    </row>
    <row r="426" spans="3:7" ht="15.75">
      <c r="C426" s="2"/>
      <c r="D426" s="10"/>
      <c r="E426" s="2"/>
      <c r="F426" s="5"/>
      <c r="G426" s="9"/>
    </row>
    <row r="427" spans="4:7" ht="15.75">
      <c r="D427" s="8"/>
      <c r="F427" s="8"/>
      <c r="G427" s="9"/>
    </row>
    <row r="428" ht="15.75">
      <c r="E428" s="5"/>
    </row>
    <row r="429" spans="4:8" ht="15.75">
      <c r="D429" s="3"/>
      <c r="G429" s="9"/>
      <c r="H429" s="9"/>
    </row>
    <row r="430" ht="15.75">
      <c r="C430" s="6"/>
    </row>
    <row r="431" spans="5:8" ht="15.75">
      <c r="E431" s="3"/>
      <c r="F431" s="3"/>
      <c r="H431" s="9"/>
    </row>
    <row r="432" spans="5:6" ht="15.75">
      <c r="E432" s="8"/>
      <c r="F432" s="8"/>
    </row>
    <row r="440" ht="15.75">
      <c r="E440" s="6"/>
    </row>
    <row r="442" ht="15.75">
      <c r="E442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2017-01-23T07:19:50Z</cp:lastPrinted>
  <dcterms:created xsi:type="dcterms:W3CDTF">2000-08-22T08:23:22Z</dcterms:created>
  <dcterms:modified xsi:type="dcterms:W3CDTF">2018-04-23T14:33:38Z</dcterms:modified>
  <cp:category/>
  <cp:version/>
  <cp:contentType/>
  <cp:contentStatus/>
</cp:coreProperties>
</file>