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2_1 Assets_BRB" sheetId="1" r:id="rId1"/>
  </sheets>
  <definedNames>
    <definedName name="_xlnm.Print_Area" localSheetId="0">'II_2_1 Assets_BRB'!$A$1:$S$188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5" i="1" l="1"/>
  <c r="L185" i="1"/>
  <c r="S185" i="1" s="1"/>
  <c r="S184" i="1"/>
  <c r="R184" i="1"/>
  <c r="L184" i="1"/>
  <c r="R183" i="1"/>
  <c r="L183" i="1"/>
  <c r="S183" i="1" s="1"/>
  <c r="R182" i="1"/>
  <c r="L182" i="1"/>
  <c r="S182" i="1" s="1"/>
  <c r="R181" i="1"/>
  <c r="S181" i="1" s="1"/>
  <c r="L181" i="1"/>
  <c r="R180" i="1"/>
  <c r="S180" i="1" s="1"/>
  <c r="L180" i="1"/>
  <c r="R179" i="1"/>
  <c r="L179" i="1"/>
  <c r="S179" i="1" s="1"/>
  <c r="R177" i="1"/>
  <c r="Q177" i="1"/>
  <c r="L177" i="1"/>
  <c r="S177" i="1" s="1"/>
  <c r="R176" i="1"/>
  <c r="Q176" i="1"/>
  <c r="L176" i="1"/>
  <c r="B176" i="1"/>
  <c r="S176" i="1" s="1"/>
  <c r="R175" i="1"/>
  <c r="Q175" i="1"/>
  <c r="S175" i="1" s="1"/>
  <c r="L175" i="1"/>
  <c r="B175" i="1"/>
  <c r="R174" i="1"/>
  <c r="Q174" i="1"/>
  <c r="L174" i="1"/>
  <c r="B174" i="1"/>
  <c r="S174" i="1" s="1"/>
  <c r="S173" i="1"/>
  <c r="R173" i="1"/>
  <c r="Q173" i="1"/>
  <c r="L173" i="1"/>
  <c r="B173" i="1"/>
  <c r="R172" i="1"/>
  <c r="Q172" i="1"/>
  <c r="L172" i="1"/>
  <c r="S172" i="1" s="1"/>
  <c r="B172" i="1"/>
  <c r="R171" i="1"/>
  <c r="Q171" i="1"/>
  <c r="L171" i="1"/>
  <c r="B171" i="1"/>
  <c r="S171" i="1" s="1"/>
  <c r="R170" i="1"/>
  <c r="S170" i="1" s="1"/>
  <c r="Q170" i="1"/>
  <c r="L170" i="1"/>
  <c r="B170" i="1"/>
  <c r="R169" i="1"/>
  <c r="Q169" i="1"/>
  <c r="L169" i="1"/>
  <c r="B169" i="1"/>
  <c r="S169" i="1" s="1"/>
  <c r="R168" i="1"/>
  <c r="Q168" i="1"/>
  <c r="L168" i="1"/>
  <c r="B168" i="1"/>
  <c r="S168" i="1" s="1"/>
  <c r="R167" i="1"/>
  <c r="Q167" i="1"/>
  <c r="S167" i="1" s="1"/>
  <c r="L167" i="1"/>
  <c r="B167" i="1"/>
  <c r="R166" i="1"/>
  <c r="Q166" i="1"/>
  <c r="L166" i="1"/>
  <c r="B166" i="1"/>
  <c r="S166" i="1" s="1"/>
  <c r="S164" i="1"/>
  <c r="R164" i="1"/>
  <c r="Q164" i="1"/>
  <c r="L164" i="1"/>
  <c r="B164" i="1"/>
  <c r="R163" i="1"/>
  <c r="Q163" i="1"/>
  <c r="L163" i="1"/>
  <c r="S163" i="1" s="1"/>
  <c r="B163" i="1"/>
  <c r="R162" i="1"/>
  <c r="Q162" i="1"/>
  <c r="L162" i="1"/>
  <c r="B162" i="1"/>
  <c r="S162" i="1" s="1"/>
  <c r="R161" i="1"/>
  <c r="S161" i="1" s="1"/>
  <c r="Q161" i="1"/>
  <c r="L161" i="1"/>
  <c r="B161" i="1"/>
  <c r="R160" i="1"/>
  <c r="Q160" i="1"/>
  <c r="L160" i="1"/>
  <c r="B160" i="1"/>
  <c r="S160" i="1" s="1"/>
  <c r="R159" i="1"/>
  <c r="Q159" i="1"/>
  <c r="L159" i="1"/>
  <c r="B159" i="1"/>
  <c r="S159" i="1" s="1"/>
  <c r="R158" i="1"/>
  <c r="Q158" i="1"/>
  <c r="S158" i="1" s="1"/>
  <c r="L158" i="1"/>
  <c r="B158" i="1"/>
  <c r="R157" i="1"/>
  <c r="Q157" i="1"/>
  <c r="L157" i="1"/>
  <c r="B157" i="1"/>
  <c r="S157" i="1" s="1"/>
  <c r="S156" i="1"/>
  <c r="R156" i="1"/>
  <c r="Q156" i="1"/>
  <c r="L156" i="1"/>
  <c r="B156" i="1"/>
  <c r="R155" i="1"/>
  <c r="Q155" i="1"/>
  <c r="L155" i="1"/>
  <c r="S155" i="1" s="1"/>
  <c r="B155" i="1"/>
  <c r="R154" i="1"/>
  <c r="Q154" i="1"/>
  <c r="L154" i="1"/>
  <c r="B154" i="1"/>
  <c r="S154" i="1" s="1"/>
  <c r="R153" i="1"/>
  <c r="S153" i="1" s="1"/>
  <c r="Q153" i="1"/>
  <c r="L153" i="1"/>
  <c r="B153" i="1"/>
  <c r="R151" i="1"/>
  <c r="Q151" i="1"/>
  <c r="L151" i="1"/>
  <c r="B151" i="1"/>
  <c r="S151" i="1" s="1"/>
  <c r="R150" i="1"/>
  <c r="Q150" i="1"/>
  <c r="L150" i="1"/>
  <c r="B150" i="1"/>
  <c r="S150" i="1" s="1"/>
  <c r="R149" i="1"/>
  <c r="Q149" i="1"/>
  <c r="S149" i="1" s="1"/>
  <c r="L149" i="1"/>
  <c r="B149" i="1"/>
  <c r="R148" i="1"/>
  <c r="Q148" i="1"/>
  <c r="L148" i="1"/>
  <c r="B148" i="1"/>
  <c r="S148" i="1" s="1"/>
  <c r="S147" i="1"/>
  <c r="R147" i="1"/>
  <c r="Q147" i="1"/>
  <c r="L147" i="1"/>
  <c r="B147" i="1"/>
  <c r="R146" i="1"/>
  <c r="Q146" i="1"/>
  <c r="L146" i="1"/>
  <c r="S146" i="1" s="1"/>
  <c r="B146" i="1"/>
  <c r="R145" i="1"/>
  <c r="Q145" i="1"/>
  <c r="L145" i="1"/>
  <c r="B145" i="1"/>
  <c r="S145" i="1" s="1"/>
  <c r="R144" i="1"/>
  <c r="S144" i="1" s="1"/>
  <c r="Q144" i="1"/>
  <c r="L144" i="1"/>
  <c r="B144" i="1"/>
  <c r="R143" i="1"/>
  <c r="Q143" i="1"/>
  <c r="L143" i="1"/>
  <c r="B143" i="1"/>
  <c r="S143" i="1" s="1"/>
  <c r="R142" i="1"/>
  <c r="Q142" i="1"/>
  <c r="L142" i="1"/>
  <c r="B142" i="1"/>
  <c r="S142" i="1" s="1"/>
  <c r="R141" i="1"/>
  <c r="Q141" i="1"/>
  <c r="S141" i="1" s="1"/>
  <c r="L141" i="1"/>
  <c r="B141" i="1"/>
  <c r="R140" i="1"/>
  <c r="Q140" i="1"/>
  <c r="L140" i="1"/>
  <c r="B140" i="1"/>
  <c r="S140" i="1" s="1"/>
  <c r="S138" i="1"/>
  <c r="R138" i="1"/>
  <c r="Q138" i="1"/>
  <c r="M138" i="1"/>
  <c r="L138" i="1"/>
  <c r="B138" i="1"/>
  <c r="R137" i="1"/>
  <c r="Q137" i="1"/>
  <c r="M137" i="1"/>
  <c r="L137" i="1"/>
  <c r="B137" i="1"/>
  <c r="S137" i="1" s="1"/>
  <c r="R136" i="1"/>
  <c r="Q136" i="1"/>
  <c r="M136" i="1"/>
  <c r="L136" i="1"/>
  <c r="S136" i="1" s="1"/>
  <c r="B136" i="1"/>
  <c r="R135" i="1"/>
  <c r="Q135" i="1"/>
  <c r="M135" i="1"/>
  <c r="L135" i="1"/>
  <c r="B135" i="1"/>
  <c r="S135" i="1" s="1"/>
  <c r="S134" i="1"/>
  <c r="R134" i="1"/>
  <c r="Q134" i="1"/>
  <c r="L134" i="1"/>
  <c r="B134" i="1"/>
  <c r="R133" i="1"/>
  <c r="Q133" i="1"/>
  <c r="L133" i="1"/>
  <c r="S133" i="1" s="1"/>
  <c r="B133" i="1"/>
  <c r="R132" i="1"/>
  <c r="Q132" i="1"/>
  <c r="L132" i="1"/>
  <c r="B132" i="1"/>
  <c r="S132" i="1" s="1"/>
  <c r="R131" i="1"/>
  <c r="S131" i="1" s="1"/>
  <c r="Q131" i="1"/>
  <c r="L131" i="1"/>
  <c r="B131" i="1"/>
  <c r="R130" i="1"/>
  <c r="Q130" i="1"/>
  <c r="L130" i="1"/>
  <c r="B130" i="1"/>
  <c r="S130" i="1" s="1"/>
  <c r="R129" i="1"/>
  <c r="Q129" i="1"/>
  <c r="L129" i="1"/>
  <c r="B129" i="1"/>
  <c r="S129" i="1" s="1"/>
  <c r="R128" i="1"/>
  <c r="Q128" i="1"/>
  <c r="S128" i="1" s="1"/>
  <c r="L128" i="1"/>
  <c r="B128" i="1"/>
  <c r="S127" i="1"/>
  <c r="L127" i="1"/>
  <c r="S125" i="1"/>
  <c r="L125" i="1"/>
  <c r="L124" i="1"/>
  <c r="S124" i="1" s="1"/>
  <c r="L123" i="1"/>
  <c r="S123" i="1" s="1"/>
  <c r="S122" i="1"/>
  <c r="L122" i="1"/>
  <c r="S121" i="1"/>
  <c r="L121" i="1"/>
  <c r="L120" i="1"/>
  <c r="S120" i="1" s="1"/>
  <c r="L119" i="1"/>
  <c r="S119" i="1" s="1"/>
  <c r="S118" i="1"/>
  <c r="L118" i="1"/>
  <c r="S117" i="1"/>
  <c r="L117" i="1"/>
  <c r="L116" i="1"/>
  <c r="S116" i="1" s="1"/>
  <c r="L115" i="1"/>
  <c r="S115" i="1" s="1"/>
  <c r="S114" i="1"/>
  <c r="L114" i="1"/>
  <c r="Q112" i="1"/>
  <c r="K112" i="1"/>
  <c r="L112" i="1" s="1"/>
  <c r="S112" i="1" s="1"/>
  <c r="Q111" i="1"/>
  <c r="L111" i="1"/>
  <c r="S111" i="1" s="1"/>
  <c r="Q110" i="1"/>
  <c r="S110" i="1" s="1"/>
  <c r="L110" i="1"/>
  <c r="Q109" i="1"/>
  <c r="S109" i="1" s="1"/>
  <c r="L109" i="1"/>
  <c r="Q108" i="1"/>
  <c r="L108" i="1"/>
  <c r="S108" i="1" s="1"/>
  <c r="Q107" i="1"/>
  <c r="L107" i="1"/>
  <c r="S107" i="1" s="1"/>
  <c r="S106" i="1"/>
  <c r="Q106" i="1"/>
  <c r="L106" i="1"/>
  <c r="S105" i="1"/>
  <c r="Q105" i="1"/>
  <c r="L105" i="1"/>
  <c r="Q104" i="1"/>
  <c r="L104" i="1"/>
  <c r="S104" i="1" s="1"/>
  <c r="Q103" i="1"/>
  <c r="L103" i="1"/>
  <c r="S103" i="1" s="1"/>
  <c r="Q102" i="1"/>
  <c r="S102" i="1" s="1"/>
  <c r="L102" i="1"/>
  <c r="Q101" i="1"/>
  <c r="S101" i="1" s="1"/>
  <c r="L101" i="1"/>
  <c r="Q99" i="1"/>
  <c r="L99" i="1"/>
  <c r="S99" i="1" s="1"/>
  <c r="Q98" i="1"/>
  <c r="L98" i="1"/>
  <c r="S98" i="1" s="1"/>
  <c r="S97" i="1"/>
  <c r="Q97" i="1"/>
  <c r="L97" i="1"/>
  <c r="S96" i="1"/>
  <c r="Q96" i="1"/>
  <c r="L96" i="1"/>
  <c r="Q95" i="1"/>
  <c r="L95" i="1"/>
  <c r="S95" i="1" s="1"/>
  <c r="Q94" i="1"/>
  <c r="L94" i="1"/>
  <c r="S94" i="1" s="1"/>
  <c r="Q93" i="1"/>
  <c r="S93" i="1" s="1"/>
  <c r="L93" i="1"/>
  <c r="Q92" i="1"/>
  <c r="S92" i="1" s="1"/>
  <c r="L92" i="1"/>
  <c r="Q91" i="1"/>
  <c r="L91" i="1"/>
  <c r="S91" i="1" s="1"/>
  <c r="Q90" i="1"/>
  <c r="L90" i="1"/>
  <c r="S90" i="1" s="1"/>
  <c r="S89" i="1"/>
  <c r="Q89" i="1"/>
  <c r="L89" i="1"/>
  <c r="S88" i="1"/>
  <c r="Q88" i="1"/>
  <c r="L88" i="1"/>
  <c r="Q86" i="1"/>
  <c r="L86" i="1"/>
  <c r="S86" i="1" s="1"/>
  <c r="Q85" i="1"/>
  <c r="L85" i="1"/>
  <c r="S85" i="1" s="1"/>
  <c r="Q84" i="1"/>
  <c r="S84" i="1" s="1"/>
  <c r="L84" i="1"/>
  <c r="Q83" i="1"/>
  <c r="S83" i="1" s="1"/>
  <c r="L83" i="1"/>
  <c r="Q82" i="1"/>
  <c r="L82" i="1"/>
  <c r="S82" i="1" s="1"/>
  <c r="Q81" i="1"/>
  <c r="L81" i="1"/>
  <c r="S81" i="1" s="1"/>
  <c r="S80" i="1"/>
  <c r="Q80" i="1"/>
  <c r="L80" i="1"/>
  <c r="S79" i="1"/>
  <c r="L79" i="1"/>
  <c r="Q78" i="1"/>
  <c r="L78" i="1"/>
  <c r="S78" i="1" s="1"/>
  <c r="Q77" i="1"/>
  <c r="H77" i="1"/>
  <c r="L77" i="1" s="1"/>
  <c r="S77" i="1" s="1"/>
  <c r="Q76" i="1"/>
  <c r="H76" i="1"/>
  <c r="E76" i="1"/>
  <c r="L76" i="1" s="1"/>
  <c r="S76" i="1" s="1"/>
  <c r="Q75" i="1"/>
  <c r="L75" i="1"/>
  <c r="S75" i="1" s="1"/>
  <c r="H75" i="1"/>
  <c r="E75" i="1"/>
  <c r="Q73" i="1"/>
  <c r="L73" i="1"/>
  <c r="S73" i="1" s="1"/>
  <c r="H73" i="1"/>
  <c r="Q72" i="1"/>
  <c r="H72" i="1"/>
  <c r="L72" i="1" s="1"/>
  <c r="S72" i="1" s="1"/>
  <c r="Q71" i="1"/>
  <c r="L71" i="1"/>
  <c r="S71" i="1" s="1"/>
  <c r="H71" i="1"/>
  <c r="Q70" i="1"/>
  <c r="H70" i="1"/>
  <c r="L70" i="1" s="1"/>
  <c r="S70" i="1" s="1"/>
  <c r="Q69" i="1"/>
  <c r="L69" i="1"/>
  <c r="S69" i="1" s="1"/>
  <c r="H69" i="1"/>
  <c r="Q68" i="1"/>
  <c r="L68" i="1"/>
  <c r="S68" i="1" s="1"/>
  <c r="Q67" i="1"/>
  <c r="L67" i="1"/>
  <c r="S67" i="1" s="1"/>
  <c r="S66" i="1"/>
  <c r="Q66" i="1"/>
  <c r="L66" i="1"/>
  <c r="S65" i="1"/>
  <c r="Q65" i="1"/>
  <c r="L65" i="1"/>
  <c r="Q64" i="1"/>
  <c r="L64" i="1"/>
  <c r="S64" i="1" s="1"/>
  <c r="Q63" i="1"/>
  <c r="L63" i="1"/>
  <c r="S63" i="1" s="1"/>
  <c r="Q62" i="1"/>
  <c r="S62" i="1" s="1"/>
  <c r="L62" i="1"/>
  <c r="Q60" i="1"/>
  <c r="S60" i="1" s="1"/>
  <c r="L60" i="1"/>
  <c r="Q59" i="1"/>
  <c r="L59" i="1"/>
  <c r="S59" i="1" s="1"/>
  <c r="Q58" i="1"/>
  <c r="L58" i="1"/>
  <c r="S58" i="1" s="1"/>
  <c r="S57" i="1"/>
  <c r="Q57" i="1"/>
  <c r="L57" i="1"/>
  <c r="S56" i="1"/>
  <c r="Q56" i="1"/>
  <c r="L56" i="1"/>
  <c r="Q55" i="1"/>
  <c r="L55" i="1"/>
  <c r="S55" i="1" s="1"/>
  <c r="L54" i="1"/>
  <c r="S54" i="1" s="1"/>
  <c r="S53" i="1"/>
  <c r="Q53" i="1"/>
  <c r="L53" i="1"/>
  <c r="Q52" i="1"/>
  <c r="L52" i="1"/>
  <c r="S52" i="1" s="1"/>
  <c r="Q51" i="1"/>
  <c r="L51" i="1"/>
  <c r="S51" i="1" s="1"/>
  <c r="Q50" i="1"/>
  <c r="S50" i="1" s="1"/>
  <c r="L50" i="1"/>
  <c r="W49" i="1"/>
  <c r="S49" i="1"/>
  <c r="Q49" i="1"/>
  <c r="L49" i="1"/>
  <c r="R44" i="1"/>
  <c r="Q44" i="1"/>
  <c r="L44" i="1"/>
  <c r="B44" i="1"/>
  <c r="S44" i="1" s="1"/>
  <c r="S43" i="1"/>
  <c r="R43" i="1"/>
  <c r="Q43" i="1"/>
  <c r="L43" i="1"/>
  <c r="B43" i="1"/>
  <c r="R42" i="1"/>
  <c r="Q42" i="1"/>
  <c r="L42" i="1"/>
  <c r="S42" i="1" s="1"/>
  <c r="B42" i="1"/>
  <c r="R41" i="1"/>
  <c r="Q41" i="1"/>
  <c r="L41" i="1"/>
  <c r="B41" i="1"/>
  <c r="S41" i="1" s="1"/>
  <c r="R39" i="1"/>
  <c r="S39" i="1" s="1"/>
  <c r="Q39" i="1"/>
  <c r="L39" i="1"/>
  <c r="B39" i="1"/>
  <c r="R38" i="1"/>
  <c r="Q38" i="1"/>
  <c r="L38" i="1"/>
  <c r="B38" i="1"/>
  <c r="S38" i="1" s="1"/>
  <c r="R37" i="1"/>
  <c r="Q37" i="1"/>
  <c r="L37" i="1"/>
  <c r="B37" i="1"/>
  <c r="S37" i="1" s="1"/>
  <c r="R36" i="1"/>
  <c r="Q36" i="1"/>
  <c r="S36" i="1" s="1"/>
  <c r="L36" i="1"/>
  <c r="B36" i="1"/>
  <c r="R34" i="1"/>
  <c r="Q34" i="1"/>
  <c r="L34" i="1"/>
  <c r="B34" i="1"/>
  <c r="S34" i="1" s="1"/>
  <c r="S33" i="1"/>
  <c r="R33" i="1"/>
  <c r="Q33" i="1"/>
  <c r="L33" i="1"/>
  <c r="B33" i="1"/>
  <c r="R32" i="1"/>
  <c r="Q32" i="1"/>
  <c r="L32" i="1"/>
  <c r="S32" i="1" s="1"/>
  <c r="B32" i="1"/>
  <c r="R31" i="1"/>
  <c r="Q31" i="1"/>
  <c r="L31" i="1"/>
  <c r="B31" i="1"/>
  <c r="S31" i="1" s="1"/>
  <c r="R29" i="1"/>
  <c r="S29" i="1" s="1"/>
  <c r="Q29" i="1"/>
  <c r="M29" i="1"/>
  <c r="L29" i="1"/>
  <c r="B29" i="1"/>
  <c r="R28" i="1"/>
  <c r="Q28" i="1"/>
  <c r="M28" i="1"/>
  <c r="S28" i="1" s="1"/>
  <c r="L28" i="1"/>
  <c r="B28" i="1"/>
  <c r="R27" i="1"/>
  <c r="Q27" i="1"/>
  <c r="L27" i="1"/>
  <c r="B27" i="1"/>
  <c r="S27" i="1" s="1"/>
  <c r="S26" i="1"/>
  <c r="R26" i="1"/>
  <c r="Q26" i="1"/>
  <c r="L26" i="1"/>
  <c r="B26" i="1"/>
  <c r="R24" i="1"/>
  <c r="Q24" i="1"/>
  <c r="L24" i="1"/>
  <c r="S24" i="1" s="1"/>
  <c r="R23" i="1"/>
  <c r="Q23" i="1"/>
  <c r="L23" i="1"/>
  <c r="B23" i="1"/>
  <c r="S23" i="1" s="1"/>
  <c r="R22" i="1"/>
  <c r="Q22" i="1"/>
  <c r="S22" i="1" s="1"/>
  <c r="L22" i="1"/>
  <c r="B22" i="1"/>
  <c r="R21" i="1"/>
  <c r="Q21" i="1"/>
  <c r="M21" i="1"/>
  <c r="L21" i="1"/>
  <c r="B21" i="1"/>
  <c r="S21" i="1" s="1"/>
  <c r="L20" i="1"/>
  <c r="S20" i="1" s="1"/>
  <c r="S19" i="1"/>
  <c r="Q19" i="1"/>
  <c r="L19" i="1"/>
  <c r="K19" i="1"/>
  <c r="Q18" i="1"/>
  <c r="S18" i="1" s="1"/>
  <c r="L18" i="1"/>
  <c r="Q17" i="1"/>
  <c r="L17" i="1"/>
  <c r="S17" i="1" s="1"/>
  <c r="Q16" i="1"/>
  <c r="H16" i="1"/>
  <c r="L16" i="1" s="1"/>
  <c r="S16" i="1" s="1"/>
  <c r="Q15" i="1"/>
  <c r="L15" i="1"/>
  <c r="S15" i="1" s="1"/>
</calcChain>
</file>

<file path=xl/sharedStrings.xml><?xml version="1.0" encoding="utf-8"?>
<sst xmlns="http://schemas.openxmlformats.org/spreadsheetml/2006/main" count="840" uniqueCount="116">
  <si>
    <t>ASSETS</t>
  </si>
  <si>
    <t xml:space="preserve"> </t>
  </si>
  <si>
    <t>II.2.1</t>
  </si>
  <si>
    <t>MONTHLY BALANCE SHEETS OF THE BANK OF THE REPUBLIC OF BURUNDI</t>
  </si>
  <si>
    <t>(In million of BIF)</t>
  </si>
  <si>
    <t xml:space="preserve">           Description</t>
  </si>
  <si>
    <t>Gross</t>
  </si>
  <si>
    <t>Claims on Government</t>
  </si>
  <si>
    <t>Claims</t>
  </si>
  <si>
    <t xml:space="preserve"> Créances</t>
  </si>
  <si>
    <t>Claims on</t>
  </si>
  <si>
    <t>Créances sur</t>
  </si>
  <si>
    <t>Other</t>
  </si>
  <si>
    <t>TOTAL</t>
  </si>
  <si>
    <t>Fereign</t>
  </si>
  <si>
    <t>on</t>
  </si>
  <si>
    <t xml:space="preserve"> sur les</t>
  </si>
  <si>
    <t>Public</t>
  </si>
  <si>
    <t>les administrations</t>
  </si>
  <si>
    <t>assets</t>
  </si>
  <si>
    <t>Assets</t>
  </si>
  <si>
    <t>Banking</t>
  </si>
  <si>
    <t xml:space="preserve"> établissements</t>
  </si>
  <si>
    <t>non-financial</t>
  </si>
  <si>
    <t>locales</t>
  </si>
  <si>
    <t xml:space="preserve">Private </t>
  </si>
  <si>
    <t>sector</t>
  </si>
  <si>
    <t xml:space="preserve"> financiers</t>
  </si>
  <si>
    <t>corporations</t>
  </si>
  <si>
    <t>Period</t>
  </si>
  <si>
    <t>Ordinary</t>
  </si>
  <si>
    <t xml:space="preserve">     Avances </t>
  </si>
  <si>
    <t xml:space="preserve"> Avances </t>
  </si>
  <si>
    <t xml:space="preserve">       Avances</t>
  </si>
  <si>
    <t xml:space="preserve">Bons et </t>
  </si>
  <si>
    <t xml:space="preserve">   Autres</t>
  </si>
  <si>
    <t>Special</t>
  </si>
  <si>
    <t>Reschedules</t>
  </si>
  <si>
    <t>Total</t>
  </si>
  <si>
    <t>advances</t>
  </si>
  <si>
    <t xml:space="preserve">     spéciales</t>
  </si>
  <si>
    <t xml:space="preserve">    B.E.I.</t>
  </si>
  <si>
    <t xml:space="preserve">   particu-</t>
  </si>
  <si>
    <t xml:space="preserve">       ordinaires</t>
  </si>
  <si>
    <t>Obligations</t>
  </si>
  <si>
    <t xml:space="preserve">   avances</t>
  </si>
  <si>
    <t>credit</t>
  </si>
  <si>
    <t>claims</t>
  </si>
  <si>
    <t>2008</t>
  </si>
  <si>
    <t>-</t>
  </si>
  <si>
    <t>2009</t>
  </si>
  <si>
    <t xml:space="preserve">2010 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</si>
  <si>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</si>
  <si>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</si>
  <si>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</si>
  <si>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</si>
  <si>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</si>
  <si>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</si>
  <si>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</si>
  <si>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</si>
  <si>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>2014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</si>
  <si>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</si>
  <si>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</si>
  <si>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</si>
  <si>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</si>
  <si>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</si>
  <si>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</si>
  <si>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</si>
  <si>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</si>
  <si>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June</t>
  </si>
  <si>
    <t xml:space="preserve">         September</t>
  </si>
  <si>
    <t xml:space="preserve"> 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</si>
  <si>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</si>
  <si>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</si>
  <si>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</si>
  <si>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</si>
  <si>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</si>
  <si>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</si>
  <si>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</si>
  <si>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</si>
  <si>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</si>
  <si>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</si>
  <si>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</si>
  <si>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</si>
  <si>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</si>
  <si>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</si>
  <si>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</si>
  <si>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</si>
  <si>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</si>
  <si>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</si>
  <si>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April</t>
  </si>
  <si>
    <t>2015 May</t>
  </si>
  <si>
    <t>2016 June</t>
  </si>
  <si>
    <t>2015 Jully</t>
  </si>
  <si>
    <t>2015 August</t>
  </si>
  <si>
    <t>2015 September</t>
  </si>
  <si>
    <t>2015 October</t>
  </si>
  <si>
    <t>2015 November</t>
  </si>
  <si>
    <t>2015 December</t>
  </si>
  <si>
    <t>2016 January</t>
  </si>
  <si>
    <t xml:space="preserve">2016 February        </t>
  </si>
  <si>
    <t>2016 April</t>
  </si>
  <si>
    <t>2016  May</t>
  </si>
  <si>
    <t>2016  June</t>
  </si>
  <si>
    <t>2016 July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</si>
  <si>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</si>
  <si>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</si>
  <si>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</si>
  <si>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</si>
  <si>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</si>
  <si>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</si>
  <si>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</si>
  <si>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</si>
  <si>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2018 January</t>
  </si>
  <si>
    <t xml:space="preserve">         April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</si>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</sst>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.0"/>
    <numFmt numFmtId="166" formatCode="#,##0.0;[Red]#,##0.0"/>
    <numFmt numFmtId="167" formatCode="General_)"/>
    <numFmt numFmtId="168" formatCode="0.0_)"/>
    <numFmt numFmtId="169" formatCode="_-* #,##0.00\ _F_-;\-* #,##0.00\ _F_-;_-* &quot;-&quot;??\ _F_-;_-@_-"/>
    <numFmt numFmtId="170" formatCode="_-* #,##0.0\ _F_-;\-* #,##0.0\ _F_-;_-* &quot;-&quot;??\ _F_-;_-@_-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9" fontId="3" fillId="0" borderId="0" applyFont="0" applyFill="0" applyBorder="0" applyAlignment="0" applyProtection="0"/>
  </cellStyleXfs>
  <cellXfs count="99">
    <xf numFmtId="164" fontId="0" fillId="0" borderId="0" xfId="0"/>
    <xf numFmtId="164" fontId="1" fillId="0" borderId="1" xfId="0" applyNumberFormat="1" applyFont="1" applyBorder="1" applyAlignment="1" applyProtection="1"/>
    <xf numFmtId="164" fontId="1" fillId="0" borderId="2" xfId="0" applyNumberFormat="1" applyFont="1" applyBorder="1" applyAlignment="1" applyProtection="1"/>
    <xf numFmtId="165" fontId="1" fillId="0" borderId="2" xfId="0" applyNumberFormat="1" applyFont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3" xfId="0" applyNumberFormat="1" applyFont="1" applyBorder="1" applyAlignment="1" applyProtection="1"/>
    <xf numFmtId="164" fontId="1" fillId="0" borderId="0" xfId="0" applyFont="1" applyAlignment="1"/>
    <xf numFmtId="164" fontId="2" fillId="0" borderId="4" xfId="0" applyFont="1" applyBorder="1" applyAlignment="1"/>
    <xf numFmtId="164" fontId="2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4" fontId="1" fillId="2" borderId="0" xfId="0" applyFont="1" applyFill="1" applyBorder="1" applyAlignment="1"/>
    <xf numFmtId="166" fontId="2" fillId="0" borderId="5" xfId="0" applyNumberFormat="1" applyFont="1" applyBorder="1" applyAlignment="1" applyProtection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4" xfId="0" applyNumberFormat="1" applyFont="1" applyBorder="1" applyAlignment="1" applyProtection="1"/>
    <xf numFmtId="164" fontId="1" fillId="2" borderId="0" xfId="0" applyNumberFormat="1" applyFont="1" applyFill="1" applyBorder="1" applyAlignment="1" applyProtection="1"/>
    <xf numFmtId="166" fontId="1" fillId="0" borderId="5" xfId="0" applyNumberFormat="1" applyFont="1" applyBorder="1" applyAlignment="1"/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5" xfId="0" applyNumberFormat="1" applyFont="1" applyBorder="1" applyAlignment="1" applyProtection="1"/>
    <xf numFmtId="164" fontId="2" fillId="0" borderId="8" xfId="0" applyFont="1" applyBorder="1" applyAlignment="1"/>
    <xf numFmtId="164" fontId="1" fillId="0" borderId="8" xfId="0" applyFont="1" applyBorder="1" applyAlignment="1"/>
    <xf numFmtId="164" fontId="1" fillId="0" borderId="2" xfId="0" applyFont="1" applyBorder="1" applyAlignment="1"/>
    <xf numFmtId="165" fontId="1" fillId="0" borderId="2" xfId="0" applyNumberFormat="1" applyFont="1" applyBorder="1" applyAlignment="1"/>
    <xf numFmtId="164" fontId="1" fillId="0" borderId="8" xfId="0" applyFont="1" applyBorder="1" applyAlignment="1">
      <alignment horizontal="center"/>
    </xf>
    <xf numFmtId="164" fontId="1" fillId="2" borderId="2" xfId="0" applyFont="1" applyFill="1" applyBorder="1" applyAlignment="1"/>
    <xf numFmtId="166" fontId="1" fillId="0" borderId="8" xfId="0" applyNumberFormat="1" applyFont="1" applyBorder="1" applyAlignment="1"/>
    <xf numFmtId="164" fontId="2" fillId="0" borderId="9" xfId="0" applyFont="1" applyBorder="1" applyAlignment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7" fontId="1" fillId="0" borderId="9" xfId="0" applyNumberFormat="1" applyFont="1" applyBorder="1" applyAlignment="1" applyProtection="1">
      <alignment horizontal="center" vertical="center"/>
    </xf>
    <xf numFmtId="167" fontId="1" fillId="0" borderId="0" xfId="0" applyNumberFormat="1" applyFont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9" xfId="0" applyFont="1" applyBorder="1" applyAlignment="1"/>
    <xf numFmtId="166" fontId="1" fillId="0" borderId="9" xfId="0" applyNumberFormat="1" applyFont="1" applyBorder="1" applyAlignment="1"/>
    <xf numFmtId="164" fontId="1" fillId="0" borderId="9" xfId="0" applyNumberFormat="1" applyFont="1" applyBorder="1" applyAlignment="1" applyProtection="1"/>
    <xf numFmtId="164" fontId="1" fillId="0" borderId="7" xfId="0" applyFont="1" applyBorder="1" applyAlignment="1"/>
    <xf numFmtId="165" fontId="1" fillId="0" borderId="7" xfId="0" applyNumberFormat="1" applyFont="1" applyBorder="1" applyAlignment="1"/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6" fontId="1" fillId="0" borderId="9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 applyProtection="1"/>
    <xf numFmtId="166" fontId="1" fillId="0" borderId="10" xfId="0" applyNumberFormat="1" applyFont="1" applyBorder="1" applyAlignment="1"/>
    <xf numFmtId="164" fontId="1" fillId="0" borderId="3" xfId="0" applyFont="1" applyBorder="1" applyAlignment="1"/>
    <xf numFmtId="168" fontId="1" fillId="0" borderId="2" xfId="0" applyNumberFormat="1" applyFont="1" applyBorder="1" applyAlignment="1" applyProtection="1"/>
    <xf numFmtId="170" fontId="1" fillId="0" borderId="8" xfId="1" applyNumberFormat="1" applyFont="1" applyBorder="1" applyAlignment="1"/>
    <xf numFmtId="170" fontId="1" fillId="0" borderId="2" xfId="1" applyNumberFormat="1" applyFont="1" applyBorder="1" applyAlignment="1"/>
    <xf numFmtId="164" fontId="1" fillId="2" borderId="3" xfId="0" applyFont="1" applyFill="1" applyBorder="1" applyAlignment="1"/>
    <xf numFmtId="164" fontId="1" fillId="3" borderId="9" xfId="0" quotePrefix="1" applyNumberFormat="1" applyFont="1" applyFill="1" applyBorder="1" applyAlignment="1" applyProtection="1"/>
    <xf numFmtId="164" fontId="1" fillId="3" borderId="9" xfId="0" applyNumberFormat="1" applyFont="1" applyFill="1" applyBorder="1" applyAlignment="1" applyProtection="1"/>
    <xf numFmtId="165" fontId="1" fillId="0" borderId="9" xfId="0" applyNumberFormat="1" applyFont="1" applyBorder="1" applyAlignment="1" applyProtection="1">
      <alignment horizontal="right"/>
    </xf>
    <xf numFmtId="169" fontId="1" fillId="3" borderId="0" xfId="1" applyFont="1" applyFill="1" applyBorder="1" applyAlignment="1" applyProtection="1"/>
    <xf numFmtId="165" fontId="1" fillId="3" borderId="0" xfId="0" applyNumberFormat="1" applyFont="1" applyFill="1" applyBorder="1" applyAlignment="1" applyProtection="1">
      <alignment horizontal="right"/>
    </xf>
    <xf numFmtId="165" fontId="1" fillId="3" borderId="9" xfId="0" applyNumberFormat="1" applyFont="1" applyFill="1" applyBorder="1" applyAlignment="1" applyProtection="1">
      <alignment horizontal="right"/>
    </xf>
    <xf numFmtId="164" fontId="1" fillId="3" borderId="9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/>
    <xf numFmtId="164" fontId="1" fillId="3" borderId="5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/>
    <xf numFmtId="166" fontId="1" fillId="3" borderId="9" xfId="0" applyNumberFormat="1" applyFont="1" applyFill="1" applyBorder="1" applyAlignment="1" applyProtection="1"/>
    <xf numFmtId="164" fontId="1" fillId="3" borderId="0" xfId="0" applyFont="1" applyFill="1" applyBorder="1" applyAlignment="1"/>
    <xf numFmtId="164" fontId="1" fillId="0" borderId="9" xfId="0" quotePrefix="1" applyFont="1" applyBorder="1" applyAlignment="1"/>
    <xf numFmtId="165" fontId="1" fillId="0" borderId="9" xfId="0" applyNumberFormat="1" applyFont="1" applyBorder="1" applyAlignment="1" applyProtection="1"/>
    <xf numFmtId="165" fontId="1" fillId="0" borderId="0" xfId="1" applyNumberFormat="1" applyFont="1" applyBorder="1" applyAlignment="1" applyProtection="1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/>
    <xf numFmtId="165" fontId="1" fillId="0" borderId="4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5" fontId="1" fillId="0" borderId="9" xfId="0" quotePrefix="1" applyNumberFormat="1" applyFont="1" applyBorder="1" applyAlignment="1" applyProtection="1">
      <alignment horizontal="right"/>
    </xf>
    <xf numFmtId="164" fontId="1" fillId="0" borderId="1" xfId="0" applyFont="1" applyBorder="1" applyAlignment="1"/>
    <xf numFmtId="170" fontId="1" fillId="0" borderId="2" xfId="1" applyNumberFormat="1" applyFont="1" applyBorder="1" applyAlignment="1" applyProtection="1"/>
    <xf numFmtId="169" fontId="1" fillId="0" borderId="2" xfId="1" applyFont="1" applyBorder="1" applyAlignment="1" applyProtection="1"/>
    <xf numFmtId="164" fontId="2" fillId="0" borderId="6" xfId="0" applyFont="1" applyBorder="1" applyAlignment="1"/>
    <xf numFmtId="170" fontId="1" fillId="0" borderId="7" xfId="1" applyNumberFormat="1" applyFont="1" applyBorder="1" applyAlignment="1" applyProtection="1"/>
    <xf numFmtId="164" fontId="1" fillId="2" borderId="7" xfId="0" applyFont="1" applyFill="1" applyBorder="1" applyAlignment="1"/>
    <xf numFmtId="166" fontId="1" fillId="0" borderId="11" xfId="0" applyNumberFormat="1" applyFont="1" applyBorder="1" applyAlignment="1"/>
    <xf numFmtId="170" fontId="1" fillId="0" borderId="0" xfId="1" applyNumberFormat="1" applyFont="1" applyBorder="1" applyAlignment="1" applyProtection="1"/>
    <xf numFmtId="165" fontId="1" fillId="0" borderId="0" xfId="0" applyNumberFormat="1" applyFont="1" applyAlignment="1"/>
    <xf numFmtId="164" fontId="1" fillId="2" borderId="0" xfId="0" applyFont="1" applyFill="1" applyAlignment="1"/>
    <xf numFmtId="166" fontId="1" fillId="0" borderId="0" xfId="0" applyNumberFormat="1" applyFont="1" applyAlignment="1"/>
    <xf numFmtId="166" fontId="1" fillId="0" borderId="0" xfId="0" applyNumberFormat="1" applyFont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1676400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1075"/>
          <a:ext cx="1266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"/>
  <sheetViews>
    <sheetView showGridLines="0" tabSelected="1" view="pageBreakPreview" topLeftCell="A165" zoomScale="80" zoomScaleNormal="100" zoomScaleSheetLayoutView="80" workbookViewId="0">
      <selection activeCell="C184" sqref="C184"/>
    </sheetView>
  </sheetViews>
  <sheetFormatPr defaultColWidth="13.88671875" defaultRowHeight="12.75" x14ac:dyDescent="0.2"/>
  <cols>
    <col min="1" max="1" width="14.77734375" style="6" bestFit="1" customWidth="1"/>
    <col min="2" max="2" width="13.109375" style="6" customWidth="1"/>
    <col min="3" max="3" width="12.88671875" style="6" customWidth="1"/>
    <col min="4" max="4" width="12.77734375" style="6" hidden="1" customWidth="1"/>
    <col min="5" max="5" width="11.44140625" style="6" hidden="1" customWidth="1"/>
    <col min="6" max="6" width="9.77734375" style="6" hidden="1" customWidth="1"/>
    <col min="7" max="7" width="11.6640625" style="6" hidden="1" customWidth="1"/>
    <col min="8" max="8" width="11.77734375" style="95" hidden="1" customWidth="1"/>
    <col min="9" max="9" width="9.77734375" style="6" hidden="1" customWidth="1"/>
    <col min="10" max="10" width="12.88671875" style="6" customWidth="1"/>
    <col min="11" max="11" width="15.109375" style="6" customWidth="1"/>
    <col min="12" max="12" width="13.6640625" style="6" customWidth="1"/>
    <col min="13" max="13" width="12" style="6" customWidth="1"/>
    <col min="14" max="14" width="11.88671875" style="6" hidden="1" customWidth="1"/>
    <col min="15" max="15" width="13.33203125" style="6" customWidth="1"/>
    <col min="16" max="16" width="10.5546875" style="96" hidden="1" customWidth="1"/>
    <col min="17" max="17" width="11.21875" style="6" customWidth="1"/>
    <col min="18" max="18" width="12.109375" style="6" customWidth="1"/>
    <col min="19" max="19" width="15.5546875" style="97" customWidth="1"/>
    <col min="20" max="16384" width="13.88671875" style="6"/>
  </cols>
  <sheetData>
    <row r="1" spans="1:19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  <c r="Q1" s="2"/>
      <c r="R1" s="2"/>
      <c r="S1" s="5"/>
    </row>
    <row r="2" spans="1:19" x14ac:dyDescent="0.2">
      <c r="A2" s="7" t="s">
        <v>0</v>
      </c>
      <c r="B2" s="8"/>
      <c r="C2" s="9"/>
      <c r="D2" s="9"/>
      <c r="E2" s="9"/>
      <c r="F2" s="10" t="s">
        <v>1</v>
      </c>
      <c r="G2" s="9"/>
      <c r="H2" s="11"/>
      <c r="I2" s="9"/>
      <c r="J2" s="9"/>
      <c r="K2" s="9"/>
      <c r="L2" s="9"/>
      <c r="M2" s="9"/>
      <c r="N2" s="9"/>
      <c r="O2" s="9"/>
      <c r="P2" s="12"/>
      <c r="Q2" s="9"/>
      <c r="R2" s="9"/>
      <c r="S2" s="13" t="s">
        <v>2</v>
      </c>
    </row>
    <row r="3" spans="1:19" x14ac:dyDescent="0.2">
      <c r="A3" s="14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x14ac:dyDescent="0.2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x14ac:dyDescent="0.2">
      <c r="A5" s="17" t="s">
        <v>1</v>
      </c>
      <c r="B5" s="10" t="s">
        <v>1</v>
      </c>
      <c r="C5" s="9"/>
      <c r="D5" s="10" t="s">
        <v>1</v>
      </c>
      <c r="E5" s="10"/>
      <c r="F5" s="10" t="s">
        <v>1</v>
      </c>
      <c r="G5" s="10" t="s">
        <v>1</v>
      </c>
      <c r="H5" s="11"/>
      <c r="I5" s="9"/>
      <c r="J5" s="9"/>
      <c r="K5" s="9"/>
      <c r="L5" s="10" t="s">
        <v>1</v>
      </c>
      <c r="M5" s="10" t="s">
        <v>1</v>
      </c>
      <c r="N5" s="10" t="s">
        <v>1</v>
      </c>
      <c r="O5" s="10" t="s">
        <v>1</v>
      </c>
      <c r="P5" s="18"/>
      <c r="Q5" s="10" t="s">
        <v>1</v>
      </c>
      <c r="R5" s="9"/>
      <c r="S5" s="19"/>
    </row>
    <row r="6" spans="1:19" x14ac:dyDescent="0.2">
      <c r="A6" s="20"/>
      <c r="B6" s="21"/>
      <c r="C6" s="10"/>
      <c r="D6" s="10"/>
      <c r="E6" s="10"/>
      <c r="F6" s="10"/>
      <c r="G6" s="10"/>
      <c r="H6" s="22"/>
      <c r="I6" s="10"/>
      <c r="J6" s="10"/>
      <c r="K6" s="10"/>
      <c r="L6" s="10"/>
      <c r="M6" s="21"/>
      <c r="N6" s="21"/>
      <c r="O6" s="21"/>
      <c r="P6" s="23"/>
      <c r="Q6" s="21"/>
      <c r="R6" s="21"/>
      <c r="S6" s="24"/>
    </row>
    <row r="7" spans="1:19" x14ac:dyDescent="0.2">
      <c r="A7" s="25"/>
      <c r="B7" s="26"/>
      <c r="C7" s="27"/>
      <c r="D7" s="27"/>
      <c r="E7" s="27"/>
      <c r="F7" s="27"/>
      <c r="G7" s="27"/>
      <c r="H7" s="28"/>
      <c r="I7" s="27"/>
      <c r="J7" s="27"/>
      <c r="K7" s="27"/>
      <c r="L7" s="27"/>
      <c r="M7" s="29"/>
      <c r="N7" s="27"/>
      <c r="O7" s="26"/>
      <c r="P7" s="30"/>
      <c r="Q7" s="27"/>
      <c r="R7" s="26"/>
      <c r="S7" s="31"/>
    </row>
    <row r="8" spans="1:19" ht="15.75" customHeight="1" x14ac:dyDescent="0.2">
      <c r="A8" s="32" t="s">
        <v>5</v>
      </c>
      <c r="B8" s="33" t="s">
        <v>6</v>
      </c>
      <c r="C8" s="34" t="s">
        <v>7</v>
      </c>
      <c r="D8" s="35"/>
      <c r="E8" s="35"/>
      <c r="F8" s="35"/>
      <c r="G8" s="35"/>
      <c r="H8" s="35"/>
      <c r="I8" s="35"/>
      <c r="J8" s="35"/>
      <c r="K8" s="35"/>
      <c r="L8" s="36"/>
      <c r="M8" s="37" t="s">
        <v>8</v>
      </c>
      <c r="N8" s="38" t="s">
        <v>9</v>
      </c>
      <c r="O8" s="33" t="s">
        <v>10</v>
      </c>
      <c r="P8" s="39" t="s">
        <v>11</v>
      </c>
      <c r="Q8" s="38" t="s">
        <v>8</v>
      </c>
      <c r="R8" s="40" t="s">
        <v>12</v>
      </c>
      <c r="S8" s="41" t="s">
        <v>13</v>
      </c>
    </row>
    <row r="9" spans="1:19" x14ac:dyDescent="0.2">
      <c r="A9" s="32"/>
      <c r="B9" s="33" t="s">
        <v>14</v>
      </c>
      <c r="C9" s="10"/>
      <c r="D9" s="10"/>
      <c r="E9" s="10"/>
      <c r="F9" s="10"/>
      <c r="G9" s="10"/>
      <c r="H9" s="22"/>
      <c r="I9" s="10"/>
      <c r="J9" s="10"/>
      <c r="K9" s="10"/>
      <c r="L9" s="10"/>
      <c r="M9" s="33" t="s">
        <v>15</v>
      </c>
      <c r="N9" s="42" t="s">
        <v>16</v>
      </c>
      <c r="O9" s="33" t="s">
        <v>17</v>
      </c>
      <c r="P9" s="39" t="s">
        <v>18</v>
      </c>
      <c r="Q9" s="42" t="s">
        <v>15</v>
      </c>
      <c r="R9" s="40" t="s">
        <v>19</v>
      </c>
      <c r="S9" s="41" t="s">
        <v>0</v>
      </c>
    </row>
    <row r="10" spans="1:19" x14ac:dyDescent="0.2">
      <c r="A10" s="32"/>
      <c r="B10" s="33" t="s">
        <v>20</v>
      </c>
      <c r="C10" s="9"/>
      <c r="D10" s="9"/>
      <c r="E10" s="9"/>
      <c r="F10" s="9"/>
      <c r="G10" s="9"/>
      <c r="H10" s="11"/>
      <c r="I10" s="9"/>
      <c r="J10" s="9"/>
      <c r="K10" s="9"/>
      <c r="L10" s="9"/>
      <c r="M10" s="33" t="s">
        <v>21</v>
      </c>
      <c r="N10" s="43" t="s">
        <v>22</v>
      </c>
      <c r="O10" s="33" t="s">
        <v>23</v>
      </c>
      <c r="P10" s="39" t="s">
        <v>24</v>
      </c>
      <c r="Q10" s="42" t="s">
        <v>25</v>
      </c>
      <c r="R10" s="44"/>
      <c r="S10" s="45"/>
    </row>
    <row r="11" spans="1:19" x14ac:dyDescent="0.2">
      <c r="A11" s="32"/>
      <c r="B11" s="46"/>
      <c r="C11" s="47"/>
      <c r="D11" s="47"/>
      <c r="E11" s="47"/>
      <c r="F11" s="47"/>
      <c r="G11" s="47"/>
      <c r="H11" s="48"/>
      <c r="I11" s="47"/>
      <c r="J11" s="47"/>
      <c r="K11" s="47"/>
      <c r="L11" s="47"/>
      <c r="M11" s="33" t="s">
        <v>26</v>
      </c>
      <c r="N11" s="42" t="s">
        <v>27</v>
      </c>
      <c r="O11" s="33" t="s">
        <v>28</v>
      </c>
      <c r="P11" s="39"/>
      <c r="Q11" s="42" t="s">
        <v>26</v>
      </c>
      <c r="R11" s="40"/>
      <c r="S11" s="49"/>
    </row>
    <row r="12" spans="1:19" x14ac:dyDescent="0.2">
      <c r="A12" s="32" t="s">
        <v>29</v>
      </c>
      <c r="B12" s="44"/>
      <c r="C12" s="50" t="s">
        <v>30</v>
      </c>
      <c r="D12" s="51" t="s">
        <v>31</v>
      </c>
      <c r="E12" s="52" t="s">
        <v>31</v>
      </c>
      <c r="F12" s="10" t="s">
        <v>32</v>
      </c>
      <c r="G12" s="51" t="s">
        <v>33</v>
      </c>
      <c r="H12" s="53" t="s">
        <v>34</v>
      </c>
      <c r="I12" s="29" t="s">
        <v>35</v>
      </c>
      <c r="J12" s="51" t="s">
        <v>36</v>
      </c>
      <c r="K12" s="51" t="s">
        <v>37</v>
      </c>
      <c r="L12" s="33" t="s">
        <v>38</v>
      </c>
      <c r="M12" s="44"/>
      <c r="N12" s="9"/>
      <c r="O12" s="44"/>
      <c r="P12" s="12"/>
      <c r="Q12" s="54"/>
      <c r="R12" s="44"/>
      <c r="S12" s="55" t="s">
        <v>1</v>
      </c>
    </row>
    <row r="13" spans="1:19" x14ac:dyDescent="0.2">
      <c r="A13" s="32"/>
      <c r="B13" s="44"/>
      <c r="C13" s="50" t="s">
        <v>39</v>
      </c>
      <c r="D13" s="40" t="s">
        <v>40</v>
      </c>
      <c r="E13" s="56" t="s">
        <v>41</v>
      </c>
      <c r="F13" s="10" t="s">
        <v>42</v>
      </c>
      <c r="G13" s="40" t="s">
        <v>43</v>
      </c>
      <c r="H13" s="53" t="s">
        <v>44</v>
      </c>
      <c r="I13" s="57" t="s">
        <v>45</v>
      </c>
      <c r="J13" s="40" t="s">
        <v>46</v>
      </c>
      <c r="K13" s="40" t="s">
        <v>47</v>
      </c>
      <c r="M13" s="44"/>
      <c r="N13" s="9"/>
      <c r="O13" s="44"/>
      <c r="P13" s="12"/>
      <c r="Q13" s="9"/>
      <c r="R13" s="58" t="s">
        <v>1</v>
      </c>
      <c r="S13" s="59"/>
    </row>
    <row r="14" spans="1:19" x14ac:dyDescent="0.2">
      <c r="A14" s="26"/>
      <c r="B14" s="26"/>
      <c r="C14" s="27"/>
      <c r="D14" s="26"/>
      <c r="E14" s="60"/>
      <c r="F14" s="61" t="s">
        <v>1</v>
      </c>
      <c r="G14" s="26"/>
      <c r="H14" s="28"/>
      <c r="I14" s="62"/>
      <c r="J14" s="62"/>
      <c r="K14" s="63"/>
      <c r="L14" s="26"/>
      <c r="M14" s="26"/>
      <c r="N14" s="27"/>
      <c r="O14" s="26"/>
      <c r="P14" s="64"/>
      <c r="Q14" s="60"/>
      <c r="R14" s="27"/>
      <c r="S14" s="31"/>
    </row>
    <row r="15" spans="1:19" s="76" customFormat="1" ht="15.75" hidden="1" customHeight="1" x14ac:dyDescent="0.2">
      <c r="A15" s="65" t="s">
        <v>48</v>
      </c>
      <c r="B15" s="66">
        <v>332289</v>
      </c>
      <c r="C15" s="67">
        <v>32841.300000000003</v>
      </c>
      <c r="D15" s="66">
        <v>2975.6</v>
      </c>
      <c r="E15" s="66">
        <v>9561.7000000000007</v>
      </c>
      <c r="F15" s="68">
        <v>0</v>
      </c>
      <c r="G15" s="66">
        <v>71410</v>
      </c>
      <c r="H15" s="69" t="s">
        <v>49</v>
      </c>
      <c r="I15" s="66">
        <v>54010.3</v>
      </c>
      <c r="J15" s="70" t="s">
        <v>49</v>
      </c>
      <c r="K15" s="69" t="s">
        <v>49</v>
      </c>
      <c r="L15" s="66">
        <f t="shared" ref="L15" si="0">SUM(C15:I15)</f>
        <v>170798.90000000002</v>
      </c>
      <c r="M15" s="71" t="s">
        <v>49</v>
      </c>
      <c r="N15" s="71" t="s">
        <v>49</v>
      </c>
      <c r="O15" s="66">
        <v>25</v>
      </c>
      <c r="P15" s="72"/>
      <c r="Q15" s="73">
        <f>9.4+3891.8+1023.7+380.9+11.2</f>
        <v>5317</v>
      </c>
      <c r="R15" s="74">
        <v>5180.5</v>
      </c>
      <c r="S15" s="75">
        <f>SUM(B15,L15:R15)</f>
        <v>513610.4</v>
      </c>
    </row>
    <row r="16" spans="1:19" s="9" customFormat="1" ht="15.75" hidden="1" customHeight="1" x14ac:dyDescent="0.2">
      <c r="A16" s="77" t="s">
        <v>50</v>
      </c>
      <c r="B16" s="78">
        <v>400951.3</v>
      </c>
      <c r="C16" s="78">
        <v>95224</v>
      </c>
      <c r="D16" s="78">
        <v>2816.6</v>
      </c>
      <c r="E16" s="78">
        <v>4651.7</v>
      </c>
      <c r="F16" s="79">
        <v>0</v>
      </c>
      <c r="G16" s="78">
        <v>65897.399999999994</v>
      </c>
      <c r="H16" s="22">
        <f>32841.2+1870.6</f>
        <v>34711.799999999996</v>
      </c>
      <c r="I16" s="78">
        <v>47032.6</v>
      </c>
      <c r="J16" s="67" t="s">
        <v>49</v>
      </c>
      <c r="K16" s="80" t="s">
        <v>49</v>
      </c>
      <c r="L16" s="78">
        <f t="shared" ref="L16" si="1">SUM(C16:I16)</f>
        <v>250334.1</v>
      </c>
      <c r="M16" s="67" t="s">
        <v>49</v>
      </c>
      <c r="N16" s="67" t="s">
        <v>49</v>
      </c>
      <c r="O16" s="78">
        <v>20</v>
      </c>
      <c r="P16" s="72"/>
      <c r="Q16" s="81">
        <f>9.4+4333.3+1013.8+380.9+13.3</f>
        <v>5750.7</v>
      </c>
      <c r="R16" s="22">
        <v>2918.8000000000347</v>
      </c>
      <c r="S16" s="78">
        <f t="shared" ref="S16:S24" si="2">SUM(B16,L16:R16)</f>
        <v>659974.9</v>
      </c>
    </row>
    <row r="17" spans="1:19" s="9" customFormat="1" ht="15.75" hidden="1" customHeight="1" x14ac:dyDescent="0.2">
      <c r="A17" s="77" t="s">
        <v>51</v>
      </c>
      <c r="B17" s="81">
        <v>418272.20000000007</v>
      </c>
      <c r="C17" s="67">
        <v>19134.2</v>
      </c>
      <c r="D17" s="67" t="s">
        <v>49</v>
      </c>
      <c r="E17" s="67" t="s">
        <v>49</v>
      </c>
      <c r="F17" s="79"/>
      <c r="G17" s="67" t="s">
        <v>49</v>
      </c>
      <c r="H17" s="67" t="s">
        <v>49</v>
      </c>
      <c r="I17" s="67" t="s">
        <v>49</v>
      </c>
      <c r="J17" s="78">
        <v>88925</v>
      </c>
      <c r="K17" s="78">
        <v>145130.9</v>
      </c>
      <c r="L17" s="78">
        <f t="shared" ref="L17" si="3">SUM(C17:K17)</f>
        <v>253190.09999999998</v>
      </c>
      <c r="M17" s="67" t="s">
        <v>49</v>
      </c>
      <c r="N17" s="67" t="s">
        <v>49</v>
      </c>
      <c r="O17" s="78">
        <v>20</v>
      </c>
      <c r="P17" s="72"/>
      <c r="Q17" s="81">
        <f>9.4+4662.6+905.9+380.9+11.8</f>
        <v>5970.5999999999995</v>
      </c>
      <c r="R17" s="22">
        <v>2976.0999999999185</v>
      </c>
      <c r="S17" s="78">
        <f t="shared" si="2"/>
        <v>680429</v>
      </c>
    </row>
    <row r="18" spans="1:19" s="9" customFormat="1" ht="15.75" hidden="1" customHeight="1" x14ac:dyDescent="0.2">
      <c r="A18" s="77" t="s">
        <v>52</v>
      </c>
      <c r="B18" s="81">
        <v>412743.80000000005</v>
      </c>
      <c r="C18" s="82">
        <v>86260.6</v>
      </c>
      <c r="D18" s="67" t="s">
        <v>49</v>
      </c>
      <c r="E18" s="67" t="s">
        <v>49</v>
      </c>
      <c r="F18" s="79"/>
      <c r="G18" s="67" t="s">
        <v>49</v>
      </c>
      <c r="H18" s="67" t="s">
        <v>49</v>
      </c>
      <c r="I18" s="67" t="s">
        <v>49</v>
      </c>
      <c r="J18" s="78">
        <v>94325</v>
      </c>
      <c r="K18" s="78">
        <v>141433.29999999999</v>
      </c>
      <c r="L18" s="78">
        <f t="shared" ref="L18" si="4">SUM(C18:K18)</f>
        <v>322018.90000000002</v>
      </c>
      <c r="M18" s="67">
        <v>25301.3</v>
      </c>
      <c r="N18" s="80"/>
      <c r="O18" s="78">
        <v>20</v>
      </c>
      <c r="P18" s="72"/>
      <c r="Q18" s="81">
        <f>9.4+6174.8+887.9+380.9+14.4</f>
        <v>7467.3999999999987</v>
      </c>
      <c r="R18" s="22">
        <v>4483.1999999999771</v>
      </c>
      <c r="S18" s="78">
        <f t="shared" si="2"/>
        <v>772034.60000000009</v>
      </c>
    </row>
    <row r="19" spans="1:19" s="9" customFormat="1" hidden="1" x14ac:dyDescent="0.2">
      <c r="A19" s="77" t="s">
        <v>53</v>
      </c>
      <c r="B19" s="81">
        <v>485025.5</v>
      </c>
      <c r="C19" s="67" t="s">
        <v>49</v>
      </c>
      <c r="D19" s="67" t="s">
        <v>49</v>
      </c>
      <c r="E19" s="67" t="s">
        <v>49</v>
      </c>
      <c r="F19" s="79"/>
      <c r="G19" s="67" t="s">
        <v>49</v>
      </c>
      <c r="H19" s="67" t="s">
        <v>49</v>
      </c>
      <c r="I19" s="67" t="s">
        <v>49</v>
      </c>
      <c r="J19" s="78">
        <v>117037.4</v>
      </c>
      <c r="K19" s="78">
        <f>137735.7+155251.9</f>
        <v>292987.59999999998</v>
      </c>
      <c r="L19" s="78">
        <f t="shared" ref="L19" si="5">SUM(C19:K19)</f>
        <v>410025</v>
      </c>
      <c r="M19" s="67" t="s">
        <v>49</v>
      </c>
      <c r="N19" s="80"/>
      <c r="O19" s="78">
        <v>20</v>
      </c>
      <c r="P19" s="72"/>
      <c r="Q19" s="81">
        <f>9.4+8116.1+887.9+26</f>
        <v>9039.4</v>
      </c>
      <c r="R19" s="22">
        <v>7843.899999999976</v>
      </c>
      <c r="S19" s="78">
        <f t="shared" si="2"/>
        <v>911953.8</v>
      </c>
    </row>
    <row r="20" spans="1:19" s="9" customFormat="1" x14ac:dyDescent="0.2">
      <c r="A20" s="77" t="s">
        <v>54</v>
      </c>
      <c r="B20" s="81">
        <v>501323.49999999994</v>
      </c>
      <c r="C20" s="67" t="s">
        <v>49</v>
      </c>
      <c r="D20" s="67" t="s">
        <v>49</v>
      </c>
      <c r="E20" s="67" t="s">
        <v>49</v>
      </c>
      <c r="F20" s="79"/>
      <c r="G20" s="67" t="s">
        <v>49</v>
      </c>
      <c r="H20" s="67" t="s">
        <v>49</v>
      </c>
      <c r="I20" s="67" t="s">
        <v>49</v>
      </c>
      <c r="J20" s="78">
        <v>107284.3</v>
      </c>
      <c r="K20" s="22">
        <v>289290</v>
      </c>
      <c r="L20" s="78">
        <f t="shared" ref="L20" si="6">SUM(C20:K20)</f>
        <v>396574.3</v>
      </c>
      <c r="M20" s="67" t="s">
        <v>49</v>
      </c>
      <c r="N20" s="80"/>
      <c r="O20" s="78">
        <v>20</v>
      </c>
      <c r="P20" s="72"/>
      <c r="Q20" s="81">
        <v>11039.999999999998</v>
      </c>
      <c r="R20" s="22">
        <v>14789.2</v>
      </c>
      <c r="S20" s="78">
        <f t="shared" si="2"/>
        <v>923746.99999999988</v>
      </c>
    </row>
    <row r="21" spans="1:19" s="9" customFormat="1" x14ac:dyDescent="0.2">
      <c r="A21" s="77" t="s">
        <v>55</v>
      </c>
      <c r="B21" s="81">
        <f>500016.3+1198.4</f>
        <v>501214.7</v>
      </c>
      <c r="C21" s="67">
        <v>55186.9</v>
      </c>
      <c r="D21" s="67" t="s">
        <v>49</v>
      </c>
      <c r="E21" s="67" t="s">
        <v>49</v>
      </c>
      <c r="F21" s="79"/>
      <c r="G21" s="67" t="s">
        <v>49</v>
      </c>
      <c r="H21" s="67" t="s">
        <v>49</v>
      </c>
      <c r="I21" s="67" t="s">
        <v>49</v>
      </c>
      <c r="J21" s="78">
        <v>106976.2</v>
      </c>
      <c r="K21" s="22">
        <v>285900.5</v>
      </c>
      <c r="L21" s="78">
        <f t="shared" ref="L21:L24" si="7">SUM(C21:K21)</f>
        <v>448063.6</v>
      </c>
      <c r="M21" s="67">
        <f>2000</f>
        <v>2000</v>
      </c>
      <c r="N21" s="80"/>
      <c r="O21" s="78">
        <v>20</v>
      </c>
      <c r="P21" s="72"/>
      <c r="Q21" s="81">
        <f>887.9+12093.9+9.4+21.3</f>
        <v>13012.499999999998</v>
      </c>
      <c r="R21" s="22">
        <f>65554.3-1198.4</f>
        <v>64355.9</v>
      </c>
      <c r="S21" s="78">
        <f t="shared" si="2"/>
        <v>1028666.7000000001</v>
      </c>
    </row>
    <row r="22" spans="1:19" s="9" customFormat="1" x14ac:dyDescent="0.2">
      <c r="A22" s="77" t="s">
        <v>56</v>
      </c>
      <c r="B22" s="81">
        <f>220631.2+1198.4</f>
        <v>221829.6</v>
      </c>
      <c r="C22" s="67">
        <v>273246</v>
      </c>
      <c r="D22" s="67" t="s">
        <v>49</v>
      </c>
      <c r="E22" s="67" t="s">
        <v>49</v>
      </c>
      <c r="F22" s="79"/>
      <c r="G22" s="67" t="s">
        <v>49</v>
      </c>
      <c r="H22" s="67" t="s">
        <v>49</v>
      </c>
      <c r="I22" s="67" t="s">
        <v>49</v>
      </c>
      <c r="J22" s="78">
        <v>90564.7</v>
      </c>
      <c r="K22" s="22">
        <v>277913.90000000002</v>
      </c>
      <c r="L22" s="78">
        <f t="shared" si="7"/>
        <v>641724.60000000009</v>
      </c>
      <c r="M22" s="67">
        <v>21800</v>
      </c>
      <c r="N22" s="80"/>
      <c r="O22" s="78">
        <v>20</v>
      </c>
      <c r="P22" s="72"/>
      <c r="Q22" s="81">
        <f>887.9+14924.5+9.4+48.3</f>
        <v>15870.099999999999</v>
      </c>
      <c r="R22" s="22">
        <f>70740.6-1198.4</f>
        <v>69542.200000000012</v>
      </c>
      <c r="S22" s="78">
        <f t="shared" si="2"/>
        <v>970786.5</v>
      </c>
    </row>
    <row r="23" spans="1:19" s="9" customFormat="1" x14ac:dyDescent="0.2">
      <c r="A23" s="77" t="s">
        <v>57</v>
      </c>
      <c r="B23" s="81">
        <f>165236.3+1198.4</f>
        <v>166434.69999999998</v>
      </c>
      <c r="C23" s="82">
        <v>134973.1</v>
      </c>
      <c r="D23" s="67"/>
      <c r="E23" s="83"/>
      <c r="F23" s="79"/>
      <c r="G23" s="67"/>
      <c r="H23" s="80"/>
      <c r="I23" s="67"/>
      <c r="J23" s="78">
        <v>73845.100000000006</v>
      </c>
      <c r="K23" s="22">
        <v>543481.59999999998</v>
      </c>
      <c r="L23" s="78">
        <f t="shared" si="7"/>
        <v>752299.8</v>
      </c>
      <c r="M23" s="67">
        <v>89000</v>
      </c>
      <c r="N23" s="80"/>
      <c r="O23" s="78">
        <v>20</v>
      </c>
      <c r="P23" s="72"/>
      <c r="Q23" s="81">
        <f>15721.6+9.4+887.8+83.3</f>
        <v>16702.099999999999</v>
      </c>
      <c r="R23" s="22">
        <f>84074.1-1198.4</f>
        <v>82875.700000000012</v>
      </c>
      <c r="S23" s="78">
        <f t="shared" si="2"/>
        <v>1107332.3</v>
      </c>
    </row>
    <row r="24" spans="1:19" s="9" customFormat="1" x14ac:dyDescent="0.2">
      <c r="A24" s="77" t="s">
        <v>58</v>
      </c>
      <c r="B24" s="81">
        <v>194000.2</v>
      </c>
      <c r="C24" s="82">
        <v>194279.4</v>
      </c>
      <c r="D24" s="67"/>
      <c r="E24" s="83"/>
      <c r="F24" s="79"/>
      <c r="G24" s="67"/>
      <c r="H24" s="80"/>
      <c r="I24" s="67"/>
      <c r="J24" s="78">
        <v>57125.4</v>
      </c>
      <c r="K24" s="22">
        <v>535803.19999999995</v>
      </c>
      <c r="L24" s="78">
        <f t="shared" si="7"/>
        <v>787208</v>
      </c>
      <c r="M24" s="67">
        <v>159990</v>
      </c>
      <c r="N24" s="80"/>
      <c r="O24" s="78">
        <v>20</v>
      </c>
      <c r="P24" s="72"/>
      <c r="Q24" s="81">
        <f>887.8+22686.1+83.3</f>
        <v>23657.199999999997</v>
      </c>
      <c r="R24" s="22">
        <f>110090.6-1198.4</f>
        <v>108892.20000000001</v>
      </c>
      <c r="S24" s="78">
        <f t="shared" si="2"/>
        <v>1273767.5999999999</v>
      </c>
    </row>
    <row r="25" spans="1:19" s="9" customFormat="1" x14ac:dyDescent="0.2">
      <c r="A25" s="77"/>
      <c r="B25" s="81"/>
      <c r="C25" s="67"/>
      <c r="D25" s="67"/>
      <c r="E25" s="67"/>
      <c r="F25" s="79"/>
      <c r="G25" s="67"/>
      <c r="H25" s="67"/>
      <c r="I25" s="67"/>
      <c r="J25" s="78"/>
      <c r="K25" s="78"/>
      <c r="L25" s="78"/>
      <c r="M25" s="67"/>
      <c r="N25" s="67"/>
      <c r="O25" s="78"/>
      <c r="P25" s="72"/>
      <c r="Q25" s="81"/>
      <c r="R25" s="22"/>
      <c r="S25" s="78"/>
    </row>
    <row r="26" spans="1:19" s="9" customFormat="1" hidden="1" x14ac:dyDescent="0.2">
      <c r="A26" s="84" t="s">
        <v>59</v>
      </c>
      <c r="B26" s="81">
        <f>490364.5+1198.4</f>
        <v>491562.9</v>
      </c>
      <c r="C26" s="67">
        <v>8513</v>
      </c>
      <c r="D26" s="67" t="s">
        <v>49</v>
      </c>
      <c r="E26" s="67" t="s">
        <v>49</v>
      </c>
      <c r="F26" s="79"/>
      <c r="G26" s="67" t="s">
        <v>49</v>
      </c>
      <c r="H26" s="67" t="s">
        <v>49</v>
      </c>
      <c r="I26" s="67" t="s">
        <v>49</v>
      </c>
      <c r="J26" s="78">
        <v>107284.3</v>
      </c>
      <c r="K26" s="22">
        <v>288673.7</v>
      </c>
      <c r="L26" s="78">
        <f t="shared" ref="L26:L29" si="8">SUM(C26:K26)</f>
        <v>404471</v>
      </c>
      <c r="M26" s="67">
        <v>2239.9</v>
      </c>
      <c r="N26" s="80"/>
      <c r="O26" s="78">
        <v>20</v>
      </c>
      <c r="P26" s="72"/>
      <c r="Q26" s="81">
        <f>887.9+11758.1+21.3</f>
        <v>12667.3</v>
      </c>
      <c r="R26" s="22">
        <f>16389.1-1198.4</f>
        <v>15190.699999999999</v>
      </c>
      <c r="S26" s="78">
        <f t="shared" ref="S26:S29" si="9">SUM(B26,L26:R26)</f>
        <v>926151.8</v>
      </c>
    </row>
    <row r="27" spans="1:19" s="9" customFormat="1" hidden="1" x14ac:dyDescent="0.2">
      <c r="A27" s="84" t="s">
        <v>60</v>
      </c>
      <c r="B27" s="81">
        <f>485405.9+1198.4</f>
        <v>486604.30000000005</v>
      </c>
      <c r="C27" s="67">
        <v>39309.599999999999</v>
      </c>
      <c r="D27" s="67" t="s">
        <v>49</v>
      </c>
      <c r="E27" s="67" t="s">
        <v>49</v>
      </c>
      <c r="F27" s="79"/>
      <c r="G27" s="67" t="s">
        <v>49</v>
      </c>
      <c r="H27" s="67" t="s">
        <v>49</v>
      </c>
      <c r="I27" s="67" t="s">
        <v>49</v>
      </c>
      <c r="J27" s="78">
        <v>107284.3</v>
      </c>
      <c r="K27" s="22">
        <v>287441.2</v>
      </c>
      <c r="L27" s="78">
        <f t="shared" si="8"/>
        <v>434035.1</v>
      </c>
      <c r="M27" s="67">
        <v>1914.8</v>
      </c>
      <c r="N27" s="80"/>
      <c r="O27" s="78">
        <v>20</v>
      </c>
      <c r="P27" s="72"/>
      <c r="Q27" s="81">
        <f>887.9+12491.3+9.4+21.3</f>
        <v>13409.899999999998</v>
      </c>
      <c r="R27" s="22">
        <f>46067.1-1198.4</f>
        <v>44868.7</v>
      </c>
      <c r="S27" s="78">
        <f t="shared" si="9"/>
        <v>980852.8</v>
      </c>
    </row>
    <row r="28" spans="1:19" s="9" customFormat="1" hidden="1" x14ac:dyDescent="0.2">
      <c r="A28" s="84" t="s">
        <v>61</v>
      </c>
      <c r="B28" s="81">
        <f>523706.4+1198.4</f>
        <v>524904.80000000005</v>
      </c>
      <c r="C28" s="67">
        <v>27300.1</v>
      </c>
      <c r="D28" s="67" t="s">
        <v>49</v>
      </c>
      <c r="E28" s="67" t="s">
        <v>49</v>
      </c>
      <c r="F28" s="79"/>
      <c r="G28" s="67" t="s">
        <v>49</v>
      </c>
      <c r="H28" s="67" t="s">
        <v>49</v>
      </c>
      <c r="I28" s="67" t="s">
        <v>49</v>
      </c>
      <c r="J28" s="78">
        <v>107284.3</v>
      </c>
      <c r="K28" s="22">
        <v>286825</v>
      </c>
      <c r="L28" s="78">
        <f t="shared" si="8"/>
        <v>421409.4</v>
      </c>
      <c r="M28" s="67">
        <f>2000+231.9</f>
        <v>2231.9</v>
      </c>
      <c r="N28" s="80"/>
      <c r="O28" s="78">
        <v>20</v>
      </c>
      <c r="P28" s="72"/>
      <c r="Q28" s="81">
        <f>887.9+12400.2+9.4+21.3</f>
        <v>13318.8</v>
      </c>
      <c r="R28" s="22">
        <f>57430-1198.4</f>
        <v>56231.6</v>
      </c>
      <c r="S28" s="78">
        <f t="shared" si="9"/>
        <v>1018116.5000000001</v>
      </c>
    </row>
    <row r="29" spans="1:19" s="9" customFormat="1" hidden="1" x14ac:dyDescent="0.2">
      <c r="A29" s="84" t="s">
        <v>62</v>
      </c>
      <c r="B29" s="81">
        <f>500016.3+1198.4</f>
        <v>501214.7</v>
      </c>
      <c r="C29" s="67">
        <v>55186.9</v>
      </c>
      <c r="D29" s="67" t="s">
        <v>49</v>
      </c>
      <c r="E29" s="67" t="s">
        <v>49</v>
      </c>
      <c r="F29" s="79"/>
      <c r="G29" s="67" t="s">
        <v>49</v>
      </c>
      <c r="H29" s="67" t="s">
        <v>49</v>
      </c>
      <c r="I29" s="67" t="s">
        <v>49</v>
      </c>
      <c r="J29" s="78">
        <v>106976.2</v>
      </c>
      <c r="K29" s="22">
        <v>285900.5</v>
      </c>
      <c r="L29" s="78">
        <f t="shared" si="8"/>
        <v>448063.6</v>
      </c>
      <c r="M29" s="67">
        <f>2000</f>
        <v>2000</v>
      </c>
      <c r="N29" s="80"/>
      <c r="O29" s="78">
        <v>20</v>
      </c>
      <c r="P29" s="72"/>
      <c r="Q29" s="81">
        <f>887.9+12093.9+9.4+21.3</f>
        <v>13012.499999999998</v>
      </c>
      <c r="R29" s="22">
        <f>65554.3-1198.4</f>
        <v>64355.9</v>
      </c>
      <c r="S29" s="78">
        <f t="shared" si="9"/>
        <v>1028666.7000000001</v>
      </c>
    </row>
    <row r="30" spans="1:19" s="9" customFormat="1" ht="12" hidden="1" customHeight="1" x14ac:dyDescent="0.2">
      <c r="A30" s="84"/>
      <c r="B30" s="81"/>
      <c r="C30" s="67"/>
      <c r="D30" s="67"/>
      <c r="E30" s="67"/>
      <c r="F30" s="79"/>
      <c r="G30" s="67"/>
      <c r="H30" s="67"/>
      <c r="I30" s="67"/>
      <c r="J30" s="78"/>
      <c r="K30" s="22"/>
      <c r="L30" s="78"/>
      <c r="M30" s="67"/>
      <c r="N30" s="80"/>
      <c r="O30" s="78"/>
      <c r="P30" s="72"/>
      <c r="Q30" s="81"/>
      <c r="R30" s="22"/>
      <c r="S30" s="78"/>
    </row>
    <row r="31" spans="1:19" s="9" customFormat="1" x14ac:dyDescent="0.2">
      <c r="A31" s="84" t="s">
        <v>63</v>
      </c>
      <c r="B31" s="81">
        <f>471312.6+1198.4</f>
        <v>472511</v>
      </c>
      <c r="C31" s="67">
        <v>23590.1</v>
      </c>
      <c r="D31" s="67" t="s">
        <v>49</v>
      </c>
      <c r="E31" s="67" t="s">
        <v>49</v>
      </c>
      <c r="F31" s="79"/>
      <c r="G31" s="67" t="s">
        <v>49</v>
      </c>
      <c r="H31" s="67" t="s">
        <v>49</v>
      </c>
      <c r="I31" s="67" t="s">
        <v>49</v>
      </c>
      <c r="J31" s="78">
        <v>104166</v>
      </c>
      <c r="K31" s="22">
        <v>284644.40000000002</v>
      </c>
      <c r="L31" s="78">
        <f t="shared" ref="L31:L34" si="10">SUM(C31:K31)</f>
        <v>412400.5</v>
      </c>
      <c r="M31" s="67">
        <v>3178.9</v>
      </c>
      <c r="N31" s="80"/>
      <c r="O31" s="78">
        <v>20</v>
      </c>
      <c r="P31" s="72"/>
      <c r="Q31" s="81">
        <f>887.9+12644.8+9.4+21.3</f>
        <v>13563.399999999998</v>
      </c>
      <c r="R31" s="22">
        <f>70415.3-1198.4</f>
        <v>69216.900000000009</v>
      </c>
      <c r="S31" s="78">
        <f t="shared" ref="S31:S34" si="11">SUM(B31,L31:R31)</f>
        <v>970890.70000000007</v>
      </c>
    </row>
    <row r="32" spans="1:19" s="9" customFormat="1" x14ac:dyDescent="0.2">
      <c r="A32" s="84" t="s">
        <v>64</v>
      </c>
      <c r="B32" s="81">
        <f>372018.8+1198.4</f>
        <v>373217.2</v>
      </c>
      <c r="C32" s="67">
        <v>121700.8</v>
      </c>
      <c r="D32" s="67" t="s">
        <v>49</v>
      </c>
      <c r="E32" s="67" t="s">
        <v>49</v>
      </c>
      <c r="F32" s="79"/>
      <c r="G32" s="67" t="s">
        <v>49</v>
      </c>
      <c r="H32" s="67" t="s">
        <v>49</v>
      </c>
      <c r="I32" s="67" t="s">
        <v>49</v>
      </c>
      <c r="J32" s="78">
        <v>100317.8</v>
      </c>
      <c r="K32" s="22">
        <v>282393.09999999998</v>
      </c>
      <c r="L32" s="78">
        <f t="shared" si="10"/>
        <v>504411.69999999995</v>
      </c>
      <c r="M32" s="67">
        <v>22000</v>
      </c>
      <c r="N32" s="80"/>
      <c r="O32" s="78">
        <v>20</v>
      </c>
      <c r="P32" s="72"/>
      <c r="Q32" s="81">
        <f>887.9+13119.4+9.4+61</f>
        <v>14077.699999999999</v>
      </c>
      <c r="R32" s="22">
        <f>72615.2-1198.4</f>
        <v>71416.800000000003</v>
      </c>
      <c r="S32" s="78">
        <f t="shared" si="11"/>
        <v>985143.39999999991</v>
      </c>
    </row>
    <row r="33" spans="1:19" s="9" customFormat="1" x14ac:dyDescent="0.2">
      <c r="A33" s="84" t="s">
        <v>65</v>
      </c>
      <c r="B33" s="81">
        <f>273056.3+1198.4</f>
        <v>274254.7</v>
      </c>
      <c r="C33" s="67">
        <v>201450.1</v>
      </c>
      <c r="D33" s="67" t="s">
        <v>49</v>
      </c>
      <c r="E33" s="67" t="s">
        <v>49</v>
      </c>
      <c r="F33" s="79"/>
      <c r="G33" s="67" t="s">
        <v>49</v>
      </c>
      <c r="H33" s="67" t="s">
        <v>49</v>
      </c>
      <c r="I33" s="67" t="s">
        <v>49</v>
      </c>
      <c r="J33" s="78">
        <v>96137.9</v>
      </c>
      <c r="K33" s="22">
        <v>280473.5</v>
      </c>
      <c r="L33" s="78">
        <f t="shared" si="10"/>
        <v>578061.5</v>
      </c>
      <c r="M33" s="67">
        <v>6840.3</v>
      </c>
      <c r="N33" s="80"/>
      <c r="O33" s="78">
        <v>20</v>
      </c>
      <c r="P33" s="72"/>
      <c r="Q33" s="81">
        <f>887.9+14704.5+9.4+61.4</f>
        <v>15663.199999999999</v>
      </c>
      <c r="R33" s="22">
        <f>69762.2-1198.4</f>
        <v>68563.8</v>
      </c>
      <c r="S33" s="78">
        <f t="shared" si="11"/>
        <v>943403.5</v>
      </c>
    </row>
    <row r="34" spans="1:19" s="9" customFormat="1" x14ac:dyDescent="0.2">
      <c r="A34" s="84" t="s">
        <v>66</v>
      </c>
      <c r="B34" s="81">
        <f>220631.2+1198.4</f>
        <v>221829.6</v>
      </c>
      <c r="C34" s="67">
        <v>273246</v>
      </c>
      <c r="D34" s="67" t="s">
        <v>49</v>
      </c>
      <c r="E34" s="67" t="s">
        <v>49</v>
      </c>
      <c r="F34" s="79"/>
      <c r="G34" s="67" t="s">
        <v>49</v>
      </c>
      <c r="H34" s="67" t="s">
        <v>49</v>
      </c>
      <c r="I34" s="67" t="s">
        <v>49</v>
      </c>
      <c r="J34" s="78">
        <v>90564.7</v>
      </c>
      <c r="K34" s="22">
        <v>277913.90000000002</v>
      </c>
      <c r="L34" s="78">
        <f t="shared" si="10"/>
        <v>641724.60000000009</v>
      </c>
      <c r="M34" s="67">
        <v>21800</v>
      </c>
      <c r="N34" s="80"/>
      <c r="O34" s="78">
        <v>20</v>
      </c>
      <c r="P34" s="72"/>
      <c r="Q34" s="81">
        <f>887.9+14924.5+9.4+48.3</f>
        <v>15870.099999999999</v>
      </c>
      <c r="R34" s="22">
        <f>70740.6-1198.4</f>
        <v>69542.200000000012</v>
      </c>
      <c r="S34" s="78">
        <f t="shared" si="11"/>
        <v>970786.5</v>
      </c>
    </row>
    <row r="35" spans="1:19" s="9" customFormat="1" ht="12" customHeight="1" x14ac:dyDescent="0.2">
      <c r="A35" s="84"/>
      <c r="B35" s="81"/>
      <c r="C35" s="67"/>
      <c r="D35" s="67"/>
      <c r="E35" s="67"/>
      <c r="F35" s="79"/>
      <c r="G35" s="67"/>
      <c r="H35" s="67"/>
      <c r="I35" s="67"/>
      <c r="J35" s="78"/>
      <c r="K35" s="22"/>
      <c r="L35" s="78"/>
      <c r="M35" s="67"/>
      <c r="N35" s="80"/>
      <c r="O35" s="78"/>
      <c r="P35" s="72"/>
      <c r="Q35" s="81"/>
      <c r="R35" s="22"/>
      <c r="S35" s="78"/>
    </row>
    <row r="36" spans="1:19" s="9" customFormat="1" x14ac:dyDescent="0.2">
      <c r="A36" s="84" t="s">
        <v>67</v>
      </c>
      <c r="B36" s="81">
        <f>154021.4+1198.4</f>
        <v>155219.79999999999</v>
      </c>
      <c r="C36" s="67">
        <v>273246</v>
      </c>
      <c r="D36" s="67" t="s">
        <v>49</v>
      </c>
      <c r="E36" s="67" t="s">
        <v>49</v>
      </c>
      <c r="F36" s="79"/>
      <c r="G36" s="67" t="s">
        <v>49</v>
      </c>
      <c r="H36" s="67" t="s">
        <v>49</v>
      </c>
      <c r="I36" s="67" t="s">
        <v>49</v>
      </c>
      <c r="J36" s="78">
        <v>86384.8</v>
      </c>
      <c r="K36" s="22">
        <v>275994.3</v>
      </c>
      <c r="L36" s="78">
        <f t="shared" ref="L36:L39" si="12">SUM(C36:K36)</f>
        <v>635625.1</v>
      </c>
      <c r="M36" s="67">
        <v>73850</v>
      </c>
      <c r="N36" s="80"/>
      <c r="O36" s="78">
        <v>20</v>
      </c>
      <c r="P36" s="72"/>
      <c r="Q36" s="81">
        <f>887.9+15883.6+9.4+48.3</f>
        <v>16829.2</v>
      </c>
      <c r="R36" s="22">
        <f>345279.5-1198.4-273246</f>
        <v>70835.099999999977</v>
      </c>
      <c r="S36" s="78">
        <f t="shared" ref="S36:S39" si="13">SUM(B36,L36:R36)</f>
        <v>952379.19999999984</v>
      </c>
    </row>
    <row r="37" spans="1:19" s="9" customFormat="1" x14ac:dyDescent="0.2">
      <c r="A37" s="84" t="s">
        <v>64</v>
      </c>
      <c r="B37" s="81">
        <f>164637+1198.4</f>
        <v>165835.4</v>
      </c>
      <c r="C37" s="82">
        <v>292750.7</v>
      </c>
      <c r="D37" s="67"/>
      <c r="E37" s="83"/>
      <c r="F37" s="79"/>
      <c r="G37" s="67"/>
      <c r="H37" s="80"/>
      <c r="I37" s="67"/>
      <c r="J37" s="78">
        <v>83598.2</v>
      </c>
      <c r="K37" s="22">
        <v>274074.7</v>
      </c>
      <c r="L37" s="78">
        <f t="shared" si="12"/>
        <v>650423.60000000009</v>
      </c>
      <c r="M37" s="67">
        <v>103000</v>
      </c>
      <c r="N37" s="80"/>
      <c r="O37" s="78">
        <v>20</v>
      </c>
      <c r="P37" s="72"/>
      <c r="Q37" s="81">
        <f>887.9+16543.8+9.4+73.2</f>
        <v>17514.300000000003</v>
      </c>
      <c r="R37" s="22">
        <f>72742.7-1198.4</f>
        <v>71544.3</v>
      </c>
      <c r="S37" s="78">
        <f t="shared" si="13"/>
        <v>1008337.6000000002</v>
      </c>
    </row>
    <row r="38" spans="1:19" s="9" customFormat="1" x14ac:dyDescent="0.2">
      <c r="A38" s="84" t="s">
        <v>65</v>
      </c>
      <c r="B38" s="81">
        <f>156195.1+1198.4</f>
        <v>157393.5</v>
      </c>
      <c r="C38" s="82">
        <v>18972.7</v>
      </c>
      <c r="D38" s="67"/>
      <c r="E38" s="83"/>
      <c r="F38" s="79"/>
      <c r="G38" s="67"/>
      <c r="H38" s="80"/>
      <c r="I38" s="67"/>
      <c r="J38" s="78">
        <v>79418.3</v>
      </c>
      <c r="K38" s="22">
        <v>546041</v>
      </c>
      <c r="L38" s="78">
        <f t="shared" si="12"/>
        <v>644432</v>
      </c>
      <c r="M38" s="67">
        <v>120705</v>
      </c>
      <c r="N38" s="80"/>
      <c r="O38" s="78">
        <v>20</v>
      </c>
      <c r="P38" s="72"/>
      <c r="Q38" s="81">
        <f>9.4+16282+102.9+887.8</f>
        <v>17282.099999999999</v>
      </c>
      <c r="R38" s="22">
        <f>72767.7-1198.4</f>
        <v>71569.3</v>
      </c>
      <c r="S38" s="78">
        <f t="shared" si="13"/>
        <v>1011401.9</v>
      </c>
    </row>
    <row r="39" spans="1:19" s="9" customFormat="1" x14ac:dyDescent="0.2">
      <c r="A39" s="84" t="s">
        <v>66</v>
      </c>
      <c r="B39" s="81">
        <f>165236.3+1198.4</f>
        <v>166434.69999999998</v>
      </c>
      <c r="C39" s="82">
        <v>134973.1</v>
      </c>
      <c r="D39" s="67"/>
      <c r="E39" s="83"/>
      <c r="F39" s="79"/>
      <c r="G39" s="67"/>
      <c r="H39" s="80"/>
      <c r="I39" s="67"/>
      <c r="J39" s="78">
        <v>73845.100000000006</v>
      </c>
      <c r="K39" s="22">
        <v>543481.59999999998</v>
      </c>
      <c r="L39" s="78">
        <f t="shared" si="12"/>
        <v>752299.8</v>
      </c>
      <c r="M39" s="67">
        <v>89000</v>
      </c>
      <c r="N39" s="80"/>
      <c r="O39" s="78">
        <v>20</v>
      </c>
      <c r="P39" s="72"/>
      <c r="Q39" s="81">
        <f>15721.6+9.4+887.8+83.3</f>
        <v>16702.099999999999</v>
      </c>
      <c r="R39" s="22">
        <f>84074.1-1198.4</f>
        <v>82875.700000000012</v>
      </c>
      <c r="S39" s="78">
        <f t="shared" si="13"/>
        <v>1107332.3</v>
      </c>
    </row>
    <row r="40" spans="1:19" s="9" customFormat="1" ht="12" customHeight="1" x14ac:dyDescent="0.2">
      <c r="A40" s="84"/>
      <c r="B40" s="81"/>
      <c r="C40" s="80"/>
      <c r="D40" s="67"/>
      <c r="E40" s="83"/>
      <c r="F40" s="79"/>
      <c r="G40" s="67"/>
      <c r="H40" s="80"/>
      <c r="I40" s="67"/>
      <c r="J40" s="78"/>
      <c r="K40" s="22"/>
      <c r="L40" s="78"/>
      <c r="M40" s="67"/>
      <c r="N40" s="80"/>
      <c r="O40" s="78"/>
      <c r="P40" s="72"/>
      <c r="Q40" s="81"/>
      <c r="R40" s="22"/>
      <c r="S40" s="78"/>
    </row>
    <row r="41" spans="1:19" s="9" customFormat="1" x14ac:dyDescent="0.2">
      <c r="A41" s="84" t="s">
        <v>68</v>
      </c>
      <c r="B41" s="81">
        <f>1198.4+193593.9</f>
        <v>194792.3</v>
      </c>
      <c r="C41" s="82">
        <v>130042.5</v>
      </c>
      <c r="D41" s="67"/>
      <c r="E41" s="83"/>
      <c r="F41" s="79"/>
      <c r="G41" s="67"/>
      <c r="H41" s="80"/>
      <c r="I41" s="67"/>
      <c r="J41" s="78">
        <v>69665.100000000006</v>
      </c>
      <c r="K41" s="22">
        <v>541562</v>
      </c>
      <c r="L41" s="78">
        <f t="shared" ref="L41:L44" si="14">SUM(C41:K41)</f>
        <v>741269.6</v>
      </c>
      <c r="M41" s="67">
        <v>88840</v>
      </c>
      <c r="N41" s="80"/>
      <c r="O41" s="78">
        <v>20</v>
      </c>
      <c r="P41" s="72"/>
      <c r="Q41" s="81">
        <f>887.8+9.4+20517.6+83.3</f>
        <v>21498.1</v>
      </c>
      <c r="R41" s="22">
        <f>93988.3-1198.4</f>
        <v>92789.900000000009</v>
      </c>
      <c r="S41" s="78">
        <f t="shared" ref="S41:S44" si="15">SUM(B41,L41:R41)</f>
        <v>1139209.8999999999</v>
      </c>
    </row>
    <row r="42" spans="1:19" s="9" customFormat="1" x14ac:dyDescent="0.2">
      <c r="A42" s="84" t="s">
        <v>69</v>
      </c>
      <c r="B42" s="81">
        <f>1198.4+199629.2</f>
        <v>200827.6</v>
      </c>
      <c r="C42" s="82">
        <v>141652.79999999999</v>
      </c>
      <c r="D42" s="67"/>
      <c r="E42" s="83"/>
      <c r="F42" s="79"/>
      <c r="G42" s="67"/>
      <c r="H42" s="80"/>
      <c r="I42" s="67"/>
      <c r="J42" s="78">
        <v>66878.5</v>
      </c>
      <c r="K42" s="22">
        <v>540282.30000000005</v>
      </c>
      <c r="L42" s="78">
        <f t="shared" si="14"/>
        <v>748813.60000000009</v>
      </c>
      <c r="M42" s="67">
        <v>70737.5</v>
      </c>
      <c r="N42" s="80"/>
      <c r="O42" s="78">
        <v>20</v>
      </c>
      <c r="P42" s="72"/>
      <c r="Q42" s="81">
        <f>887.8+9.4+22518.5+83.3</f>
        <v>23499</v>
      </c>
      <c r="R42" s="22">
        <f>99923.4-1198.4</f>
        <v>98725</v>
      </c>
      <c r="S42" s="78">
        <f t="shared" si="15"/>
        <v>1142622.7000000002</v>
      </c>
    </row>
    <row r="43" spans="1:19" s="9" customFormat="1" x14ac:dyDescent="0.2">
      <c r="A43" s="84" t="s">
        <v>70</v>
      </c>
      <c r="B43" s="81">
        <f>1198.4+197530</f>
        <v>198728.4</v>
      </c>
      <c r="C43" s="82">
        <v>112382.3</v>
      </c>
      <c r="D43" s="67"/>
      <c r="E43" s="83"/>
      <c r="F43" s="79"/>
      <c r="G43" s="67"/>
      <c r="H43" s="80"/>
      <c r="I43" s="67"/>
      <c r="J43" s="78">
        <v>62698.6</v>
      </c>
      <c r="K43" s="22">
        <v>538362.6</v>
      </c>
      <c r="L43" s="78">
        <f t="shared" si="14"/>
        <v>713443.5</v>
      </c>
      <c r="M43" s="67">
        <v>123150</v>
      </c>
      <c r="N43" s="80"/>
      <c r="O43" s="78">
        <v>20</v>
      </c>
      <c r="P43" s="72"/>
      <c r="Q43" s="81">
        <f>23325.1+83.3+887.8</f>
        <v>24296.199999999997</v>
      </c>
      <c r="R43" s="22">
        <f>134316.4-1198.4</f>
        <v>133118</v>
      </c>
      <c r="S43" s="78">
        <f t="shared" si="15"/>
        <v>1192756.1000000001</v>
      </c>
    </row>
    <row r="44" spans="1:19" s="9" customFormat="1" x14ac:dyDescent="0.2">
      <c r="A44" s="84" t="s">
        <v>71</v>
      </c>
      <c r="B44" s="81">
        <f>198191.4+1198.4</f>
        <v>199389.8</v>
      </c>
      <c r="C44" s="82">
        <v>194279.5</v>
      </c>
      <c r="D44" s="67"/>
      <c r="E44" s="83"/>
      <c r="F44" s="79"/>
      <c r="G44" s="67"/>
      <c r="H44" s="80"/>
      <c r="I44" s="67"/>
      <c r="J44" s="78">
        <v>57125.4</v>
      </c>
      <c r="K44" s="22">
        <v>535803.19999999995</v>
      </c>
      <c r="L44" s="78">
        <f t="shared" si="14"/>
        <v>787208.1</v>
      </c>
      <c r="M44" s="67">
        <v>159990</v>
      </c>
      <c r="N44" s="80"/>
      <c r="O44" s="78">
        <v>20</v>
      </c>
      <c r="P44" s="72"/>
      <c r="Q44" s="81">
        <f>887.8+22686.1+83.3</f>
        <v>23657.199999999997</v>
      </c>
      <c r="R44" s="22">
        <f>140231.7-1198.4</f>
        <v>139033.30000000002</v>
      </c>
      <c r="S44" s="78">
        <f t="shared" si="15"/>
        <v>1309298.3999999999</v>
      </c>
    </row>
    <row r="45" spans="1:19" s="9" customFormat="1" x14ac:dyDescent="0.2">
      <c r="A45" s="84"/>
      <c r="B45" s="81"/>
      <c r="C45" s="80"/>
      <c r="D45" s="67"/>
      <c r="E45" s="83"/>
      <c r="F45" s="79"/>
      <c r="G45" s="67"/>
      <c r="H45" s="80"/>
      <c r="I45" s="67"/>
      <c r="J45" s="78"/>
      <c r="K45" s="22"/>
      <c r="L45" s="78"/>
      <c r="M45" s="67"/>
      <c r="N45" s="80"/>
      <c r="O45" s="78"/>
      <c r="P45" s="72"/>
      <c r="Q45" s="81"/>
      <c r="R45" s="22"/>
      <c r="S45" s="78"/>
    </row>
    <row r="46" spans="1:19" s="9" customFormat="1" x14ac:dyDescent="0.2">
      <c r="A46" s="84" t="s">
        <v>72</v>
      </c>
      <c r="B46" s="81">
        <v>153639.19999999998</v>
      </c>
      <c r="C46" s="82">
        <v>151279.20000000001</v>
      </c>
      <c r="D46" s="67"/>
      <c r="E46" s="83"/>
      <c r="F46" s="79"/>
      <c r="G46" s="67"/>
      <c r="H46" s="80"/>
      <c r="I46" s="67"/>
      <c r="J46" s="78">
        <v>52945.5</v>
      </c>
      <c r="K46" s="22">
        <v>533314.30000000005</v>
      </c>
      <c r="L46" s="78">
        <v>737539</v>
      </c>
      <c r="M46" s="67">
        <v>185103.2</v>
      </c>
      <c r="N46" s="80"/>
      <c r="O46" s="78">
        <v>20</v>
      </c>
      <c r="P46" s="72"/>
      <c r="Q46" s="81">
        <v>24049.3</v>
      </c>
      <c r="R46" s="22">
        <v>134141.80000000002</v>
      </c>
      <c r="S46" s="78">
        <v>1234492.5</v>
      </c>
    </row>
    <row r="47" spans="1:19" s="9" customFormat="1" x14ac:dyDescent="0.2">
      <c r="A47" s="84" t="s">
        <v>64</v>
      </c>
      <c r="B47" s="81">
        <v>153564.80000000002</v>
      </c>
      <c r="C47" s="82">
        <v>201181.6</v>
      </c>
      <c r="D47" s="67"/>
      <c r="E47" s="83"/>
      <c r="F47" s="79"/>
      <c r="G47" s="67"/>
      <c r="H47" s="80"/>
      <c r="I47" s="67"/>
      <c r="J47" s="78">
        <v>50158.9</v>
      </c>
      <c r="K47" s="22">
        <v>529117.6</v>
      </c>
      <c r="L47" s="78">
        <v>780458.1</v>
      </c>
      <c r="M47" s="67">
        <v>283075.3</v>
      </c>
      <c r="N47" s="80"/>
      <c r="O47" s="78">
        <v>20</v>
      </c>
      <c r="P47" s="72"/>
      <c r="Q47" s="81">
        <v>24856.5</v>
      </c>
      <c r="R47" s="22">
        <v>148862.5</v>
      </c>
      <c r="S47" s="78">
        <v>1390837.2</v>
      </c>
    </row>
    <row r="48" spans="1:19" s="9" customFormat="1" x14ac:dyDescent="0.2">
      <c r="A48" s="84"/>
      <c r="B48" s="78"/>
      <c r="C48" s="79"/>
      <c r="D48" s="78"/>
      <c r="E48" s="78"/>
      <c r="F48" s="79"/>
      <c r="G48" s="78"/>
      <c r="H48" s="22"/>
      <c r="I48" s="78"/>
      <c r="J48" s="78"/>
      <c r="K48" s="22"/>
      <c r="L48" s="78"/>
      <c r="M48" s="78"/>
      <c r="N48" s="22"/>
      <c r="O48" s="78"/>
      <c r="P48" s="72"/>
      <c r="Q48" s="81"/>
      <c r="R48" s="22"/>
      <c r="S48" s="78"/>
    </row>
    <row r="49" spans="1:23" s="9" customFormat="1" ht="15.75" hidden="1" customHeight="1" x14ac:dyDescent="0.2">
      <c r="A49" s="84" t="s">
        <v>73</v>
      </c>
      <c r="B49" s="78">
        <v>228560.99999999997</v>
      </c>
      <c r="C49" s="78">
        <v>5542.2</v>
      </c>
      <c r="D49" s="78">
        <v>3044.4</v>
      </c>
      <c r="E49" s="78">
        <v>14722.5</v>
      </c>
      <c r="F49" s="79">
        <v>0</v>
      </c>
      <c r="G49" s="78">
        <v>75320.399999999994</v>
      </c>
      <c r="H49" s="67" t="s">
        <v>49</v>
      </c>
      <c r="I49" s="78">
        <v>59510.2</v>
      </c>
      <c r="J49" s="67" t="s">
        <v>49</v>
      </c>
      <c r="K49" s="67" t="s">
        <v>49</v>
      </c>
      <c r="L49" s="78">
        <f t="shared" ref="L49:L54" si="16">SUM(C49:I49)</f>
        <v>158139.70000000001</v>
      </c>
      <c r="M49" s="78">
        <v>1804</v>
      </c>
      <c r="N49" s="78" t="s">
        <v>49</v>
      </c>
      <c r="O49" s="78">
        <v>25</v>
      </c>
      <c r="P49" s="72"/>
      <c r="Q49" s="81">
        <f>380.9+3815.5+1023.7+15.7</f>
        <v>5235.7999999999993</v>
      </c>
      <c r="R49" s="22">
        <v>4379.6000000000349</v>
      </c>
      <c r="S49" s="78">
        <f t="shared" ref="S49:S60" si="17">SUM(B49,L49:R49)</f>
        <v>398145.1</v>
      </c>
      <c r="W49" s="9">
        <f>+U49-V49</f>
        <v>0</v>
      </c>
    </row>
    <row r="50" spans="1:23" s="9" customFormat="1" ht="15.75" hidden="1" customHeight="1" x14ac:dyDescent="0.2">
      <c r="A50" s="84" t="s">
        <v>74</v>
      </c>
      <c r="B50" s="78">
        <v>221904.40000000002</v>
      </c>
      <c r="C50" s="78">
        <v>11906.1</v>
      </c>
      <c r="D50" s="78">
        <v>3044.4</v>
      </c>
      <c r="E50" s="78">
        <v>14523.3</v>
      </c>
      <c r="F50" s="79">
        <v>0</v>
      </c>
      <c r="G50" s="78">
        <v>74951.3</v>
      </c>
      <c r="H50" s="67" t="s">
        <v>49</v>
      </c>
      <c r="I50" s="78">
        <v>59376.9</v>
      </c>
      <c r="J50" s="67" t="s">
        <v>49</v>
      </c>
      <c r="K50" s="67" t="s">
        <v>49</v>
      </c>
      <c r="L50" s="78">
        <f t="shared" si="16"/>
        <v>163802</v>
      </c>
      <c r="M50" s="78">
        <v>1000</v>
      </c>
      <c r="N50" s="78" t="s">
        <v>49</v>
      </c>
      <c r="O50" s="78">
        <v>25</v>
      </c>
      <c r="P50" s="72"/>
      <c r="Q50" s="81">
        <f>380.9+3781.3+1023.7+63.1</f>
        <v>5249</v>
      </c>
      <c r="R50" s="22">
        <v>3000.9999999999764</v>
      </c>
      <c r="S50" s="78">
        <f t="shared" si="17"/>
        <v>394981.4</v>
      </c>
    </row>
    <row r="51" spans="1:23" s="9" customFormat="1" ht="15.75" hidden="1" customHeight="1" x14ac:dyDescent="0.2">
      <c r="A51" s="84" t="s">
        <v>75</v>
      </c>
      <c r="B51" s="78">
        <v>228695</v>
      </c>
      <c r="C51" s="78">
        <v>23202.6</v>
      </c>
      <c r="D51" s="78">
        <v>3044.4</v>
      </c>
      <c r="E51" s="78">
        <v>13544.2</v>
      </c>
      <c r="F51" s="79">
        <v>0</v>
      </c>
      <c r="G51" s="78">
        <v>74582.100000000006</v>
      </c>
      <c r="H51" s="67" t="s">
        <v>49</v>
      </c>
      <c r="I51" s="78">
        <v>59243.6</v>
      </c>
      <c r="J51" s="67" t="s">
        <v>49</v>
      </c>
      <c r="K51" s="67" t="s">
        <v>49</v>
      </c>
      <c r="L51" s="78">
        <f t="shared" si="16"/>
        <v>173616.9</v>
      </c>
      <c r="M51" s="78">
        <v>1000</v>
      </c>
      <c r="N51" s="78" t="s">
        <v>49</v>
      </c>
      <c r="O51" s="78">
        <v>25</v>
      </c>
      <c r="P51" s="72"/>
      <c r="Q51" s="81">
        <f>380.9+3922.4+9.4+1023.7+46.9</f>
        <v>5383.2999999999993</v>
      </c>
      <c r="R51" s="22">
        <v>3023.2000000000062</v>
      </c>
      <c r="S51" s="78">
        <f t="shared" si="17"/>
        <v>411743.4</v>
      </c>
    </row>
    <row r="52" spans="1:23" s="9" customFormat="1" ht="15.75" hidden="1" customHeight="1" x14ac:dyDescent="0.2">
      <c r="A52" s="84" t="s">
        <v>76</v>
      </c>
      <c r="B52" s="78">
        <v>229113.49999999997</v>
      </c>
      <c r="C52" s="78">
        <v>30407.599999999999</v>
      </c>
      <c r="D52" s="78">
        <v>3044.4</v>
      </c>
      <c r="E52" s="78">
        <v>13345</v>
      </c>
      <c r="F52" s="79">
        <v>0</v>
      </c>
      <c r="G52" s="78">
        <v>74213.100000000006</v>
      </c>
      <c r="H52" s="67" t="s">
        <v>49</v>
      </c>
      <c r="I52" s="78">
        <v>58662</v>
      </c>
      <c r="J52" s="67" t="s">
        <v>49</v>
      </c>
      <c r="K52" s="67" t="s">
        <v>49</v>
      </c>
      <c r="L52" s="78">
        <f t="shared" si="16"/>
        <v>179672.1</v>
      </c>
      <c r="M52" s="78">
        <v>1000</v>
      </c>
      <c r="N52" s="78" t="s">
        <v>49</v>
      </c>
      <c r="O52" s="78">
        <v>25</v>
      </c>
      <c r="P52" s="72"/>
      <c r="Q52" s="81">
        <f>9.4+3944.1+1023.7+380.9+46.9</f>
        <v>5404.9999999999991</v>
      </c>
      <c r="R52" s="22">
        <v>3019.8000000000347</v>
      </c>
      <c r="S52" s="78">
        <f t="shared" si="17"/>
        <v>418235.4</v>
      </c>
    </row>
    <row r="53" spans="1:23" s="9" customFormat="1" ht="15.75" hidden="1" customHeight="1" x14ac:dyDescent="0.2">
      <c r="A53" s="84" t="s">
        <v>77</v>
      </c>
      <c r="B53" s="78">
        <v>225037.40000000002</v>
      </c>
      <c r="C53" s="78">
        <v>34467.599999999999</v>
      </c>
      <c r="D53" s="78">
        <v>3044.4</v>
      </c>
      <c r="E53" s="78">
        <v>13145.8</v>
      </c>
      <c r="F53" s="79">
        <v>0</v>
      </c>
      <c r="G53" s="78">
        <v>73843.899999999994</v>
      </c>
      <c r="H53" s="67" t="s">
        <v>49</v>
      </c>
      <c r="I53" s="78">
        <v>58080.6</v>
      </c>
      <c r="J53" s="67" t="s">
        <v>49</v>
      </c>
      <c r="K53" s="67" t="s">
        <v>49</v>
      </c>
      <c r="L53" s="78">
        <f t="shared" si="16"/>
        <v>182582.3</v>
      </c>
      <c r="M53" s="67" t="s">
        <v>49</v>
      </c>
      <c r="N53" s="78" t="s">
        <v>49</v>
      </c>
      <c r="O53" s="78">
        <v>25</v>
      </c>
      <c r="P53" s="72"/>
      <c r="Q53" s="81">
        <f>9.4+4074.7+1023.7+380.9+41.5</f>
        <v>5530.2</v>
      </c>
      <c r="R53" s="22">
        <v>3082.1999999999771</v>
      </c>
      <c r="S53" s="78">
        <f t="shared" si="17"/>
        <v>416257.1</v>
      </c>
    </row>
    <row r="54" spans="1:23" s="9" customFormat="1" ht="15.75" hidden="1" customHeight="1" x14ac:dyDescent="0.2">
      <c r="A54" s="84" t="s">
        <v>64</v>
      </c>
      <c r="B54" s="78">
        <v>223062</v>
      </c>
      <c r="C54" s="78">
        <v>38928.800000000003</v>
      </c>
      <c r="D54" s="78">
        <v>3044.4</v>
      </c>
      <c r="E54" s="78">
        <v>12166.7</v>
      </c>
      <c r="F54" s="79">
        <v>0</v>
      </c>
      <c r="G54" s="78">
        <v>73474.8</v>
      </c>
      <c r="H54" s="67" t="s">
        <v>49</v>
      </c>
      <c r="I54" s="78">
        <v>57499.1</v>
      </c>
      <c r="J54" s="67" t="s">
        <v>49</v>
      </c>
      <c r="K54" s="67" t="s">
        <v>49</v>
      </c>
      <c r="L54" s="78">
        <f t="shared" si="16"/>
        <v>185113.80000000002</v>
      </c>
      <c r="M54" s="78">
        <v>1474.9</v>
      </c>
      <c r="N54" s="78" t="s">
        <v>49</v>
      </c>
      <c r="O54" s="78">
        <v>25</v>
      </c>
      <c r="P54" s="72"/>
      <c r="Q54" s="81">
        <v>5569.4</v>
      </c>
      <c r="R54" s="22">
        <v>4503.5000000000055</v>
      </c>
      <c r="S54" s="78">
        <f t="shared" si="17"/>
        <v>419748.60000000009</v>
      </c>
    </row>
    <row r="55" spans="1:23" s="9" customFormat="1" ht="15.75" hidden="1" customHeight="1" x14ac:dyDescent="0.2">
      <c r="A55" s="84" t="s">
        <v>78</v>
      </c>
      <c r="B55" s="78">
        <v>247877.4</v>
      </c>
      <c r="C55" s="78">
        <v>32957.9</v>
      </c>
      <c r="D55" s="78">
        <v>2975.6</v>
      </c>
      <c r="E55" s="78">
        <v>11967.5</v>
      </c>
      <c r="F55" s="79">
        <v>0</v>
      </c>
      <c r="G55" s="78">
        <v>73105.7</v>
      </c>
      <c r="H55" s="67" t="s">
        <v>49</v>
      </c>
      <c r="I55" s="78">
        <v>56917.599999999999</v>
      </c>
      <c r="J55" s="67" t="s">
        <v>49</v>
      </c>
      <c r="K55" s="67" t="s">
        <v>49</v>
      </c>
      <c r="L55" s="78">
        <f t="shared" ref="L55:L60" si="18">SUM(C55:I55)</f>
        <v>177924.3</v>
      </c>
      <c r="M55" s="78">
        <v>3006.3</v>
      </c>
      <c r="N55" s="78" t="s">
        <v>49</v>
      </c>
      <c r="O55" s="78">
        <v>25</v>
      </c>
      <c r="P55" s="72"/>
      <c r="Q55" s="81">
        <f>9.4+4077.4+1023.7+380.9+37.1</f>
        <v>5528.5</v>
      </c>
      <c r="R55" s="22">
        <v>6056.8000000000065</v>
      </c>
      <c r="S55" s="78">
        <f t="shared" si="17"/>
        <v>440418.29999999993</v>
      </c>
    </row>
    <row r="56" spans="1:23" s="9" customFormat="1" ht="15.75" hidden="1" customHeight="1" x14ac:dyDescent="0.2">
      <c r="A56" s="84" t="s">
        <v>79</v>
      </c>
      <c r="B56" s="78">
        <v>250006.90000000002</v>
      </c>
      <c r="C56" s="78">
        <v>37677.9</v>
      </c>
      <c r="D56" s="78">
        <v>2975.6</v>
      </c>
      <c r="E56" s="78">
        <v>11768.3</v>
      </c>
      <c r="F56" s="79">
        <v>0</v>
      </c>
      <c r="G56" s="78">
        <v>72736.5</v>
      </c>
      <c r="H56" s="67" t="s">
        <v>49</v>
      </c>
      <c r="I56" s="78">
        <v>56336.2</v>
      </c>
      <c r="J56" s="67" t="s">
        <v>49</v>
      </c>
      <c r="K56" s="67" t="s">
        <v>49</v>
      </c>
      <c r="L56" s="78">
        <f t="shared" si="18"/>
        <v>181494.5</v>
      </c>
      <c r="M56" s="78">
        <v>6000</v>
      </c>
      <c r="N56" s="78" t="s">
        <v>49</v>
      </c>
      <c r="O56" s="78">
        <v>25</v>
      </c>
      <c r="P56" s="72"/>
      <c r="Q56" s="81">
        <f>9.4+4035.9+1023.7+380.9+37.1</f>
        <v>5487</v>
      </c>
      <c r="R56" s="22">
        <v>4581.3999999999769</v>
      </c>
      <c r="S56" s="78">
        <f t="shared" si="17"/>
        <v>447594.8</v>
      </c>
    </row>
    <row r="57" spans="1:23" s="9" customFormat="1" ht="15.75" hidden="1" customHeight="1" x14ac:dyDescent="0.2">
      <c r="A57" s="84" t="s">
        <v>65</v>
      </c>
      <c r="B57" s="78">
        <v>248003.19999999998</v>
      </c>
      <c r="C57" s="78">
        <v>23869.8</v>
      </c>
      <c r="D57" s="78">
        <v>2975.6</v>
      </c>
      <c r="E57" s="78">
        <v>11768.3</v>
      </c>
      <c r="F57" s="79">
        <v>0</v>
      </c>
      <c r="G57" s="78">
        <v>72736.5</v>
      </c>
      <c r="H57" s="80" t="s">
        <v>49</v>
      </c>
      <c r="I57" s="78">
        <v>56336.2</v>
      </c>
      <c r="J57" s="67" t="s">
        <v>49</v>
      </c>
      <c r="K57" s="67" t="s">
        <v>49</v>
      </c>
      <c r="L57" s="78">
        <f t="shared" si="18"/>
        <v>167686.39999999999</v>
      </c>
      <c r="M57" s="78">
        <v>10622.1</v>
      </c>
      <c r="N57" s="67" t="s">
        <v>49</v>
      </c>
      <c r="O57" s="78">
        <v>25</v>
      </c>
      <c r="P57" s="72"/>
      <c r="Q57" s="81">
        <f>9.4+3962.5+1023.7+380.9+20.6</f>
        <v>5397.1</v>
      </c>
      <c r="R57" s="22">
        <v>4471.900000000006</v>
      </c>
      <c r="S57" s="78">
        <f t="shared" si="17"/>
        <v>436205.69999999995</v>
      </c>
    </row>
    <row r="58" spans="1:23" s="9" customFormat="1" ht="15.75" hidden="1" customHeight="1" x14ac:dyDescent="0.2">
      <c r="A58" s="84" t="s">
        <v>80</v>
      </c>
      <c r="B58" s="78">
        <v>262774.2</v>
      </c>
      <c r="C58" s="78">
        <v>20909.3</v>
      </c>
      <c r="D58" s="78">
        <v>2975.6</v>
      </c>
      <c r="E58" s="78">
        <v>10590</v>
      </c>
      <c r="F58" s="79">
        <v>0</v>
      </c>
      <c r="G58" s="78">
        <v>71998.3</v>
      </c>
      <c r="H58" s="80" t="s">
        <v>49</v>
      </c>
      <c r="I58" s="78">
        <v>55173.2</v>
      </c>
      <c r="J58" s="67" t="s">
        <v>49</v>
      </c>
      <c r="K58" s="67" t="s">
        <v>49</v>
      </c>
      <c r="L58" s="78">
        <f t="shared" si="18"/>
        <v>161646.39999999999</v>
      </c>
      <c r="M58" s="78">
        <v>5355.8</v>
      </c>
      <c r="N58" s="67" t="s">
        <v>49</v>
      </c>
      <c r="O58" s="78">
        <v>25</v>
      </c>
      <c r="P58" s="72"/>
      <c r="Q58" s="81">
        <f>9.4+4014.5+1023.7+380.9+15.1</f>
        <v>5443.6</v>
      </c>
      <c r="R58" s="22">
        <v>4968.5999999999767</v>
      </c>
      <c r="S58" s="78">
        <f t="shared" si="17"/>
        <v>440213.59999999992</v>
      </c>
    </row>
    <row r="59" spans="1:23" s="9" customFormat="1" ht="15.75" hidden="1" customHeight="1" x14ac:dyDescent="0.2">
      <c r="A59" s="84" t="s">
        <v>81</v>
      </c>
      <c r="B59" s="78">
        <v>277128.90000000002</v>
      </c>
      <c r="C59" s="78">
        <v>7252.5</v>
      </c>
      <c r="D59" s="78">
        <v>2975.6</v>
      </c>
      <c r="E59" s="78">
        <v>10390.799999999999</v>
      </c>
      <c r="F59" s="79">
        <v>0</v>
      </c>
      <c r="G59" s="78">
        <v>71629.2</v>
      </c>
      <c r="H59" s="80" t="s">
        <v>49</v>
      </c>
      <c r="I59" s="78">
        <v>54591.8</v>
      </c>
      <c r="J59" s="67" t="s">
        <v>49</v>
      </c>
      <c r="K59" s="67" t="s">
        <v>49</v>
      </c>
      <c r="L59" s="78">
        <f t="shared" si="18"/>
        <v>146839.90000000002</v>
      </c>
      <c r="M59" s="78">
        <v>5508.8</v>
      </c>
      <c r="N59" s="67" t="s">
        <v>49</v>
      </c>
      <c r="O59" s="78">
        <v>25</v>
      </c>
      <c r="P59" s="72"/>
      <c r="Q59" s="81">
        <f>9.4+4007+1023.7+380.9+10.3</f>
        <v>5431.3</v>
      </c>
      <c r="R59" s="22">
        <v>4572.2999999999765</v>
      </c>
      <c r="S59" s="78">
        <f t="shared" si="17"/>
        <v>439506.2</v>
      </c>
    </row>
    <row r="60" spans="1:23" s="9" customFormat="1" ht="15.75" hidden="1" customHeight="1" x14ac:dyDescent="0.2">
      <c r="A60" s="84" t="s">
        <v>66</v>
      </c>
      <c r="B60" s="78">
        <v>334489.89999999997</v>
      </c>
      <c r="C60" s="78">
        <v>32841.300000000003</v>
      </c>
      <c r="D60" s="78">
        <v>2975.6</v>
      </c>
      <c r="E60" s="78">
        <v>9561.7000000000007</v>
      </c>
      <c r="F60" s="79">
        <v>0</v>
      </c>
      <c r="G60" s="78">
        <v>71410</v>
      </c>
      <c r="H60" s="80" t="s">
        <v>49</v>
      </c>
      <c r="I60" s="78">
        <v>54010.3</v>
      </c>
      <c r="J60" s="67" t="s">
        <v>49</v>
      </c>
      <c r="K60" s="67" t="s">
        <v>49</v>
      </c>
      <c r="L60" s="78">
        <f t="shared" si="18"/>
        <v>170798.90000000002</v>
      </c>
      <c r="M60" s="67" t="s">
        <v>49</v>
      </c>
      <c r="N60" s="67" t="s">
        <v>49</v>
      </c>
      <c r="O60" s="78">
        <v>25</v>
      </c>
      <c r="P60" s="72"/>
      <c r="Q60" s="81">
        <f>9.4+3891.8+1023.7+380.9+11.2</f>
        <v>5317</v>
      </c>
      <c r="R60" s="22">
        <v>2979.6000000000931</v>
      </c>
      <c r="S60" s="78">
        <f t="shared" si="17"/>
        <v>513610.40000000008</v>
      </c>
    </row>
    <row r="61" spans="1:23" s="9" customFormat="1" ht="15.75" hidden="1" customHeight="1" x14ac:dyDescent="0.2">
      <c r="A61" s="85"/>
      <c r="B61" s="78"/>
      <c r="C61" s="78"/>
      <c r="D61" s="78"/>
      <c r="E61" s="78"/>
      <c r="F61" s="79"/>
      <c r="G61" s="78"/>
      <c r="H61" s="80"/>
      <c r="I61" s="78"/>
      <c r="J61" s="67"/>
      <c r="K61" s="80"/>
      <c r="L61" s="78"/>
      <c r="M61" s="67"/>
      <c r="N61" s="67"/>
      <c r="O61" s="78"/>
      <c r="P61" s="72"/>
      <c r="Q61" s="81"/>
      <c r="R61" s="22"/>
      <c r="S61" s="78"/>
    </row>
    <row r="62" spans="1:23" s="9" customFormat="1" ht="15.75" hidden="1" customHeight="1" x14ac:dyDescent="0.2">
      <c r="A62" s="84" t="s">
        <v>82</v>
      </c>
      <c r="B62" s="78">
        <v>312053.3</v>
      </c>
      <c r="C62" s="78">
        <v>11563.1</v>
      </c>
      <c r="D62" s="78">
        <v>2885.4</v>
      </c>
      <c r="E62" s="78">
        <v>9362.5</v>
      </c>
      <c r="F62" s="79">
        <v>0</v>
      </c>
      <c r="G62" s="78">
        <v>70950.7</v>
      </c>
      <c r="H62" s="80" t="s">
        <v>49</v>
      </c>
      <c r="I62" s="78">
        <v>53428.800000000003</v>
      </c>
      <c r="J62" s="67" t="s">
        <v>49</v>
      </c>
      <c r="K62" s="80" t="s">
        <v>49</v>
      </c>
      <c r="L62" s="78">
        <f t="shared" ref="L62:L67" si="19">SUM(C62:I62)</f>
        <v>148190.5</v>
      </c>
      <c r="M62" s="67" t="s">
        <v>49</v>
      </c>
      <c r="N62" s="67" t="s">
        <v>49</v>
      </c>
      <c r="O62" s="78">
        <v>25</v>
      </c>
      <c r="P62" s="72"/>
      <c r="Q62" s="81">
        <f>9.4+4665.8+1013.8+380.9+11.2</f>
        <v>6081.0999999999995</v>
      </c>
      <c r="R62" s="22">
        <v>2988.2000000000353</v>
      </c>
      <c r="S62" s="78">
        <f t="shared" ref="S62:S73" si="20">SUM(B62,L62:R62)</f>
        <v>469338.1</v>
      </c>
    </row>
    <row r="63" spans="1:23" s="9" customFormat="1" ht="15.75" hidden="1" customHeight="1" x14ac:dyDescent="0.2">
      <c r="A63" s="84" t="s">
        <v>74</v>
      </c>
      <c r="B63" s="78">
        <v>303604.7</v>
      </c>
      <c r="C63" s="78">
        <v>18760.599999999999</v>
      </c>
      <c r="D63" s="78">
        <v>2885.4</v>
      </c>
      <c r="E63" s="78">
        <v>9163.2999999999993</v>
      </c>
      <c r="F63" s="79">
        <v>0</v>
      </c>
      <c r="G63" s="78">
        <v>70491.3</v>
      </c>
      <c r="H63" s="80" t="s">
        <v>49</v>
      </c>
      <c r="I63" s="78">
        <v>52847.3</v>
      </c>
      <c r="J63" s="67" t="s">
        <v>49</v>
      </c>
      <c r="K63" s="80" t="s">
        <v>49</v>
      </c>
      <c r="L63" s="78">
        <f t="shared" si="19"/>
        <v>154147.90000000002</v>
      </c>
      <c r="M63" s="67" t="s">
        <v>49</v>
      </c>
      <c r="N63" s="67" t="s">
        <v>49</v>
      </c>
      <c r="O63" s="78">
        <v>25</v>
      </c>
      <c r="P63" s="72"/>
      <c r="Q63" s="81">
        <f>9.4+4579.1+1013.8+380.9+15.6</f>
        <v>5998.8</v>
      </c>
      <c r="R63" s="22">
        <v>3557.0999999999767</v>
      </c>
      <c r="S63" s="78">
        <f t="shared" si="20"/>
        <v>467333.5</v>
      </c>
    </row>
    <row r="64" spans="1:23" s="9" customFormat="1" ht="15.75" hidden="1" customHeight="1" x14ac:dyDescent="0.2">
      <c r="A64" s="84" t="s">
        <v>75</v>
      </c>
      <c r="B64" s="78">
        <v>286649.10000000003</v>
      </c>
      <c r="C64" s="78">
        <v>22137.8</v>
      </c>
      <c r="D64" s="78">
        <v>2885.4</v>
      </c>
      <c r="E64" s="78">
        <v>9163.2999999999993</v>
      </c>
      <c r="F64" s="79">
        <v>0</v>
      </c>
      <c r="G64" s="78">
        <v>70491.3</v>
      </c>
      <c r="H64" s="80" t="s">
        <v>49</v>
      </c>
      <c r="I64" s="78">
        <v>52847.3</v>
      </c>
      <c r="J64" s="67" t="s">
        <v>49</v>
      </c>
      <c r="K64" s="80" t="s">
        <v>49</v>
      </c>
      <c r="L64" s="78">
        <f t="shared" si="19"/>
        <v>157525.1</v>
      </c>
      <c r="M64" s="67" t="s">
        <v>49</v>
      </c>
      <c r="N64" s="67" t="s">
        <v>49</v>
      </c>
      <c r="O64" s="78">
        <v>25</v>
      </c>
      <c r="P64" s="72"/>
      <c r="Q64" s="81">
        <f>9.4+4544.1+1013.8+380.9+43.2</f>
        <v>5991.4</v>
      </c>
      <c r="R64" s="22">
        <v>7086.1999999999771</v>
      </c>
      <c r="S64" s="78">
        <f t="shared" si="20"/>
        <v>457276.80000000005</v>
      </c>
    </row>
    <row r="65" spans="1:19" s="9" customFormat="1" ht="15.75" hidden="1" customHeight="1" x14ac:dyDescent="0.2">
      <c r="A65" s="84" t="s">
        <v>76</v>
      </c>
      <c r="B65" s="78">
        <v>271927.8</v>
      </c>
      <c r="C65" s="78">
        <v>31416.400000000001</v>
      </c>
      <c r="D65" s="78">
        <v>2885.4</v>
      </c>
      <c r="E65" s="78">
        <v>8135</v>
      </c>
      <c r="F65" s="79">
        <v>0</v>
      </c>
      <c r="G65" s="78">
        <v>69572.5</v>
      </c>
      <c r="H65" s="80" t="s">
        <v>49</v>
      </c>
      <c r="I65" s="78">
        <v>51684.4</v>
      </c>
      <c r="J65" s="67" t="s">
        <v>49</v>
      </c>
      <c r="K65" s="80" t="s">
        <v>49</v>
      </c>
      <c r="L65" s="78">
        <f t="shared" si="19"/>
        <v>163693.70000000001</v>
      </c>
      <c r="M65" s="67" t="s">
        <v>49</v>
      </c>
      <c r="N65" s="67" t="s">
        <v>49</v>
      </c>
      <c r="O65" s="78">
        <v>25</v>
      </c>
      <c r="P65" s="72"/>
      <c r="Q65" s="81">
        <f>9.4+4550.5+1013.8+380.9+43.2</f>
        <v>5997.7999999999993</v>
      </c>
      <c r="R65" s="22">
        <v>3819.4000000000351</v>
      </c>
      <c r="S65" s="78">
        <f t="shared" si="20"/>
        <v>445463.7</v>
      </c>
    </row>
    <row r="66" spans="1:19" s="9" customFormat="1" ht="15.75" hidden="1" customHeight="1" x14ac:dyDescent="0.2">
      <c r="A66" s="84" t="s">
        <v>77</v>
      </c>
      <c r="B66" s="78">
        <v>281111.7</v>
      </c>
      <c r="C66" s="67" t="s">
        <v>49</v>
      </c>
      <c r="D66" s="78">
        <v>2885.4</v>
      </c>
      <c r="E66" s="78">
        <v>7935.8</v>
      </c>
      <c r="F66" s="79">
        <v>0</v>
      </c>
      <c r="G66" s="78">
        <v>69113.100000000006</v>
      </c>
      <c r="H66" s="22">
        <v>32841.199999999997</v>
      </c>
      <c r="I66" s="78">
        <v>51102.9</v>
      </c>
      <c r="J66" s="67" t="s">
        <v>49</v>
      </c>
      <c r="K66" s="80" t="s">
        <v>49</v>
      </c>
      <c r="L66" s="78">
        <f t="shared" si="19"/>
        <v>163878.39999999999</v>
      </c>
      <c r="M66" s="67" t="s">
        <v>49</v>
      </c>
      <c r="N66" s="67" t="s">
        <v>49</v>
      </c>
      <c r="O66" s="78">
        <v>25</v>
      </c>
      <c r="P66" s="72"/>
      <c r="Q66" s="81">
        <f>9.4+4623.6+1013.8+380.9+53.6</f>
        <v>6081.3</v>
      </c>
      <c r="R66" s="22">
        <v>3895.1999999999771</v>
      </c>
      <c r="S66" s="78">
        <f t="shared" si="20"/>
        <v>454991.59999999992</v>
      </c>
    </row>
    <row r="67" spans="1:19" s="9" customFormat="1" ht="15.75" hidden="1" customHeight="1" x14ac:dyDescent="0.2">
      <c r="A67" s="84" t="s">
        <v>64</v>
      </c>
      <c r="B67" s="78">
        <v>275910.89999999997</v>
      </c>
      <c r="C67" s="78">
        <v>23978.1</v>
      </c>
      <c r="D67" s="78">
        <v>2885.4</v>
      </c>
      <c r="E67" s="78">
        <v>7106.7</v>
      </c>
      <c r="F67" s="79">
        <v>0</v>
      </c>
      <c r="G67" s="78">
        <v>68653.7</v>
      </c>
      <c r="H67" s="22">
        <v>32841.199999999997</v>
      </c>
      <c r="I67" s="78">
        <v>50521.4</v>
      </c>
      <c r="J67" s="67" t="s">
        <v>49</v>
      </c>
      <c r="K67" s="80" t="s">
        <v>49</v>
      </c>
      <c r="L67" s="78">
        <f t="shared" si="19"/>
        <v>185986.49999999997</v>
      </c>
      <c r="M67" s="67" t="s">
        <v>49</v>
      </c>
      <c r="N67" s="67" t="s">
        <v>49</v>
      </c>
      <c r="O67" s="78">
        <v>25</v>
      </c>
      <c r="P67" s="72"/>
      <c r="Q67" s="81">
        <f>9.4+4649.1+1013.8+380.9+53.6</f>
        <v>6106.8</v>
      </c>
      <c r="R67" s="22">
        <v>3794.2000000000353</v>
      </c>
      <c r="S67" s="78">
        <f t="shared" si="20"/>
        <v>471823.39999999991</v>
      </c>
    </row>
    <row r="68" spans="1:19" s="9" customFormat="1" ht="15.75" hidden="1" customHeight="1" x14ac:dyDescent="0.2">
      <c r="A68" s="84" t="s">
        <v>78</v>
      </c>
      <c r="B68" s="78">
        <v>272188.10000000003</v>
      </c>
      <c r="C68" s="78">
        <v>19199.599999999999</v>
      </c>
      <c r="D68" s="78">
        <v>2816.6</v>
      </c>
      <c r="E68" s="78">
        <v>6907.5</v>
      </c>
      <c r="F68" s="79">
        <v>0</v>
      </c>
      <c r="G68" s="78">
        <v>68194.399999999994</v>
      </c>
      <c r="H68" s="22">
        <v>32841.199999999997</v>
      </c>
      <c r="I68" s="78">
        <v>49939.9</v>
      </c>
      <c r="J68" s="67" t="s">
        <v>49</v>
      </c>
      <c r="K68" s="80" t="s">
        <v>49</v>
      </c>
      <c r="L68" s="78">
        <f t="shared" ref="L68:L73" si="21">SUM(C68:I68)</f>
        <v>179899.19999999998</v>
      </c>
      <c r="M68" s="67" t="s">
        <v>49</v>
      </c>
      <c r="N68" s="67" t="s">
        <v>49</v>
      </c>
      <c r="O68" s="78">
        <v>25</v>
      </c>
      <c r="P68" s="72"/>
      <c r="Q68" s="81">
        <f>9.4+4661.3+1013.8+380.9+31.3</f>
        <v>6096.7</v>
      </c>
      <c r="R68" s="22">
        <v>3821.7999999999765</v>
      </c>
      <c r="S68" s="78">
        <f t="shared" si="20"/>
        <v>462030.80000000005</v>
      </c>
    </row>
    <row r="69" spans="1:19" s="9" customFormat="1" ht="15.75" hidden="1" customHeight="1" x14ac:dyDescent="0.2">
      <c r="A69" s="84" t="s">
        <v>79</v>
      </c>
      <c r="B69" s="78">
        <v>366666.19999999995</v>
      </c>
      <c r="C69" s="78">
        <v>29723.3</v>
      </c>
      <c r="D69" s="78">
        <v>2816.5</v>
      </c>
      <c r="E69" s="78">
        <v>6708.3</v>
      </c>
      <c r="F69" s="79">
        <v>0</v>
      </c>
      <c r="G69" s="78">
        <v>67735</v>
      </c>
      <c r="H69" s="22">
        <f>32841.2+882.7</f>
        <v>33723.899999999994</v>
      </c>
      <c r="I69" s="78">
        <v>49358.5</v>
      </c>
      <c r="J69" s="67" t="s">
        <v>49</v>
      </c>
      <c r="K69" s="80" t="s">
        <v>49</v>
      </c>
      <c r="L69" s="78">
        <f t="shared" si="21"/>
        <v>190065.5</v>
      </c>
      <c r="M69" s="67" t="s">
        <v>49</v>
      </c>
      <c r="N69" s="67" t="s">
        <v>49</v>
      </c>
      <c r="O69" s="78">
        <v>25</v>
      </c>
      <c r="P69" s="72"/>
      <c r="Q69" s="81">
        <f>9.4+4644.5+1013.8+380.9+27.3</f>
        <v>6075.9</v>
      </c>
      <c r="R69" s="22">
        <v>3906.4000000000351</v>
      </c>
      <c r="S69" s="78">
        <f t="shared" si="20"/>
        <v>566739</v>
      </c>
    </row>
    <row r="70" spans="1:19" s="9" customFormat="1" hidden="1" x14ac:dyDescent="0.2">
      <c r="A70" s="84" t="s">
        <v>65</v>
      </c>
      <c r="B70" s="78">
        <v>393262.6</v>
      </c>
      <c r="C70" s="78">
        <v>13325.8</v>
      </c>
      <c r="D70" s="78">
        <v>2816.5</v>
      </c>
      <c r="E70" s="78">
        <v>5879.2</v>
      </c>
      <c r="F70" s="79">
        <v>0</v>
      </c>
      <c r="G70" s="78">
        <v>67275.600000000006</v>
      </c>
      <c r="H70" s="22">
        <f>32841.2+1125.6</f>
        <v>33966.799999999996</v>
      </c>
      <c r="I70" s="78">
        <v>48777</v>
      </c>
      <c r="J70" s="67" t="s">
        <v>49</v>
      </c>
      <c r="K70" s="80" t="s">
        <v>49</v>
      </c>
      <c r="L70" s="78">
        <f t="shared" si="21"/>
        <v>172040.9</v>
      </c>
      <c r="M70" s="67" t="s">
        <v>49</v>
      </c>
      <c r="N70" s="67" t="s">
        <v>49</v>
      </c>
      <c r="O70" s="78">
        <v>25</v>
      </c>
      <c r="P70" s="72"/>
      <c r="Q70" s="81">
        <f>9.4+4608.3+1013.8+380.9+23.4</f>
        <v>6035.7999999999993</v>
      </c>
      <c r="R70" s="22">
        <v>3770.4000000000351</v>
      </c>
      <c r="S70" s="78">
        <f t="shared" si="20"/>
        <v>575134.70000000007</v>
      </c>
    </row>
    <row r="71" spans="1:19" s="9" customFormat="1" ht="15.75" hidden="1" customHeight="1" x14ac:dyDescent="0.2">
      <c r="A71" s="84" t="s">
        <v>80</v>
      </c>
      <c r="B71" s="78">
        <v>389967.10000000003</v>
      </c>
      <c r="C71" s="78">
        <v>25022.7</v>
      </c>
      <c r="D71" s="78">
        <v>2816.6</v>
      </c>
      <c r="E71" s="78">
        <v>5680</v>
      </c>
      <c r="F71" s="79">
        <v>0</v>
      </c>
      <c r="G71" s="78">
        <v>66816.2</v>
      </c>
      <c r="H71" s="22">
        <f>32841.2+1368.5</f>
        <v>34209.699999999997</v>
      </c>
      <c r="I71" s="78">
        <v>48195.5</v>
      </c>
      <c r="J71" s="67" t="s">
        <v>49</v>
      </c>
      <c r="K71" s="80" t="s">
        <v>49</v>
      </c>
      <c r="L71" s="78">
        <f t="shared" si="21"/>
        <v>182740.7</v>
      </c>
      <c r="M71" s="67" t="s">
        <v>49</v>
      </c>
      <c r="N71" s="67" t="s">
        <v>49</v>
      </c>
      <c r="O71" s="78">
        <v>25</v>
      </c>
      <c r="P71" s="72"/>
      <c r="Q71" s="81">
        <f>9.4+4527+1013.8+380.9+23.4</f>
        <v>5954.4999999999991</v>
      </c>
      <c r="R71" s="22">
        <v>3817.1999999999771</v>
      </c>
      <c r="S71" s="78">
        <f t="shared" si="20"/>
        <v>582504.5</v>
      </c>
    </row>
    <row r="72" spans="1:19" s="9" customFormat="1" ht="15.75" hidden="1" customHeight="1" x14ac:dyDescent="0.2">
      <c r="A72" s="84" t="s">
        <v>81</v>
      </c>
      <c r="B72" s="78">
        <v>384234.3</v>
      </c>
      <c r="C72" s="78">
        <v>52307.5</v>
      </c>
      <c r="D72" s="78">
        <v>2816.6</v>
      </c>
      <c r="E72" s="78">
        <v>5480.8</v>
      </c>
      <c r="F72" s="79">
        <v>0</v>
      </c>
      <c r="G72" s="78">
        <v>66356.800000000003</v>
      </c>
      <c r="H72" s="22">
        <f>32841.2+1619.6</f>
        <v>34460.799999999996</v>
      </c>
      <c r="I72" s="78">
        <v>47614.1</v>
      </c>
      <c r="J72" s="67" t="s">
        <v>49</v>
      </c>
      <c r="K72" s="80" t="s">
        <v>49</v>
      </c>
      <c r="L72" s="78">
        <f t="shared" si="21"/>
        <v>209036.6</v>
      </c>
      <c r="M72" s="67" t="s">
        <v>49</v>
      </c>
      <c r="N72" s="67" t="s">
        <v>49</v>
      </c>
      <c r="O72" s="78">
        <v>25</v>
      </c>
      <c r="P72" s="72"/>
      <c r="Q72" s="81">
        <f>9.4+4458.9+1013.8+380.9+20.5</f>
        <v>5883.4999999999991</v>
      </c>
      <c r="R72" s="22">
        <v>3860.3000000000347</v>
      </c>
      <c r="S72" s="78">
        <f t="shared" si="20"/>
        <v>603039.70000000007</v>
      </c>
    </row>
    <row r="73" spans="1:19" s="9" customFormat="1" ht="15.75" hidden="1" customHeight="1" x14ac:dyDescent="0.2">
      <c r="A73" s="84" t="s">
        <v>66</v>
      </c>
      <c r="B73" s="78">
        <v>400951.3</v>
      </c>
      <c r="C73" s="78">
        <v>95224</v>
      </c>
      <c r="D73" s="78">
        <v>2816.6</v>
      </c>
      <c r="E73" s="78">
        <v>4651.7</v>
      </c>
      <c r="F73" s="79">
        <v>0</v>
      </c>
      <c r="G73" s="78">
        <v>65897.399999999994</v>
      </c>
      <c r="H73" s="22">
        <f>32841.2+1870.6</f>
        <v>34711.799999999996</v>
      </c>
      <c r="I73" s="78">
        <v>47032.6</v>
      </c>
      <c r="J73" s="67" t="s">
        <v>49</v>
      </c>
      <c r="K73" s="80" t="s">
        <v>49</v>
      </c>
      <c r="L73" s="78">
        <f t="shared" si="21"/>
        <v>250334.1</v>
      </c>
      <c r="M73" s="67" t="s">
        <v>49</v>
      </c>
      <c r="N73" s="67" t="s">
        <v>49</v>
      </c>
      <c r="O73" s="78">
        <v>20</v>
      </c>
      <c r="P73" s="72"/>
      <c r="Q73" s="81">
        <f>9.4+4333.3+1013.8+380.9+13.3</f>
        <v>5750.7</v>
      </c>
      <c r="R73" s="22">
        <v>2918.8000000000347</v>
      </c>
      <c r="S73" s="78">
        <f t="shared" si="20"/>
        <v>659974.9</v>
      </c>
    </row>
    <row r="74" spans="1:19" s="9" customFormat="1" ht="15.75" hidden="1" customHeight="1" x14ac:dyDescent="0.2">
      <c r="A74" s="84"/>
      <c r="B74" s="78"/>
      <c r="C74" s="78"/>
      <c r="D74" s="78"/>
      <c r="E74" s="78"/>
      <c r="F74" s="79"/>
      <c r="G74" s="78"/>
      <c r="H74" s="22"/>
      <c r="I74" s="78"/>
      <c r="J74" s="67"/>
      <c r="K74" s="80"/>
      <c r="L74" s="78"/>
      <c r="M74" s="67"/>
      <c r="N74" s="67"/>
      <c r="O74" s="78"/>
      <c r="P74" s="72"/>
      <c r="Q74" s="81"/>
      <c r="R74" s="22"/>
      <c r="S74" s="78"/>
    </row>
    <row r="75" spans="1:19" s="9" customFormat="1" hidden="1" x14ac:dyDescent="0.2">
      <c r="A75" s="84" t="s">
        <v>83</v>
      </c>
      <c r="B75" s="78">
        <v>407989.20000000007</v>
      </c>
      <c r="C75" s="78">
        <v>42756.1</v>
      </c>
      <c r="D75" s="78">
        <v>2726.3</v>
      </c>
      <c r="E75" s="78">
        <f>10977.5-6525</f>
        <v>4452.5</v>
      </c>
      <c r="F75" s="79">
        <v>0</v>
      </c>
      <c r="G75" s="78">
        <v>65438.1</v>
      </c>
      <c r="H75" s="22">
        <f>32841.2+2121.6</f>
        <v>34962.799999999996</v>
      </c>
      <c r="I75" s="78">
        <v>46451.1</v>
      </c>
      <c r="J75" s="78">
        <v>6525</v>
      </c>
      <c r="K75" s="80" t="s">
        <v>49</v>
      </c>
      <c r="L75" s="78">
        <f>SUM(C75:J75)</f>
        <v>203311.9</v>
      </c>
      <c r="M75" s="67" t="s">
        <v>49</v>
      </c>
      <c r="N75" s="67" t="s">
        <v>49</v>
      </c>
      <c r="O75" s="78">
        <v>20</v>
      </c>
      <c r="P75" s="72"/>
      <c r="Q75" s="81">
        <f>9.4+5176.5+1013.8+380.9+13.3</f>
        <v>6593.9</v>
      </c>
      <c r="R75" s="22">
        <v>3026.4999999999181</v>
      </c>
      <c r="S75" s="78">
        <f t="shared" ref="S75:S86" si="22">SUM(B75,L75:R75)</f>
        <v>620941.5</v>
      </c>
    </row>
    <row r="76" spans="1:19" s="9" customFormat="1" ht="15.75" hidden="1" customHeight="1" x14ac:dyDescent="0.2">
      <c r="A76" s="84" t="s">
        <v>74</v>
      </c>
      <c r="B76" s="78">
        <v>412010.10000000003</v>
      </c>
      <c r="C76" s="78">
        <v>53606.7</v>
      </c>
      <c r="D76" s="78">
        <v>2726.3</v>
      </c>
      <c r="E76" s="78">
        <f>4253.3</f>
        <v>4253.3</v>
      </c>
      <c r="F76" s="79">
        <v>0</v>
      </c>
      <c r="G76" s="78">
        <v>64978.6</v>
      </c>
      <c r="H76" s="22">
        <f>32841.2+2348.4</f>
        <v>35189.599999999999</v>
      </c>
      <c r="I76" s="78">
        <v>45869.7</v>
      </c>
      <c r="J76" s="78">
        <v>6525</v>
      </c>
      <c r="K76" s="80" t="s">
        <v>49</v>
      </c>
      <c r="L76" s="78">
        <f>SUM(C76:J76)</f>
        <v>213149.2</v>
      </c>
      <c r="M76" s="67" t="s">
        <v>49</v>
      </c>
      <c r="N76" s="67" t="s">
        <v>49</v>
      </c>
      <c r="O76" s="78">
        <v>20</v>
      </c>
      <c r="P76" s="72"/>
      <c r="Q76" s="81">
        <f>9.4+5099.8+1013.8+380.9+42.4</f>
        <v>6546.2999999999993</v>
      </c>
      <c r="R76" s="22">
        <v>3048.4999999999764</v>
      </c>
      <c r="S76" s="78">
        <f t="shared" si="22"/>
        <v>634774.10000000009</v>
      </c>
    </row>
    <row r="77" spans="1:19" s="9" customFormat="1" ht="15.75" hidden="1" customHeight="1" x14ac:dyDescent="0.2">
      <c r="A77" s="84" t="s">
        <v>75</v>
      </c>
      <c r="B77" s="78">
        <v>396544.5</v>
      </c>
      <c r="C77" s="78">
        <v>38983.599999999999</v>
      </c>
      <c r="D77" s="78">
        <v>2726.3</v>
      </c>
      <c r="E77" s="78">
        <v>3424.2</v>
      </c>
      <c r="F77" s="79">
        <v>0</v>
      </c>
      <c r="G77" s="78">
        <v>64519.3</v>
      </c>
      <c r="H77" s="22">
        <f>32841.2+2635.5</f>
        <v>35476.699999999997</v>
      </c>
      <c r="I77" s="78">
        <v>45288.2</v>
      </c>
      <c r="J77" s="78">
        <v>18525</v>
      </c>
      <c r="K77" s="80" t="s">
        <v>49</v>
      </c>
      <c r="L77" s="78">
        <f>SUM(C77:J77)</f>
        <v>208943.3</v>
      </c>
      <c r="M77" s="67" t="s">
        <v>49</v>
      </c>
      <c r="N77" s="67" t="s">
        <v>49</v>
      </c>
      <c r="O77" s="78">
        <v>20</v>
      </c>
      <c r="P77" s="72"/>
      <c r="Q77" s="81">
        <f>9.4+5042.5+905.9+380.9+42.4</f>
        <v>6381.0999999999985</v>
      </c>
      <c r="R77" s="22">
        <v>2992.0999999999767</v>
      </c>
      <c r="S77" s="78">
        <f t="shared" si="22"/>
        <v>614881</v>
      </c>
    </row>
    <row r="78" spans="1:19" s="9" customFormat="1" ht="15.75" hidden="1" customHeight="1" x14ac:dyDescent="0.2">
      <c r="A78" s="84" t="s">
        <v>76</v>
      </c>
      <c r="B78" s="78">
        <v>382639.60000000003</v>
      </c>
      <c r="C78" s="78">
        <v>44626.400000000001</v>
      </c>
      <c r="D78" s="67" t="s">
        <v>49</v>
      </c>
      <c r="E78" s="78">
        <v>895</v>
      </c>
      <c r="F78" s="79">
        <v>0</v>
      </c>
      <c r="G78" s="67" t="s">
        <v>49</v>
      </c>
      <c r="H78" s="67" t="s">
        <v>49</v>
      </c>
      <c r="I78" s="67" t="s">
        <v>49</v>
      </c>
      <c r="J78" s="78">
        <v>18525</v>
      </c>
      <c r="K78" s="78">
        <v>147596</v>
      </c>
      <c r="L78" s="78">
        <f t="shared" ref="L78:L83" si="23">SUM(C78:K78)</f>
        <v>211642.4</v>
      </c>
      <c r="M78" s="67" t="s">
        <v>49</v>
      </c>
      <c r="N78" s="67" t="s">
        <v>49</v>
      </c>
      <c r="O78" s="78">
        <v>20</v>
      </c>
      <c r="P78" s="72"/>
      <c r="Q78" s="81">
        <f>9.4+5039.3+905.9+380.9+28.4</f>
        <v>6363.8999999999987</v>
      </c>
      <c r="R78" s="22">
        <v>3054.9999999999764</v>
      </c>
      <c r="S78" s="78">
        <f t="shared" si="22"/>
        <v>603720.9</v>
      </c>
    </row>
    <row r="79" spans="1:19" s="9" customFormat="1" ht="15.75" hidden="1" customHeight="1" x14ac:dyDescent="0.2">
      <c r="A79" s="84" t="s">
        <v>77</v>
      </c>
      <c r="B79" s="81">
        <v>362432.6</v>
      </c>
      <c r="C79" s="81">
        <v>23770.799999999999</v>
      </c>
      <c r="D79" s="67" t="s">
        <v>49</v>
      </c>
      <c r="E79" s="78">
        <v>895</v>
      </c>
      <c r="F79" s="79"/>
      <c r="G79" s="67" t="s">
        <v>49</v>
      </c>
      <c r="H79" s="67" t="s">
        <v>49</v>
      </c>
      <c r="I79" s="67" t="s">
        <v>49</v>
      </c>
      <c r="J79" s="78">
        <v>18525</v>
      </c>
      <c r="K79" s="78">
        <v>147287.9</v>
      </c>
      <c r="L79" s="78">
        <f t="shared" si="23"/>
        <v>190478.7</v>
      </c>
      <c r="M79" s="67" t="s">
        <v>49</v>
      </c>
      <c r="N79" s="67" t="s">
        <v>49</v>
      </c>
      <c r="O79" s="78">
        <v>20</v>
      </c>
      <c r="P79" s="72"/>
      <c r="Q79" s="81">
        <v>6312.8</v>
      </c>
      <c r="R79" s="22">
        <v>3267.4000000000351</v>
      </c>
      <c r="S79" s="78">
        <f t="shared" si="22"/>
        <v>562511.50000000012</v>
      </c>
    </row>
    <row r="80" spans="1:19" s="9" customFormat="1" ht="15.75" hidden="1" customHeight="1" x14ac:dyDescent="0.2">
      <c r="A80" s="84" t="s">
        <v>64</v>
      </c>
      <c r="B80" s="81">
        <v>346259.1</v>
      </c>
      <c r="C80" s="67">
        <v>33066.199999999997</v>
      </c>
      <c r="D80" s="67" t="s">
        <v>49</v>
      </c>
      <c r="E80" s="78">
        <v>265</v>
      </c>
      <c r="F80" s="79"/>
      <c r="G80" s="67" t="s">
        <v>49</v>
      </c>
      <c r="H80" s="67" t="s">
        <v>49</v>
      </c>
      <c r="I80" s="67" t="s">
        <v>49</v>
      </c>
      <c r="J80" s="78">
        <v>40525</v>
      </c>
      <c r="K80" s="78">
        <v>146979.70000000001</v>
      </c>
      <c r="L80" s="78">
        <f t="shared" si="23"/>
        <v>220835.90000000002</v>
      </c>
      <c r="M80" s="67" t="s">
        <v>49</v>
      </c>
      <c r="N80" s="67" t="s">
        <v>49</v>
      </c>
      <c r="O80" s="78">
        <v>20</v>
      </c>
      <c r="P80" s="72"/>
      <c r="Q80" s="81">
        <f>9.4+4884.3+905.9+380.9+32.9</f>
        <v>6213.3999999999987</v>
      </c>
      <c r="R80" s="22">
        <v>3040.5000000000346</v>
      </c>
      <c r="S80" s="78">
        <f t="shared" si="22"/>
        <v>576368.9</v>
      </c>
    </row>
    <row r="81" spans="1:19" s="9" customFormat="1" ht="15.75" hidden="1" customHeight="1" x14ac:dyDescent="0.2">
      <c r="A81" s="84" t="s">
        <v>78</v>
      </c>
      <c r="B81" s="81">
        <v>352027.89999999997</v>
      </c>
      <c r="C81" s="67">
        <v>29996.7</v>
      </c>
      <c r="D81" s="67" t="s">
        <v>49</v>
      </c>
      <c r="E81" s="78">
        <v>265</v>
      </c>
      <c r="F81" s="79"/>
      <c r="G81" s="67" t="s">
        <v>49</v>
      </c>
      <c r="H81" s="67" t="s">
        <v>49</v>
      </c>
      <c r="I81" s="67" t="s">
        <v>49</v>
      </c>
      <c r="J81" s="78">
        <v>50525</v>
      </c>
      <c r="K81" s="78">
        <v>146671.6</v>
      </c>
      <c r="L81" s="78">
        <f t="shared" si="23"/>
        <v>227458.3</v>
      </c>
      <c r="M81" s="67" t="s">
        <v>49</v>
      </c>
      <c r="N81" s="67" t="s">
        <v>49</v>
      </c>
      <c r="O81" s="78">
        <v>20</v>
      </c>
      <c r="P81" s="72"/>
      <c r="Q81" s="81">
        <f>9.4+4844.7+905.9+380.9+37.5</f>
        <v>6178.3999999999987</v>
      </c>
      <c r="R81" s="22">
        <v>2965.7000000000353</v>
      </c>
      <c r="S81" s="78">
        <f t="shared" si="22"/>
        <v>588650.30000000005</v>
      </c>
    </row>
    <row r="82" spans="1:19" s="9" customFormat="1" ht="15.75" hidden="1" customHeight="1" x14ac:dyDescent="0.2">
      <c r="A82" s="84" t="s">
        <v>79</v>
      </c>
      <c r="B82" s="81">
        <v>354270.1</v>
      </c>
      <c r="C82" s="67">
        <v>37576.9</v>
      </c>
      <c r="D82" s="67" t="s">
        <v>49</v>
      </c>
      <c r="E82" s="78">
        <v>265</v>
      </c>
      <c r="F82" s="79"/>
      <c r="G82" s="67" t="s">
        <v>49</v>
      </c>
      <c r="H82" s="67" t="s">
        <v>49</v>
      </c>
      <c r="I82" s="67" t="s">
        <v>49</v>
      </c>
      <c r="J82" s="78">
        <v>50525</v>
      </c>
      <c r="K82" s="78">
        <v>146363.5</v>
      </c>
      <c r="L82" s="78">
        <f t="shared" si="23"/>
        <v>234730.4</v>
      </c>
      <c r="M82" s="78">
        <v>598.6</v>
      </c>
      <c r="N82" s="67" t="s">
        <v>49</v>
      </c>
      <c r="O82" s="78">
        <v>20</v>
      </c>
      <c r="P82" s="72"/>
      <c r="Q82" s="81">
        <f>9.4+4797.4+905.9+380.9+26.3</f>
        <v>6119.8999999999987</v>
      </c>
      <c r="R82" s="22">
        <v>3025.3000000000347</v>
      </c>
      <c r="S82" s="78">
        <f t="shared" si="22"/>
        <v>598764.30000000005</v>
      </c>
    </row>
    <row r="83" spans="1:19" s="9" customFormat="1" ht="15.75" hidden="1" customHeight="1" x14ac:dyDescent="0.2">
      <c r="A83" s="84" t="s">
        <v>65</v>
      </c>
      <c r="B83" s="81">
        <v>348756.89999999997</v>
      </c>
      <c r="C83" s="67">
        <v>37014.199999999997</v>
      </c>
      <c r="D83" s="67" t="s">
        <v>49</v>
      </c>
      <c r="E83" s="67" t="s">
        <v>49</v>
      </c>
      <c r="F83" s="79"/>
      <c r="G83" s="67" t="s">
        <v>49</v>
      </c>
      <c r="H83" s="67" t="s">
        <v>49</v>
      </c>
      <c r="I83" s="67" t="s">
        <v>49</v>
      </c>
      <c r="J83" s="78">
        <v>50525</v>
      </c>
      <c r="K83" s="78">
        <v>146055.29999999999</v>
      </c>
      <c r="L83" s="78">
        <f t="shared" si="23"/>
        <v>233594.5</v>
      </c>
      <c r="M83" s="67" t="s">
        <v>49</v>
      </c>
      <c r="N83" s="67" t="s">
        <v>49</v>
      </c>
      <c r="O83" s="78">
        <v>20</v>
      </c>
      <c r="P83" s="72"/>
      <c r="Q83" s="81">
        <f>9.4+4807.8+905.9+380.9+22.7</f>
        <v>6126.6999999999989</v>
      </c>
      <c r="R83" s="22">
        <v>3062.8000000000347</v>
      </c>
      <c r="S83" s="78">
        <f t="shared" si="22"/>
        <v>591560.89999999991</v>
      </c>
    </row>
    <row r="84" spans="1:19" s="9" customFormat="1" ht="15.75" hidden="1" customHeight="1" x14ac:dyDescent="0.2">
      <c r="A84" s="84" t="s">
        <v>80</v>
      </c>
      <c r="B84" s="81">
        <v>347779.4</v>
      </c>
      <c r="C84" s="67">
        <v>25932</v>
      </c>
      <c r="D84" s="67" t="s">
        <v>49</v>
      </c>
      <c r="E84" s="67" t="s">
        <v>49</v>
      </c>
      <c r="F84" s="79"/>
      <c r="G84" s="67" t="s">
        <v>49</v>
      </c>
      <c r="H84" s="67" t="s">
        <v>49</v>
      </c>
      <c r="I84" s="67" t="s">
        <v>49</v>
      </c>
      <c r="J84" s="78">
        <v>50525</v>
      </c>
      <c r="K84" s="78">
        <v>145747.20000000001</v>
      </c>
      <c r="L84" s="78">
        <f t="shared" ref="L84" si="24">SUM(C84:K84)</f>
        <v>222204.2</v>
      </c>
      <c r="M84" s="67">
        <v>3740.2</v>
      </c>
      <c r="N84" s="67" t="s">
        <v>49</v>
      </c>
      <c r="O84" s="78">
        <v>20</v>
      </c>
      <c r="P84" s="72"/>
      <c r="Q84" s="81">
        <f>9.4+4687+905.9+380.9+19</f>
        <v>6002.1999999999989</v>
      </c>
      <c r="R84" s="22">
        <v>3057.0999999999767</v>
      </c>
      <c r="S84" s="78">
        <f t="shared" si="22"/>
        <v>582803.1</v>
      </c>
    </row>
    <row r="85" spans="1:19" s="9" customFormat="1" ht="15.75" hidden="1" customHeight="1" x14ac:dyDescent="0.2">
      <c r="A85" s="84" t="s">
        <v>81</v>
      </c>
      <c r="B85" s="81">
        <v>349199.30000000005</v>
      </c>
      <c r="C85" s="67">
        <v>35424.1</v>
      </c>
      <c r="D85" s="67" t="s">
        <v>49</v>
      </c>
      <c r="E85" s="67" t="s">
        <v>49</v>
      </c>
      <c r="F85" s="79"/>
      <c r="G85" s="67" t="s">
        <v>49</v>
      </c>
      <c r="H85" s="67" t="s">
        <v>49</v>
      </c>
      <c r="I85" s="67" t="s">
        <v>49</v>
      </c>
      <c r="J85" s="78">
        <v>50525</v>
      </c>
      <c r="K85" s="78">
        <v>145439.1</v>
      </c>
      <c r="L85" s="78">
        <f t="shared" ref="L85:L86" si="25">SUM(C85:K85)</f>
        <v>231388.2</v>
      </c>
      <c r="M85" s="67" t="s">
        <v>49</v>
      </c>
      <c r="N85" s="67" t="s">
        <v>49</v>
      </c>
      <c r="O85" s="78">
        <v>20</v>
      </c>
      <c r="P85" s="72"/>
      <c r="Q85" s="81">
        <f>9.4+4563.6+905.9+380.9+15.5</f>
        <v>5875.2999999999993</v>
      </c>
      <c r="R85" s="22">
        <v>3093.7999999999765</v>
      </c>
      <c r="S85" s="78">
        <f t="shared" si="22"/>
        <v>589576.6</v>
      </c>
    </row>
    <row r="86" spans="1:19" s="9" customFormat="1" ht="15.75" hidden="1" customHeight="1" x14ac:dyDescent="0.2">
      <c r="A86" s="84" t="s">
        <v>66</v>
      </c>
      <c r="B86" s="81">
        <v>418272.20000000007</v>
      </c>
      <c r="C86" s="67">
        <v>19134.2</v>
      </c>
      <c r="D86" s="67" t="s">
        <v>49</v>
      </c>
      <c r="E86" s="67" t="s">
        <v>49</v>
      </c>
      <c r="F86" s="79"/>
      <c r="G86" s="67" t="s">
        <v>49</v>
      </c>
      <c r="H86" s="67" t="s">
        <v>49</v>
      </c>
      <c r="I86" s="67" t="s">
        <v>49</v>
      </c>
      <c r="J86" s="78">
        <v>88925</v>
      </c>
      <c r="K86" s="78">
        <v>145130.9</v>
      </c>
      <c r="L86" s="78">
        <f t="shared" si="25"/>
        <v>253190.09999999998</v>
      </c>
      <c r="M86" s="67" t="s">
        <v>49</v>
      </c>
      <c r="N86" s="67" t="s">
        <v>49</v>
      </c>
      <c r="O86" s="78">
        <v>20</v>
      </c>
      <c r="P86" s="72"/>
      <c r="Q86" s="81">
        <f>9.4+4662.6+905.9+380.9+11.8</f>
        <v>5970.5999999999995</v>
      </c>
      <c r="R86" s="22">
        <v>2976.0999999999185</v>
      </c>
      <c r="S86" s="78">
        <f t="shared" si="22"/>
        <v>680429</v>
      </c>
    </row>
    <row r="87" spans="1:19" s="9" customFormat="1" ht="15.75" hidden="1" customHeight="1" x14ac:dyDescent="0.2">
      <c r="A87" s="84"/>
      <c r="B87" s="81"/>
      <c r="C87" s="67"/>
      <c r="D87" s="67"/>
      <c r="E87" s="67"/>
      <c r="F87" s="79"/>
      <c r="G87" s="67"/>
      <c r="H87" s="67"/>
      <c r="I87" s="67"/>
      <c r="J87" s="78"/>
      <c r="K87" s="78"/>
      <c r="L87" s="78"/>
      <c r="M87" s="67"/>
      <c r="N87" s="67"/>
      <c r="O87" s="78"/>
      <c r="P87" s="72"/>
      <c r="Q87" s="81"/>
      <c r="R87" s="22"/>
      <c r="S87" s="78"/>
    </row>
    <row r="88" spans="1:19" s="9" customFormat="1" ht="15.75" hidden="1" customHeight="1" x14ac:dyDescent="0.2">
      <c r="A88" s="84" t="s">
        <v>84</v>
      </c>
      <c r="B88" s="81">
        <v>413034</v>
      </c>
      <c r="C88" s="67" t="s">
        <v>49</v>
      </c>
      <c r="D88" s="67" t="s">
        <v>49</v>
      </c>
      <c r="E88" s="67" t="s">
        <v>49</v>
      </c>
      <c r="F88" s="79"/>
      <c r="G88" s="67" t="s">
        <v>49</v>
      </c>
      <c r="H88" s="67" t="s">
        <v>49</v>
      </c>
      <c r="I88" s="67" t="s">
        <v>49</v>
      </c>
      <c r="J88" s="78">
        <v>88925</v>
      </c>
      <c r="K88" s="78">
        <v>144822.79999999999</v>
      </c>
      <c r="L88" s="78">
        <f t="shared" ref="L88" si="26">SUM(C88:K88)</f>
        <v>233747.8</v>
      </c>
      <c r="M88" s="67" t="s">
        <v>49</v>
      </c>
      <c r="N88" s="67" t="s">
        <v>49</v>
      </c>
      <c r="O88" s="78">
        <v>20</v>
      </c>
      <c r="P88" s="72"/>
      <c r="Q88" s="81">
        <f>9.4+5565+905.9+380.9+8.7</f>
        <v>6869.8999999999987</v>
      </c>
      <c r="R88" s="22">
        <v>3106.0999999999767</v>
      </c>
      <c r="S88" s="78">
        <f t="shared" ref="S88:S99" si="27">SUM(B88,L88:R88)</f>
        <v>656777.80000000005</v>
      </c>
    </row>
    <row r="89" spans="1:19" s="9" customFormat="1" ht="15.75" hidden="1" customHeight="1" x14ac:dyDescent="0.2">
      <c r="A89" s="84" t="s">
        <v>74</v>
      </c>
      <c r="B89" s="81">
        <v>437928.80000000005</v>
      </c>
      <c r="C89" s="67" t="s">
        <v>49</v>
      </c>
      <c r="D89" s="67" t="s">
        <v>49</v>
      </c>
      <c r="E89" s="67" t="s">
        <v>49</v>
      </c>
      <c r="F89" s="79"/>
      <c r="G89" s="67" t="s">
        <v>49</v>
      </c>
      <c r="H89" s="67" t="s">
        <v>49</v>
      </c>
      <c r="I89" s="67" t="s">
        <v>49</v>
      </c>
      <c r="J89" s="78">
        <v>88925</v>
      </c>
      <c r="K89" s="78">
        <v>144514.70000000001</v>
      </c>
      <c r="L89" s="78">
        <f t="shared" ref="L89:L97" si="28">SUM(C89:K89)</f>
        <v>233439.7</v>
      </c>
      <c r="M89" s="67">
        <v>1723.4</v>
      </c>
      <c r="N89" s="67" t="s">
        <v>49</v>
      </c>
      <c r="O89" s="78">
        <v>20</v>
      </c>
      <c r="P89" s="72"/>
      <c r="Q89" s="81">
        <f>9.4+5565.2+905.9+380.9+66.4</f>
        <v>6927.7999999999984</v>
      </c>
      <c r="R89" s="22">
        <v>3042.3999999999769</v>
      </c>
      <c r="S89" s="78">
        <f t="shared" si="27"/>
        <v>683082.10000000009</v>
      </c>
    </row>
    <row r="90" spans="1:19" s="9" customFormat="1" ht="15.75" hidden="1" customHeight="1" x14ac:dyDescent="0.2">
      <c r="A90" s="84" t="s">
        <v>75</v>
      </c>
      <c r="B90" s="81">
        <v>426628.60000000003</v>
      </c>
      <c r="C90" s="67">
        <v>2480.5</v>
      </c>
      <c r="D90" s="67" t="s">
        <v>49</v>
      </c>
      <c r="E90" s="67" t="s">
        <v>49</v>
      </c>
      <c r="F90" s="79"/>
      <c r="G90" s="67" t="s">
        <v>49</v>
      </c>
      <c r="H90" s="67" t="s">
        <v>49</v>
      </c>
      <c r="I90" s="67" t="s">
        <v>49</v>
      </c>
      <c r="J90" s="78">
        <v>74325</v>
      </c>
      <c r="K90" s="78">
        <v>144206.6</v>
      </c>
      <c r="L90" s="78">
        <f t="shared" si="28"/>
        <v>221012.1</v>
      </c>
      <c r="M90" s="67">
        <v>3410.3</v>
      </c>
      <c r="N90" s="67" t="s">
        <v>49</v>
      </c>
      <c r="O90" s="78">
        <v>20</v>
      </c>
      <c r="P90" s="72"/>
      <c r="Q90" s="81">
        <f>9.4+5486.6+905.9+380.9+60.3</f>
        <v>6843.0999999999995</v>
      </c>
      <c r="R90" s="22">
        <v>2952.3999999999769</v>
      </c>
      <c r="S90" s="78">
        <f t="shared" si="27"/>
        <v>660866.50000000012</v>
      </c>
    </row>
    <row r="91" spans="1:19" s="9" customFormat="1" ht="15.75" hidden="1" customHeight="1" x14ac:dyDescent="0.2">
      <c r="A91" s="84" t="s">
        <v>76</v>
      </c>
      <c r="B91" s="81">
        <v>455684.39999999997</v>
      </c>
      <c r="C91" s="67" t="s">
        <v>49</v>
      </c>
      <c r="D91" s="67" t="s">
        <v>49</v>
      </c>
      <c r="E91" s="67" t="s">
        <v>49</v>
      </c>
      <c r="F91" s="79"/>
      <c r="G91" s="67" t="s">
        <v>49</v>
      </c>
      <c r="H91" s="67" t="s">
        <v>49</v>
      </c>
      <c r="I91" s="67" t="s">
        <v>49</v>
      </c>
      <c r="J91" s="78">
        <v>74325</v>
      </c>
      <c r="K91" s="78">
        <v>143898.4</v>
      </c>
      <c r="L91" s="78">
        <f t="shared" si="28"/>
        <v>218223.4</v>
      </c>
      <c r="M91" s="67">
        <v>4017</v>
      </c>
      <c r="N91" s="67" t="s">
        <v>49</v>
      </c>
      <c r="O91" s="78">
        <v>20</v>
      </c>
      <c r="P91" s="72"/>
      <c r="Q91" s="81">
        <f>9.4+5472.4+905.9+380.9+60.3</f>
        <v>6828.8999999999987</v>
      </c>
      <c r="R91" s="22">
        <v>2987.4000000000351</v>
      </c>
      <c r="S91" s="78">
        <f t="shared" si="27"/>
        <v>687761.1</v>
      </c>
    </row>
    <row r="92" spans="1:19" s="9" customFormat="1" ht="15.75" hidden="1" customHeight="1" x14ac:dyDescent="0.2">
      <c r="A92" s="84" t="s">
        <v>77</v>
      </c>
      <c r="B92" s="81">
        <v>444611.20000000007</v>
      </c>
      <c r="C92" s="67">
        <v>12986.3</v>
      </c>
      <c r="D92" s="67" t="s">
        <v>49</v>
      </c>
      <c r="E92" s="67" t="s">
        <v>49</v>
      </c>
      <c r="F92" s="79"/>
      <c r="G92" s="67" t="s">
        <v>49</v>
      </c>
      <c r="H92" s="67" t="s">
        <v>49</v>
      </c>
      <c r="I92" s="67" t="s">
        <v>49</v>
      </c>
      <c r="J92" s="78">
        <v>74325</v>
      </c>
      <c r="K92" s="78">
        <v>143590.29999999999</v>
      </c>
      <c r="L92" s="78">
        <f t="shared" si="28"/>
        <v>230901.59999999998</v>
      </c>
      <c r="M92" s="67">
        <v>8670.2999999999993</v>
      </c>
      <c r="N92" s="67" t="s">
        <v>49</v>
      </c>
      <c r="O92" s="78">
        <v>20</v>
      </c>
      <c r="P92" s="72"/>
      <c r="Q92" s="81">
        <f>9.4+5596.5+905.9+380.9+48.8</f>
        <v>6941.4999999999991</v>
      </c>
      <c r="R92" s="22">
        <v>3038.6999999999189</v>
      </c>
      <c r="S92" s="78">
        <f t="shared" si="27"/>
        <v>694183.3</v>
      </c>
    </row>
    <row r="93" spans="1:19" s="9" customFormat="1" ht="15.75" hidden="1" customHeight="1" x14ac:dyDescent="0.2">
      <c r="A93" s="84" t="s">
        <v>64</v>
      </c>
      <c r="B93" s="81">
        <v>434242</v>
      </c>
      <c r="C93" s="67">
        <v>24462.799999999999</v>
      </c>
      <c r="D93" s="67" t="s">
        <v>49</v>
      </c>
      <c r="E93" s="67" t="s">
        <v>49</v>
      </c>
      <c r="F93" s="79"/>
      <c r="G93" s="67" t="s">
        <v>49</v>
      </c>
      <c r="H93" s="67" t="s">
        <v>49</v>
      </c>
      <c r="I93" s="67" t="s">
        <v>49</v>
      </c>
      <c r="J93" s="78">
        <v>74325</v>
      </c>
      <c r="K93" s="78">
        <v>143282.1</v>
      </c>
      <c r="L93" s="78">
        <f t="shared" si="28"/>
        <v>242069.90000000002</v>
      </c>
      <c r="M93" s="67">
        <v>21978.1</v>
      </c>
      <c r="N93" s="67" t="s">
        <v>49</v>
      </c>
      <c r="O93" s="78">
        <v>20</v>
      </c>
      <c r="P93" s="72"/>
      <c r="Q93" s="81">
        <f>9.4+5850.8+905.9+380.9+51.1</f>
        <v>7198.0999999999995</v>
      </c>
      <c r="R93" s="22">
        <v>3398.1999999999771</v>
      </c>
      <c r="S93" s="78">
        <f t="shared" si="27"/>
        <v>708906.29999999993</v>
      </c>
    </row>
    <row r="94" spans="1:19" s="9" customFormat="1" ht="15.75" hidden="1" customHeight="1" x14ac:dyDescent="0.2">
      <c r="A94" s="84" t="s">
        <v>78</v>
      </c>
      <c r="B94" s="81">
        <v>436973.5</v>
      </c>
      <c r="C94" s="67">
        <v>31447.8</v>
      </c>
      <c r="D94" s="67" t="s">
        <v>49</v>
      </c>
      <c r="E94" s="67" t="s">
        <v>49</v>
      </c>
      <c r="F94" s="79"/>
      <c r="G94" s="67" t="s">
        <v>49</v>
      </c>
      <c r="H94" s="67" t="s">
        <v>49</v>
      </c>
      <c r="I94" s="67" t="s">
        <v>49</v>
      </c>
      <c r="J94" s="78">
        <v>74325</v>
      </c>
      <c r="K94" s="78">
        <v>142974</v>
      </c>
      <c r="L94" s="78">
        <f t="shared" si="28"/>
        <v>248746.8</v>
      </c>
      <c r="M94" s="67">
        <v>28323</v>
      </c>
      <c r="N94" s="67" t="s">
        <v>49</v>
      </c>
      <c r="O94" s="78">
        <v>20</v>
      </c>
      <c r="P94" s="72"/>
      <c r="Q94" s="81">
        <f>9.4+5853.9+887.9+380.9+44.9</f>
        <v>7176.9999999999982</v>
      </c>
      <c r="R94" s="22">
        <v>3684.3999999999769</v>
      </c>
      <c r="S94" s="78">
        <f t="shared" si="27"/>
        <v>724924.70000000007</v>
      </c>
    </row>
    <row r="95" spans="1:19" s="9" customFormat="1" ht="15.75" hidden="1" customHeight="1" x14ac:dyDescent="0.2">
      <c r="A95" s="84" t="s">
        <v>79</v>
      </c>
      <c r="B95" s="81">
        <v>420092.9</v>
      </c>
      <c r="C95" s="67">
        <v>35035.800000000003</v>
      </c>
      <c r="D95" s="67" t="s">
        <v>49</v>
      </c>
      <c r="E95" s="67" t="s">
        <v>49</v>
      </c>
      <c r="F95" s="79"/>
      <c r="G95" s="67" t="s">
        <v>49</v>
      </c>
      <c r="H95" s="67" t="s">
        <v>49</v>
      </c>
      <c r="I95" s="67" t="s">
        <v>49</v>
      </c>
      <c r="J95" s="78">
        <v>74325</v>
      </c>
      <c r="K95" s="78">
        <v>142665.9</v>
      </c>
      <c r="L95" s="78">
        <f t="shared" si="28"/>
        <v>252026.7</v>
      </c>
      <c r="M95" s="67">
        <v>30627.200000000001</v>
      </c>
      <c r="N95" s="67" t="s">
        <v>49</v>
      </c>
      <c r="O95" s="78">
        <v>20</v>
      </c>
      <c r="P95" s="72"/>
      <c r="Q95" s="81">
        <f>9.4+5877+887.9+380.9+38.7</f>
        <v>7193.8999999999987</v>
      </c>
      <c r="R95" s="22">
        <v>4038.5999999999767</v>
      </c>
      <c r="S95" s="78">
        <f t="shared" si="27"/>
        <v>713999.3</v>
      </c>
    </row>
    <row r="96" spans="1:19" s="9" customFormat="1" ht="15.75" hidden="1" customHeight="1" x14ac:dyDescent="0.2">
      <c r="A96" s="84" t="s">
        <v>65</v>
      </c>
      <c r="B96" s="81">
        <v>394890.3</v>
      </c>
      <c r="C96" s="67">
        <v>29256.3</v>
      </c>
      <c r="D96" s="67" t="s">
        <v>49</v>
      </c>
      <c r="E96" s="67" t="s">
        <v>49</v>
      </c>
      <c r="F96" s="79"/>
      <c r="G96" s="67" t="s">
        <v>49</v>
      </c>
      <c r="H96" s="67" t="s">
        <v>49</v>
      </c>
      <c r="I96" s="67" t="s">
        <v>49</v>
      </c>
      <c r="J96" s="78">
        <v>74325</v>
      </c>
      <c r="K96" s="78">
        <v>142357.70000000001</v>
      </c>
      <c r="L96" s="78">
        <f t="shared" si="28"/>
        <v>245939</v>
      </c>
      <c r="M96" s="67">
        <v>41214.800000000003</v>
      </c>
      <c r="N96" s="67" t="s">
        <v>49</v>
      </c>
      <c r="O96" s="78">
        <v>20</v>
      </c>
      <c r="P96" s="72"/>
      <c r="Q96" s="81">
        <f>9.4+6239.3+887.9+380.9+32.7</f>
        <v>7550.1999999999989</v>
      </c>
      <c r="R96" s="22">
        <v>4223.3000000000347</v>
      </c>
      <c r="S96" s="78">
        <f t="shared" si="27"/>
        <v>693837.60000000009</v>
      </c>
    </row>
    <row r="97" spans="1:19" s="9" customFormat="1" ht="15.75" hidden="1" customHeight="1" x14ac:dyDescent="0.2">
      <c r="A97" s="84" t="s">
        <v>80</v>
      </c>
      <c r="B97" s="81">
        <v>388609.7</v>
      </c>
      <c r="C97" s="82">
        <v>29858.9</v>
      </c>
      <c r="D97" s="67" t="s">
        <v>49</v>
      </c>
      <c r="E97" s="67" t="s">
        <v>49</v>
      </c>
      <c r="F97" s="79"/>
      <c r="G97" s="67" t="s">
        <v>49</v>
      </c>
      <c r="H97" s="67" t="s">
        <v>49</v>
      </c>
      <c r="I97" s="67" t="s">
        <v>49</v>
      </c>
      <c r="J97" s="78">
        <v>94325</v>
      </c>
      <c r="K97" s="78">
        <v>142049.60000000001</v>
      </c>
      <c r="L97" s="78">
        <f t="shared" si="28"/>
        <v>266233.5</v>
      </c>
      <c r="M97" s="67">
        <v>33892.300000000003</v>
      </c>
      <c r="N97" s="80"/>
      <c r="O97" s="78">
        <v>20</v>
      </c>
      <c r="P97" s="72"/>
      <c r="Q97" s="81">
        <f>9.4+6140.1+887.9+380.9+26.6</f>
        <v>7444.9</v>
      </c>
      <c r="R97" s="22">
        <v>4388.1999999999771</v>
      </c>
      <c r="S97" s="78">
        <f t="shared" si="27"/>
        <v>700588.6</v>
      </c>
    </row>
    <row r="98" spans="1:19" s="9" customFormat="1" ht="15.75" hidden="1" customHeight="1" x14ac:dyDescent="0.2">
      <c r="A98" s="84" t="s">
        <v>81</v>
      </c>
      <c r="B98" s="81">
        <v>388023.6</v>
      </c>
      <c r="C98" s="82">
        <v>13631.5</v>
      </c>
      <c r="D98" s="67" t="s">
        <v>49</v>
      </c>
      <c r="E98" s="67" t="s">
        <v>49</v>
      </c>
      <c r="F98" s="79"/>
      <c r="G98" s="67" t="s">
        <v>49</v>
      </c>
      <c r="H98" s="67" t="s">
        <v>49</v>
      </c>
      <c r="I98" s="67" t="s">
        <v>49</v>
      </c>
      <c r="J98" s="78">
        <v>94325</v>
      </c>
      <c r="K98" s="78">
        <v>142049.60000000001</v>
      </c>
      <c r="L98" s="78">
        <f t="shared" ref="L98:L99" si="29">SUM(C98:K98)</f>
        <v>250006.1</v>
      </c>
      <c r="M98" s="67">
        <v>39419.1</v>
      </c>
      <c r="N98" s="80"/>
      <c r="O98" s="78">
        <v>20</v>
      </c>
      <c r="P98" s="72"/>
      <c r="Q98" s="81">
        <f>9.4+6121.4+887.9+380.9+20.6</f>
        <v>7420.1999999999989</v>
      </c>
      <c r="R98" s="22">
        <v>4112.6000000000349</v>
      </c>
      <c r="S98" s="78">
        <f t="shared" si="27"/>
        <v>689001.59999999986</v>
      </c>
    </row>
    <row r="99" spans="1:19" s="9" customFormat="1" ht="15.75" hidden="1" customHeight="1" x14ac:dyDescent="0.2">
      <c r="A99" s="84" t="s">
        <v>66</v>
      </c>
      <c r="B99" s="81">
        <v>412743.80000000005</v>
      </c>
      <c r="C99" s="82">
        <v>86260.6</v>
      </c>
      <c r="D99" s="67" t="s">
        <v>49</v>
      </c>
      <c r="E99" s="67" t="s">
        <v>49</v>
      </c>
      <c r="F99" s="79"/>
      <c r="G99" s="67" t="s">
        <v>49</v>
      </c>
      <c r="H99" s="67" t="s">
        <v>49</v>
      </c>
      <c r="I99" s="67" t="s">
        <v>49</v>
      </c>
      <c r="J99" s="78">
        <v>94325</v>
      </c>
      <c r="K99" s="78">
        <v>141433.29999999999</v>
      </c>
      <c r="L99" s="78">
        <f t="shared" si="29"/>
        <v>322018.90000000002</v>
      </c>
      <c r="M99" s="67">
        <v>25301.3</v>
      </c>
      <c r="N99" s="80"/>
      <c r="O99" s="78">
        <v>20</v>
      </c>
      <c r="P99" s="72"/>
      <c r="Q99" s="81">
        <f>9.4+6174.8+887.9+380.9+14.4</f>
        <v>7467.3999999999987</v>
      </c>
      <c r="R99" s="22">
        <v>4483.1999999999771</v>
      </c>
      <c r="S99" s="78">
        <f t="shared" si="27"/>
        <v>772034.60000000009</v>
      </c>
    </row>
    <row r="100" spans="1:19" s="9" customFormat="1" ht="15.75" hidden="1" customHeight="1" x14ac:dyDescent="0.2">
      <c r="A100" s="84"/>
      <c r="B100" s="81"/>
      <c r="C100" s="82"/>
      <c r="D100" s="67"/>
      <c r="E100" s="67"/>
      <c r="F100" s="79"/>
      <c r="G100" s="67"/>
      <c r="H100" s="67"/>
      <c r="I100" s="67"/>
      <c r="J100" s="78"/>
      <c r="K100" s="78"/>
      <c r="L100" s="78"/>
      <c r="M100" s="67"/>
      <c r="N100" s="80"/>
      <c r="O100" s="78"/>
      <c r="P100" s="72"/>
      <c r="Q100" s="81"/>
      <c r="R100" s="22"/>
      <c r="S100" s="78"/>
    </row>
    <row r="101" spans="1:19" s="9" customFormat="1" ht="15.75" hidden="1" customHeight="1" x14ac:dyDescent="0.2">
      <c r="A101" s="84" t="s">
        <v>85</v>
      </c>
      <c r="B101" s="81">
        <v>460100.90000000008</v>
      </c>
      <c r="C101" s="82">
        <v>23225.200000000001</v>
      </c>
      <c r="D101" s="67" t="s">
        <v>49</v>
      </c>
      <c r="E101" s="67" t="s">
        <v>49</v>
      </c>
      <c r="F101" s="79"/>
      <c r="G101" s="67" t="s">
        <v>49</v>
      </c>
      <c r="H101" s="67" t="s">
        <v>49</v>
      </c>
      <c r="I101" s="67" t="s">
        <v>49</v>
      </c>
      <c r="J101" s="78">
        <v>94325</v>
      </c>
      <c r="K101" s="78">
        <v>141125.20000000001</v>
      </c>
      <c r="L101" s="78">
        <f t="shared" ref="L101:L111" si="30">SUM(C101:K101)</f>
        <v>258675.40000000002</v>
      </c>
      <c r="M101" s="67">
        <v>17713.400000000001</v>
      </c>
      <c r="N101" s="80"/>
      <c r="O101" s="78">
        <v>20</v>
      </c>
      <c r="P101" s="72"/>
      <c r="Q101" s="81">
        <f>9.4+7017.5+887.9+380.9+3.8</f>
        <v>8299.4999999999982</v>
      </c>
      <c r="R101" s="22">
        <v>6370.7999999999183</v>
      </c>
      <c r="S101" s="78">
        <f t="shared" ref="S101:S112" si="31">SUM(B101,L101:R101)</f>
        <v>751180</v>
      </c>
    </row>
    <row r="102" spans="1:19" s="9" customFormat="1" ht="15.75" hidden="1" customHeight="1" x14ac:dyDescent="0.2">
      <c r="A102" s="84" t="s">
        <v>74</v>
      </c>
      <c r="B102" s="81">
        <v>453162.9</v>
      </c>
      <c r="C102" s="82">
        <v>19733.599999999999</v>
      </c>
      <c r="D102" s="67" t="s">
        <v>49</v>
      </c>
      <c r="E102" s="67" t="s">
        <v>49</v>
      </c>
      <c r="F102" s="79"/>
      <c r="G102" s="67" t="s">
        <v>49</v>
      </c>
      <c r="H102" s="67" t="s">
        <v>49</v>
      </c>
      <c r="I102" s="67" t="s">
        <v>49</v>
      </c>
      <c r="J102" s="78">
        <v>94325</v>
      </c>
      <c r="K102" s="78">
        <v>140817.1</v>
      </c>
      <c r="L102" s="78">
        <f t="shared" si="30"/>
        <v>254875.7</v>
      </c>
      <c r="M102" s="67">
        <v>29586.1</v>
      </c>
      <c r="N102" s="80"/>
      <c r="O102" s="78">
        <v>20</v>
      </c>
      <c r="P102" s="72"/>
      <c r="Q102" s="81">
        <f>9.4+7168.5+887.9+380.9+9.1</f>
        <v>8455.7999999999993</v>
      </c>
      <c r="R102" s="22">
        <v>5032.5999999999767</v>
      </c>
      <c r="S102" s="78">
        <f t="shared" si="31"/>
        <v>751133.10000000009</v>
      </c>
    </row>
    <row r="103" spans="1:19" s="9" customFormat="1" ht="15.75" hidden="1" customHeight="1" x14ac:dyDescent="0.2">
      <c r="A103" s="84" t="s">
        <v>75</v>
      </c>
      <c r="B103" s="81">
        <v>419222.4</v>
      </c>
      <c r="C103" s="82">
        <v>41361.199999999997</v>
      </c>
      <c r="D103" s="67" t="s">
        <v>49</v>
      </c>
      <c r="E103" s="67" t="s">
        <v>49</v>
      </c>
      <c r="F103" s="79"/>
      <c r="G103" s="67" t="s">
        <v>49</v>
      </c>
      <c r="H103" s="67" t="s">
        <v>49</v>
      </c>
      <c r="I103" s="67" t="s">
        <v>49</v>
      </c>
      <c r="J103" s="78">
        <v>94325</v>
      </c>
      <c r="K103" s="78">
        <v>140508.9</v>
      </c>
      <c r="L103" s="78">
        <f t="shared" si="30"/>
        <v>276195.09999999998</v>
      </c>
      <c r="M103" s="67">
        <v>31811.4</v>
      </c>
      <c r="N103" s="80"/>
      <c r="O103" s="78">
        <v>20</v>
      </c>
      <c r="P103" s="72"/>
      <c r="Q103" s="81">
        <f>9.4+7111.3+887.9+380.9+9.1</f>
        <v>8398.6</v>
      </c>
      <c r="R103" s="22">
        <v>4735.1999999999771</v>
      </c>
      <c r="S103" s="78">
        <f t="shared" si="31"/>
        <v>740382.7</v>
      </c>
    </row>
    <row r="104" spans="1:19" s="9" customFormat="1" ht="15.75" hidden="1" customHeight="1" x14ac:dyDescent="0.2">
      <c r="A104" s="84" t="s">
        <v>76</v>
      </c>
      <c r="B104" s="81">
        <v>409988.69999999995</v>
      </c>
      <c r="C104" s="82">
        <v>51796.5</v>
      </c>
      <c r="D104" s="67" t="s">
        <v>49</v>
      </c>
      <c r="E104" s="67" t="s">
        <v>49</v>
      </c>
      <c r="F104" s="79"/>
      <c r="G104" s="67" t="s">
        <v>49</v>
      </c>
      <c r="H104" s="67" t="s">
        <v>49</v>
      </c>
      <c r="I104" s="67" t="s">
        <v>49</v>
      </c>
      <c r="J104" s="78">
        <v>94325</v>
      </c>
      <c r="K104" s="78">
        <v>140200.79999999999</v>
      </c>
      <c r="L104" s="78">
        <f t="shared" si="30"/>
        <v>286322.3</v>
      </c>
      <c r="M104" s="67">
        <v>44281</v>
      </c>
      <c r="N104" s="80"/>
      <c r="O104" s="78">
        <v>20</v>
      </c>
      <c r="P104" s="72"/>
      <c r="Q104" s="81">
        <f>9.4+7217.8+887.9+380.9+9.1</f>
        <v>8505.1</v>
      </c>
      <c r="R104" s="22">
        <v>4810.5000000000346</v>
      </c>
      <c r="S104" s="78">
        <f t="shared" si="31"/>
        <v>753927.6</v>
      </c>
    </row>
    <row r="105" spans="1:19" s="9" customFormat="1" ht="15.75" hidden="1" customHeight="1" x14ac:dyDescent="0.2">
      <c r="A105" s="84" t="s">
        <v>77</v>
      </c>
      <c r="B105" s="81">
        <v>407031.99999999994</v>
      </c>
      <c r="C105" s="82">
        <v>32561.9</v>
      </c>
      <c r="D105" s="67" t="s">
        <v>49</v>
      </c>
      <c r="E105" s="67" t="s">
        <v>49</v>
      </c>
      <c r="F105" s="79"/>
      <c r="G105" s="67" t="s">
        <v>49</v>
      </c>
      <c r="H105" s="67" t="s">
        <v>49</v>
      </c>
      <c r="I105" s="67" t="s">
        <v>49</v>
      </c>
      <c r="J105" s="78">
        <v>94325</v>
      </c>
      <c r="K105" s="78">
        <v>140200.79999999999</v>
      </c>
      <c r="L105" s="78">
        <f t="shared" si="30"/>
        <v>267087.69999999995</v>
      </c>
      <c r="M105" s="67">
        <v>51288.800000000003</v>
      </c>
      <c r="N105" s="80"/>
      <c r="O105" s="78">
        <v>20</v>
      </c>
      <c r="P105" s="72"/>
      <c r="Q105" s="81">
        <f>9.4+7323.2+887.9+39.7</f>
        <v>8260.2000000000007</v>
      </c>
      <c r="R105" s="22">
        <v>4934.2000000000353</v>
      </c>
      <c r="S105" s="78">
        <f t="shared" si="31"/>
        <v>738622.9</v>
      </c>
    </row>
    <row r="106" spans="1:19" s="9" customFormat="1" ht="15.75" hidden="1" customHeight="1" x14ac:dyDescent="0.2">
      <c r="A106" s="84" t="s">
        <v>64</v>
      </c>
      <c r="B106" s="81">
        <v>402417.6</v>
      </c>
      <c r="C106" s="82">
        <v>49375</v>
      </c>
      <c r="D106" s="67" t="s">
        <v>49</v>
      </c>
      <c r="E106" s="67" t="s">
        <v>49</v>
      </c>
      <c r="F106" s="79"/>
      <c r="G106" s="67" t="s">
        <v>49</v>
      </c>
      <c r="H106" s="67" t="s">
        <v>49</v>
      </c>
      <c r="I106" s="67" t="s">
        <v>49</v>
      </c>
      <c r="J106" s="78">
        <v>94325</v>
      </c>
      <c r="K106" s="78">
        <v>139584.5</v>
      </c>
      <c r="L106" s="78">
        <f t="shared" si="30"/>
        <v>283284.5</v>
      </c>
      <c r="M106" s="67">
        <v>60598.8</v>
      </c>
      <c r="N106" s="80"/>
      <c r="O106" s="78">
        <v>20</v>
      </c>
      <c r="P106" s="72"/>
      <c r="Q106" s="81">
        <f>9.4+7444.6+887.9+48.5</f>
        <v>8390.4</v>
      </c>
      <c r="R106" s="22">
        <v>5100.5000000000346</v>
      </c>
      <c r="S106" s="78">
        <f t="shared" si="31"/>
        <v>759811.8</v>
      </c>
    </row>
    <row r="107" spans="1:19" s="9" customFormat="1" ht="15.75" hidden="1" customHeight="1" x14ac:dyDescent="0.2">
      <c r="A107" s="84" t="s">
        <v>78</v>
      </c>
      <c r="B107" s="81">
        <v>408385.5</v>
      </c>
      <c r="C107" s="82">
        <v>53695.7</v>
      </c>
      <c r="D107" s="67" t="s">
        <v>49</v>
      </c>
      <c r="E107" s="67" t="s">
        <v>49</v>
      </c>
      <c r="F107" s="79"/>
      <c r="G107" s="67" t="s">
        <v>49</v>
      </c>
      <c r="H107" s="67" t="s">
        <v>49</v>
      </c>
      <c r="I107" s="67" t="s">
        <v>49</v>
      </c>
      <c r="J107" s="78">
        <v>108925</v>
      </c>
      <c r="K107" s="78">
        <v>139276.4</v>
      </c>
      <c r="L107" s="78">
        <f t="shared" si="30"/>
        <v>301897.09999999998</v>
      </c>
      <c r="M107" s="67">
        <v>53762</v>
      </c>
      <c r="N107" s="80"/>
      <c r="O107" s="78">
        <v>20</v>
      </c>
      <c r="P107" s="72"/>
      <c r="Q107" s="81">
        <f>9.4+7540.2+887.9+39.2</f>
        <v>8476.7000000000007</v>
      </c>
      <c r="R107" s="22">
        <v>5760.2999999999765</v>
      </c>
      <c r="S107" s="78">
        <f t="shared" si="31"/>
        <v>778301.59999999986</v>
      </c>
    </row>
    <row r="108" spans="1:19" s="9" customFormat="1" ht="15.75" hidden="1" customHeight="1" x14ac:dyDescent="0.2">
      <c r="A108" s="84" t="s">
        <v>79</v>
      </c>
      <c r="B108" s="81">
        <v>412945.4</v>
      </c>
      <c r="C108" s="82">
        <v>65092</v>
      </c>
      <c r="D108" s="67" t="s">
        <v>49</v>
      </c>
      <c r="E108" s="67" t="s">
        <v>49</v>
      </c>
      <c r="F108" s="79"/>
      <c r="G108" s="67" t="s">
        <v>49</v>
      </c>
      <c r="H108" s="67" t="s">
        <v>49</v>
      </c>
      <c r="I108" s="67" t="s">
        <v>49</v>
      </c>
      <c r="J108" s="78">
        <v>108925</v>
      </c>
      <c r="K108" s="78">
        <v>138968.29999999999</v>
      </c>
      <c r="L108" s="78">
        <f t="shared" si="30"/>
        <v>312985.3</v>
      </c>
      <c r="M108" s="67">
        <v>40499.300000000003</v>
      </c>
      <c r="N108" s="80"/>
      <c r="O108" s="78">
        <v>20</v>
      </c>
      <c r="P108" s="72"/>
      <c r="Q108" s="81">
        <f>9.4+7672.3+887.9+41.7</f>
        <v>8611.3000000000011</v>
      </c>
      <c r="R108" s="22">
        <v>6493.5999999999767</v>
      </c>
      <c r="S108" s="78">
        <f t="shared" si="31"/>
        <v>781554.9</v>
      </c>
    </row>
    <row r="109" spans="1:19" s="9" customFormat="1" ht="15.75" hidden="1" customHeight="1" x14ac:dyDescent="0.2">
      <c r="A109" s="84" t="s">
        <v>65</v>
      </c>
      <c r="B109" s="81">
        <v>432825.59999999998</v>
      </c>
      <c r="C109" s="82">
        <v>51763.199999999997</v>
      </c>
      <c r="D109" s="67" t="s">
        <v>49</v>
      </c>
      <c r="E109" s="67" t="s">
        <v>49</v>
      </c>
      <c r="F109" s="79"/>
      <c r="G109" s="67" t="s">
        <v>49</v>
      </c>
      <c r="H109" s="67" t="s">
        <v>49</v>
      </c>
      <c r="I109" s="67" t="s">
        <v>49</v>
      </c>
      <c r="J109" s="78">
        <v>108925</v>
      </c>
      <c r="K109" s="78">
        <v>138968.29999999999</v>
      </c>
      <c r="L109" s="78">
        <f t="shared" si="30"/>
        <v>299656.5</v>
      </c>
      <c r="M109" s="67">
        <v>29808.6</v>
      </c>
      <c r="N109" s="80"/>
      <c r="O109" s="78">
        <v>20</v>
      </c>
      <c r="P109" s="72"/>
      <c r="Q109" s="81">
        <f>9.4+8051.3+887.9+41.7</f>
        <v>8990.3000000000011</v>
      </c>
      <c r="R109" s="22">
        <v>6733.2000000000353</v>
      </c>
      <c r="S109" s="78">
        <f t="shared" si="31"/>
        <v>778034.20000000007</v>
      </c>
    </row>
    <row r="110" spans="1:19" s="9" customFormat="1" ht="15.75" hidden="1" customHeight="1" x14ac:dyDescent="0.2">
      <c r="A110" s="84" t="s">
        <v>80</v>
      </c>
      <c r="B110" s="81">
        <v>423492.60000000003</v>
      </c>
      <c r="C110" s="82">
        <v>78836.5</v>
      </c>
      <c r="D110" s="67" t="s">
        <v>49</v>
      </c>
      <c r="E110" s="67" t="s">
        <v>49</v>
      </c>
      <c r="F110" s="79"/>
      <c r="G110" s="67" t="s">
        <v>49</v>
      </c>
      <c r="H110" s="67" t="s">
        <v>49</v>
      </c>
      <c r="I110" s="67" t="s">
        <v>49</v>
      </c>
      <c r="J110" s="78">
        <v>108925</v>
      </c>
      <c r="K110" s="78">
        <v>138352</v>
      </c>
      <c r="L110" s="78">
        <f t="shared" si="30"/>
        <v>326113.5</v>
      </c>
      <c r="M110" s="67">
        <v>15843.6</v>
      </c>
      <c r="N110" s="80"/>
      <c r="O110" s="78">
        <v>20</v>
      </c>
      <c r="P110" s="72"/>
      <c r="Q110" s="81">
        <f>9.4+8131.5+887.9+35.3</f>
        <v>9064.0999999999985</v>
      </c>
      <c r="R110" s="22">
        <v>7394.0999999999767</v>
      </c>
      <c r="S110" s="78">
        <f t="shared" si="31"/>
        <v>781927.9</v>
      </c>
    </row>
    <row r="111" spans="1:19" s="9" customFormat="1" ht="15.75" hidden="1" customHeight="1" x14ac:dyDescent="0.2">
      <c r="A111" s="84" t="s">
        <v>81</v>
      </c>
      <c r="B111" s="81">
        <v>428672.29999999993</v>
      </c>
      <c r="C111" s="82">
        <v>104206.5</v>
      </c>
      <c r="D111" s="67" t="s">
        <v>49</v>
      </c>
      <c r="E111" s="67" t="s">
        <v>49</v>
      </c>
      <c r="F111" s="79"/>
      <c r="G111" s="67" t="s">
        <v>49</v>
      </c>
      <c r="H111" s="67" t="s">
        <v>49</v>
      </c>
      <c r="I111" s="67" t="s">
        <v>49</v>
      </c>
      <c r="J111" s="78">
        <v>108925</v>
      </c>
      <c r="K111" s="78">
        <v>138043.9</v>
      </c>
      <c r="L111" s="78">
        <f t="shared" si="30"/>
        <v>351175.4</v>
      </c>
      <c r="M111" s="67">
        <v>9108</v>
      </c>
      <c r="N111" s="80"/>
      <c r="O111" s="78">
        <v>20</v>
      </c>
      <c r="P111" s="72"/>
      <c r="Q111" s="81">
        <f>9.4+8100+887.9+35.3</f>
        <v>9032.5999999999985</v>
      </c>
      <c r="R111" s="22">
        <v>7680.1000000000931</v>
      </c>
      <c r="S111" s="78">
        <f t="shared" si="31"/>
        <v>805688.4</v>
      </c>
    </row>
    <row r="112" spans="1:19" s="9" customFormat="1" ht="15.75" hidden="1" customHeight="1" x14ac:dyDescent="0.2">
      <c r="A112" s="84" t="s">
        <v>66</v>
      </c>
      <c r="B112" s="81">
        <v>485025.5</v>
      </c>
      <c r="C112" s="67" t="s">
        <v>49</v>
      </c>
      <c r="D112" s="67" t="s">
        <v>49</v>
      </c>
      <c r="E112" s="67" t="s">
        <v>49</v>
      </c>
      <c r="F112" s="79"/>
      <c r="G112" s="67" t="s">
        <v>49</v>
      </c>
      <c r="H112" s="67" t="s">
        <v>49</v>
      </c>
      <c r="I112" s="67" t="s">
        <v>49</v>
      </c>
      <c r="J112" s="78">
        <v>117037.4</v>
      </c>
      <c r="K112" s="78">
        <f>137735.7+155251.9</f>
        <v>292987.59999999998</v>
      </c>
      <c r="L112" s="78">
        <f t="shared" ref="L112" si="32">SUM(C112:K112)</f>
        <v>410025</v>
      </c>
      <c r="M112" s="67" t="s">
        <v>49</v>
      </c>
      <c r="N112" s="80"/>
      <c r="O112" s="78">
        <v>20</v>
      </c>
      <c r="P112" s="72"/>
      <c r="Q112" s="81">
        <f>9.4+8116.1+887.9+26</f>
        <v>9039.4</v>
      </c>
      <c r="R112" s="22">
        <v>7843.899999999976</v>
      </c>
      <c r="S112" s="78">
        <f t="shared" si="31"/>
        <v>911953.8</v>
      </c>
    </row>
    <row r="113" spans="1:31" s="9" customFormat="1" ht="15.75" hidden="1" customHeight="1" x14ac:dyDescent="0.2">
      <c r="A113" s="84"/>
      <c r="B113" s="81"/>
      <c r="C113" s="67"/>
      <c r="D113" s="67"/>
      <c r="E113" s="67"/>
      <c r="F113" s="79"/>
      <c r="G113" s="67"/>
      <c r="H113" s="67"/>
      <c r="I113" s="67"/>
      <c r="J113" s="78"/>
      <c r="K113" s="78"/>
      <c r="L113" s="78"/>
      <c r="M113" s="67"/>
      <c r="N113" s="80"/>
      <c r="O113" s="78"/>
      <c r="P113" s="72"/>
      <c r="Q113" s="81"/>
      <c r="R113" s="22"/>
      <c r="S113" s="78"/>
    </row>
    <row r="114" spans="1:31" s="9" customFormat="1" ht="15.75" hidden="1" customHeight="1" x14ac:dyDescent="0.2">
      <c r="A114" s="84" t="s">
        <v>86</v>
      </c>
      <c r="B114" s="81">
        <v>484932.90000000008</v>
      </c>
      <c r="C114" s="86" t="s">
        <v>49</v>
      </c>
      <c r="D114" s="67" t="s">
        <v>49</v>
      </c>
      <c r="E114" s="67" t="s">
        <v>49</v>
      </c>
      <c r="F114" s="79"/>
      <c r="G114" s="67" t="s">
        <v>49</v>
      </c>
      <c r="H114" s="67" t="s">
        <v>49</v>
      </c>
      <c r="I114" s="67" t="s">
        <v>49</v>
      </c>
      <c r="J114" s="78">
        <v>117037.4</v>
      </c>
      <c r="K114" s="78">
        <v>291286.19999999995</v>
      </c>
      <c r="L114" s="78">
        <f t="shared" ref="L114:L127" si="33">SUM(C114:K114)</f>
        <v>408323.6</v>
      </c>
      <c r="M114" s="67" t="s">
        <v>49</v>
      </c>
      <c r="N114" s="80"/>
      <c r="O114" s="78">
        <v>20</v>
      </c>
      <c r="P114" s="72"/>
      <c r="Q114" s="81">
        <v>9763.9</v>
      </c>
      <c r="R114" s="22">
        <v>8743.5999999999185</v>
      </c>
      <c r="S114" s="78">
        <f t="shared" ref="S114:S138" si="34">SUM(B114,L114:R114)</f>
        <v>911784</v>
      </c>
      <c r="W114" s="9">
        <v>450584.80000000005</v>
      </c>
      <c r="X114" s="9">
        <v>463775.29999999987</v>
      </c>
      <c r="Y114" s="9">
        <v>427795.10000000003</v>
      </c>
      <c r="Z114" s="9">
        <v>459491.9</v>
      </c>
      <c r="AA114" s="9">
        <v>445616.2</v>
      </c>
      <c r="AB114" s="9">
        <v>459354.19999999995</v>
      </c>
      <c r="AC114" s="9">
        <v>480821.6</v>
      </c>
      <c r="AD114" s="9">
        <v>461477.3</v>
      </c>
      <c r="AE114" s="9">
        <v>501323.49999999994</v>
      </c>
    </row>
    <row r="115" spans="1:31" s="9" customFormat="1" ht="15.75" hidden="1" customHeight="1" x14ac:dyDescent="0.2">
      <c r="A115" s="84" t="s">
        <v>74</v>
      </c>
      <c r="B115" s="81">
        <v>549006.4</v>
      </c>
      <c r="C115" s="86" t="s">
        <v>49</v>
      </c>
      <c r="D115" s="67" t="s">
        <v>49</v>
      </c>
      <c r="E115" s="67" t="s">
        <v>49</v>
      </c>
      <c r="F115" s="79"/>
      <c r="G115" s="67" t="s">
        <v>49</v>
      </c>
      <c r="H115" s="67" t="s">
        <v>49</v>
      </c>
      <c r="I115" s="67" t="s">
        <v>49</v>
      </c>
      <c r="J115" s="78">
        <v>114250.8</v>
      </c>
      <c r="K115" s="78">
        <v>292371.40000000002</v>
      </c>
      <c r="L115" s="78">
        <f t="shared" si="33"/>
        <v>406622.2</v>
      </c>
      <c r="M115" s="67">
        <v>11804.3</v>
      </c>
      <c r="N115" s="80"/>
      <c r="O115" s="78">
        <v>20</v>
      </c>
      <c r="P115" s="72"/>
      <c r="Q115" s="81">
        <v>9758.0999999999985</v>
      </c>
      <c r="R115" s="22">
        <v>11041.99999999986</v>
      </c>
      <c r="S115" s="78">
        <f t="shared" si="34"/>
        <v>988253</v>
      </c>
    </row>
    <row r="116" spans="1:31" s="9" customFormat="1" ht="15.75" hidden="1" customHeight="1" x14ac:dyDescent="0.2">
      <c r="A116" s="84" t="s">
        <v>75</v>
      </c>
      <c r="B116" s="81">
        <v>456575.60000000003</v>
      </c>
      <c r="C116" s="86" t="s">
        <v>49</v>
      </c>
      <c r="D116" s="67" t="s">
        <v>49</v>
      </c>
      <c r="E116" s="67" t="s">
        <v>49</v>
      </c>
      <c r="F116" s="79"/>
      <c r="G116" s="67" t="s">
        <v>49</v>
      </c>
      <c r="H116" s="67" t="s">
        <v>49</v>
      </c>
      <c r="I116" s="67" t="s">
        <v>49</v>
      </c>
      <c r="J116" s="78">
        <v>112857.5</v>
      </c>
      <c r="K116" s="78">
        <v>292063.09999999998</v>
      </c>
      <c r="L116" s="78">
        <f t="shared" si="33"/>
        <v>404920.6</v>
      </c>
      <c r="M116" s="67">
        <v>7592</v>
      </c>
      <c r="N116" s="80"/>
      <c r="O116" s="78">
        <v>20</v>
      </c>
      <c r="P116" s="72"/>
      <c r="Q116" s="81">
        <v>9638</v>
      </c>
      <c r="R116" s="22">
        <v>11346.900000000036</v>
      </c>
      <c r="S116" s="78">
        <f t="shared" si="34"/>
        <v>890093.1</v>
      </c>
    </row>
    <row r="117" spans="1:31" s="9" customFormat="1" ht="15.75" hidden="1" customHeight="1" x14ac:dyDescent="0.2">
      <c r="A117" s="84" t="s">
        <v>76</v>
      </c>
      <c r="B117" s="81">
        <v>450584.80000000005</v>
      </c>
      <c r="C117" s="82">
        <v>11186</v>
      </c>
      <c r="D117" s="67" t="s">
        <v>49</v>
      </c>
      <c r="E117" s="67" t="s">
        <v>49</v>
      </c>
      <c r="F117" s="79"/>
      <c r="G117" s="67" t="s">
        <v>49</v>
      </c>
      <c r="H117" s="67" t="s">
        <v>49</v>
      </c>
      <c r="I117" s="67" t="s">
        <v>49</v>
      </c>
      <c r="J117" s="78">
        <v>111464.2</v>
      </c>
      <c r="K117" s="78">
        <v>291755.09999999998</v>
      </c>
      <c r="L117" s="78">
        <f t="shared" si="33"/>
        <v>414405.3</v>
      </c>
      <c r="M117" s="67" t="s">
        <v>49</v>
      </c>
      <c r="N117" s="80"/>
      <c r="O117" s="78">
        <v>20</v>
      </c>
      <c r="P117" s="72"/>
      <c r="Q117" s="81">
        <v>9597.9</v>
      </c>
      <c r="R117" s="22">
        <v>11407.099999999919</v>
      </c>
      <c r="S117" s="78">
        <f t="shared" si="34"/>
        <v>886015.10000000009</v>
      </c>
    </row>
    <row r="118" spans="1:31" s="9" customFormat="1" ht="15.75" hidden="1" customHeight="1" x14ac:dyDescent="0.2">
      <c r="A118" s="84" t="s">
        <v>77</v>
      </c>
      <c r="B118" s="81">
        <v>463775.29999999987</v>
      </c>
      <c r="C118" s="86" t="s">
        <v>49</v>
      </c>
      <c r="D118" s="67" t="s">
        <v>49</v>
      </c>
      <c r="E118" s="67" t="s">
        <v>49</v>
      </c>
      <c r="F118" s="79"/>
      <c r="G118" s="67" t="s">
        <v>49</v>
      </c>
      <c r="H118" s="67" t="s">
        <v>49</v>
      </c>
      <c r="I118" s="67" t="s">
        <v>49</v>
      </c>
      <c r="J118" s="78">
        <v>110070.9</v>
      </c>
      <c r="K118" s="78">
        <v>291446.90000000002</v>
      </c>
      <c r="L118" s="78">
        <f t="shared" si="33"/>
        <v>401517.80000000005</v>
      </c>
      <c r="M118" s="67" t="s">
        <v>49</v>
      </c>
      <c r="N118" s="80"/>
      <c r="O118" s="78">
        <v>20</v>
      </c>
      <c r="P118" s="72"/>
      <c r="Q118" s="81">
        <v>9828.6</v>
      </c>
      <c r="R118" s="22">
        <v>11468.600000000093</v>
      </c>
      <c r="S118" s="78">
        <f t="shared" si="34"/>
        <v>886610.29999999993</v>
      </c>
    </row>
    <row r="119" spans="1:31" s="9" customFormat="1" ht="15.75" hidden="1" customHeight="1" x14ac:dyDescent="0.2">
      <c r="A119" s="84" t="s">
        <v>64</v>
      </c>
      <c r="B119" s="81">
        <v>427795.10000000003</v>
      </c>
      <c r="C119" s="86" t="s">
        <v>49</v>
      </c>
      <c r="D119" s="67" t="s">
        <v>49</v>
      </c>
      <c r="E119" s="67" t="s">
        <v>49</v>
      </c>
      <c r="F119" s="79"/>
      <c r="G119" s="67" t="s">
        <v>49</v>
      </c>
      <c r="H119" s="67" t="s">
        <v>49</v>
      </c>
      <c r="I119" s="67" t="s">
        <v>49</v>
      </c>
      <c r="J119" s="78">
        <v>108677.6</v>
      </c>
      <c r="K119" s="78">
        <v>291138.8</v>
      </c>
      <c r="L119" s="78">
        <f t="shared" si="33"/>
        <v>399816.4</v>
      </c>
      <c r="M119" s="67" t="s">
        <v>49</v>
      </c>
      <c r="N119" s="80"/>
      <c r="O119" s="78">
        <v>20</v>
      </c>
      <c r="P119" s="72"/>
      <c r="Q119" s="81">
        <v>9998</v>
      </c>
      <c r="R119" s="22">
        <v>11268.099999999977</v>
      </c>
      <c r="S119" s="78">
        <f t="shared" si="34"/>
        <v>848897.6</v>
      </c>
    </row>
    <row r="120" spans="1:31" s="9" customFormat="1" ht="15.75" hidden="1" customHeight="1" x14ac:dyDescent="0.2">
      <c r="A120" s="84" t="s">
        <v>78</v>
      </c>
      <c r="B120" s="81">
        <v>459491.9</v>
      </c>
      <c r="C120" s="86" t="s">
        <v>49</v>
      </c>
      <c r="D120" s="67" t="s">
        <v>49</v>
      </c>
      <c r="E120" s="67" t="s">
        <v>49</v>
      </c>
      <c r="F120" s="79"/>
      <c r="G120" s="67" t="s">
        <v>49</v>
      </c>
      <c r="H120" s="67" t="s">
        <v>49</v>
      </c>
      <c r="I120" s="67" t="s">
        <v>49</v>
      </c>
      <c r="J120" s="78">
        <v>107284.3</v>
      </c>
      <c r="K120" s="78">
        <v>290830.7</v>
      </c>
      <c r="L120" s="78">
        <f t="shared" si="33"/>
        <v>398115</v>
      </c>
      <c r="M120" s="67">
        <v>2619.6999999999998</v>
      </c>
      <c r="N120" s="80"/>
      <c r="O120" s="78">
        <v>20</v>
      </c>
      <c r="P120" s="72"/>
      <c r="Q120" s="81">
        <v>10448.699999999999</v>
      </c>
      <c r="R120" s="22">
        <v>11885.899999999976</v>
      </c>
      <c r="S120" s="78">
        <f t="shared" si="34"/>
        <v>882581.2</v>
      </c>
    </row>
    <row r="121" spans="1:31" s="9" customFormat="1" ht="15.75" hidden="1" customHeight="1" x14ac:dyDescent="0.2">
      <c r="A121" s="84" t="s">
        <v>79</v>
      </c>
      <c r="B121" s="81">
        <v>445616.2</v>
      </c>
      <c r="C121" s="86" t="s">
        <v>49</v>
      </c>
      <c r="D121" s="67" t="s">
        <v>49</v>
      </c>
      <c r="E121" s="67" t="s">
        <v>49</v>
      </c>
      <c r="F121" s="79"/>
      <c r="G121" s="67" t="s">
        <v>49</v>
      </c>
      <c r="H121" s="67" t="s">
        <v>49</v>
      </c>
      <c r="I121" s="67" t="s">
        <v>49</v>
      </c>
      <c r="J121" s="78">
        <v>107284.3</v>
      </c>
      <c r="K121" s="78">
        <v>290830.7</v>
      </c>
      <c r="L121" s="78">
        <f t="shared" si="33"/>
        <v>398115</v>
      </c>
      <c r="M121" s="67" t="s">
        <v>49</v>
      </c>
      <c r="N121" s="80"/>
      <c r="O121" s="78">
        <v>20</v>
      </c>
      <c r="P121" s="72"/>
      <c r="Q121" s="81">
        <v>10728.099999999999</v>
      </c>
      <c r="R121" s="22">
        <v>12193.099999999977</v>
      </c>
      <c r="S121" s="78">
        <f t="shared" si="34"/>
        <v>866672.39999999991</v>
      </c>
    </row>
    <row r="122" spans="1:31" s="9" customFormat="1" ht="15.75" hidden="1" customHeight="1" x14ac:dyDescent="0.2">
      <c r="A122" s="84" t="s">
        <v>65</v>
      </c>
      <c r="B122" s="81">
        <v>459354.19999999995</v>
      </c>
      <c r="C122" s="86" t="s">
        <v>49</v>
      </c>
      <c r="D122" s="67" t="s">
        <v>49</v>
      </c>
      <c r="E122" s="67" t="s">
        <v>49</v>
      </c>
      <c r="F122" s="79"/>
      <c r="G122" s="67" t="s">
        <v>49</v>
      </c>
      <c r="H122" s="67" t="s">
        <v>49</v>
      </c>
      <c r="I122" s="67" t="s">
        <v>49</v>
      </c>
      <c r="J122" s="78">
        <v>107284.3</v>
      </c>
      <c r="K122" s="78">
        <v>290214.40000000002</v>
      </c>
      <c r="L122" s="78">
        <f t="shared" si="33"/>
        <v>397498.7</v>
      </c>
      <c r="M122" s="67">
        <v>61.3</v>
      </c>
      <c r="N122" s="80"/>
      <c r="O122" s="78">
        <v>20</v>
      </c>
      <c r="P122" s="72"/>
      <c r="Q122" s="81">
        <v>10811.199999999999</v>
      </c>
      <c r="R122" s="22">
        <v>12197.000000000035</v>
      </c>
      <c r="S122" s="78">
        <f t="shared" si="34"/>
        <v>879942.39999999991</v>
      </c>
    </row>
    <row r="123" spans="1:31" s="9" customFormat="1" ht="15.75" hidden="1" customHeight="1" x14ac:dyDescent="0.2">
      <c r="A123" s="84" t="s">
        <v>80</v>
      </c>
      <c r="B123" s="81">
        <v>480821.6</v>
      </c>
      <c r="C123" s="82">
        <v>6525.5</v>
      </c>
      <c r="D123" s="67" t="s">
        <v>49</v>
      </c>
      <c r="E123" s="67" t="s">
        <v>49</v>
      </c>
      <c r="F123" s="79"/>
      <c r="G123" s="67" t="s">
        <v>49</v>
      </c>
      <c r="H123" s="67" t="s">
        <v>49</v>
      </c>
      <c r="I123" s="67" t="s">
        <v>49</v>
      </c>
      <c r="J123" s="78">
        <v>107284.3</v>
      </c>
      <c r="K123" s="78">
        <v>289906.3</v>
      </c>
      <c r="L123" s="78">
        <f t="shared" si="33"/>
        <v>403716.1</v>
      </c>
      <c r="M123" s="67" t="s">
        <v>49</v>
      </c>
      <c r="N123" s="80"/>
      <c r="O123" s="78">
        <v>20</v>
      </c>
      <c r="P123" s="72"/>
      <c r="Q123" s="81">
        <v>10933</v>
      </c>
      <c r="R123" s="22">
        <v>13482.999999999978</v>
      </c>
      <c r="S123" s="78">
        <f t="shared" si="34"/>
        <v>908973.7</v>
      </c>
    </row>
    <row r="124" spans="1:31" s="9" customFormat="1" ht="15.75" hidden="1" customHeight="1" x14ac:dyDescent="0.2">
      <c r="A124" s="84" t="s">
        <v>81</v>
      </c>
      <c r="B124" s="81">
        <v>461477.3</v>
      </c>
      <c r="C124" s="67">
        <v>20947.400000000001</v>
      </c>
      <c r="D124" s="67" t="s">
        <v>49</v>
      </c>
      <c r="E124" s="67" t="s">
        <v>49</v>
      </c>
      <c r="F124" s="79"/>
      <c r="G124" s="67" t="s">
        <v>49</v>
      </c>
      <c r="H124" s="67" t="s">
        <v>49</v>
      </c>
      <c r="I124" s="67" t="s">
        <v>49</v>
      </c>
      <c r="J124" s="78">
        <v>107284.3</v>
      </c>
      <c r="K124" s="22">
        <v>289906.3</v>
      </c>
      <c r="L124" s="78">
        <f t="shared" si="33"/>
        <v>418138</v>
      </c>
      <c r="M124" s="67" t="s">
        <v>49</v>
      </c>
      <c r="N124" s="80"/>
      <c r="O124" s="78">
        <v>20</v>
      </c>
      <c r="P124" s="72"/>
      <c r="Q124" s="81">
        <v>11059.899999999998</v>
      </c>
      <c r="R124" s="22">
        <v>13585.2</v>
      </c>
      <c r="S124" s="78">
        <f t="shared" si="34"/>
        <v>904280.4</v>
      </c>
    </row>
    <row r="125" spans="1:31" s="9" customFormat="1" ht="15.75" hidden="1" customHeight="1" x14ac:dyDescent="0.2">
      <c r="A125" s="84" t="s">
        <v>66</v>
      </c>
      <c r="B125" s="81">
        <v>501323.49999999994</v>
      </c>
      <c r="C125" s="67" t="s">
        <v>49</v>
      </c>
      <c r="D125" s="67" t="s">
        <v>49</v>
      </c>
      <c r="E125" s="67" t="s">
        <v>49</v>
      </c>
      <c r="F125" s="79"/>
      <c r="G125" s="67" t="s">
        <v>49</v>
      </c>
      <c r="H125" s="67" t="s">
        <v>49</v>
      </c>
      <c r="I125" s="67" t="s">
        <v>49</v>
      </c>
      <c r="J125" s="78">
        <v>107284.3</v>
      </c>
      <c r="K125" s="22">
        <v>289290</v>
      </c>
      <c r="L125" s="78">
        <f t="shared" si="33"/>
        <v>396574.3</v>
      </c>
      <c r="M125" s="67" t="s">
        <v>49</v>
      </c>
      <c r="N125" s="80"/>
      <c r="O125" s="78">
        <v>20</v>
      </c>
      <c r="P125" s="72"/>
      <c r="Q125" s="81">
        <v>11039.999999999998</v>
      </c>
      <c r="R125" s="22">
        <v>14789.2</v>
      </c>
      <c r="S125" s="78">
        <f t="shared" si="34"/>
        <v>923746.99999999988</v>
      </c>
    </row>
    <row r="126" spans="1:31" s="9" customFormat="1" ht="15.75" hidden="1" customHeight="1" x14ac:dyDescent="0.2">
      <c r="A126" s="85"/>
      <c r="B126" s="81"/>
      <c r="C126" s="67"/>
      <c r="D126" s="67"/>
      <c r="E126" s="67"/>
      <c r="F126" s="79"/>
      <c r="G126" s="67"/>
      <c r="H126" s="67"/>
      <c r="I126" s="67"/>
      <c r="J126" s="78"/>
      <c r="K126" s="22"/>
      <c r="L126" s="78"/>
      <c r="M126" s="67"/>
      <c r="N126" s="80"/>
      <c r="O126" s="78"/>
      <c r="P126" s="72"/>
      <c r="Q126" s="81"/>
      <c r="R126" s="22"/>
      <c r="S126" s="78"/>
    </row>
    <row r="127" spans="1:31" s="9" customFormat="1" ht="15.75" hidden="1" customHeight="1" x14ac:dyDescent="0.2">
      <c r="A127" s="84" t="s">
        <v>87</v>
      </c>
      <c r="B127" s="81">
        <v>476420.8</v>
      </c>
      <c r="C127" s="67" t="s">
        <v>49</v>
      </c>
      <c r="D127" s="67" t="s">
        <v>49</v>
      </c>
      <c r="E127" s="67" t="s">
        <v>49</v>
      </c>
      <c r="F127" s="79"/>
      <c r="G127" s="67" t="s">
        <v>49</v>
      </c>
      <c r="H127" s="67" t="s">
        <v>49</v>
      </c>
      <c r="I127" s="67" t="s">
        <v>49</v>
      </c>
      <c r="J127" s="78">
        <v>107284.3</v>
      </c>
      <c r="K127" s="22">
        <v>289290</v>
      </c>
      <c r="L127" s="78">
        <f t="shared" si="33"/>
        <v>396574.3</v>
      </c>
      <c r="M127" s="67" t="s">
        <v>49</v>
      </c>
      <c r="N127" s="80"/>
      <c r="O127" s="78">
        <v>20</v>
      </c>
      <c r="P127" s="72"/>
      <c r="Q127" s="81">
        <v>12077.8</v>
      </c>
      <c r="R127" s="22">
        <v>14948.7</v>
      </c>
      <c r="S127" s="78">
        <f t="shared" si="34"/>
        <v>900041.6</v>
      </c>
    </row>
    <row r="128" spans="1:31" s="9" customFormat="1" ht="15.75" hidden="1" customHeight="1" x14ac:dyDescent="0.2">
      <c r="A128" s="84" t="s">
        <v>74</v>
      </c>
      <c r="B128" s="81">
        <f>475747.7+1198.4</f>
        <v>476946.10000000003</v>
      </c>
      <c r="C128" s="67" t="s">
        <v>49</v>
      </c>
      <c r="D128" s="67" t="s">
        <v>49</v>
      </c>
      <c r="E128" s="67" t="s">
        <v>49</v>
      </c>
      <c r="F128" s="79"/>
      <c r="G128" s="67" t="s">
        <v>49</v>
      </c>
      <c r="H128" s="67" t="s">
        <v>49</v>
      </c>
      <c r="I128" s="67" t="s">
        <v>49</v>
      </c>
      <c r="J128" s="78">
        <v>107284.3</v>
      </c>
      <c r="K128" s="22">
        <v>288673.7</v>
      </c>
      <c r="L128" s="78">
        <f t="shared" ref="L128:L138" si="35">SUM(C128:K128)</f>
        <v>395958</v>
      </c>
      <c r="M128" s="67">
        <v>2029.8</v>
      </c>
      <c r="N128" s="80"/>
      <c r="O128" s="78">
        <v>20</v>
      </c>
      <c r="P128" s="72"/>
      <c r="Q128" s="81">
        <f>887.9+11612.7+33.4</f>
        <v>12534</v>
      </c>
      <c r="R128" s="22">
        <f>16104.5-1198.4</f>
        <v>14906.1</v>
      </c>
      <c r="S128" s="78">
        <f t="shared" si="34"/>
        <v>902394.00000000012</v>
      </c>
    </row>
    <row r="129" spans="1:19" s="9" customFormat="1" ht="15.75" hidden="1" customHeight="1" x14ac:dyDescent="0.2">
      <c r="A129" s="84" t="s">
        <v>75</v>
      </c>
      <c r="B129" s="81">
        <f>490364.5+1198.4</f>
        <v>491562.9</v>
      </c>
      <c r="C129" s="67">
        <v>8513</v>
      </c>
      <c r="D129" s="67" t="s">
        <v>49</v>
      </c>
      <c r="E129" s="67" t="s">
        <v>49</v>
      </c>
      <c r="F129" s="79"/>
      <c r="G129" s="67" t="s">
        <v>49</v>
      </c>
      <c r="H129" s="67" t="s">
        <v>49</v>
      </c>
      <c r="I129" s="67" t="s">
        <v>49</v>
      </c>
      <c r="J129" s="78">
        <v>107284.3</v>
      </c>
      <c r="K129" s="22">
        <v>288673.7</v>
      </c>
      <c r="L129" s="78">
        <f t="shared" si="35"/>
        <v>404471</v>
      </c>
      <c r="M129" s="67">
        <v>2239.9</v>
      </c>
      <c r="N129" s="80"/>
      <c r="O129" s="78">
        <v>20</v>
      </c>
      <c r="P129" s="72"/>
      <c r="Q129" s="81">
        <f>887.9+11758.1+21.3</f>
        <v>12667.3</v>
      </c>
      <c r="R129" s="22">
        <f>16389.1-1198.4</f>
        <v>15190.699999999999</v>
      </c>
      <c r="S129" s="78">
        <f t="shared" si="34"/>
        <v>926151.8</v>
      </c>
    </row>
    <row r="130" spans="1:19" s="9" customFormat="1" ht="15.75" hidden="1" customHeight="1" x14ac:dyDescent="0.2">
      <c r="A130" s="84" t="s">
        <v>76</v>
      </c>
      <c r="B130" s="81">
        <f>492431.1+1198.4</f>
        <v>493629.5</v>
      </c>
      <c r="C130" s="67">
        <v>14256.4</v>
      </c>
      <c r="D130" s="67" t="s">
        <v>49</v>
      </c>
      <c r="E130" s="67" t="s">
        <v>49</v>
      </c>
      <c r="F130" s="79"/>
      <c r="G130" s="67" t="s">
        <v>49</v>
      </c>
      <c r="H130" s="67" t="s">
        <v>49</v>
      </c>
      <c r="I130" s="67" t="s">
        <v>49</v>
      </c>
      <c r="J130" s="78">
        <v>107284.3</v>
      </c>
      <c r="K130" s="22">
        <v>288365.59999999998</v>
      </c>
      <c r="L130" s="78">
        <f t="shared" si="35"/>
        <v>409906.3</v>
      </c>
      <c r="M130" s="67">
        <v>1914.8</v>
      </c>
      <c r="N130" s="80"/>
      <c r="O130" s="78">
        <v>20</v>
      </c>
      <c r="P130" s="72"/>
      <c r="Q130" s="81">
        <f>887.9+11937.4+21.3</f>
        <v>12846.599999999999</v>
      </c>
      <c r="R130" s="22">
        <f>47709.6-1198.4</f>
        <v>46511.199999999997</v>
      </c>
      <c r="S130" s="78">
        <f t="shared" si="34"/>
        <v>964828.4</v>
      </c>
    </row>
    <row r="131" spans="1:19" s="9" customFormat="1" ht="15.75" hidden="1" customHeight="1" x14ac:dyDescent="0.2">
      <c r="A131" s="84" t="s">
        <v>77</v>
      </c>
      <c r="B131" s="81">
        <f>481241.6+1198.4</f>
        <v>482440</v>
      </c>
      <c r="C131" s="67">
        <v>16076.5</v>
      </c>
      <c r="D131" s="67" t="s">
        <v>49</v>
      </c>
      <c r="E131" s="67" t="s">
        <v>49</v>
      </c>
      <c r="F131" s="79"/>
      <c r="G131" s="67" t="s">
        <v>49</v>
      </c>
      <c r="H131" s="67" t="s">
        <v>49</v>
      </c>
      <c r="I131" s="67" t="s">
        <v>49</v>
      </c>
      <c r="J131" s="78">
        <v>107284.3</v>
      </c>
      <c r="K131" s="22">
        <v>287749.3</v>
      </c>
      <c r="L131" s="78">
        <f t="shared" si="35"/>
        <v>411110.1</v>
      </c>
      <c r="M131" s="67">
        <v>1914.8</v>
      </c>
      <c r="N131" s="80"/>
      <c r="O131" s="78">
        <v>20</v>
      </c>
      <c r="P131" s="72"/>
      <c r="Q131" s="81">
        <f>887.9+11973.7+21.3</f>
        <v>12882.9</v>
      </c>
      <c r="R131" s="22">
        <f>47840.2-1198.4</f>
        <v>46641.799999999996</v>
      </c>
      <c r="S131" s="78">
        <f t="shared" si="34"/>
        <v>955009.60000000009</v>
      </c>
    </row>
    <row r="132" spans="1:19" s="9" customFormat="1" ht="15.75" hidden="1" customHeight="1" x14ac:dyDescent="0.2">
      <c r="A132" s="84" t="s">
        <v>64</v>
      </c>
      <c r="B132" s="81">
        <f>485405.9+1198.4</f>
        <v>486604.30000000005</v>
      </c>
      <c r="C132" s="67">
        <v>39309.599999999999</v>
      </c>
      <c r="D132" s="67" t="s">
        <v>49</v>
      </c>
      <c r="E132" s="67" t="s">
        <v>49</v>
      </c>
      <c r="F132" s="79"/>
      <c r="G132" s="67" t="s">
        <v>49</v>
      </c>
      <c r="H132" s="67" t="s">
        <v>49</v>
      </c>
      <c r="I132" s="67" t="s">
        <v>49</v>
      </c>
      <c r="J132" s="78">
        <v>107284.3</v>
      </c>
      <c r="K132" s="22">
        <v>287441.2</v>
      </c>
      <c r="L132" s="78">
        <f t="shared" si="35"/>
        <v>434035.1</v>
      </c>
      <c r="M132" s="67">
        <v>1914.8</v>
      </c>
      <c r="N132" s="80"/>
      <c r="O132" s="78">
        <v>20</v>
      </c>
      <c r="P132" s="72"/>
      <c r="Q132" s="81">
        <f>887.9+12491.3+9.4+21.3</f>
        <v>13409.899999999998</v>
      </c>
      <c r="R132" s="22">
        <f>46067.1-1198.4</f>
        <v>44868.7</v>
      </c>
      <c r="S132" s="78">
        <f t="shared" si="34"/>
        <v>980852.8</v>
      </c>
    </row>
    <row r="133" spans="1:19" s="9" customFormat="1" ht="15.75" hidden="1" customHeight="1" x14ac:dyDescent="0.2">
      <c r="A133" s="84" t="s">
        <v>78</v>
      </c>
      <c r="B133" s="81">
        <f>455398.8+1198.4</f>
        <v>456597.2</v>
      </c>
      <c r="C133" s="67">
        <v>52779.8</v>
      </c>
      <c r="D133" s="67" t="s">
        <v>49</v>
      </c>
      <c r="E133" s="67" t="s">
        <v>49</v>
      </c>
      <c r="F133" s="79"/>
      <c r="G133" s="67" t="s">
        <v>49</v>
      </c>
      <c r="H133" s="67" t="s">
        <v>49</v>
      </c>
      <c r="I133" s="67" t="s">
        <v>49</v>
      </c>
      <c r="J133" s="78">
        <v>107284.3</v>
      </c>
      <c r="K133" s="22">
        <v>287441.2</v>
      </c>
      <c r="L133" s="78">
        <f t="shared" si="35"/>
        <v>447505.30000000005</v>
      </c>
      <c r="M133" s="67">
        <v>1914.8</v>
      </c>
      <c r="N133" s="80"/>
      <c r="O133" s="78">
        <v>20</v>
      </c>
      <c r="P133" s="72"/>
      <c r="Q133" s="81">
        <f>887.9+12509.9+9.4+21.3</f>
        <v>13428.499999999998</v>
      </c>
      <c r="R133" s="22">
        <f>56200.1-1198.4</f>
        <v>55001.7</v>
      </c>
      <c r="S133" s="78">
        <f t="shared" si="34"/>
        <v>974467.5</v>
      </c>
    </row>
    <row r="134" spans="1:19" s="9" customFormat="1" ht="15.75" hidden="1" customHeight="1" x14ac:dyDescent="0.2">
      <c r="A134" s="84" t="s">
        <v>79</v>
      </c>
      <c r="B134" s="81">
        <f>460611.2+1198.4</f>
        <v>461809.60000000003</v>
      </c>
      <c r="C134" s="67">
        <v>43358.6</v>
      </c>
      <c r="D134" s="67" t="s">
        <v>49</v>
      </c>
      <c r="E134" s="67" t="s">
        <v>49</v>
      </c>
      <c r="F134" s="79"/>
      <c r="G134" s="67" t="s">
        <v>49</v>
      </c>
      <c r="H134" s="67" t="s">
        <v>49</v>
      </c>
      <c r="I134" s="67" t="s">
        <v>49</v>
      </c>
      <c r="J134" s="78">
        <v>107284.3</v>
      </c>
      <c r="K134" s="22">
        <v>286825</v>
      </c>
      <c r="L134" s="78">
        <f t="shared" si="35"/>
        <v>437467.9</v>
      </c>
      <c r="M134" s="67">
        <v>2000</v>
      </c>
      <c r="N134" s="80"/>
      <c r="O134" s="78">
        <v>20</v>
      </c>
      <c r="P134" s="72"/>
      <c r="Q134" s="81">
        <f>887.9+12393.4+9.4+21.3</f>
        <v>13311.999999999998</v>
      </c>
      <c r="R134" s="22">
        <f>56676.9-1198.4</f>
        <v>55478.5</v>
      </c>
      <c r="S134" s="78">
        <f t="shared" si="34"/>
        <v>970088</v>
      </c>
    </row>
    <row r="135" spans="1:19" s="9" customFormat="1" ht="15.75" hidden="1" customHeight="1" x14ac:dyDescent="0.2">
      <c r="A135" s="84" t="s">
        <v>65</v>
      </c>
      <c r="B135" s="81">
        <f>523706.4+1198.4</f>
        <v>524904.80000000005</v>
      </c>
      <c r="C135" s="67">
        <v>27300.1</v>
      </c>
      <c r="D135" s="67" t="s">
        <v>49</v>
      </c>
      <c r="E135" s="67" t="s">
        <v>49</v>
      </c>
      <c r="F135" s="79"/>
      <c r="G135" s="67" t="s">
        <v>49</v>
      </c>
      <c r="H135" s="67" t="s">
        <v>49</v>
      </c>
      <c r="I135" s="67" t="s">
        <v>49</v>
      </c>
      <c r="J135" s="78">
        <v>107284.3</v>
      </c>
      <c r="K135" s="22">
        <v>286825</v>
      </c>
      <c r="L135" s="78">
        <f t="shared" si="35"/>
        <v>421409.4</v>
      </c>
      <c r="M135" s="67">
        <f>2000+231.9</f>
        <v>2231.9</v>
      </c>
      <c r="N135" s="80"/>
      <c r="O135" s="78">
        <v>20</v>
      </c>
      <c r="P135" s="72"/>
      <c r="Q135" s="81">
        <f>887.9+12400.2+9.4+21.3</f>
        <v>13318.8</v>
      </c>
      <c r="R135" s="22">
        <f>57430-1198.4</f>
        <v>56231.6</v>
      </c>
      <c r="S135" s="78">
        <f t="shared" si="34"/>
        <v>1018116.5000000001</v>
      </c>
    </row>
    <row r="136" spans="1:19" s="9" customFormat="1" ht="15.75" hidden="1" customHeight="1" x14ac:dyDescent="0.2">
      <c r="A136" s="84" t="s">
        <v>80</v>
      </c>
      <c r="B136" s="81">
        <f>517932.7+1198.4</f>
        <v>519131.10000000003</v>
      </c>
      <c r="C136" s="67">
        <v>74347</v>
      </c>
      <c r="D136" s="67" t="s">
        <v>49</v>
      </c>
      <c r="E136" s="67" t="s">
        <v>49</v>
      </c>
      <c r="F136" s="79"/>
      <c r="G136" s="67" t="s">
        <v>49</v>
      </c>
      <c r="H136" s="67" t="s">
        <v>49</v>
      </c>
      <c r="I136" s="67" t="s">
        <v>49</v>
      </c>
      <c r="J136" s="78">
        <v>107284.3</v>
      </c>
      <c r="K136" s="22">
        <v>286516.8</v>
      </c>
      <c r="L136" s="78">
        <f t="shared" si="35"/>
        <v>468148.1</v>
      </c>
      <c r="M136" s="67">
        <f>2000</f>
        <v>2000</v>
      </c>
      <c r="N136" s="80"/>
      <c r="O136" s="78">
        <v>20</v>
      </c>
      <c r="P136" s="72"/>
      <c r="Q136" s="81">
        <f>887.9+12258.4+9.4+21.3</f>
        <v>13176.999999999998</v>
      </c>
      <c r="R136" s="22">
        <f>59825.3-1198.4</f>
        <v>58626.9</v>
      </c>
      <c r="S136" s="78">
        <f t="shared" si="34"/>
        <v>1061103.0999999999</v>
      </c>
    </row>
    <row r="137" spans="1:19" s="9" customFormat="1" ht="15.75" hidden="1" customHeight="1" x14ac:dyDescent="0.2">
      <c r="A137" s="84" t="s">
        <v>81</v>
      </c>
      <c r="B137" s="81">
        <f>509034.4+1198.4</f>
        <v>510232.80000000005</v>
      </c>
      <c r="C137" s="67">
        <v>41502.5</v>
      </c>
      <c r="D137" s="67" t="s">
        <v>49</v>
      </c>
      <c r="E137" s="67" t="s">
        <v>49</v>
      </c>
      <c r="F137" s="79"/>
      <c r="G137" s="67" t="s">
        <v>49</v>
      </c>
      <c r="H137" s="67" t="s">
        <v>49</v>
      </c>
      <c r="I137" s="67" t="s">
        <v>49</v>
      </c>
      <c r="J137" s="78">
        <v>106976.2</v>
      </c>
      <c r="K137" s="22">
        <v>286208.59999999998</v>
      </c>
      <c r="L137" s="78">
        <f t="shared" si="35"/>
        <v>434687.3</v>
      </c>
      <c r="M137" s="67">
        <f>2000+565.8</f>
        <v>2565.8000000000002</v>
      </c>
      <c r="N137" s="80"/>
      <c r="O137" s="78">
        <v>20</v>
      </c>
      <c r="P137" s="72"/>
      <c r="Q137" s="81">
        <f>887.9+12244.3+9.4+21.3</f>
        <v>13162.899999999998</v>
      </c>
      <c r="R137" s="22">
        <f>61512.9-1198.4</f>
        <v>60314.5</v>
      </c>
      <c r="S137" s="78">
        <f t="shared" si="34"/>
        <v>1020983.3000000002</v>
      </c>
    </row>
    <row r="138" spans="1:19" s="9" customFormat="1" ht="15.75" hidden="1" customHeight="1" x14ac:dyDescent="0.2">
      <c r="A138" s="84" t="s">
        <v>66</v>
      </c>
      <c r="B138" s="81">
        <f>500016.3+1198.4</f>
        <v>501214.7</v>
      </c>
      <c r="C138" s="67">
        <v>55186.9</v>
      </c>
      <c r="D138" s="67" t="s">
        <v>49</v>
      </c>
      <c r="E138" s="67" t="s">
        <v>49</v>
      </c>
      <c r="F138" s="79"/>
      <c r="G138" s="67" t="s">
        <v>49</v>
      </c>
      <c r="H138" s="67" t="s">
        <v>49</v>
      </c>
      <c r="I138" s="67" t="s">
        <v>49</v>
      </c>
      <c r="J138" s="78">
        <v>106976.2</v>
      </c>
      <c r="K138" s="22">
        <v>285900.5</v>
      </c>
      <c r="L138" s="78">
        <f t="shared" si="35"/>
        <v>448063.6</v>
      </c>
      <c r="M138" s="67">
        <f>2000</f>
        <v>2000</v>
      </c>
      <c r="N138" s="80"/>
      <c r="O138" s="78">
        <v>20</v>
      </c>
      <c r="P138" s="72"/>
      <c r="Q138" s="81">
        <f>887.9+12093.9+9.4+21.3</f>
        <v>13012.499999999998</v>
      </c>
      <c r="R138" s="22">
        <f>65554.3-1198.4</f>
        <v>64355.9</v>
      </c>
      <c r="S138" s="78">
        <f t="shared" si="34"/>
        <v>1028666.7000000001</v>
      </c>
    </row>
    <row r="139" spans="1:19" s="9" customFormat="1" ht="15.75" hidden="1" customHeight="1" x14ac:dyDescent="0.2">
      <c r="A139" s="84"/>
      <c r="B139" s="81"/>
      <c r="C139" s="82"/>
      <c r="D139" s="67"/>
      <c r="E139" s="83"/>
      <c r="F139" s="79"/>
      <c r="G139" s="67"/>
      <c r="H139" s="80"/>
      <c r="I139" s="67"/>
      <c r="J139" s="78"/>
      <c r="K139" s="22"/>
      <c r="L139" s="78"/>
      <c r="M139" s="67"/>
      <c r="N139" s="80"/>
      <c r="O139" s="78"/>
      <c r="P139" s="72"/>
      <c r="Q139" s="81"/>
      <c r="R139" s="22"/>
      <c r="S139" s="78"/>
    </row>
    <row r="140" spans="1:19" s="9" customFormat="1" ht="15.75" hidden="1" customHeight="1" x14ac:dyDescent="0.2">
      <c r="A140" s="84" t="s">
        <v>88</v>
      </c>
      <c r="B140" s="81">
        <f>483199.5+1198.4</f>
        <v>484397.9</v>
      </c>
      <c r="C140" s="67">
        <v>22472.2</v>
      </c>
      <c r="D140" s="67" t="s">
        <v>49</v>
      </c>
      <c r="E140" s="67" t="s">
        <v>49</v>
      </c>
      <c r="F140" s="79"/>
      <c r="G140" s="67" t="s">
        <v>49</v>
      </c>
      <c r="H140" s="67" t="s">
        <v>49</v>
      </c>
      <c r="I140" s="67" t="s">
        <v>49</v>
      </c>
      <c r="J140" s="78">
        <v>106976.2</v>
      </c>
      <c r="K140" s="22">
        <v>285900.5</v>
      </c>
      <c r="L140" s="78">
        <f t="shared" ref="L140:L151" si="36">SUM(C140:K140)</f>
        <v>415348.9</v>
      </c>
      <c r="M140" s="67">
        <v>2463.6999999999998</v>
      </c>
      <c r="N140" s="80"/>
      <c r="O140" s="78">
        <v>20</v>
      </c>
      <c r="P140" s="72"/>
      <c r="Q140" s="81">
        <f>887.9+12894+9.4+21.3</f>
        <v>13812.599999999999</v>
      </c>
      <c r="R140" s="22">
        <f>67989.3-1198.4</f>
        <v>66790.900000000009</v>
      </c>
      <c r="S140" s="78">
        <f t="shared" ref="S140:S151" si="37">SUM(B140,L140:R140)</f>
        <v>982834</v>
      </c>
    </row>
    <row r="141" spans="1:19" s="9" customFormat="1" ht="15.75" hidden="1" customHeight="1" x14ac:dyDescent="0.2">
      <c r="A141" s="84" t="s">
        <v>89</v>
      </c>
      <c r="B141" s="81">
        <f>475373.3+1198.4</f>
        <v>476571.7</v>
      </c>
      <c r="C141" s="67">
        <v>72202.7</v>
      </c>
      <c r="D141" s="67" t="s">
        <v>49</v>
      </c>
      <c r="E141" s="67" t="s">
        <v>49</v>
      </c>
      <c r="F141" s="79"/>
      <c r="G141" s="67" t="s">
        <v>49</v>
      </c>
      <c r="H141" s="67" t="s">
        <v>49</v>
      </c>
      <c r="I141" s="67" t="s">
        <v>49</v>
      </c>
      <c r="J141" s="78">
        <v>105891</v>
      </c>
      <c r="K141" s="22">
        <v>284644.40000000002</v>
      </c>
      <c r="L141" s="78">
        <f t="shared" si="36"/>
        <v>462738.10000000003</v>
      </c>
      <c r="M141" s="67">
        <v>2000</v>
      </c>
      <c r="N141" s="80"/>
      <c r="O141" s="78">
        <v>20</v>
      </c>
      <c r="P141" s="72"/>
      <c r="Q141" s="81">
        <f>887.9+12762+9.4+21.3</f>
        <v>13680.599999999999</v>
      </c>
      <c r="R141" s="22">
        <f>69461.2-1198.4</f>
        <v>68262.8</v>
      </c>
      <c r="S141" s="78">
        <f t="shared" si="37"/>
        <v>1023273.2000000001</v>
      </c>
    </row>
    <row r="142" spans="1:19" s="9" customFormat="1" hidden="1" x14ac:dyDescent="0.2">
      <c r="A142" s="84" t="s">
        <v>63</v>
      </c>
      <c r="B142" s="81">
        <f>471312.6+1198.4</f>
        <v>472511</v>
      </c>
      <c r="C142" s="67">
        <v>23590.1</v>
      </c>
      <c r="D142" s="67" t="s">
        <v>49</v>
      </c>
      <c r="E142" s="67" t="s">
        <v>49</v>
      </c>
      <c r="F142" s="79"/>
      <c r="G142" s="67" t="s">
        <v>49</v>
      </c>
      <c r="H142" s="67" t="s">
        <v>49</v>
      </c>
      <c r="I142" s="67" t="s">
        <v>49</v>
      </c>
      <c r="J142" s="78">
        <v>104166</v>
      </c>
      <c r="K142" s="22">
        <v>284644.40000000002</v>
      </c>
      <c r="L142" s="78">
        <f t="shared" si="36"/>
        <v>412400.5</v>
      </c>
      <c r="M142" s="67">
        <v>3178.9</v>
      </c>
      <c r="N142" s="80"/>
      <c r="O142" s="78">
        <v>20</v>
      </c>
      <c r="P142" s="72"/>
      <c r="Q142" s="81">
        <f>887.9+12644.8+9.4+21.3</f>
        <v>13563.399999999998</v>
      </c>
      <c r="R142" s="22">
        <f>70415.3-1198.4</f>
        <v>69216.900000000009</v>
      </c>
      <c r="S142" s="78">
        <f t="shared" si="37"/>
        <v>970890.70000000007</v>
      </c>
    </row>
    <row r="143" spans="1:19" s="9" customFormat="1" hidden="1" x14ac:dyDescent="0.2">
      <c r="A143" s="84" t="s">
        <v>90</v>
      </c>
      <c r="B143" s="81">
        <f>452409.5+1198.4</f>
        <v>453607.9</v>
      </c>
      <c r="C143" s="67">
        <v>54107.7</v>
      </c>
      <c r="D143" s="67" t="s">
        <v>49</v>
      </c>
      <c r="E143" s="67" t="s">
        <v>49</v>
      </c>
      <c r="F143" s="79"/>
      <c r="G143" s="67" t="s">
        <v>49</v>
      </c>
      <c r="H143" s="67" t="s">
        <v>49</v>
      </c>
      <c r="I143" s="67" t="s">
        <v>49</v>
      </c>
      <c r="J143" s="78">
        <v>102772.7</v>
      </c>
      <c r="K143" s="22">
        <v>284004.5</v>
      </c>
      <c r="L143" s="78">
        <f t="shared" si="36"/>
        <v>440884.9</v>
      </c>
      <c r="M143" s="67">
        <v>12000</v>
      </c>
      <c r="N143" s="80"/>
      <c r="O143" s="78">
        <v>20</v>
      </c>
      <c r="P143" s="72"/>
      <c r="Q143" s="81">
        <f>887.9+12445.9+9.4+61</f>
        <v>13404.199999999999</v>
      </c>
      <c r="R143" s="22">
        <f>72416.3-1198.4</f>
        <v>71217.900000000009</v>
      </c>
      <c r="S143" s="78">
        <f t="shared" si="37"/>
        <v>991134.9</v>
      </c>
    </row>
    <row r="144" spans="1:19" s="9" customFormat="1" hidden="1" x14ac:dyDescent="0.2">
      <c r="A144" s="84" t="s">
        <v>91</v>
      </c>
      <c r="B144" s="81">
        <f>451993+1198.4</f>
        <v>453191.4</v>
      </c>
      <c r="C144" s="67">
        <v>79625</v>
      </c>
      <c r="D144" s="67" t="s">
        <v>49</v>
      </c>
      <c r="E144" s="67" t="s">
        <v>49</v>
      </c>
      <c r="F144" s="79"/>
      <c r="G144" s="67" t="s">
        <v>49</v>
      </c>
      <c r="H144" s="67" t="s">
        <v>49</v>
      </c>
      <c r="I144" s="67" t="s">
        <v>49</v>
      </c>
      <c r="J144" s="78">
        <v>101379.3</v>
      </c>
      <c r="K144" s="22">
        <v>283364.7</v>
      </c>
      <c r="L144" s="78">
        <f t="shared" si="36"/>
        <v>464369</v>
      </c>
      <c r="M144" s="67">
        <v>2911.5</v>
      </c>
      <c r="N144" s="80"/>
      <c r="O144" s="78">
        <v>20</v>
      </c>
      <c r="P144" s="72"/>
      <c r="Q144" s="81">
        <f>887.9+12765.4+9.4+61</f>
        <v>13723.699999999999</v>
      </c>
      <c r="R144" s="22">
        <f>73754.4-1198.4</f>
        <v>72556</v>
      </c>
      <c r="S144" s="78">
        <f t="shared" si="37"/>
        <v>1006771.6</v>
      </c>
    </row>
    <row r="145" spans="1:19" s="9" customFormat="1" hidden="1" x14ac:dyDescent="0.2">
      <c r="A145" s="84" t="s">
        <v>92</v>
      </c>
      <c r="B145" s="81">
        <f>372018.8+1198.4</f>
        <v>373217.2</v>
      </c>
      <c r="C145" s="67">
        <v>121700.8</v>
      </c>
      <c r="D145" s="67" t="s">
        <v>49</v>
      </c>
      <c r="E145" s="67" t="s">
        <v>49</v>
      </c>
      <c r="F145" s="79"/>
      <c r="G145" s="67" t="s">
        <v>49</v>
      </c>
      <c r="H145" s="67" t="s">
        <v>49</v>
      </c>
      <c r="I145" s="67" t="s">
        <v>49</v>
      </c>
      <c r="J145" s="78">
        <v>100317.8</v>
      </c>
      <c r="K145" s="22">
        <v>282393.09999999998</v>
      </c>
      <c r="L145" s="78">
        <f t="shared" si="36"/>
        <v>504411.69999999995</v>
      </c>
      <c r="M145" s="67">
        <v>22000</v>
      </c>
      <c r="N145" s="80"/>
      <c r="O145" s="78">
        <v>20</v>
      </c>
      <c r="P145" s="72"/>
      <c r="Q145" s="81">
        <f>887.9+13119.4+9.4+61</f>
        <v>14077.699999999999</v>
      </c>
      <c r="R145" s="22">
        <f>72615.2-1198.4</f>
        <v>71416.800000000003</v>
      </c>
      <c r="S145" s="78">
        <f t="shared" si="37"/>
        <v>985143.39999999991</v>
      </c>
    </row>
    <row r="146" spans="1:19" s="9" customFormat="1" hidden="1" x14ac:dyDescent="0.2">
      <c r="A146" s="84" t="s">
        <v>93</v>
      </c>
      <c r="B146" s="81">
        <f>352745.3+1198.4</f>
        <v>353943.7</v>
      </c>
      <c r="C146" s="67">
        <v>124466.2</v>
      </c>
      <c r="D146" s="67" t="s">
        <v>49</v>
      </c>
      <c r="E146" s="67" t="s">
        <v>49</v>
      </c>
      <c r="F146" s="79"/>
      <c r="G146" s="67" t="s">
        <v>49</v>
      </c>
      <c r="H146" s="67" t="s">
        <v>49</v>
      </c>
      <c r="I146" s="67" t="s">
        <v>49</v>
      </c>
      <c r="J146" s="78">
        <v>98924.5</v>
      </c>
      <c r="K146" s="22">
        <v>281753.2</v>
      </c>
      <c r="L146" s="78">
        <f t="shared" si="36"/>
        <v>505143.9</v>
      </c>
      <c r="M146" s="67">
        <v>8000</v>
      </c>
      <c r="N146" s="80"/>
      <c r="O146" s="78">
        <v>20</v>
      </c>
      <c r="P146" s="72"/>
      <c r="Q146" s="81">
        <f>887.9+13657+9.4+81.3</f>
        <v>14635.599999999999</v>
      </c>
      <c r="R146" s="22">
        <f>70254.5-1198.4</f>
        <v>69056.100000000006</v>
      </c>
      <c r="S146" s="78">
        <f t="shared" si="37"/>
        <v>950799.3</v>
      </c>
    </row>
    <row r="147" spans="1:19" s="9" customFormat="1" hidden="1" x14ac:dyDescent="0.2">
      <c r="A147" s="84" t="s">
        <v>94</v>
      </c>
      <c r="B147" s="81">
        <f>311325.5+1198.4</f>
        <v>312523.90000000002</v>
      </c>
      <c r="C147" s="67">
        <v>162684.9</v>
      </c>
      <c r="D147" s="67" t="s">
        <v>49</v>
      </c>
      <c r="E147" s="67" t="s">
        <v>49</v>
      </c>
      <c r="F147" s="79"/>
      <c r="G147" s="67" t="s">
        <v>49</v>
      </c>
      <c r="H147" s="67" t="s">
        <v>49</v>
      </c>
      <c r="I147" s="67" t="s">
        <v>49</v>
      </c>
      <c r="J147" s="78">
        <v>97531.199999999997</v>
      </c>
      <c r="K147" s="22">
        <v>281113.3</v>
      </c>
      <c r="L147" s="78">
        <f t="shared" si="36"/>
        <v>541329.39999999991</v>
      </c>
      <c r="M147" s="67">
        <v>12000</v>
      </c>
      <c r="N147" s="80"/>
      <c r="O147" s="78">
        <v>20</v>
      </c>
      <c r="P147" s="72"/>
      <c r="Q147" s="81">
        <f>887.9+14212.1+9.4+81.3</f>
        <v>15190.699999999999</v>
      </c>
      <c r="R147" s="22">
        <f>71092.5-1198.4</f>
        <v>69894.100000000006</v>
      </c>
      <c r="S147" s="78">
        <f t="shared" si="37"/>
        <v>950958.09999999986</v>
      </c>
    </row>
    <row r="148" spans="1:19" s="9" customFormat="1" hidden="1" x14ac:dyDescent="0.2">
      <c r="A148" s="84" t="s">
        <v>95</v>
      </c>
      <c r="B148" s="81">
        <f>273056.3+1198.4</f>
        <v>274254.7</v>
      </c>
      <c r="C148" s="67">
        <v>201450.1</v>
      </c>
      <c r="D148" s="67" t="s">
        <v>49</v>
      </c>
      <c r="E148" s="67" t="s">
        <v>49</v>
      </c>
      <c r="F148" s="79"/>
      <c r="G148" s="67" t="s">
        <v>49</v>
      </c>
      <c r="H148" s="67" t="s">
        <v>49</v>
      </c>
      <c r="I148" s="67" t="s">
        <v>49</v>
      </c>
      <c r="J148" s="78">
        <v>96137.9</v>
      </c>
      <c r="K148" s="22">
        <v>280473.5</v>
      </c>
      <c r="L148" s="78">
        <f t="shared" si="36"/>
        <v>578061.5</v>
      </c>
      <c r="M148" s="67">
        <v>6840.3</v>
      </c>
      <c r="N148" s="80"/>
      <c r="O148" s="78">
        <v>20</v>
      </c>
      <c r="P148" s="72"/>
      <c r="Q148" s="81">
        <f>887.9+14704.5+9.4+61.4</f>
        <v>15663.199999999999</v>
      </c>
      <c r="R148" s="22">
        <f>69762.2-1198.4</f>
        <v>68563.8</v>
      </c>
      <c r="S148" s="78">
        <f t="shared" si="37"/>
        <v>943403.5</v>
      </c>
    </row>
    <row r="149" spans="1:19" s="9" customFormat="1" hidden="1" x14ac:dyDescent="0.2">
      <c r="A149" s="84" t="s">
        <v>96</v>
      </c>
      <c r="B149" s="81">
        <f>289429+1198.4</f>
        <v>290627.40000000002</v>
      </c>
      <c r="C149" s="67">
        <v>227827.20000000001</v>
      </c>
      <c r="D149" s="67" t="s">
        <v>49</v>
      </c>
      <c r="E149" s="67" t="s">
        <v>49</v>
      </c>
      <c r="F149" s="79"/>
      <c r="G149" s="67" t="s">
        <v>49</v>
      </c>
      <c r="H149" s="67" t="s">
        <v>49</v>
      </c>
      <c r="I149" s="67" t="s">
        <v>49</v>
      </c>
      <c r="J149" s="78">
        <v>95660.7</v>
      </c>
      <c r="K149" s="22">
        <v>279193.7</v>
      </c>
      <c r="L149" s="78">
        <f t="shared" si="36"/>
        <v>602681.60000000009</v>
      </c>
      <c r="M149" s="67">
        <v>2000</v>
      </c>
      <c r="N149" s="80"/>
      <c r="O149" s="78">
        <v>20</v>
      </c>
      <c r="P149" s="72"/>
      <c r="Q149" s="81">
        <f>887.9+14862.3+9.4+61.4</f>
        <v>15820.999999999998</v>
      </c>
      <c r="R149" s="22">
        <f>68994.5-1198.4</f>
        <v>67796.100000000006</v>
      </c>
      <c r="S149" s="78">
        <f t="shared" si="37"/>
        <v>978946.10000000009</v>
      </c>
    </row>
    <row r="150" spans="1:19" s="9" customFormat="1" hidden="1" x14ac:dyDescent="0.2">
      <c r="A150" s="84" t="s">
        <v>97</v>
      </c>
      <c r="B150" s="81">
        <f>236298.7+1198.4</f>
        <v>237497.1</v>
      </c>
      <c r="C150" s="67">
        <v>236897.9</v>
      </c>
      <c r="D150" s="67" t="s">
        <v>49</v>
      </c>
      <c r="E150" s="67" t="s">
        <v>49</v>
      </c>
      <c r="F150" s="79"/>
      <c r="G150" s="67" t="s">
        <v>49</v>
      </c>
      <c r="H150" s="67" t="s">
        <v>49</v>
      </c>
      <c r="I150" s="67" t="s">
        <v>49</v>
      </c>
      <c r="J150" s="78">
        <v>94267.4</v>
      </c>
      <c r="K150" s="22">
        <v>278553.90000000002</v>
      </c>
      <c r="L150" s="78">
        <f t="shared" si="36"/>
        <v>609719.19999999995</v>
      </c>
      <c r="M150" s="67">
        <v>18493.2</v>
      </c>
      <c r="N150" s="80"/>
      <c r="O150" s="78">
        <v>20</v>
      </c>
      <c r="P150" s="72"/>
      <c r="Q150" s="81">
        <f>887.9+14959.9+9.4+61.4</f>
        <v>15918.599999999999</v>
      </c>
      <c r="R150" s="22">
        <f>69133-1198.4</f>
        <v>67934.600000000006</v>
      </c>
      <c r="S150" s="78">
        <f t="shared" si="37"/>
        <v>949582.69999999984</v>
      </c>
    </row>
    <row r="151" spans="1:19" s="9" customFormat="1" hidden="1" x14ac:dyDescent="0.2">
      <c r="A151" s="84" t="s">
        <v>98</v>
      </c>
      <c r="B151" s="81">
        <f>220631.2+1198.4</f>
        <v>221829.6</v>
      </c>
      <c r="C151" s="67">
        <v>273246</v>
      </c>
      <c r="D151" s="67" t="s">
        <v>49</v>
      </c>
      <c r="E151" s="67" t="s">
        <v>49</v>
      </c>
      <c r="F151" s="79"/>
      <c r="G151" s="67" t="s">
        <v>49</v>
      </c>
      <c r="H151" s="67" t="s">
        <v>49</v>
      </c>
      <c r="I151" s="67" t="s">
        <v>49</v>
      </c>
      <c r="J151" s="78">
        <v>90564.7</v>
      </c>
      <c r="K151" s="22">
        <v>277913.90000000002</v>
      </c>
      <c r="L151" s="78">
        <f t="shared" si="36"/>
        <v>641724.60000000009</v>
      </c>
      <c r="M151" s="67">
        <v>21800</v>
      </c>
      <c r="N151" s="80"/>
      <c r="O151" s="78">
        <v>20</v>
      </c>
      <c r="P151" s="72"/>
      <c r="Q151" s="81">
        <f>887.9+14924.5+9.4+48.3</f>
        <v>15870.099999999999</v>
      </c>
      <c r="R151" s="22">
        <f>70740.6-1198.4</f>
        <v>69542.200000000012</v>
      </c>
      <c r="S151" s="78">
        <f t="shared" si="37"/>
        <v>970786.5</v>
      </c>
    </row>
    <row r="152" spans="1:19" s="9" customFormat="1" ht="12" hidden="1" customHeight="1" x14ac:dyDescent="0.2">
      <c r="A152" s="84"/>
      <c r="B152" s="81"/>
      <c r="C152" s="82"/>
      <c r="D152" s="67"/>
      <c r="E152" s="83"/>
      <c r="F152" s="79"/>
      <c r="G152" s="67"/>
      <c r="H152" s="80"/>
      <c r="I152" s="67"/>
      <c r="J152" s="78"/>
      <c r="K152" s="22"/>
      <c r="L152" s="78"/>
      <c r="M152" s="67"/>
      <c r="N152" s="80"/>
      <c r="O152" s="78"/>
      <c r="P152" s="72"/>
      <c r="Q152" s="81"/>
      <c r="R152" s="22"/>
      <c r="S152" s="78"/>
    </row>
    <row r="153" spans="1:19" s="9" customFormat="1" hidden="1" x14ac:dyDescent="0.2">
      <c r="A153" s="84" t="s">
        <v>99</v>
      </c>
      <c r="B153" s="81">
        <f>214074.7+1198.4</f>
        <v>215273.1</v>
      </c>
      <c r="C153" s="67">
        <v>0</v>
      </c>
      <c r="D153" s="67" t="s">
        <v>49</v>
      </c>
      <c r="E153" s="67" t="s">
        <v>49</v>
      </c>
      <c r="F153" s="79"/>
      <c r="G153" s="67" t="s">
        <v>49</v>
      </c>
      <c r="H153" s="67" t="s">
        <v>49</v>
      </c>
      <c r="I153" s="67" t="s">
        <v>49</v>
      </c>
      <c r="J153" s="78">
        <v>90564.7</v>
      </c>
      <c r="K153" s="22">
        <v>508147.4</v>
      </c>
      <c r="L153" s="78">
        <f t="shared" ref="L153:L164" si="38">SUM(C153:K153)</f>
        <v>598712.1</v>
      </c>
      <c r="M153" s="67">
        <v>39705</v>
      </c>
      <c r="N153" s="80"/>
      <c r="O153" s="78">
        <v>20</v>
      </c>
      <c r="P153" s="72"/>
      <c r="Q153" s="81">
        <f>887.9+15504.9+9.4+48.3</f>
        <v>16450.5</v>
      </c>
      <c r="R153" s="22">
        <f>71595.3-1198.4</f>
        <v>70396.900000000009</v>
      </c>
      <c r="S153" s="78">
        <f t="shared" ref="S153:S164" si="39">SUM(B153,L153:R153)</f>
        <v>940557.6</v>
      </c>
    </row>
    <row r="154" spans="1:19" s="9" customFormat="1" hidden="1" x14ac:dyDescent="0.2">
      <c r="A154" s="84" t="s">
        <v>100</v>
      </c>
      <c r="B154" s="81">
        <f>176947.2+1198.4</f>
        <v>178145.6</v>
      </c>
      <c r="C154" s="67">
        <v>0</v>
      </c>
      <c r="D154" s="67" t="s">
        <v>49</v>
      </c>
      <c r="E154" s="67" t="s">
        <v>49</v>
      </c>
      <c r="F154" s="79"/>
      <c r="G154" s="67" t="s">
        <v>49</v>
      </c>
      <c r="H154" s="67" t="s">
        <v>49</v>
      </c>
      <c r="I154" s="67" t="s">
        <v>49</v>
      </c>
      <c r="J154" s="78">
        <v>89171.4</v>
      </c>
      <c r="K154" s="22">
        <v>537669</v>
      </c>
      <c r="L154" s="78">
        <f t="shared" si="38"/>
        <v>626840.4</v>
      </c>
      <c r="M154" s="67">
        <v>45964.800000000003</v>
      </c>
      <c r="N154" s="80"/>
      <c r="O154" s="78">
        <v>20</v>
      </c>
      <c r="P154" s="72"/>
      <c r="Q154" s="81">
        <f>887.9+15533.7+9.4+48.3</f>
        <v>16479.300000000003</v>
      </c>
      <c r="R154" s="22">
        <f>72112-1198.4</f>
        <v>70913.600000000006</v>
      </c>
      <c r="S154" s="78">
        <f t="shared" si="39"/>
        <v>938363.70000000007</v>
      </c>
    </row>
    <row r="155" spans="1:19" s="9" customFormat="1" hidden="1" x14ac:dyDescent="0.2">
      <c r="A155" s="84" t="s">
        <v>67</v>
      </c>
      <c r="B155" s="81">
        <f>154021.4+1198.4</f>
        <v>155219.79999999999</v>
      </c>
      <c r="C155" s="67">
        <v>0</v>
      </c>
      <c r="D155" s="67" t="s">
        <v>49</v>
      </c>
      <c r="E155" s="67" t="s">
        <v>49</v>
      </c>
      <c r="F155" s="79"/>
      <c r="G155" s="67" t="s">
        <v>49</v>
      </c>
      <c r="H155" s="67" t="s">
        <v>49</v>
      </c>
      <c r="I155" s="67" t="s">
        <v>49</v>
      </c>
      <c r="J155" s="78">
        <v>86384.8</v>
      </c>
      <c r="K155" s="22">
        <v>549240.30000000005</v>
      </c>
      <c r="L155" s="78">
        <f t="shared" si="38"/>
        <v>635625.10000000009</v>
      </c>
      <c r="M155" s="67">
        <v>73850</v>
      </c>
      <c r="N155" s="80"/>
      <c r="O155" s="78">
        <v>20</v>
      </c>
      <c r="P155" s="72"/>
      <c r="Q155" s="81">
        <f>887.9+15883.6+9.4+48.3</f>
        <v>16829.2</v>
      </c>
      <c r="R155" s="22">
        <f>345279.5-1198.4-273246</f>
        <v>70835.099999999977</v>
      </c>
      <c r="S155" s="78">
        <f t="shared" si="39"/>
        <v>952379.20000000007</v>
      </c>
    </row>
    <row r="156" spans="1:19" s="9" customFormat="1" hidden="1" x14ac:dyDescent="0.2">
      <c r="A156" s="84" t="s">
        <v>101</v>
      </c>
      <c r="B156" s="81">
        <f>178335+1198.4</f>
        <v>179533.4</v>
      </c>
      <c r="C156" s="67">
        <v>4780.1000000000004</v>
      </c>
      <c r="D156" s="67" t="s">
        <v>49</v>
      </c>
      <c r="E156" s="67" t="s">
        <v>49</v>
      </c>
      <c r="F156" s="79"/>
      <c r="G156" s="67" t="s">
        <v>49</v>
      </c>
      <c r="H156" s="67" t="s">
        <v>49</v>
      </c>
      <c r="I156" s="67" t="s">
        <v>49</v>
      </c>
      <c r="J156" s="78">
        <v>86384.8</v>
      </c>
      <c r="K156" s="22">
        <v>549240.30000000005</v>
      </c>
      <c r="L156" s="78">
        <f t="shared" si="38"/>
        <v>640405.20000000007</v>
      </c>
      <c r="M156" s="67">
        <v>74200</v>
      </c>
      <c r="N156" s="80"/>
      <c r="O156" s="78">
        <v>20</v>
      </c>
      <c r="P156" s="72"/>
      <c r="Q156" s="81">
        <f>887.9+16063.2+9.4+86.1</f>
        <v>17046.600000000002</v>
      </c>
      <c r="R156" s="22">
        <f>72548.4-1198.4</f>
        <v>71350</v>
      </c>
      <c r="S156" s="78">
        <f t="shared" si="39"/>
        <v>982555.20000000007</v>
      </c>
    </row>
    <row r="157" spans="1:19" s="9" customFormat="1" hidden="1" x14ac:dyDescent="0.2">
      <c r="A157" s="84" t="s">
        <v>102</v>
      </c>
      <c r="B157" s="81">
        <f>155514.5+1198.4</f>
        <v>156712.9</v>
      </c>
      <c r="C157" s="67">
        <v>21652.3</v>
      </c>
      <c r="D157" s="67" t="s">
        <v>49</v>
      </c>
      <c r="E157" s="67" t="s">
        <v>49</v>
      </c>
      <c r="F157" s="79"/>
      <c r="G157" s="67" t="s">
        <v>49</v>
      </c>
      <c r="H157" s="67" t="s">
        <v>49</v>
      </c>
      <c r="I157" s="67" t="s">
        <v>49</v>
      </c>
      <c r="J157" s="78">
        <v>84991.5</v>
      </c>
      <c r="K157" s="22">
        <v>548600.5</v>
      </c>
      <c r="L157" s="78">
        <f t="shared" si="38"/>
        <v>655244.30000000005</v>
      </c>
      <c r="M157" s="67">
        <v>84000</v>
      </c>
      <c r="N157" s="80"/>
      <c r="O157" s="78">
        <v>20</v>
      </c>
      <c r="P157" s="72"/>
      <c r="Q157" s="81">
        <f>887.9+16297.7+9.4+86.1</f>
        <v>17281.100000000002</v>
      </c>
      <c r="R157" s="22">
        <f>73194.1-1198.4</f>
        <v>71995.700000000012</v>
      </c>
      <c r="S157" s="78">
        <f t="shared" si="39"/>
        <v>985254</v>
      </c>
    </row>
    <row r="158" spans="1:19" s="9" customFormat="1" hidden="1" x14ac:dyDescent="0.2">
      <c r="A158" s="84" t="s">
        <v>103</v>
      </c>
      <c r="B158" s="81">
        <f>164637+1198.4</f>
        <v>165835.4</v>
      </c>
      <c r="C158" s="82">
        <v>19504.7</v>
      </c>
      <c r="D158" s="67"/>
      <c r="E158" s="83"/>
      <c r="F158" s="79"/>
      <c r="G158" s="67"/>
      <c r="H158" s="80"/>
      <c r="I158" s="67"/>
      <c r="J158" s="78">
        <v>83598.2</v>
      </c>
      <c r="K158" s="22">
        <v>547320.69999999995</v>
      </c>
      <c r="L158" s="78">
        <f t="shared" si="38"/>
        <v>650423.6</v>
      </c>
      <c r="M158" s="67">
        <v>103000</v>
      </c>
      <c r="N158" s="80"/>
      <c r="O158" s="78">
        <v>20</v>
      </c>
      <c r="P158" s="72"/>
      <c r="Q158" s="81">
        <f>887.9+16543.8+9.4+73.2</f>
        <v>17514.300000000003</v>
      </c>
      <c r="R158" s="22">
        <f>72742.7-1198.4</f>
        <v>71544.3</v>
      </c>
      <c r="S158" s="78">
        <f t="shared" si="39"/>
        <v>1008337.6000000001</v>
      </c>
    </row>
    <row r="159" spans="1:19" s="9" customFormat="1" x14ac:dyDescent="0.2">
      <c r="A159" s="84" t="s">
        <v>104</v>
      </c>
      <c r="B159" s="81">
        <f>159362.9+1198.4</f>
        <v>160561.29999999999</v>
      </c>
      <c r="C159" s="82">
        <v>17403.2</v>
      </c>
      <c r="D159" s="67"/>
      <c r="E159" s="83"/>
      <c r="F159" s="79"/>
      <c r="G159" s="67"/>
      <c r="H159" s="80"/>
      <c r="I159" s="67"/>
      <c r="J159" s="78">
        <v>82204.899999999994</v>
      </c>
      <c r="K159" s="22">
        <v>546680.9</v>
      </c>
      <c r="L159" s="78">
        <f t="shared" si="38"/>
        <v>646289</v>
      </c>
      <c r="M159" s="67">
        <v>113437</v>
      </c>
      <c r="N159" s="80"/>
      <c r="O159" s="78">
        <v>20</v>
      </c>
      <c r="P159" s="72"/>
      <c r="Q159" s="81">
        <f>887.9+16481.5+9.4+73.2</f>
        <v>17452.000000000004</v>
      </c>
      <c r="R159" s="22">
        <f>73130.3-1198.4</f>
        <v>71931.900000000009</v>
      </c>
      <c r="S159" s="78">
        <f t="shared" si="39"/>
        <v>1009691.2000000001</v>
      </c>
    </row>
    <row r="160" spans="1:19" s="9" customFormat="1" x14ac:dyDescent="0.2">
      <c r="A160" s="84" t="s">
        <v>79</v>
      </c>
      <c r="B160" s="81">
        <f>146603.3+1198.4</f>
        <v>147801.69999999998</v>
      </c>
      <c r="C160" s="82">
        <v>10113</v>
      </c>
      <c r="D160" s="67"/>
      <c r="E160" s="83"/>
      <c r="F160" s="79"/>
      <c r="G160" s="67"/>
      <c r="H160" s="80"/>
      <c r="I160" s="67"/>
      <c r="J160" s="78">
        <v>80811.600000000006</v>
      </c>
      <c r="K160" s="22">
        <v>546041</v>
      </c>
      <c r="L160" s="78">
        <f t="shared" si="38"/>
        <v>636965.6</v>
      </c>
      <c r="M160" s="67">
        <v>103883</v>
      </c>
      <c r="N160" s="80"/>
      <c r="O160" s="78">
        <v>20</v>
      </c>
      <c r="P160" s="72"/>
      <c r="Q160" s="81">
        <f>887.8+16443.8+9.4+102.9</f>
        <v>17443.900000000001</v>
      </c>
      <c r="R160" s="22">
        <f>73093.3-1198.4</f>
        <v>71894.900000000009</v>
      </c>
      <c r="S160" s="78">
        <f t="shared" si="39"/>
        <v>978009.1</v>
      </c>
    </row>
    <row r="161" spans="1:19" s="9" customFormat="1" x14ac:dyDescent="0.2">
      <c r="A161" s="84" t="s">
        <v>65</v>
      </c>
      <c r="B161" s="81">
        <f>156195.1+1198.4</f>
        <v>157393.5</v>
      </c>
      <c r="C161" s="82">
        <v>18972.7</v>
      </c>
      <c r="D161" s="67"/>
      <c r="E161" s="83"/>
      <c r="F161" s="79"/>
      <c r="G161" s="67"/>
      <c r="H161" s="80"/>
      <c r="I161" s="67"/>
      <c r="J161" s="78">
        <v>79418.3</v>
      </c>
      <c r="K161" s="22">
        <v>546041</v>
      </c>
      <c r="L161" s="78">
        <f t="shared" si="38"/>
        <v>644432</v>
      </c>
      <c r="M161" s="67">
        <v>120705</v>
      </c>
      <c r="N161" s="80"/>
      <c r="O161" s="78">
        <v>20</v>
      </c>
      <c r="P161" s="72"/>
      <c r="Q161" s="81">
        <f>9.4+16282+102.9+887.8</f>
        <v>17282.099999999999</v>
      </c>
      <c r="R161" s="22">
        <f>72767.7-1198.4</f>
        <v>71569.3</v>
      </c>
      <c r="S161" s="78">
        <f t="shared" si="39"/>
        <v>1011401.9</v>
      </c>
    </row>
    <row r="162" spans="1:19" s="9" customFormat="1" x14ac:dyDescent="0.2">
      <c r="A162" s="84" t="s">
        <v>80</v>
      </c>
      <c r="B162" s="81">
        <f>153273.3+1198.4</f>
        <v>154471.69999999998</v>
      </c>
      <c r="C162" s="82">
        <v>37280.9</v>
      </c>
      <c r="D162" s="67"/>
      <c r="E162" s="83"/>
      <c r="F162" s="79"/>
      <c r="G162" s="67"/>
      <c r="H162" s="80"/>
      <c r="I162" s="67"/>
      <c r="J162" s="78">
        <v>78024.899999999994</v>
      </c>
      <c r="K162" s="22">
        <v>545401.19999999995</v>
      </c>
      <c r="L162" s="78">
        <f t="shared" si="38"/>
        <v>660707</v>
      </c>
      <c r="M162" s="67">
        <v>103274</v>
      </c>
      <c r="N162" s="80"/>
      <c r="O162" s="78">
        <v>20</v>
      </c>
      <c r="P162" s="72"/>
      <c r="Q162" s="81">
        <f>9.4+16026.9+102.9+887.8</f>
        <v>17027</v>
      </c>
      <c r="R162" s="22">
        <f>72584.3-1198.4</f>
        <v>71385.900000000009</v>
      </c>
      <c r="S162" s="78">
        <f t="shared" si="39"/>
        <v>1006885.6</v>
      </c>
    </row>
    <row r="163" spans="1:19" s="9" customFormat="1" x14ac:dyDescent="0.2">
      <c r="A163" s="84" t="s">
        <v>81</v>
      </c>
      <c r="B163" s="81">
        <f>155269.4+1198.4</f>
        <v>156467.79999999999</v>
      </c>
      <c r="C163" s="82">
        <v>69788.2</v>
      </c>
      <c r="D163" s="67"/>
      <c r="E163" s="83"/>
      <c r="F163" s="79"/>
      <c r="G163" s="67"/>
      <c r="H163" s="80"/>
      <c r="I163" s="67"/>
      <c r="J163" s="78">
        <v>75238.3</v>
      </c>
      <c r="K163" s="22">
        <v>544121.5</v>
      </c>
      <c r="L163" s="78">
        <f t="shared" si="38"/>
        <v>689148</v>
      </c>
      <c r="M163" s="67">
        <v>103050</v>
      </c>
      <c r="N163" s="80"/>
      <c r="O163" s="78">
        <v>20</v>
      </c>
      <c r="P163" s="72"/>
      <c r="Q163" s="81">
        <f>9.4+15946.2+83.3+887.8</f>
        <v>16926.7</v>
      </c>
      <c r="R163" s="22">
        <f>77107.9-1198.4</f>
        <v>75909.5</v>
      </c>
      <c r="S163" s="78">
        <f t="shared" si="39"/>
        <v>1041522</v>
      </c>
    </row>
    <row r="164" spans="1:19" s="9" customFormat="1" x14ac:dyDescent="0.2">
      <c r="A164" s="84" t="s">
        <v>66</v>
      </c>
      <c r="B164" s="81">
        <f>165236.3+1198.4</f>
        <v>166434.69999999998</v>
      </c>
      <c r="C164" s="82">
        <v>134973.1</v>
      </c>
      <c r="D164" s="67"/>
      <c r="E164" s="83"/>
      <c r="F164" s="79"/>
      <c r="G164" s="67"/>
      <c r="H164" s="80"/>
      <c r="I164" s="67"/>
      <c r="J164" s="78">
        <v>73845.100000000006</v>
      </c>
      <c r="K164" s="22">
        <v>543481.59999999998</v>
      </c>
      <c r="L164" s="78">
        <f t="shared" si="38"/>
        <v>752299.8</v>
      </c>
      <c r="M164" s="67">
        <v>89000</v>
      </c>
      <c r="N164" s="80"/>
      <c r="O164" s="78">
        <v>20</v>
      </c>
      <c r="P164" s="72"/>
      <c r="Q164" s="81">
        <f>15721.6+9.4+887.8+83.3</f>
        <v>16702.099999999999</v>
      </c>
      <c r="R164" s="22">
        <f>84074.1-1198.4</f>
        <v>82875.700000000012</v>
      </c>
      <c r="S164" s="78">
        <f t="shared" si="39"/>
        <v>1107332.3</v>
      </c>
    </row>
    <row r="165" spans="1:19" s="9" customFormat="1" x14ac:dyDescent="0.2">
      <c r="A165" s="84"/>
      <c r="B165" s="81"/>
      <c r="C165" s="82"/>
      <c r="D165" s="67"/>
      <c r="E165" s="83"/>
      <c r="F165" s="79"/>
      <c r="G165" s="67"/>
      <c r="H165" s="80"/>
      <c r="I165" s="67"/>
      <c r="J165" s="78"/>
      <c r="K165" s="22"/>
      <c r="L165" s="78"/>
      <c r="M165" s="67"/>
      <c r="N165" s="80"/>
      <c r="O165" s="78"/>
      <c r="P165" s="72"/>
      <c r="Q165" s="81"/>
      <c r="R165" s="22"/>
      <c r="S165" s="78"/>
    </row>
    <row r="166" spans="1:19" s="9" customFormat="1" x14ac:dyDescent="0.2">
      <c r="A166" s="84" t="s">
        <v>105</v>
      </c>
      <c r="B166" s="81">
        <f>1198.4+189855.9</f>
        <v>191054.3</v>
      </c>
      <c r="C166" s="82">
        <v>91642.3</v>
      </c>
      <c r="D166" s="67"/>
      <c r="E166" s="83"/>
      <c r="F166" s="79"/>
      <c r="G166" s="67"/>
      <c r="H166" s="80"/>
      <c r="I166" s="67"/>
      <c r="J166" s="78">
        <v>73845</v>
      </c>
      <c r="K166" s="22">
        <v>543481.59999999998</v>
      </c>
      <c r="L166" s="78">
        <f t="shared" ref="L166:L185" si="40">SUM(C166:K166)</f>
        <v>708968.89999999991</v>
      </c>
      <c r="M166" s="67">
        <v>116936.4</v>
      </c>
      <c r="N166" s="80"/>
      <c r="O166" s="78">
        <v>20</v>
      </c>
      <c r="P166" s="72"/>
      <c r="Q166" s="81">
        <f>16291.5+9.4+887.8+83.3</f>
        <v>17272</v>
      </c>
      <c r="R166" s="22">
        <f>94399.1-1198.4</f>
        <v>93200.700000000012</v>
      </c>
      <c r="S166" s="78">
        <f t="shared" ref="S166:S185" si="41">SUM(B166,L166:R166)</f>
        <v>1127452.3</v>
      </c>
    </row>
    <row r="167" spans="1:19" s="9" customFormat="1" x14ac:dyDescent="0.2">
      <c r="A167" s="84" t="s">
        <v>106</v>
      </c>
      <c r="B167" s="81">
        <f>1198.4+214097.2</f>
        <v>215295.6</v>
      </c>
      <c r="C167" s="82">
        <v>107598.6</v>
      </c>
      <c r="D167" s="67"/>
      <c r="E167" s="83"/>
      <c r="F167" s="79"/>
      <c r="G167" s="67"/>
      <c r="H167" s="80"/>
      <c r="I167" s="67"/>
      <c r="J167" s="78">
        <v>71058.399999999994</v>
      </c>
      <c r="K167" s="22">
        <v>542201.9</v>
      </c>
      <c r="L167" s="78">
        <f t="shared" si="40"/>
        <v>720858.9</v>
      </c>
      <c r="M167" s="67">
        <v>96000</v>
      </c>
      <c r="N167" s="80"/>
      <c r="O167" s="78">
        <v>20</v>
      </c>
      <c r="P167" s="72"/>
      <c r="Q167" s="81">
        <f>887.8+9.4+18787.3+83.3</f>
        <v>19767.8</v>
      </c>
      <c r="R167" s="22">
        <f>94083.8-1198.4</f>
        <v>92885.400000000009</v>
      </c>
      <c r="S167" s="78">
        <f t="shared" si="41"/>
        <v>1144827.7</v>
      </c>
    </row>
    <row r="168" spans="1:19" s="9" customFormat="1" x14ac:dyDescent="0.2">
      <c r="A168" s="84" t="s">
        <v>107</v>
      </c>
      <c r="B168" s="81">
        <f>1198.4+193593.9</f>
        <v>194792.3</v>
      </c>
      <c r="C168" s="82">
        <v>130042.5</v>
      </c>
      <c r="D168" s="67"/>
      <c r="E168" s="83"/>
      <c r="F168" s="79"/>
      <c r="G168" s="67"/>
      <c r="H168" s="80"/>
      <c r="I168" s="67"/>
      <c r="J168" s="78">
        <v>69665.100000000006</v>
      </c>
      <c r="K168" s="22">
        <v>541562</v>
      </c>
      <c r="L168" s="78">
        <f t="shared" si="40"/>
        <v>741269.6</v>
      </c>
      <c r="M168" s="67">
        <v>88840</v>
      </c>
      <c r="N168" s="80"/>
      <c r="O168" s="78">
        <v>20</v>
      </c>
      <c r="P168" s="72"/>
      <c r="Q168" s="81">
        <f>887.8+9.4+20517.6+83.3</f>
        <v>21498.1</v>
      </c>
      <c r="R168" s="22">
        <f>93988.3-1198.4</f>
        <v>92789.900000000009</v>
      </c>
      <c r="S168" s="78">
        <f t="shared" si="41"/>
        <v>1139209.8999999999</v>
      </c>
    </row>
    <row r="169" spans="1:19" s="9" customFormat="1" x14ac:dyDescent="0.2">
      <c r="A169" s="84" t="s">
        <v>76</v>
      </c>
      <c r="B169" s="81">
        <f>1198.4+188915.3</f>
        <v>190113.69999999998</v>
      </c>
      <c r="C169" s="82">
        <v>122074.2</v>
      </c>
      <c r="D169" s="67"/>
      <c r="E169" s="83"/>
      <c r="F169" s="79"/>
      <c r="G169" s="67"/>
      <c r="H169" s="80"/>
      <c r="I169" s="67"/>
      <c r="J169" s="78">
        <v>69665.100000000006</v>
      </c>
      <c r="K169" s="22">
        <v>541562</v>
      </c>
      <c r="L169" s="78">
        <f t="shared" si="40"/>
        <v>733301.3</v>
      </c>
      <c r="M169" s="67">
        <v>101000</v>
      </c>
      <c r="N169" s="80"/>
      <c r="O169" s="78">
        <v>20</v>
      </c>
      <c r="P169" s="72"/>
      <c r="Q169" s="81">
        <f>887.8+9.4+21238.9+83.3</f>
        <v>22219.4</v>
      </c>
      <c r="R169" s="22">
        <f>95617.3-1198.4</f>
        <v>94418.900000000009</v>
      </c>
      <c r="S169" s="78">
        <f t="shared" si="41"/>
        <v>1141073.3</v>
      </c>
    </row>
    <row r="170" spans="1:19" s="9" customFormat="1" x14ac:dyDescent="0.2">
      <c r="A170" s="84" t="s">
        <v>108</v>
      </c>
      <c r="B170" s="81">
        <f>1198.4+232923</f>
        <v>234121.4</v>
      </c>
      <c r="C170" s="82">
        <v>139502.5</v>
      </c>
      <c r="D170" s="67"/>
      <c r="E170" s="83"/>
      <c r="F170" s="79"/>
      <c r="G170" s="67"/>
      <c r="H170" s="80"/>
      <c r="I170" s="67"/>
      <c r="J170" s="78">
        <v>68271.8</v>
      </c>
      <c r="K170" s="22">
        <v>540922.1</v>
      </c>
      <c r="L170" s="78">
        <f t="shared" si="40"/>
        <v>748696.39999999991</v>
      </c>
      <c r="M170" s="67">
        <v>101165.4</v>
      </c>
      <c r="N170" s="80"/>
      <c r="O170" s="78">
        <v>20</v>
      </c>
      <c r="P170" s="72"/>
      <c r="Q170" s="81">
        <f>887.8+9.4+22154+83.3</f>
        <v>23134.5</v>
      </c>
      <c r="R170" s="22">
        <f>96633-1198.4</f>
        <v>95434.6</v>
      </c>
      <c r="S170" s="78">
        <f t="shared" si="41"/>
        <v>1202572.3</v>
      </c>
    </row>
    <row r="171" spans="1:19" s="9" customFormat="1" x14ac:dyDescent="0.2">
      <c r="A171" s="84" t="s">
        <v>69</v>
      </c>
      <c r="B171" s="81">
        <f>1198.4+199629.2</f>
        <v>200827.6</v>
      </c>
      <c r="C171" s="82">
        <v>141652.79999999999</v>
      </c>
      <c r="D171" s="67"/>
      <c r="E171" s="83"/>
      <c r="F171" s="79"/>
      <c r="G171" s="67"/>
      <c r="H171" s="80"/>
      <c r="I171" s="67"/>
      <c r="J171" s="78">
        <v>66878.5</v>
      </c>
      <c r="K171" s="22">
        <v>540282.30000000005</v>
      </c>
      <c r="L171" s="78">
        <f t="shared" si="40"/>
        <v>748813.60000000009</v>
      </c>
      <c r="M171" s="67">
        <v>70737.5</v>
      </c>
      <c r="N171" s="80"/>
      <c r="O171" s="78">
        <v>20</v>
      </c>
      <c r="P171" s="72"/>
      <c r="Q171" s="81">
        <f>887.8+9.4+22518.5+83.3</f>
        <v>23499</v>
      </c>
      <c r="R171" s="22">
        <f>99923.4-1198.4</f>
        <v>98725</v>
      </c>
      <c r="S171" s="78">
        <f t="shared" si="41"/>
        <v>1142622.7000000002</v>
      </c>
    </row>
    <row r="172" spans="1:19" s="9" customFormat="1" x14ac:dyDescent="0.2">
      <c r="A172" s="84" t="s">
        <v>109</v>
      </c>
      <c r="B172" s="81">
        <f>1198.4+177070.1</f>
        <v>178268.5</v>
      </c>
      <c r="C172" s="82">
        <v>126976.7</v>
      </c>
      <c r="D172" s="67"/>
      <c r="E172" s="83"/>
      <c r="F172" s="79"/>
      <c r="G172" s="67"/>
      <c r="H172" s="80"/>
      <c r="I172" s="67"/>
      <c r="J172" s="78">
        <v>65485.2</v>
      </c>
      <c r="K172" s="22">
        <v>539642.4</v>
      </c>
      <c r="L172" s="78">
        <f t="shared" si="40"/>
        <v>732104.3</v>
      </c>
      <c r="M172" s="67">
        <v>112898.5</v>
      </c>
      <c r="N172" s="80"/>
      <c r="O172" s="78">
        <v>20</v>
      </c>
      <c r="P172" s="72"/>
      <c r="Q172" s="81">
        <f>887.8+9.4+23662.3+83.3</f>
        <v>24642.799999999999</v>
      </c>
      <c r="R172" s="22">
        <f>108390-1198.4</f>
        <v>107191.6</v>
      </c>
      <c r="S172" s="78">
        <f t="shared" si="41"/>
        <v>1155125.7000000002</v>
      </c>
    </row>
    <row r="173" spans="1:19" s="9" customFormat="1" x14ac:dyDescent="0.2">
      <c r="A173" s="84" t="s">
        <v>110</v>
      </c>
      <c r="B173" s="81">
        <f>1198.4+200673.4</f>
        <v>201871.8</v>
      </c>
      <c r="C173" s="82">
        <v>129280.9</v>
      </c>
      <c r="D173" s="67"/>
      <c r="E173" s="83"/>
      <c r="F173" s="79"/>
      <c r="G173" s="67"/>
      <c r="H173" s="80"/>
      <c r="I173" s="67"/>
      <c r="J173" s="78">
        <v>62698.6</v>
      </c>
      <c r="K173" s="22">
        <v>538362.6</v>
      </c>
      <c r="L173" s="78">
        <f t="shared" si="40"/>
        <v>730342.1</v>
      </c>
      <c r="M173" s="67">
        <v>107910</v>
      </c>
      <c r="N173" s="80"/>
      <c r="O173" s="78">
        <v>20</v>
      </c>
      <c r="P173" s="72"/>
      <c r="Q173" s="81">
        <f>23192.9+83.3+887.8+9.4</f>
        <v>24173.4</v>
      </c>
      <c r="R173" s="22">
        <f>119053.6-1198.4</f>
        <v>117855.20000000001</v>
      </c>
      <c r="S173" s="78">
        <f t="shared" si="41"/>
        <v>1182172.4999999998</v>
      </c>
    </row>
    <row r="174" spans="1:19" s="9" customFormat="1" x14ac:dyDescent="0.2">
      <c r="A174" s="84" t="s">
        <v>70</v>
      </c>
      <c r="B174" s="81">
        <f>1198.4+197530</f>
        <v>198728.4</v>
      </c>
      <c r="C174" s="82">
        <v>112382.3</v>
      </c>
      <c r="D174" s="67"/>
      <c r="E174" s="83"/>
      <c r="F174" s="79"/>
      <c r="G174" s="67"/>
      <c r="H174" s="80"/>
      <c r="I174" s="67"/>
      <c r="J174" s="78">
        <v>62698.6</v>
      </c>
      <c r="K174" s="22">
        <v>538362.6</v>
      </c>
      <c r="L174" s="78">
        <f t="shared" si="40"/>
        <v>713443.5</v>
      </c>
      <c r="M174" s="67">
        <v>123150</v>
      </c>
      <c r="N174" s="80"/>
      <c r="O174" s="78">
        <v>20</v>
      </c>
      <c r="P174" s="72"/>
      <c r="Q174" s="81">
        <f>23325.1+83.3+887.8</f>
        <v>24296.199999999997</v>
      </c>
      <c r="R174" s="22">
        <f>134316.4-1198.4</f>
        <v>133118</v>
      </c>
      <c r="S174" s="78">
        <f t="shared" si="41"/>
        <v>1192756.1000000001</v>
      </c>
    </row>
    <row r="175" spans="1:19" s="9" customFormat="1" x14ac:dyDescent="0.2">
      <c r="A175" s="84" t="s">
        <v>111</v>
      </c>
      <c r="B175" s="81">
        <f>1198.4+211323.9</f>
        <v>212522.3</v>
      </c>
      <c r="C175" s="82">
        <v>144881.70000000001</v>
      </c>
      <c r="D175" s="67"/>
      <c r="E175" s="83"/>
      <c r="F175" s="79"/>
      <c r="G175" s="67"/>
      <c r="H175" s="80"/>
      <c r="I175" s="67"/>
      <c r="J175" s="78">
        <v>59912</v>
      </c>
      <c r="K175" s="22">
        <v>537082.9</v>
      </c>
      <c r="L175" s="78">
        <f t="shared" si="40"/>
        <v>741876.60000000009</v>
      </c>
      <c r="M175" s="67">
        <v>118810</v>
      </c>
      <c r="N175" s="80"/>
      <c r="O175" s="78">
        <v>20</v>
      </c>
      <c r="P175" s="72"/>
      <c r="Q175" s="81">
        <f>22927.7+83.3+887.8</f>
        <v>23898.799999999999</v>
      </c>
      <c r="R175" s="22">
        <f>115155.9-1198.4</f>
        <v>113957.5</v>
      </c>
      <c r="S175" s="78">
        <f t="shared" si="41"/>
        <v>1211085.2000000002</v>
      </c>
    </row>
    <row r="176" spans="1:19" s="9" customFormat="1" x14ac:dyDescent="0.2">
      <c r="A176" s="84" t="s">
        <v>112</v>
      </c>
      <c r="B176" s="81">
        <f>190122.7+1198.4</f>
        <v>191321.1</v>
      </c>
      <c r="C176" s="82">
        <v>150659</v>
      </c>
      <c r="D176" s="67"/>
      <c r="E176" s="83"/>
      <c r="F176" s="79"/>
      <c r="G176" s="67"/>
      <c r="H176" s="80"/>
      <c r="I176" s="67"/>
      <c r="J176" s="78">
        <v>59912</v>
      </c>
      <c r="K176" s="22">
        <v>536443</v>
      </c>
      <c r="L176" s="78">
        <f t="shared" si="40"/>
        <v>747014</v>
      </c>
      <c r="M176" s="67">
        <v>134100</v>
      </c>
      <c r="N176" s="80"/>
      <c r="O176" s="78">
        <v>20</v>
      </c>
      <c r="P176" s="72"/>
      <c r="Q176" s="81">
        <f>22863.1+887.8+83.3</f>
        <v>23834.199999999997</v>
      </c>
      <c r="R176" s="22">
        <f>130086.6-1198.4</f>
        <v>128888.20000000001</v>
      </c>
      <c r="S176" s="78">
        <f t="shared" si="41"/>
        <v>1225177.5</v>
      </c>
    </row>
    <row r="177" spans="1:19" s="9" customFormat="1" x14ac:dyDescent="0.2">
      <c r="A177" s="84" t="s">
        <v>71</v>
      </c>
      <c r="B177" s="81">
        <v>194000.2</v>
      </c>
      <c r="C177" s="82">
        <v>194279.4</v>
      </c>
      <c r="D177" s="67"/>
      <c r="E177" s="83"/>
      <c r="F177" s="79"/>
      <c r="G177" s="67"/>
      <c r="H177" s="80"/>
      <c r="I177" s="67"/>
      <c r="J177" s="78">
        <v>57125.4</v>
      </c>
      <c r="K177" s="22">
        <v>535803.19999999995</v>
      </c>
      <c r="L177" s="78">
        <f t="shared" si="40"/>
        <v>787208</v>
      </c>
      <c r="M177" s="67">
        <v>159990</v>
      </c>
      <c r="N177" s="80"/>
      <c r="O177" s="78">
        <v>20</v>
      </c>
      <c r="P177" s="72"/>
      <c r="Q177" s="81">
        <f>887.8+22686.1+83.3</f>
        <v>23657.199999999997</v>
      </c>
      <c r="R177" s="22">
        <f>110090.6-1198.4</f>
        <v>108892.20000000001</v>
      </c>
      <c r="S177" s="78">
        <f t="shared" si="41"/>
        <v>1273767.5999999999</v>
      </c>
    </row>
    <row r="178" spans="1:19" s="9" customFormat="1" x14ac:dyDescent="0.2">
      <c r="A178" s="84"/>
      <c r="B178" s="81"/>
      <c r="C178" s="82"/>
      <c r="D178" s="67"/>
      <c r="E178" s="83"/>
      <c r="F178" s="79"/>
      <c r="G178" s="67"/>
      <c r="H178" s="80"/>
      <c r="I178" s="67"/>
      <c r="J178" s="78"/>
      <c r="K178" s="22"/>
      <c r="L178" s="78"/>
      <c r="M178" s="67"/>
      <c r="N178" s="80"/>
      <c r="O178" s="78"/>
      <c r="P178" s="72"/>
      <c r="Q178" s="81"/>
      <c r="R178" s="22"/>
      <c r="S178" s="78"/>
    </row>
    <row r="179" spans="1:19" s="9" customFormat="1" ht="12" customHeight="1" x14ac:dyDescent="0.2">
      <c r="A179" s="44" t="s">
        <v>113</v>
      </c>
      <c r="B179" s="81">
        <v>175547.2</v>
      </c>
      <c r="C179" s="82">
        <v>154611.4</v>
      </c>
      <c r="D179" s="67"/>
      <c r="E179" s="83"/>
      <c r="F179" s="79"/>
      <c r="G179" s="67"/>
      <c r="H179" s="80"/>
      <c r="I179" s="67"/>
      <c r="J179" s="78">
        <v>55732.1</v>
      </c>
      <c r="K179" s="22">
        <v>535163.30000000005</v>
      </c>
      <c r="L179" s="78">
        <f t="shared" si="40"/>
        <v>745506.8</v>
      </c>
      <c r="M179" s="67">
        <v>174680</v>
      </c>
      <c r="N179" s="80"/>
      <c r="O179" s="78">
        <v>20</v>
      </c>
      <c r="P179" s="72"/>
      <c r="Q179" s="81">
        <v>24085.899999999998</v>
      </c>
      <c r="R179" s="22">
        <f>153479-1198.4</f>
        <v>152280.6</v>
      </c>
      <c r="S179" s="78">
        <f t="shared" si="41"/>
        <v>1272120.5</v>
      </c>
    </row>
    <row r="180" spans="1:19" s="9" customFormat="1" ht="12" customHeight="1" x14ac:dyDescent="0.2">
      <c r="A180" s="44" t="s">
        <v>106</v>
      </c>
      <c r="B180" s="81">
        <v>202730.09999999998</v>
      </c>
      <c r="C180" s="82">
        <v>156799.4</v>
      </c>
      <c r="D180" s="67"/>
      <c r="E180" s="83"/>
      <c r="F180" s="79"/>
      <c r="G180" s="67"/>
      <c r="H180" s="80"/>
      <c r="I180" s="67"/>
      <c r="J180" s="78">
        <v>54338.8</v>
      </c>
      <c r="K180" s="22">
        <v>534523.4</v>
      </c>
      <c r="L180" s="78">
        <f t="shared" si="40"/>
        <v>745661.60000000009</v>
      </c>
      <c r="M180" s="67">
        <v>172670</v>
      </c>
      <c r="N180" s="80"/>
      <c r="O180" s="78">
        <v>20</v>
      </c>
      <c r="P180" s="72"/>
      <c r="Q180" s="81">
        <v>23854.7</v>
      </c>
      <c r="R180" s="22">
        <f>127310.3-1198.4</f>
        <v>126111.90000000001</v>
      </c>
      <c r="S180" s="78">
        <f t="shared" si="41"/>
        <v>1271048.3</v>
      </c>
    </row>
    <row r="181" spans="1:19" s="9" customFormat="1" ht="12" customHeight="1" x14ac:dyDescent="0.2">
      <c r="A181" s="44" t="s">
        <v>107</v>
      </c>
      <c r="B181" s="81">
        <v>153639.19999999998</v>
      </c>
      <c r="C181" s="82">
        <v>151279.20000000001</v>
      </c>
      <c r="D181" s="67"/>
      <c r="E181" s="83"/>
      <c r="F181" s="79"/>
      <c r="G181" s="67"/>
      <c r="H181" s="80"/>
      <c r="I181" s="67"/>
      <c r="J181" s="78">
        <v>52945.5</v>
      </c>
      <c r="K181" s="22">
        <v>533314.30000000005</v>
      </c>
      <c r="L181" s="78">
        <f t="shared" si="40"/>
        <v>737539</v>
      </c>
      <c r="M181" s="67">
        <v>185103.2</v>
      </c>
      <c r="N181" s="80"/>
      <c r="O181" s="78">
        <v>20</v>
      </c>
      <c r="P181" s="72"/>
      <c r="Q181" s="81">
        <v>24049.3</v>
      </c>
      <c r="R181" s="22">
        <f>135340.2-1198.4</f>
        <v>134141.80000000002</v>
      </c>
      <c r="S181" s="78">
        <f t="shared" si="41"/>
        <v>1234492.5</v>
      </c>
    </row>
    <row r="182" spans="1:19" s="9" customFormat="1" ht="12" customHeight="1" x14ac:dyDescent="0.2">
      <c r="A182" s="44" t="s">
        <v>114</v>
      </c>
      <c r="B182" s="81">
        <v>178118.5</v>
      </c>
      <c r="C182" s="82">
        <v>130576.4</v>
      </c>
      <c r="D182" s="67"/>
      <c r="E182" s="83"/>
      <c r="F182" s="79"/>
      <c r="G182" s="67"/>
      <c r="H182" s="80"/>
      <c r="I182" s="67"/>
      <c r="J182" s="78">
        <v>52945.5</v>
      </c>
      <c r="K182" s="22">
        <v>532175.80000000005</v>
      </c>
      <c r="L182" s="78">
        <f t="shared" si="40"/>
        <v>715697.70000000007</v>
      </c>
      <c r="M182" s="67">
        <v>242832.2</v>
      </c>
      <c r="N182" s="80"/>
      <c r="O182" s="78">
        <v>20</v>
      </c>
      <c r="P182" s="72"/>
      <c r="Q182" s="81">
        <v>24199.699999999997</v>
      </c>
      <c r="R182" s="22">
        <f>139962.4-1198.4</f>
        <v>138764</v>
      </c>
      <c r="S182" s="78">
        <f t="shared" si="41"/>
        <v>1299632.1000000001</v>
      </c>
    </row>
    <row r="183" spans="1:19" s="9" customFormat="1" ht="12" customHeight="1" x14ac:dyDescent="0.2">
      <c r="A183" s="44" t="s">
        <v>108</v>
      </c>
      <c r="B183" s="81">
        <v>153037.79999999999</v>
      </c>
      <c r="C183" s="82">
        <v>134896.70000000001</v>
      </c>
      <c r="D183" s="67"/>
      <c r="E183" s="83"/>
      <c r="F183" s="79"/>
      <c r="G183" s="67"/>
      <c r="H183" s="80"/>
      <c r="I183" s="67"/>
      <c r="J183" s="78">
        <v>50158.9</v>
      </c>
      <c r="K183" s="22">
        <v>529757.5</v>
      </c>
      <c r="L183" s="78">
        <f t="shared" si="40"/>
        <v>714813.1</v>
      </c>
      <c r="M183" s="67">
        <v>240220</v>
      </c>
      <c r="N183" s="80"/>
      <c r="O183" s="78">
        <v>20</v>
      </c>
      <c r="P183" s="72"/>
      <c r="Q183" s="81">
        <v>24677.9</v>
      </c>
      <c r="R183" s="22">
        <f>145369.6-1198.4</f>
        <v>144171.20000000001</v>
      </c>
      <c r="S183" s="78">
        <f t="shared" si="41"/>
        <v>1276939.9999999998</v>
      </c>
    </row>
    <row r="184" spans="1:19" s="9" customFormat="1" ht="12" customHeight="1" x14ac:dyDescent="0.2">
      <c r="A184" s="44" t="s">
        <v>69</v>
      </c>
      <c r="B184" s="81">
        <v>153564.80000000002</v>
      </c>
      <c r="C184" s="82">
        <v>201181.6</v>
      </c>
      <c r="D184" s="67"/>
      <c r="E184" s="83"/>
      <c r="F184" s="79"/>
      <c r="G184" s="67"/>
      <c r="H184" s="80"/>
      <c r="I184" s="67"/>
      <c r="J184" s="78">
        <v>50158.9</v>
      </c>
      <c r="K184" s="22">
        <v>529117.6</v>
      </c>
      <c r="L184" s="78">
        <f t="shared" si="40"/>
        <v>780458.1</v>
      </c>
      <c r="M184" s="67">
        <v>283075.3</v>
      </c>
      <c r="N184" s="80"/>
      <c r="O184" s="78">
        <v>20</v>
      </c>
      <c r="P184" s="72"/>
      <c r="Q184" s="81">
        <v>24856.5</v>
      </c>
      <c r="R184" s="22">
        <f>150060.9-1198.4</f>
        <v>148862.5</v>
      </c>
      <c r="S184" s="78">
        <f t="shared" si="41"/>
        <v>1390837.2</v>
      </c>
    </row>
    <row r="185" spans="1:19" s="9" customFormat="1" ht="12" customHeight="1" x14ac:dyDescent="0.2">
      <c r="A185" s="44" t="s">
        <v>109</v>
      </c>
      <c r="B185" s="81">
        <v>142774.20000000001</v>
      </c>
      <c r="C185" s="82">
        <v>162239</v>
      </c>
      <c r="D185" s="67"/>
      <c r="E185" s="83"/>
      <c r="F185" s="79"/>
      <c r="G185" s="67"/>
      <c r="H185" s="80"/>
      <c r="I185" s="67"/>
      <c r="J185" s="78">
        <v>48765.599999999999</v>
      </c>
      <c r="K185" s="22">
        <v>528548.4</v>
      </c>
      <c r="L185" s="78">
        <f t="shared" si="40"/>
        <v>739553</v>
      </c>
      <c r="M185" s="67">
        <v>290770</v>
      </c>
      <c r="N185" s="80"/>
      <c r="O185" s="78">
        <v>20</v>
      </c>
      <c r="P185" s="72"/>
      <c r="Q185" s="81">
        <v>24946.1</v>
      </c>
      <c r="R185" s="22">
        <f>151793.2-1198.4</f>
        <v>150594.80000000002</v>
      </c>
      <c r="S185" s="78">
        <f t="shared" si="41"/>
        <v>1348658.1</v>
      </c>
    </row>
    <row r="186" spans="1:19" s="9" customFormat="1" x14ac:dyDescent="0.2">
      <c r="A186" s="84"/>
      <c r="B186" s="81"/>
      <c r="C186" s="82"/>
      <c r="D186" s="67"/>
      <c r="E186" s="83"/>
      <c r="F186" s="79"/>
      <c r="G186" s="67"/>
      <c r="H186" s="80"/>
      <c r="I186" s="67"/>
      <c r="J186" s="78"/>
      <c r="K186" s="22"/>
      <c r="L186" s="78"/>
      <c r="M186" s="67"/>
      <c r="N186" s="80"/>
      <c r="O186" s="78"/>
      <c r="P186" s="72"/>
      <c r="Q186" s="81"/>
      <c r="R186" s="22"/>
      <c r="S186" s="78"/>
    </row>
    <row r="187" spans="1:19" s="9" customFormat="1" x14ac:dyDescent="0.2">
      <c r="A187" s="87"/>
      <c r="B187" s="2"/>
      <c r="C187" s="88"/>
      <c r="D187" s="2"/>
      <c r="E187" s="88"/>
      <c r="F187" s="89"/>
      <c r="G187" s="2"/>
      <c r="H187" s="3"/>
      <c r="I187" s="88"/>
      <c r="J187" s="88"/>
      <c r="K187" s="88"/>
      <c r="L187" s="2"/>
      <c r="M187" s="2"/>
      <c r="N187" s="2"/>
      <c r="O187" s="2"/>
      <c r="P187" s="4"/>
      <c r="Q187" s="2"/>
      <c r="R187" s="2"/>
      <c r="S187" s="5"/>
    </row>
    <row r="188" spans="1:19" x14ac:dyDescent="0.2">
      <c r="A188" s="90" t="s">
        <v>115</v>
      </c>
      <c r="B188" s="47"/>
      <c r="C188" s="91"/>
      <c r="D188" s="47"/>
      <c r="E188" s="47"/>
      <c r="F188" s="47"/>
      <c r="G188" s="47"/>
      <c r="H188" s="48"/>
      <c r="I188" s="47"/>
      <c r="J188" s="47"/>
      <c r="K188" s="47"/>
      <c r="L188" s="47"/>
      <c r="M188" s="47"/>
      <c r="N188" s="47"/>
      <c r="O188" s="47"/>
      <c r="P188" s="92"/>
      <c r="Q188" s="47"/>
      <c r="R188" s="47"/>
      <c r="S188" s="93"/>
    </row>
    <row r="189" spans="1:19" x14ac:dyDescent="0.2">
      <c r="C189" s="94"/>
    </row>
    <row r="190" spans="1:19" x14ac:dyDescent="0.2">
      <c r="C190" s="94"/>
    </row>
    <row r="191" spans="1:19" x14ac:dyDescent="0.2">
      <c r="C191" s="94"/>
      <c r="S191" s="98"/>
    </row>
    <row r="192" spans="1:19" x14ac:dyDescent="0.2">
      <c r="C192" s="94"/>
    </row>
    <row r="193" spans="3:3" x14ac:dyDescent="0.2">
      <c r="C193" s="94"/>
    </row>
    <row r="194" spans="3:3" x14ac:dyDescent="0.2">
      <c r="C194" s="94"/>
    </row>
    <row r="195" spans="3:3" x14ac:dyDescent="0.2">
      <c r="C195" s="94"/>
    </row>
    <row r="196" spans="3:3" x14ac:dyDescent="0.2">
      <c r="C196" s="94"/>
    </row>
    <row r="197" spans="3:3" x14ac:dyDescent="0.2">
      <c r="C197" s="94"/>
    </row>
    <row r="198" spans="3:3" x14ac:dyDescent="0.2">
      <c r="C198" s="94"/>
    </row>
    <row r="199" spans="3:3" x14ac:dyDescent="0.2">
      <c r="C199" s="94"/>
    </row>
    <row r="200" spans="3:3" x14ac:dyDescent="0.2">
      <c r="C200" s="94"/>
    </row>
    <row r="201" spans="3:3" x14ac:dyDescent="0.2">
      <c r="C201" s="94"/>
    </row>
    <row r="202" spans="3:3" x14ac:dyDescent="0.2">
      <c r="C202" s="94"/>
    </row>
    <row r="203" spans="3:3" x14ac:dyDescent="0.2">
      <c r="C203" s="94"/>
    </row>
    <row r="204" spans="3:3" x14ac:dyDescent="0.2">
      <c r="C204" s="94"/>
    </row>
    <row r="205" spans="3:3" x14ac:dyDescent="0.2">
      <c r="C205" s="94"/>
    </row>
    <row r="206" spans="3:3" x14ac:dyDescent="0.2">
      <c r="C206" s="94"/>
    </row>
    <row r="207" spans="3:3" x14ac:dyDescent="0.2">
      <c r="C207" s="94"/>
    </row>
    <row r="208" spans="3:3" x14ac:dyDescent="0.2">
      <c r="C208" s="94"/>
    </row>
    <row r="209" spans="3:3" x14ac:dyDescent="0.2">
      <c r="C209" s="94"/>
    </row>
    <row r="210" spans="3:3" x14ac:dyDescent="0.2">
      <c r="C210" s="94"/>
    </row>
    <row r="211" spans="3:3" x14ac:dyDescent="0.2">
      <c r="C211" s="94"/>
    </row>
    <row r="212" spans="3:3" x14ac:dyDescent="0.2">
      <c r="C212" s="94"/>
    </row>
    <row r="213" spans="3:3" x14ac:dyDescent="0.2">
      <c r="C213" s="94"/>
    </row>
    <row r="214" spans="3:3" x14ac:dyDescent="0.2">
      <c r="C214" s="94"/>
    </row>
    <row r="215" spans="3:3" x14ac:dyDescent="0.2">
      <c r="C215" s="94"/>
    </row>
    <row r="216" spans="3:3" x14ac:dyDescent="0.2">
      <c r="C216" s="94"/>
    </row>
    <row r="217" spans="3:3" x14ac:dyDescent="0.2">
      <c r="C217" s="94"/>
    </row>
    <row r="218" spans="3:3" x14ac:dyDescent="0.2">
      <c r="C218" s="94"/>
    </row>
    <row r="219" spans="3:3" x14ac:dyDescent="0.2">
      <c r="C219" s="94"/>
    </row>
    <row r="220" spans="3:3" x14ac:dyDescent="0.2">
      <c r="C220" s="94"/>
    </row>
    <row r="221" spans="3:3" x14ac:dyDescent="0.2">
      <c r="C221" s="94"/>
    </row>
    <row r="222" spans="3:3" x14ac:dyDescent="0.2">
      <c r="C222" s="94"/>
    </row>
    <row r="223" spans="3:3" x14ac:dyDescent="0.2">
      <c r="C223" s="94"/>
    </row>
    <row r="224" spans="3:3" x14ac:dyDescent="0.2">
      <c r="C224" s="94"/>
    </row>
  </sheetData>
  <mergeCells count="3">
    <mergeCell ref="A3:S3"/>
    <mergeCell ref="A4:S4"/>
    <mergeCell ref="C8:L8"/>
  </mergeCells>
  <pageMargins left="2.4803149606299213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II_2_1 Assets_BRB</vt:lpstr>
      <vt:lpstr>'II_2_1 Assets_BRB'!Print_Area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2018-10-24T06:37:22Z</dcterms:created>
  <dcterms:modified xsi:type="dcterms:W3CDTF">2018-10-24T06:37:42Z</dcterms:modified>
</cp:coreProperties>
</file>