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2_2 Liabilities BRB" sheetId="1" r:id="rId1"/>
  </sheets>
  <definedNames>
    <definedName name="_xlnm.Print_Area" localSheetId="0">'II_2_2 Liabilities BRB'!$A$1:$S$184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1" i="1" l="1"/>
  <c r="L181" i="1"/>
  <c r="H181" i="1"/>
  <c r="I181" i="1" s="1"/>
  <c r="S181" i="1" s="1"/>
  <c r="R180" i="1"/>
  <c r="L180" i="1"/>
  <c r="I180" i="1"/>
  <c r="S180" i="1" s="1"/>
  <c r="H180" i="1"/>
  <c r="R179" i="1"/>
  <c r="L179" i="1"/>
  <c r="H179" i="1"/>
  <c r="I179" i="1" s="1"/>
  <c r="S179" i="1" s="1"/>
  <c r="R177" i="1"/>
  <c r="L177" i="1"/>
  <c r="H177" i="1"/>
  <c r="I177" i="1" s="1"/>
  <c r="S177" i="1" s="1"/>
  <c r="R176" i="1"/>
  <c r="L176" i="1"/>
  <c r="H176" i="1"/>
  <c r="I176" i="1" s="1"/>
  <c r="S176" i="1" s="1"/>
  <c r="R175" i="1"/>
  <c r="L175" i="1"/>
  <c r="I175" i="1"/>
  <c r="S175" i="1" s="1"/>
  <c r="H175" i="1"/>
  <c r="S174" i="1"/>
  <c r="R174" i="1"/>
  <c r="L174" i="1"/>
  <c r="I174" i="1"/>
  <c r="R173" i="1"/>
  <c r="L173" i="1"/>
  <c r="I173" i="1"/>
  <c r="S173" i="1" s="1"/>
  <c r="S172" i="1"/>
  <c r="R172" i="1"/>
  <c r="L172" i="1"/>
  <c r="I172" i="1"/>
  <c r="R171" i="1"/>
  <c r="L171" i="1"/>
  <c r="I171" i="1"/>
  <c r="S171" i="1" s="1"/>
  <c r="S170" i="1"/>
  <c r="R170" i="1"/>
  <c r="L170" i="1"/>
  <c r="I170" i="1"/>
  <c r="R169" i="1"/>
  <c r="L169" i="1"/>
  <c r="I169" i="1"/>
  <c r="S169" i="1" s="1"/>
  <c r="S168" i="1"/>
  <c r="R168" i="1"/>
  <c r="L168" i="1"/>
  <c r="I168" i="1"/>
  <c r="R167" i="1"/>
  <c r="L167" i="1"/>
  <c r="I167" i="1"/>
  <c r="S167" i="1" s="1"/>
  <c r="S166" i="1"/>
  <c r="R166" i="1"/>
  <c r="L166" i="1"/>
  <c r="I166" i="1"/>
  <c r="R164" i="1"/>
  <c r="L164" i="1"/>
  <c r="I164" i="1"/>
  <c r="S164" i="1" s="1"/>
  <c r="S163" i="1"/>
  <c r="R163" i="1"/>
  <c r="L163" i="1"/>
  <c r="I163" i="1"/>
  <c r="R162" i="1"/>
  <c r="L162" i="1"/>
  <c r="I162" i="1"/>
  <c r="S162" i="1" s="1"/>
  <c r="S161" i="1"/>
  <c r="R161" i="1"/>
  <c r="L161" i="1"/>
  <c r="I161" i="1"/>
  <c r="R160" i="1"/>
  <c r="L160" i="1"/>
  <c r="I160" i="1"/>
  <c r="S160" i="1" s="1"/>
  <c r="S159" i="1"/>
  <c r="R159" i="1"/>
  <c r="L159" i="1"/>
  <c r="I159" i="1"/>
  <c r="R158" i="1"/>
  <c r="L158" i="1"/>
  <c r="I158" i="1"/>
  <c r="S158" i="1" s="1"/>
  <c r="S157" i="1"/>
  <c r="R157" i="1"/>
  <c r="L157" i="1"/>
  <c r="I157" i="1"/>
  <c r="L156" i="1"/>
  <c r="I156" i="1"/>
  <c r="S156" i="1" s="1"/>
  <c r="R155" i="1"/>
  <c r="L155" i="1"/>
  <c r="I155" i="1"/>
  <c r="S155" i="1" s="1"/>
  <c r="R154" i="1"/>
  <c r="L154" i="1"/>
  <c r="I154" i="1"/>
  <c r="S154" i="1" s="1"/>
  <c r="R153" i="1"/>
  <c r="L153" i="1"/>
  <c r="I153" i="1"/>
  <c r="S153" i="1" s="1"/>
  <c r="R151" i="1"/>
  <c r="L151" i="1"/>
  <c r="I151" i="1"/>
  <c r="S151" i="1" s="1"/>
  <c r="R150" i="1"/>
  <c r="L150" i="1"/>
  <c r="I150" i="1"/>
  <c r="S150" i="1" s="1"/>
  <c r="R149" i="1"/>
  <c r="L149" i="1"/>
  <c r="I149" i="1"/>
  <c r="S149" i="1" s="1"/>
  <c r="R148" i="1"/>
  <c r="L148" i="1"/>
  <c r="I148" i="1"/>
  <c r="S148" i="1" s="1"/>
  <c r="R147" i="1"/>
  <c r="L147" i="1"/>
  <c r="I147" i="1"/>
  <c r="S147" i="1" s="1"/>
  <c r="R146" i="1"/>
  <c r="L146" i="1"/>
  <c r="I146" i="1"/>
  <c r="S146" i="1" s="1"/>
  <c r="R145" i="1"/>
  <c r="L145" i="1"/>
  <c r="I145" i="1"/>
  <c r="S145" i="1" s="1"/>
  <c r="R144" i="1"/>
  <c r="L144" i="1"/>
  <c r="I144" i="1"/>
  <c r="S144" i="1" s="1"/>
  <c r="R143" i="1"/>
  <c r="L143" i="1"/>
  <c r="I143" i="1"/>
  <c r="S143" i="1" s="1"/>
  <c r="R142" i="1"/>
  <c r="L142" i="1"/>
  <c r="I142" i="1"/>
  <c r="S142" i="1" s="1"/>
  <c r="R141" i="1"/>
  <c r="L141" i="1"/>
  <c r="I141" i="1"/>
  <c r="S141" i="1" s="1"/>
  <c r="R140" i="1"/>
  <c r="L140" i="1"/>
  <c r="I140" i="1"/>
  <c r="S140" i="1" s="1"/>
  <c r="R138" i="1"/>
  <c r="L138" i="1"/>
  <c r="I138" i="1"/>
  <c r="S138" i="1" s="1"/>
  <c r="R137" i="1"/>
  <c r="L137" i="1"/>
  <c r="I137" i="1"/>
  <c r="S137" i="1" s="1"/>
  <c r="R136" i="1"/>
  <c r="L136" i="1"/>
  <c r="I136" i="1"/>
  <c r="S136" i="1" s="1"/>
  <c r="R135" i="1"/>
  <c r="L135" i="1"/>
  <c r="I135" i="1"/>
  <c r="S135" i="1" s="1"/>
  <c r="R134" i="1"/>
  <c r="L134" i="1"/>
  <c r="I134" i="1"/>
  <c r="S134" i="1" s="1"/>
  <c r="R133" i="1"/>
  <c r="L133" i="1"/>
  <c r="I133" i="1"/>
  <c r="S133" i="1" s="1"/>
  <c r="R132" i="1"/>
  <c r="L132" i="1"/>
  <c r="I132" i="1"/>
  <c r="S132" i="1" s="1"/>
  <c r="R131" i="1"/>
  <c r="L131" i="1"/>
  <c r="I131" i="1"/>
  <c r="S131" i="1" s="1"/>
  <c r="R130" i="1"/>
  <c r="L130" i="1"/>
  <c r="I130" i="1"/>
  <c r="S130" i="1" s="1"/>
  <c r="R129" i="1"/>
  <c r="L129" i="1"/>
  <c r="I129" i="1"/>
  <c r="S129" i="1" s="1"/>
  <c r="R128" i="1"/>
  <c r="L128" i="1"/>
  <c r="I128" i="1"/>
  <c r="S128" i="1" s="1"/>
  <c r="L127" i="1"/>
  <c r="S127" i="1" s="1"/>
  <c r="I127" i="1"/>
  <c r="S125" i="1"/>
  <c r="L125" i="1"/>
  <c r="I125" i="1"/>
  <c r="L124" i="1"/>
  <c r="I124" i="1"/>
  <c r="S124" i="1" s="1"/>
  <c r="S123" i="1"/>
  <c r="L123" i="1"/>
  <c r="I123" i="1"/>
  <c r="S122" i="1"/>
  <c r="L122" i="1"/>
  <c r="I122" i="1"/>
  <c r="L121" i="1"/>
  <c r="I121" i="1"/>
  <c r="S121" i="1" s="1"/>
  <c r="L120" i="1"/>
  <c r="I120" i="1"/>
  <c r="S120" i="1" s="1"/>
  <c r="L119" i="1"/>
  <c r="I119" i="1"/>
  <c r="S119" i="1" s="1"/>
  <c r="L118" i="1"/>
  <c r="S118" i="1" s="1"/>
  <c r="I118" i="1"/>
  <c r="S117" i="1"/>
  <c r="L117" i="1"/>
  <c r="I117" i="1"/>
  <c r="L116" i="1"/>
  <c r="I116" i="1"/>
  <c r="S116" i="1" s="1"/>
  <c r="S115" i="1"/>
  <c r="L115" i="1"/>
  <c r="I115" i="1"/>
  <c r="S114" i="1"/>
  <c r="L114" i="1"/>
  <c r="I114" i="1"/>
  <c r="L112" i="1"/>
  <c r="I112" i="1"/>
  <c r="S112" i="1" s="1"/>
  <c r="R111" i="1"/>
  <c r="L111" i="1"/>
  <c r="S111" i="1" s="1"/>
  <c r="I111" i="1"/>
  <c r="R110" i="1"/>
  <c r="L110" i="1"/>
  <c r="I110" i="1"/>
  <c r="S110" i="1" s="1"/>
  <c r="L109" i="1"/>
  <c r="I109" i="1"/>
  <c r="S109" i="1" s="1"/>
  <c r="L108" i="1"/>
  <c r="I108" i="1"/>
  <c r="S108" i="1" s="1"/>
  <c r="R107" i="1"/>
  <c r="L107" i="1"/>
  <c r="I107" i="1"/>
  <c r="S107" i="1" s="1"/>
  <c r="S106" i="1"/>
  <c r="L106" i="1"/>
  <c r="I106" i="1"/>
  <c r="L105" i="1"/>
  <c r="I105" i="1"/>
  <c r="S105" i="1" s="1"/>
  <c r="R104" i="1"/>
  <c r="L104" i="1"/>
  <c r="S104" i="1" s="1"/>
  <c r="I104" i="1"/>
  <c r="R103" i="1"/>
  <c r="L103" i="1"/>
  <c r="I103" i="1"/>
  <c r="S103" i="1" s="1"/>
  <c r="R102" i="1"/>
  <c r="L102" i="1"/>
  <c r="S102" i="1" s="1"/>
  <c r="I102" i="1"/>
  <c r="R101" i="1"/>
  <c r="L101" i="1"/>
  <c r="I101" i="1"/>
  <c r="S101" i="1" s="1"/>
  <c r="L99" i="1"/>
  <c r="I99" i="1"/>
  <c r="S99" i="1" s="1"/>
  <c r="L98" i="1"/>
  <c r="I98" i="1"/>
  <c r="S98" i="1" s="1"/>
  <c r="L97" i="1"/>
  <c r="S97" i="1" s="1"/>
  <c r="I97" i="1"/>
  <c r="S96" i="1"/>
  <c r="L96" i="1"/>
  <c r="I96" i="1"/>
  <c r="L95" i="1"/>
  <c r="I95" i="1"/>
  <c r="S95" i="1" s="1"/>
  <c r="S94" i="1"/>
  <c r="L94" i="1"/>
  <c r="I94" i="1"/>
  <c r="S93" i="1"/>
  <c r="L93" i="1"/>
  <c r="I93" i="1"/>
  <c r="L92" i="1"/>
  <c r="I92" i="1"/>
  <c r="S92" i="1" s="1"/>
  <c r="L91" i="1"/>
  <c r="I91" i="1"/>
  <c r="S91" i="1" s="1"/>
  <c r="L90" i="1"/>
  <c r="I90" i="1"/>
  <c r="S90" i="1" s="1"/>
  <c r="L89" i="1"/>
  <c r="S89" i="1" s="1"/>
  <c r="I89" i="1"/>
  <c r="S88" i="1"/>
  <c r="L88" i="1"/>
  <c r="I88" i="1"/>
  <c r="L86" i="1"/>
  <c r="I86" i="1"/>
  <c r="S86" i="1" s="1"/>
  <c r="S85" i="1"/>
  <c r="L85" i="1"/>
  <c r="I85" i="1"/>
  <c r="S84" i="1"/>
  <c r="L84" i="1"/>
  <c r="I84" i="1"/>
  <c r="L83" i="1"/>
  <c r="I83" i="1"/>
  <c r="S83" i="1" s="1"/>
  <c r="L82" i="1"/>
  <c r="I82" i="1"/>
  <c r="S82" i="1" s="1"/>
  <c r="L81" i="1"/>
  <c r="I81" i="1"/>
  <c r="S81" i="1" s="1"/>
  <c r="L80" i="1"/>
  <c r="S80" i="1" s="1"/>
  <c r="I80" i="1"/>
  <c r="S79" i="1"/>
  <c r="L79" i="1"/>
  <c r="I79" i="1"/>
  <c r="L78" i="1"/>
  <c r="I78" i="1"/>
  <c r="S78" i="1" s="1"/>
  <c r="S77" i="1"/>
  <c r="L77" i="1"/>
  <c r="I77" i="1"/>
  <c r="S76" i="1"/>
  <c r="L76" i="1"/>
  <c r="I76" i="1"/>
  <c r="L75" i="1"/>
  <c r="I75" i="1"/>
  <c r="S75" i="1" s="1"/>
  <c r="L73" i="1"/>
  <c r="I73" i="1"/>
  <c r="S73" i="1" s="1"/>
  <c r="L72" i="1"/>
  <c r="I72" i="1"/>
  <c r="S72" i="1" s="1"/>
  <c r="L71" i="1"/>
  <c r="S71" i="1" s="1"/>
  <c r="I71" i="1"/>
  <c r="S70" i="1"/>
  <c r="L70" i="1"/>
  <c r="I70" i="1"/>
  <c r="L69" i="1"/>
  <c r="I69" i="1"/>
  <c r="S69" i="1" s="1"/>
  <c r="S68" i="1"/>
  <c r="L68" i="1"/>
  <c r="I68" i="1"/>
  <c r="S67" i="1"/>
  <c r="L67" i="1"/>
  <c r="I67" i="1"/>
  <c r="L66" i="1"/>
  <c r="I66" i="1"/>
  <c r="S66" i="1" s="1"/>
  <c r="L65" i="1"/>
  <c r="I65" i="1"/>
  <c r="S65" i="1" s="1"/>
  <c r="L64" i="1"/>
  <c r="I64" i="1"/>
  <c r="S64" i="1" s="1"/>
  <c r="L63" i="1"/>
  <c r="S63" i="1" s="1"/>
  <c r="I63" i="1"/>
  <c r="S62" i="1"/>
  <c r="L62" i="1"/>
  <c r="I62" i="1"/>
  <c r="L60" i="1"/>
  <c r="I60" i="1"/>
  <c r="S60" i="1" s="1"/>
  <c r="S59" i="1"/>
  <c r="L59" i="1"/>
  <c r="I59" i="1"/>
  <c r="S58" i="1"/>
  <c r="L58" i="1"/>
  <c r="I58" i="1"/>
  <c r="L57" i="1"/>
  <c r="I57" i="1"/>
  <c r="S57" i="1" s="1"/>
  <c r="L56" i="1"/>
  <c r="I56" i="1"/>
  <c r="S56" i="1" s="1"/>
  <c r="L55" i="1"/>
  <c r="I55" i="1"/>
  <c r="S55" i="1" s="1"/>
  <c r="L54" i="1"/>
  <c r="S54" i="1" s="1"/>
  <c r="I54" i="1"/>
  <c r="S53" i="1"/>
  <c r="L53" i="1"/>
  <c r="I53" i="1"/>
  <c r="L52" i="1"/>
  <c r="I52" i="1"/>
  <c r="S52" i="1" s="1"/>
  <c r="S51" i="1"/>
  <c r="L51" i="1"/>
  <c r="I51" i="1"/>
  <c r="S50" i="1"/>
  <c r="L50" i="1"/>
  <c r="I50" i="1"/>
  <c r="L49" i="1"/>
  <c r="I49" i="1"/>
  <c r="S49" i="1" s="1"/>
  <c r="R47" i="1"/>
  <c r="L47" i="1"/>
  <c r="H47" i="1"/>
  <c r="I47" i="1" s="1"/>
  <c r="S47" i="1" s="1"/>
  <c r="R45" i="1"/>
  <c r="L45" i="1"/>
  <c r="H45" i="1"/>
  <c r="I45" i="1" s="1"/>
  <c r="S45" i="1" s="1"/>
  <c r="S35" i="1"/>
  <c r="R35" i="1"/>
  <c r="L35" i="1"/>
  <c r="I35" i="1"/>
  <c r="R34" i="1"/>
  <c r="L34" i="1"/>
  <c r="I34" i="1"/>
  <c r="S34" i="1" s="1"/>
  <c r="S33" i="1"/>
  <c r="R33" i="1"/>
  <c r="L33" i="1"/>
  <c r="I33" i="1"/>
  <c r="R32" i="1"/>
  <c r="L32" i="1"/>
  <c r="I32" i="1"/>
  <c r="S32" i="1" s="1"/>
  <c r="S30" i="1"/>
  <c r="R30" i="1"/>
  <c r="L30" i="1"/>
  <c r="I30" i="1"/>
  <c r="R29" i="1"/>
  <c r="L29" i="1"/>
  <c r="I29" i="1"/>
  <c r="S29" i="1" s="1"/>
  <c r="S28" i="1"/>
  <c r="R28" i="1"/>
  <c r="L28" i="1"/>
  <c r="I28" i="1"/>
  <c r="R27" i="1"/>
  <c r="L27" i="1"/>
  <c r="I27" i="1"/>
  <c r="S27" i="1" s="1"/>
  <c r="S24" i="1"/>
  <c r="R24" i="1"/>
  <c r="L24" i="1"/>
  <c r="I24" i="1"/>
  <c r="R23" i="1"/>
  <c r="L23" i="1"/>
  <c r="I23" i="1"/>
  <c r="S23" i="1" s="1"/>
  <c r="S22" i="1"/>
  <c r="R22" i="1"/>
  <c r="L22" i="1"/>
  <c r="I22" i="1"/>
  <c r="L21" i="1"/>
  <c r="S21" i="1" s="1"/>
  <c r="I21" i="1"/>
  <c r="L20" i="1"/>
  <c r="S20" i="1" s="1"/>
  <c r="I20" i="1"/>
  <c r="L19" i="1"/>
  <c r="I19" i="1"/>
  <c r="S19" i="1" s="1"/>
  <c r="S18" i="1"/>
  <c r="L18" i="1"/>
  <c r="I18" i="1"/>
  <c r="S17" i="1"/>
  <c r="L17" i="1"/>
  <c r="I17" i="1"/>
  <c r="L16" i="1"/>
  <c r="I16" i="1"/>
  <c r="S16" i="1" s="1"/>
</calcChain>
</file>

<file path=xl/sharedStrings.xml><?xml version="1.0" encoding="utf-8"?>
<sst xmlns="http://schemas.openxmlformats.org/spreadsheetml/2006/main" count="365" uniqueCount="101">
  <si>
    <t xml:space="preserve">            LIABILITIES</t>
  </si>
  <si>
    <t>MONTHLY BALANCE SHEETS OF THE BANK OF THE REPUBLIC OF BURUNDI</t>
  </si>
  <si>
    <t>II.2.2</t>
  </si>
  <si>
    <t>(In million of BIF)</t>
  </si>
  <si>
    <t xml:space="preserve"> </t>
  </si>
  <si>
    <t xml:space="preserve">            Description</t>
  </si>
  <si>
    <t>Monetary base</t>
  </si>
  <si>
    <t>Government sector deposits</t>
  </si>
  <si>
    <t>Withdrawal</t>
  </si>
  <si>
    <t>Import</t>
  </si>
  <si>
    <t xml:space="preserve">Liabilities </t>
  </si>
  <si>
    <t>Equity</t>
  </si>
  <si>
    <t>Result</t>
  </si>
  <si>
    <t>Other</t>
  </si>
  <si>
    <t>TOTAL</t>
  </si>
  <si>
    <t>liquidity</t>
  </si>
  <si>
    <t>deposits</t>
  </si>
  <si>
    <t>to</t>
  </si>
  <si>
    <t>and</t>
  </si>
  <si>
    <t>Liabilities</t>
  </si>
  <si>
    <t>LIABILITIES</t>
  </si>
  <si>
    <t>non-residents</t>
  </si>
  <si>
    <t>reserves</t>
  </si>
  <si>
    <t>Period</t>
  </si>
  <si>
    <t>Currency</t>
  </si>
  <si>
    <t>Bank</t>
  </si>
  <si>
    <t>Microfinance</t>
  </si>
  <si>
    <t>Public</t>
  </si>
  <si>
    <t>Local</t>
  </si>
  <si>
    <t xml:space="preserve">        Total</t>
  </si>
  <si>
    <t>Treasury</t>
  </si>
  <si>
    <t>Governmental</t>
  </si>
  <si>
    <t>Total</t>
  </si>
  <si>
    <t>in circulation</t>
  </si>
  <si>
    <t>financial</t>
  </si>
  <si>
    <t>non-financial</t>
  </si>
  <si>
    <t>government</t>
  </si>
  <si>
    <t>agency</t>
  </si>
  <si>
    <t>out of central</t>
  </si>
  <si>
    <t>corporation</t>
  </si>
  <si>
    <t>bank</t>
  </si>
  <si>
    <t xml:space="preserve">2008 </t>
  </si>
  <si>
    <t>-</t>
  </si>
  <si>
    <t xml:space="preserve">2009 </t>
  </si>
  <si>
    <t xml:space="preserve">2010 </t>
  </si>
  <si>
    <t xml:space="preserve">2011   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</si>
  <si>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</si>
  <si>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</si>
  <si>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</si>
  <si>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</si>
  <si>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</si>
  <si>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</si>
  <si>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</si>
  <si>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</si>
  <si>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</si>
  <si>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</si>
  <si>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</si>
  <si>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</si>
  <si>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</si>
  <si>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</si>
  <si>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</si>
  <si>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</si>
  <si>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</si>
  <si>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 xml:space="preserve">            September</t>
  </si>
  <si>
    <t xml:space="preserve">            December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</si>
  <si>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</si>
  <si>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</si>
  <si>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</si>
  <si>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</si>
  <si>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</si>
  <si>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</si>
  <si>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</si>
  <si>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</si>
  <si>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</si>
  <si>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</si>
  <si>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</si>
  <si>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</si>
  <si>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</si>
  <si>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</si>
  <si>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</si>
  <si>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</si>
  <si>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</si>
  <si>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</si>
  <si>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</si>
  <si>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</si>
  <si>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</si>
  <si>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</si>
  <si>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2015 October</t>
  </si>
  <si>
    <t>2015 November</t>
  </si>
  <si>
    <t>2015 December</t>
  </si>
  <si>
    <t>2016 January</t>
  </si>
  <si>
    <t xml:space="preserve">2016 February        </t>
  </si>
  <si>
    <t>2016 April</t>
  </si>
  <si>
    <t>2017 January</t>
  </si>
  <si>
    <t xml:space="preserve">         February</t>
  </si>
  <si>
    <t xml:space="preserve">         March</t>
  </si>
  <si>
    <t xml:space="preserve">         April</t>
  </si>
  <si>
    <t xml:space="preserve">          July</t>
  </si>
  <si>
    <t>2018 January</t>
  </si>
  <si>
    <t xml:space="preserve">          February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</si>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</sst>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0">
    <xf numFmtId="164" fontId="0" fillId="0" borderId="0" xfId="0"/>
    <xf numFmtId="165" fontId="1" fillId="0" borderId="1" xfId="0" applyNumberFormat="1" applyFont="1" applyBorder="1"/>
    <xf numFmtId="165" fontId="1" fillId="0" borderId="2" xfId="0" applyNumberFormat="1" applyFont="1" applyBorder="1" applyAlignment="1" applyProtection="1"/>
    <xf numFmtId="165" fontId="1" fillId="0" borderId="2" xfId="0" applyNumberFormat="1" applyFont="1" applyFill="1" applyBorder="1" applyAlignment="1" applyProtection="1"/>
    <xf numFmtId="165" fontId="1" fillId="2" borderId="2" xfId="0" applyNumberFormat="1" applyFont="1" applyFill="1" applyBorder="1" applyAlignment="1" applyProtection="1"/>
    <xf numFmtId="165" fontId="1" fillId="0" borderId="3" xfId="0" applyNumberFormat="1" applyFont="1" applyBorder="1" applyAlignment="1"/>
    <xf numFmtId="165" fontId="1" fillId="0" borderId="0" xfId="0" applyNumberFormat="1" applyFont="1"/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/>
    <xf numFmtId="165" fontId="1" fillId="0" borderId="4" xfId="0" applyNumberFormat="1" applyFont="1" applyBorder="1"/>
    <xf numFmtId="165" fontId="1" fillId="0" borderId="6" xfId="0" applyNumberFormat="1" applyFont="1" applyBorder="1" applyAlignment="1" applyProtection="1">
      <alignment horizontal="left"/>
    </xf>
    <xf numFmtId="165" fontId="1" fillId="0" borderId="7" xfId="0" applyNumberFormat="1" applyFont="1" applyBorder="1" applyAlignment="1" applyProtection="1"/>
    <xf numFmtId="165" fontId="1" fillId="0" borderId="7" xfId="0" applyNumberFormat="1" applyFont="1" applyFill="1" applyBorder="1" applyAlignment="1" applyProtection="1"/>
    <xf numFmtId="165" fontId="1" fillId="2" borderId="7" xfId="0" applyNumberFormat="1" applyFont="1" applyFill="1" applyBorder="1" applyAlignment="1" applyProtection="1"/>
    <xf numFmtId="165" fontId="1" fillId="0" borderId="8" xfId="0" applyNumberFormat="1" applyFont="1" applyBorder="1" applyAlignment="1" applyProtection="1"/>
    <xf numFmtId="165" fontId="2" fillId="0" borderId="9" xfId="0" applyNumberFormat="1" applyFont="1" applyBorder="1" applyProtection="1"/>
    <xf numFmtId="165" fontId="1" fillId="0" borderId="1" xfId="0" applyNumberFormat="1" applyFont="1" applyBorder="1" applyAlignment="1" applyProtection="1"/>
    <xf numFmtId="165" fontId="1" fillId="0" borderId="3" xfId="0" applyNumberFormat="1" applyFont="1" applyBorder="1" applyAlignment="1" applyProtection="1"/>
    <xf numFmtId="165" fontId="1" fillId="0" borderId="1" xfId="0" applyNumberFormat="1" applyFont="1" applyFill="1" applyBorder="1" applyAlignment="1" applyProtection="1"/>
    <xf numFmtId="165" fontId="1" fillId="0" borderId="9" xfId="0" applyNumberFormat="1" applyFont="1" applyBorder="1" applyAlignment="1" applyProtection="1"/>
    <xf numFmtId="165" fontId="1" fillId="2" borderId="9" xfId="0" applyNumberFormat="1" applyFont="1" applyFill="1" applyBorder="1" applyAlignment="1" applyProtection="1"/>
    <xf numFmtId="165" fontId="2" fillId="0" borderId="10" xfId="0" applyNumberFormat="1" applyFont="1" applyBorder="1" applyProtection="1"/>
    <xf numFmtId="165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0" borderId="5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 applyProtection="1"/>
    <xf numFmtId="165" fontId="1" fillId="0" borderId="5" xfId="0" applyNumberFormat="1" applyFont="1" applyBorder="1" applyAlignment="1" applyProtection="1"/>
    <xf numFmtId="165" fontId="1" fillId="0" borderId="4" xfId="0" applyNumberFormat="1" applyFont="1" applyFill="1" applyBorder="1" applyAlignment="1" applyProtection="1"/>
    <xf numFmtId="165" fontId="1" fillId="2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fill"/>
    </xf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 applyProtection="1"/>
    <xf numFmtId="165" fontId="1" fillId="2" borderId="10" xfId="0" applyNumberFormat="1" applyFont="1" applyFill="1" applyBorder="1" applyAlignment="1" applyProtection="1"/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4" xfId="0" applyNumberFormat="1" applyFont="1" applyFill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Continuous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/>
    <xf numFmtId="165" fontId="1" fillId="0" borderId="11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11" xfId="0" applyNumberFormat="1" applyFont="1" applyFill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6" xfId="0" applyNumberFormat="1" applyFont="1" applyFill="1" applyBorder="1" applyAlignment="1" applyProtection="1"/>
    <xf numFmtId="165" fontId="1" fillId="0" borderId="6" xfId="0" applyNumberFormat="1" applyFont="1" applyBorder="1" applyAlignment="1" applyProtection="1"/>
    <xf numFmtId="165" fontId="1" fillId="0" borderId="11" xfId="0" applyNumberFormat="1" applyFont="1" applyBorder="1" applyAlignment="1" applyProtection="1"/>
    <xf numFmtId="165" fontId="1" fillId="2" borderId="11" xfId="0" applyNumberFormat="1" applyFont="1" applyFill="1" applyBorder="1" applyAlignment="1" applyProtection="1"/>
    <xf numFmtId="165" fontId="1" fillId="0" borderId="1" xfId="0" applyNumberFormat="1" applyFont="1" applyBorder="1" applyProtection="1"/>
    <xf numFmtId="165" fontId="1" fillId="0" borderId="4" xfId="0" quotePrefix="1" applyNumberFormat="1" applyFont="1" applyFill="1" applyBorder="1" applyAlignment="1" applyProtection="1">
      <alignment horizontal="left"/>
    </xf>
    <xf numFmtId="165" fontId="1" fillId="0" borderId="10" xfId="0" applyNumberFormat="1" applyFont="1" applyBorder="1" applyAlignment="1" applyProtection="1">
      <alignment horizontal="right"/>
    </xf>
    <xf numFmtId="165" fontId="1" fillId="0" borderId="0" xfId="0" applyNumberFormat="1" applyFont="1" applyBorder="1"/>
    <xf numFmtId="165" fontId="1" fillId="2" borderId="4" xfId="0" quotePrefix="1" applyNumberFormat="1" applyFont="1" applyFill="1" applyBorder="1" applyAlignment="1" applyProtection="1">
      <alignment horizontal="left"/>
    </xf>
    <xf numFmtId="165" fontId="1" fillId="2" borderId="1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/>
    <xf numFmtId="165" fontId="1" fillId="0" borderId="4" xfId="0" quotePrefix="1" applyNumberFormat="1" applyFont="1" applyBorder="1" applyAlignment="1">
      <alignment horizontal="lef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/>
    <xf numFmtId="165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 applyProtection="1">
      <alignment horizontal="left"/>
    </xf>
    <xf numFmtId="165" fontId="1" fillId="0" borderId="5" xfId="0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2" borderId="10" xfId="0" quotePrefix="1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5" fontId="0" fillId="0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left"/>
    </xf>
    <xf numFmtId="165" fontId="1" fillId="0" borderId="4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/>
    <xf numFmtId="165" fontId="1" fillId="0" borderId="11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/>
    <xf numFmtId="165" fontId="1" fillId="0" borderId="13" xfId="0" applyNumberFormat="1" applyFont="1" applyBorder="1" applyAlignment="1"/>
    <xf numFmtId="165" fontId="1" fillId="0" borderId="13" xfId="0" applyNumberFormat="1" applyFont="1" applyFill="1" applyBorder="1" applyAlignment="1"/>
    <xf numFmtId="165" fontId="1" fillId="2" borderId="13" xfId="0" applyNumberFormat="1" applyFont="1" applyFill="1" applyBorder="1" applyAlignment="1"/>
    <xf numFmtId="165" fontId="1" fillId="0" borderId="14" xfId="0" applyNumberFormat="1" applyFont="1" applyBorder="1" applyAlignment="1"/>
    <xf numFmtId="165" fontId="1" fillId="0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1" fillId="0" borderId="0" xfId="0" applyNumberFormat="1" applyFont="1" applyAlignment="1"/>
    <xf numFmtId="165" fontId="1" fillId="0" borderId="0" xfId="0" applyNumberFormat="1" applyFont="1" applyFill="1" applyAlignment="1"/>
    <xf numFmtId="165" fontId="1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1914525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33425"/>
          <a:ext cx="1476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showGridLines="0" tabSelected="1" view="pageBreakPreview" topLeftCell="A46" zoomScale="60" zoomScaleNormal="100" workbookViewId="0">
      <selection activeCell="E181" sqref="E181"/>
    </sheetView>
  </sheetViews>
  <sheetFormatPr defaultColWidth="8.88671875" defaultRowHeight="12.75" x14ac:dyDescent="0.2"/>
  <cols>
    <col min="1" max="1" width="17.33203125" style="6" customWidth="1"/>
    <col min="2" max="2" width="9.77734375" style="97" bestFit="1" customWidth="1"/>
    <col min="3" max="3" width="13.88671875" style="97" bestFit="1" customWidth="1"/>
    <col min="4" max="4" width="12.88671875" style="97" bestFit="1" customWidth="1"/>
    <col min="5" max="5" width="11.88671875" style="97" bestFit="1" customWidth="1"/>
    <col min="6" max="6" width="12" style="97" bestFit="1" customWidth="1"/>
    <col min="7" max="7" width="12.88671875" style="98" bestFit="1" customWidth="1"/>
    <col min="8" max="8" width="7.33203125" style="98" bestFit="1" customWidth="1"/>
    <col min="9" max="9" width="8.88671875" style="97" bestFit="1" customWidth="1"/>
    <col min="10" max="10" width="8.88671875" style="98" bestFit="1" customWidth="1"/>
    <col min="11" max="11" width="9.5546875" style="97" bestFit="1" customWidth="1"/>
    <col min="12" max="12" width="9.88671875" style="97" bestFit="1" customWidth="1"/>
    <col min="13" max="13" width="10" style="97" bestFit="1" customWidth="1"/>
    <col min="14" max="14" width="8.6640625" style="97" bestFit="1" customWidth="1"/>
    <col min="15" max="15" width="16" style="97" customWidth="1"/>
    <col min="16" max="16" width="8.44140625" style="99" bestFit="1" customWidth="1"/>
    <col min="17" max="17" width="8.44140625" style="96" bestFit="1" customWidth="1"/>
    <col min="18" max="18" width="7.88671875" style="97" bestFit="1" customWidth="1"/>
    <col min="19" max="19" width="11.5546875" style="97" bestFit="1" customWidth="1"/>
    <col min="20" max="16384" width="8.88671875" style="6"/>
  </cols>
  <sheetData>
    <row r="1" spans="1:21" x14ac:dyDescent="0.2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4"/>
      <c r="Q1" s="4"/>
      <c r="R1" s="2"/>
      <c r="S1" s="5"/>
    </row>
    <row r="2" spans="1:21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 t="s">
        <v>2</v>
      </c>
    </row>
    <row r="3" spans="1:21" ht="15.75" customHeight="1" x14ac:dyDescent="0.2">
      <c r="A3" s="10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1" x14ac:dyDescent="0.2">
      <c r="A4" s="11" t="s">
        <v>4</v>
      </c>
      <c r="B4" s="12" t="s">
        <v>4</v>
      </c>
      <c r="C4" s="12"/>
      <c r="D4" s="12"/>
      <c r="E4" s="12"/>
      <c r="F4" s="12"/>
      <c r="G4" s="13"/>
      <c r="H4" s="13"/>
      <c r="I4" s="12"/>
      <c r="J4" s="13" t="s">
        <v>4</v>
      </c>
      <c r="K4" s="12"/>
      <c r="L4" s="12" t="s">
        <v>4</v>
      </c>
      <c r="M4" s="12"/>
      <c r="N4" s="12" t="s">
        <v>4</v>
      </c>
      <c r="O4" s="12"/>
      <c r="P4" s="14"/>
      <c r="Q4" s="14"/>
      <c r="R4" s="12"/>
      <c r="S4" s="15"/>
    </row>
    <row r="5" spans="1:21" x14ac:dyDescent="0.2">
      <c r="A5" s="16"/>
      <c r="B5" s="17"/>
      <c r="C5" s="2"/>
      <c r="D5" s="2"/>
      <c r="E5" s="2"/>
      <c r="F5" s="2"/>
      <c r="G5" s="3"/>
      <c r="H5" s="3"/>
      <c r="I5" s="18"/>
      <c r="J5" s="19"/>
      <c r="K5" s="2"/>
      <c r="L5" s="18"/>
      <c r="M5" s="20"/>
      <c r="N5" s="18"/>
      <c r="O5" s="2"/>
      <c r="P5" s="21"/>
      <c r="Q5" s="21"/>
      <c r="R5" s="20"/>
      <c r="S5" s="20"/>
    </row>
    <row r="6" spans="1:21" ht="15.75" customHeight="1" x14ac:dyDescent="0.2">
      <c r="A6" s="22" t="s">
        <v>5</v>
      </c>
      <c r="B6" s="23" t="s">
        <v>6</v>
      </c>
      <c r="C6" s="24"/>
      <c r="D6" s="24"/>
      <c r="E6" s="24"/>
      <c r="F6" s="24"/>
      <c r="G6" s="24"/>
      <c r="H6" s="24"/>
      <c r="I6" s="25"/>
      <c r="J6" s="26" t="s">
        <v>7</v>
      </c>
      <c r="K6" s="27"/>
      <c r="L6" s="28"/>
      <c r="M6" s="29" t="s">
        <v>8</v>
      </c>
      <c r="N6" s="30" t="s">
        <v>9</v>
      </c>
      <c r="O6" s="29" t="s">
        <v>10</v>
      </c>
      <c r="P6" s="29" t="s">
        <v>11</v>
      </c>
      <c r="Q6" s="31" t="s">
        <v>12</v>
      </c>
      <c r="R6" s="32" t="s">
        <v>13</v>
      </c>
      <c r="S6" s="33" t="s">
        <v>14</v>
      </c>
    </row>
    <row r="7" spans="1:21" x14ac:dyDescent="0.2">
      <c r="A7" s="22"/>
      <c r="B7" s="34"/>
      <c r="C7" s="35"/>
      <c r="D7" s="36"/>
      <c r="E7" s="36"/>
      <c r="F7" s="35"/>
      <c r="G7" s="37"/>
      <c r="H7" s="37"/>
      <c r="I7" s="38"/>
      <c r="J7" s="39"/>
      <c r="K7" s="35"/>
      <c r="L7" s="38" t="s">
        <v>4</v>
      </c>
      <c r="M7" s="32" t="s">
        <v>15</v>
      </c>
      <c r="N7" s="30" t="s">
        <v>16</v>
      </c>
      <c r="O7" s="32" t="s">
        <v>17</v>
      </c>
      <c r="P7" s="32" t="s">
        <v>18</v>
      </c>
      <c r="Q7" s="40"/>
      <c r="R7" s="32" t="s">
        <v>19</v>
      </c>
      <c r="S7" s="33" t="s">
        <v>20</v>
      </c>
    </row>
    <row r="8" spans="1:21" x14ac:dyDescent="0.2">
      <c r="A8" s="41"/>
      <c r="B8" s="42"/>
      <c r="C8" s="43"/>
      <c r="D8" s="43"/>
      <c r="E8" s="43"/>
      <c r="F8" s="43"/>
      <c r="G8" s="44"/>
      <c r="H8" s="44"/>
      <c r="I8" s="45"/>
      <c r="J8" s="46"/>
      <c r="K8" s="43"/>
      <c r="L8" s="45"/>
      <c r="M8" s="32"/>
      <c r="N8" s="30"/>
      <c r="O8" s="47" t="s">
        <v>21</v>
      </c>
      <c r="P8" s="32" t="s">
        <v>22</v>
      </c>
      <c r="Q8" s="40"/>
      <c r="R8" s="32"/>
      <c r="S8" s="32"/>
    </row>
    <row r="9" spans="1:21" x14ac:dyDescent="0.2">
      <c r="A9" s="22"/>
      <c r="B9" s="32"/>
      <c r="C9" s="32"/>
      <c r="D9" s="32"/>
      <c r="E9" s="32"/>
      <c r="F9" s="47"/>
      <c r="G9" s="48"/>
      <c r="H9" s="48"/>
      <c r="I9" s="30"/>
      <c r="J9" s="39"/>
      <c r="K9" s="49"/>
      <c r="L9" s="34"/>
      <c r="M9" s="49"/>
      <c r="N9" s="38"/>
      <c r="O9" s="35"/>
      <c r="P9" s="50"/>
      <c r="Q9" s="50"/>
      <c r="R9" s="49"/>
      <c r="S9" s="49"/>
    </row>
    <row r="10" spans="1:21" x14ac:dyDescent="0.2">
      <c r="A10" s="22" t="s">
        <v>23</v>
      </c>
      <c r="B10" s="32" t="s">
        <v>24</v>
      </c>
      <c r="C10" s="51" t="s">
        <v>25</v>
      </c>
      <c r="D10" s="32" t="s">
        <v>13</v>
      </c>
      <c r="E10" s="32" t="s">
        <v>26</v>
      </c>
      <c r="F10" s="47" t="s">
        <v>27</v>
      </c>
      <c r="G10" s="48" t="s">
        <v>28</v>
      </c>
      <c r="H10" s="32" t="s">
        <v>13</v>
      </c>
      <c r="I10" s="38" t="s">
        <v>29</v>
      </c>
      <c r="J10" s="52" t="s">
        <v>30</v>
      </c>
      <c r="K10" s="32" t="s">
        <v>31</v>
      </c>
      <c r="L10" s="53" t="s">
        <v>32</v>
      </c>
      <c r="M10" s="54"/>
      <c r="N10" s="38"/>
      <c r="O10" s="35"/>
      <c r="P10" s="50"/>
      <c r="Q10" s="50"/>
      <c r="R10" s="49"/>
      <c r="S10" s="49"/>
    </row>
    <row r="11" spans="1:21" x14ac:dyDescent="0.2">
      <c r="A11" s="22"/>
      <c r="B11" s="32" t="s">
        <v>33</v>
      </c>
      <c r="C11" s="51" t="s">
        <v>16</v>
      </c>
      <c r="D11" s="32" t="s">
        <v>34</v>
      </c>
      <c r="E11" s="32" t="s">
        <v>16</v>
      </c>
      <c r="F11" s="47" t="s">
        <v>35</v>
      </c>
      <c r="G11" s="48" t="s">
        <v>36</v>
      </c>
      <c r="H11" s="48" t="s">
        <v>16</v>
      </c>
      <c r="I11" s="55"/>
      <c r="J11" s="52" t="s">
        <v>16</v>
      </c>
      <c r="K11" s="32" t="s">
        <v>37</v>
      </c>
      <c r="L11" s="56"/>
      <c r="M11" s="57"/>
      <c r="N11" s="38"/>
      <c r="O11" s="35"/>
      <c r="P11" s="50"/>
      <c r="Q11" s="50"/>
      <c r="R11" s="49"/>
      <c r="S11" s="49"/>
    </row>
    <row r="12" spans="1:21" x14ac:dyDescent="0.2">
      <c r="A12" s="22"/>
      <c r="B12" s="32" t="s">
        <v>38</v>
      </c>
      <c r="C12" s="32"/>
      <c r="D12" s="32" t="s">
        <v>39</v>
      </c>
      <c r="E12" s="32"/>
      <c r="F12" s="47" t="s">
        <v>39</v>
      </c>
      <c r="G12" s="48" t="s">
        <v>16</v>
      </c>
      <c r="H12" s="48"/>
      <c r="I12" s="30"/>
      <c r="J12" s="52"/>
      <c r="K12" s="32" t="s">
        <v>16</v>
      </c>
      <c r="L12" s="34" t="s">
        <v>4</v>
      </c>
      <c r="M12" s="49"/>
      <c r="N12" s="38"/>
      <c r="O12" s="35"/>
      <c r="P12" s="50"/>
      <c r="Q12" s="50"/>
      <c r="R12" s="49"/>
      <c r="S12" s="49"/>
    </row>
    <row r="13" spans="1:21" x14ac:dyDescent="0.2">
      <c r="A13" s="58"/>
      <c r="B13" s="59" t="s">
        <v>40</v>
      </c>
      <c r="C13" s="59"/>
      <c r="D13" s="59" t="s">
        <v>16</v>
      </c>
      <c r="E13" s="59"/>
      <c r="F13" s="60" t="s">
        <v>16</v>
      </c>
      <c r="G13" s="61"/>
      <c r="H13" s="61"/>
      <c r="I13" s="62"/>
      <c r="J13" s="63"/>
      <c r="K13" s="59"/>
      <c r="L13" s="64"/>
      <c r="M13" s="65"/>
      <c r="N13" s="15"/>
      <c r="O13" s="12"/>
      <c r="P13" s="66"/>
      <c r="Q13" s="66"/>
      <c r="R13" s="65"/>
      <c r="S13" s="65"/>
    </row>
    <row r="14" spans="1:21" x14ac:dyDescent="0.2">
      <c r="A14" s="6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21" s="70" customFormat="1" ht="15" hidden="1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21" s="73" customFormat="1" ht="15" hidden="1" customHeight="1" x14ac:dyDescent="0.2">
      <c r="A16" s="71" t="s">
        <v>41</v>
      </c>
      <c r="B16" s="72">
        <v>124230.9</v>
      </c>
      <c r="C16" s="72">
        <v>24965.9</v>
      </c>
      <c r="D16" s="72">
        <v>1127</v>
      </c>
      <c r="E16" s="72" t="s">
        <v>42</v>
      </c>
      <c r="F16" s="72">
        <v>4527.2</v>
      </c>
      <c r="G16" s="72">
        <v>56.9</v>
      </c>
      <c r="H16" s="72">
        <v>1675.3</v>
      </c>
      <c r="I16" s="72">
        <f t="shared" ref="I16:I21" si="0">SUM(B16:H16)</f>
        <v>156583.19999999998</v>
      </c>
      <c r="J16" s="72">
        <v>87124.799999999988</v>
      </c>
      <c r="K16" s="72">
        <v>6683.6</v>
      </c>
      <c r="L16" s="72">
        <f t="shared" ref="L16:L21" si="1">SUM(J16:K16)</f>
        <v>93808.4</v>
      </c>
      <c r="M16" s="72">
        <v>12000</v>
      </c>
      <c r="N16" s="72">
        <v>5225.7</v>
      </c>
      <c r="O16" s="72">
        <v>175397.7</v>
      </c>
      <c r="P16" s="72">
        <v>22381.3</v>
      </c>
      <c r="Q16" s="72">
        <v>14196.7</v>
      </c>
      <c r="R16" s="72">
        <v>34017.399999999994</v>
      </c>
      <c r="S16" s="72">
        <f t="shared" ref="S16:S24" si="2">SUM(I16,L16:O16,R16,P16,Q16)</f>
        <v>513610.4</v>
      </c>
      <c r="T16" s="70"/>
      <c r="U16" s="70"/>
    </row>
    <row r="17" spans="1:20" s="70" customFormat="1" ht="15" hidden="1" customHeight="1" x14ac:dyDescent="0.2">
      <c r="A17" s="74" t="s">
        <v>43</v>
      </c>
      <c r="B17" s="69">
        <v>136206.20000000001</v>
      </c>
      <c r="C17" s="69">
        <v>53891.1</v>
      </c>
      <c r="D17" s="69">
        <v>1014.1</v>
      </c>
      <c r="E17" s="69" t="s">
        <v>42</v>
      </c>
      <c r="F17" s="69">
        <v>6100.8</v>
      </c>
      <c r="G17" s="69">
        <v>29.2</v>
      </c>
      <c r="H17" s="69">
        <v>901.8</v>
      </c>
      <c r="I17" s="69">
        <f t="shared" si="0"/>
        <v>198143.2</v>
      </c>
      <c r="J17" s="69">
        <v>76348</v>
      </c>
      <c r="K17" s="69">
        <v>6233.9</v>
      </c>
      <c r="L17" s="69">
        <f t="shared" si="1"/>
        <v>82581.899999999994</v>
      </c>
      <c r="M17" s="69">
        <v>10000</v>
      </c>
      <c r="N17" s="69">
        <v>3627.5</v>
      </c>
      <c r="O17" s="69">
        <v>255985.09999999998</v>
      </c>
      <c r="P17" s="69">
        <v>32780.300000000003</v>
      </c>
      <c r="Q17" s="69">
        <v>4383.1000000000004</v>
      </c>
      <c r="R17" s="69">
        <v>72473.799999999988</v>
      </c>
      <c r="S17" s="69">
        <f t="shared" si="2"/>
        <v>659974.9</v>
      </c>
    </row>
    <row r="18" spans="1:20" s="70" customFormat="1" ht="15" hidden="1" customHeight="1" x14ac:dyDescent="0.2">
      <c r="A18" s="74" t="s">
        <v>44</v>
      </c>
      <c r="B18" s="69">
        <v>155835.20000000001</v>
      </c>
      <c r="C18" s="69">
        <v>47450.5</v>
      </c>
      <c r="D18" s="69">
        <v>1428</v>
      </c>
      <c r="E18" s="69">
        <v>2738.884497</v>
      </c>
      <c r="F18" s="69">
        <v>3735.6</v>
      </c>
      <c r="G18" s="69">
        <v>28.6</v>
      </c>
      <c r="H18" s="69">
        <v>422.01550300000008</v>
      </c>
      <c r="I18" s="69">
        <f t="shared" si="0"/>
        <v>211638.80000000002</v>
      </c>
      <c r="J18" s="69">
        <v>95993</v>
      </c>
      <c r="K18" s="69">
        <v>6291.8</v>
      </c>
      <c r="L18" s="69">
        <f t="shared" si="1"/>
        <v>102284.8</v>
      </c>
      <c r="M18" s="69">
        <v>7000</v>
      </c>
      <c r="N18" s="69">
        <v>10515.6</v>
      </c>
      <c r="O18" s="69">
        <v>276658.60000000003</v>
      </c>
      <c r="P18" s="69">
        <v>36102</v>
      </c>
      <c r="Q18" s="69">
        <v>4813.2</v>
      </c>
      <c r="R18" s="69">
        <v>31416</v>
      </c>
      <c r="S18" s="69">
        <f t="shared" si="2"/>
        <v>680429</v>
      </c>
    </row>
    <row r="19" spans="1:20" s="70" customFormat="1" ht="15" hidden="1" customHeight="1" x14ac:dyDescent="0.2">
      <c r="A19" s="74" t="s">
        <v>45</v>
      </c>
      <c r="B19" s="69">
        <v>170106</v>
      </c>
      <c r="C19" s="69">
        <v>34979.700000000004</v>
      </c>
      <c r="D19" s="69">
        <v>278</v>
      </c>
      <c r="E19" s="69">
        <v>500</v>
      </c>
      <c r="F19" s="69">
        <v>5041.4999999999982</v>
      </c>
      <c r="G19" s="69">
        <v>23.6</v>
      </c>
      <c r="H19" s="69">
        <v>397.3</v>
      </c>
      <c r="I19" s="69">
        <f t="shared" si="0"/>
        <v>211326.1</v>
      </c>
      <c r="J19" s="69">
        <v>103201.79999999999</v>
      </c>
      <c r="K19" s="69">
        <v>7172.3000000000011</v>
      </c>
      <c r="L19" s="69">
        <f t="shared" si="1"/>
        <v>110374.09999999999</v>
      </c>
      <c r="M19" s="69" t="s">
        <v>42</v>
      </c>
      <c r="N19" s="69">
        <v>12302.2</v>
      </c>
      <c r="O19" s="69">
        <v>330449.80000000005</v>
      </c>
      <c r="P19" s="69">
        <v>41797.4</v>
      </c>
      <c r="Q19" s="69">
        <v>9533.5</v>
      </c>
      <c r="R19" s="69">
        <v>56251.500000000007</v>
      </c>
      <c r="S19" s="69">
        <f t="shared" si="2"/>
        <v>772034.60000000009</v>
      </c>
    </row>
    <row r="20" spans="1:20" s="70" customFormat="1" ht="15" hidden="1" customHeight="1" x14ac:dyDescent="0.2">
      <c r="A20" s="74" t="s">
        <v>46</v>
      </c>
      <c r="B20" s="72">
        <v>198246.9</v>
      </c>
      <c r="C20" s="72">
        <v>39879.9</v>
      </c>
      <c r="D20" s="72">
        <v>2827.5</v>
      </c>
      <c r="E20" s="72">
        <v>22413.599999999999</v>
      </c>
      <c r="F20" s="72">
        <v>3234.3</v>
      </c>
      <c r="G20" s="72">
        <v>14.5</v>
      </c>
      <c r="H20" s="72">
        <v>669.4</v>
      </c>
      <c r="I20" s="72">
        <f t="shared" si="0"/>
        <v>267286.09999999998</v>
      </c>
      <c r="J20" s="72">
        <v>115882.1</v>
      </c>
      <c r="K20" s="72">
        <v>8635.4999999999982</v>
      </c>
      <c r="L20" s="72">
        <f t="shared" si="1"/>
        <v>124517.6</v>
      </c>
      <c r="M20" s="72">
        <v>6800</v>
      </c>
      <c r="N20" s="72">
        <v>15658.2</v>
      </c>
      <c r="O20" s="72">
        <v>418096.6</v>
      </c>
      <c r="P20" s="72">
        <v>51954.3</v>
      </c>
      <c r="Q20" s="72">
        <v>7906</v>
      </c>
      <c r="R20" s="72">
        <v>19735.000000000015</v>
      </c>
      <c r="S20" s="72">
        <f t="shared" si="2"/>
        <v>911953.8</v>
      </c>
    </row>
    <row r="21" spans="1:20" s="76" customFormat="1" ht="15" customHeight="1" x14ac:dyDescent="0.2">
      <c r="A21" s="74" t="s">
        <v>47</v>
      </c>
      <c r="B21" s="75">
        <v>211683.7</v>
      </c>
      <c r="C21" s="75">
        <v>82710.8</v>
      </c>
      <c r="D21" s="75">
        <v>2674</v>
      </c>
      <c r="E21" s="75">
        <v>5135.8</v>
      </c>
      <c r="F21" s="75">
        <v>3566.2</v>
      </c>
      <c r="G21" s="75">
        <v>28</v>
      </c>
      <c r="H21" s="75">
        <v>787.6</v>
      </c>
      <c r="I21" s="75">
        <f t="shared" si="0"/>
        <v>306586.09999999998</v>
      </c>
      <c r="J21" s="75">
        <v>152366.70000000001</v>
      </c>
      <c r="K21" s="75">
        <v>14733.599999999997</v>
      </c>
      <c r="L21" s="75">
        <f t="shared" si="1"/>
        <v>167100.30000000002</v>
      </c>
      <c r="M21" s="75" t="s">
        <v>42</v>
      </c>
      <c r="N21" s="75">
        <v>7533</v>
      </c>
      <c r="O21" s="75">
        <v>383189.69999999995</v>
      </c>
      <c r="P21" s="75">
        <v>62981.7</v>
      </c>
      <c r="Q21" s="75">
        <v>-13851.5</v>
      </c>
      <c r="R21" s="75">
        <v>10207.700000000001</v>
      </c>
      <c r="S21" s="75">
        <f t="shared" si="2"/>
        <v>923746.99999999988</v>
      </c>
      <c r="T21" s="70"/>
    </row>
    <row r="22" spans="1:20" s="76" customFormat="1" ht="15" customHeight="1" x14ac:dyDescent="0.2">
      <c r="A22" s="74" t="s">
        <v>48</v>
      </c>
      <c r="B22" s="75">
        <v>227340.9</v>
      </c>
      <c r="C22" s="75">
        <v>120095.4</v>
      </c>
      <c r="D22" s="75">
        <v>1624.7</v>
      </c>
      <c r="E22" s="75">
        <v>1035.0999999999999</v>
      </c>
      <c r="F22" s="75">
        <v>3555.9</v>
      </c>
      <c r="G22" s="75">
        <v>22.9</v>
      </c>
      <c r="H22" s="75">
        <v>1326.1</v>
      </c>
      <c r="I22" s="75">
        <f>SUM(B22:H22)</f>
        <v>355001</v>
      </c>
      <c r="J22" s="75">
        <v>170878.6</v>
      </c>
      <c r="K22" s="75">
        <v>13593.9</v>
      </c>
      <c r="L22" s="75">
        <f>SUM(J22:K22)</f>
        <v>184472.5</v>
      </c>
      <c r="M22" s="75" t="s">
        <v>42</v>
      </c>
      <c r="N22" s="75">
        <v>9222.6</v>
      </c>
      <c r="O22" s="75">
        <v>372538.8</v>
      </c>
      <c r="P22" s="75">
        <v>82125.3</v>
      </c>
      <c r="Q22" s="75">
        <v>8152.8</v>
      </c>
      <c r="R22" s="75">
        <f>1064.1+10111.9+5977.7</f>
        <v>17153.7</v>
      </c>
      <c r="S22" s="75">
        <f t="shared" si="2"/>
        <v>1028666.7</v>
      </c>
      <c r="T22" s="70"/>
    </row>
    <row r="23" spans="1:20" s="76" customFormat="1" ht="15" customHeight="1" x14ac:dyDescent="0.2">
      <c r="A23" s="74" t="s">
        <v>49</v>
      </c>
      <c r="B23" s="75">
        <v>230723.7</v>
      </c>
      <c r="C23" s="75">
        <v>84351</v>
      </c>
      <c r="D23" s="75">
        <v>2209.5</v>
      </c>
      <c r="E23" s="75">
        <v>1611</v>
      </c>
      <c r="F23" s="75">
        <v>4368.5</v>
      </c>
      <c r="G23" s="75">
        <v>44.5</v>
      </c>
      <c r="H23" s="75">
        <v>1200</v>
      </c>
      <c r="I23" s="75">
        <f>SUM(B23:H23)</f>
        <v>324508.2</v>
      </c>
      <c r="J23" s="75">
        <v>171839.3</v>
      </c>
      <c r="K23" s="75">
        <v>17303.7</v>
      </c>
      <c r="L23" s="75">
        <f>SUM(J23:K23)</f>
        <v>189143</v>
      </c>
      <c r="M23" s="75" t="s">
        <v>42</v>
      </c>
      <c r="N23" s="75">
        <v>5645.1</v>
      </c>
      <c r="O23" s="75">
        <v>354815.2</v>
      </c>
      <c r="P23" s="75">
        <v>87845.1</v>
      </c>
      <c r="Q23" s="75">
        <v>1265</v>
      </c>
      <c r="R23" s="75">
        <f>1187.7+6374.8+2.4</f>
        <v>7564.9</v>
      </c>
      <c r="S23" s="75">
        <f t="shared" si="2"/>
        <v>970786.5</v>
      </c>
      <c r="T23" s="70"/>
    </row>
    <row r="24" spans="1:20" s="76" customFormat="1" x14ac:dyDescent="0.2">
      <c r="A24" s="74" t="s">
        <v>50</v>
      </c>
      <c r="B24" s="75">
        <v>267512.5</v>
      </c>
      <c r="C24" s="75">
        <v>134302.79999999999</v>
      </c>
      <c r="D24" s="75">
        <v>3575.7</v>
      </c>
      <c r="E24" s="75">
        <v>5995.8</v>
      </c>
      <c r="F24" s="75">
        <v>6509.8</v>
      </c>
      <c r="G24" s="75">
        <v>7.7</v>
      </c>
      <c r="H24" s="75">
        <v>1319.7</v>
      </c>
      <c r="I24" s="75">
        <f>SUM(B24:H24)</f>
        <v>419224</v>
      </c>
      <c r="J24" s="75">
        <v>229057.5</v>
      </c>
      <c r="K24" s="75">
        <v>14016.1</v>
      </c>
      <c r="L24" s="75">
        <f>SUM(J24:K24)</f>
        <v>243073.6</v>
      </c>
      <c r="M24" s="75" t="s">
        <v>42</v>
      </c>
      <c r="N24" s="75">
        <v>12385</v>
      </c>
      <c r="O24" s="75">
        <v>328508.5</v>
      </c>
      <c r="P24" s="75">
        <v>88281.600000000006</v>
      </c>
      <c r="Q24" s="75">
        <v>5702.3</v>
      </c>
      <c r="R24" s="75">
        <f>8800+6.7+1350.6</f>
        <v>10157.300000000001</v>
      </c>
      <c r="S24" s="75">
        <f t="shared" si="2"/>
        <v>1107332.3</v>
      </c>
      <c r="T24" s="70"/>
    </row>
    <row r="25" spans="1:20" s="76" customFormat="1" x14ac:dyDescent="0.2">
      <c r="A25" s="74" t="s">
        <v>51</v>
      </c>
      <c r="B25" s="75">
        <v>308146.5</v>
      </c>
      <c r="C25" s="75">
        <v>221165.7</v>
      </c>
      <c r="D25" s="75">
        <v>2169.6</v>
      </c>
      <c r="E25" s="75">
        <v>2679.8</v>
      </c>
      <c r="F25" s="75">
        <v>18075.599999999999</v>
      </c>
      <c r="G25" s="75">
        <v>20</v>
      </c>
      <c r="H25" s="75">
        <v>30427.9</v>
      </c>
      <c r="I25" s="75">
        <v>582685.1</v>
      </c>
      <c r="J25" s="75">
        <v>227053.6</v>
      </c>
      <c r="K25" s="75">
        <v>29704.1</v>
      </c>
      <c r="L25" s="75">
        <v>256757.7</v>
      </c>
      <c r="M25" s="75" t="s">
        <v>42</v>
      </c>
      <c r="N25" s="75">
        <v>17665.900000000001</v>
      </c>
      <c r="O25" s="75">
        <v>338555.6</v>
      </c>
      <c r="P25" s="75">
        <v>96208</v>
      </c>
      <c r="Q25" s="75">
        <v>6712.5</v>
      </c>
      <c r="R25" s="75">
        <v>10713.599999999999</v>
      </c>
      <c r="S25" s="75">
        <v>1309298.4000000001</v>
      </c>
      <c r="T25" s="70"/>
    </row>
    <row r="26" spans="1:20" s="70" customFormat="1" ht="13.5" customHeight="1" x14ac:dyDescent="0.2">
      <c r="A26" s="77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20" s="76" customFormat="1" ht="15" hidden="1" customHeight="1" x14ac:dyDescent="0.2">
      <c r="A27" s="78" t="s">
        <v>52</v>
      </c>
      <c r="B27" s="75">
        <v>201300.8</v>
      </c>
      <c r="C27" s="75">
        <v>70896.399999999994</v>
      </c>
      <c r="D27" s="75">
        <v>1135.9000000000001</v>
      </c>
      <c r="E27" s="75">
        <v>426.9</v>
      </c>
      <c r="F27" s="75">
        <v>1041.5</v>
      </c>
      <c r="G27" s="75">
        <v>24.6</v>
      </c>
      <c r="H27" s="75">
        <v>1373.4</v>
      </c>
      <c r="I27" s="75">
        <f>SUM(B27:H27)</f>
        <v>276199.5</v>
      </c>
      <c r="J27" s="75">
        <v>151558.6</v>
      </c>
      <c r="K27" s="75">
        <v>9517.2999999999993</v>
      </c>
      <c r="L27" s="75">
        <f>SUM(J27:K27)</f>
        <v>161075.9</v>
      </c>
      <c r="M27" s="75">
        <v>27200</v>
      </c>
      <c r="N27" s="75">
        <v>6602.2</v>
      </c>
      <c r="O27" s="75">
        <v>396544.3</v>
      </c>
      <c r="P27" s="75">
        <v>62981.7</v>
      </c>
      <c r="Q27" s="75">
        <v>-13903.7</v>
      </c>
      <c r="R27" s="75">
        <f>1098+8346.4+7.5</f>
        <v>9451.9</v>
      </c>
      <c r="S27" s="75">
        <f>SUM(I27,L27:O27,R27,P27,Q27)</f>
        <v>926151.8</v>
      </c>
      <c r="T27" s="70"/>
    </row>
    <row r="28" spans="1:20" s="76" customFormat="1" ht="15" hidden="1" customHeight="1" x14ac:dyDescent="0.2">
      <c r="A28" s="78" t="s">
        <v>53</v>
      </c>
      <c r="B28" s="75">
        <v>223781.8</v>
      </c>
      <c r="C28" s="75">
        <v>100650</v>
      </c>
      <c r="D28" s="75">
        <v>1303.5</v>
      </c>
      <c r="E28" s="75">
        <v>1428.4</v>
      </c>
      <c r="F28" s="75">
        <v>6385</v>
      </c>
      <c r="G28" s="75">
        <v>20.2</v>
      </c>
      <c r="H28" s="75">
        <v>1329.6</v>
      </c>
      <c r="I28" s="75">
        <f>SUM(B28:H28)</f>
        <v>334898.5</v>
      </c>
      <c r="J28" s="75">
        <v>142792.20000000001</v>
      </c>
      <c r="K28" s="75">
        <v>8597.5</v>
      </c>
      <c r="L28" s="75">
        <f>SUM(J28:K28)</f>
        <v>151389.70000000001</v>
      </c>
      <c r="M28" s="75" t="s">
        <v>42</v>
      </c>
      <c r="N28" s="75">
        <v>2743.8</v>
      </c>
      <c r="O28" s="75">
        <v>397532.8</v>
      </c>
      <c r="P28" s="75">
        <v>78783.3</v>
      </c>
      <c r="Q28" s="75">
        <v>2716.3</v>
      </c>
      <c r="R28" s="75">
        <f>1057.4+8115.5+3615.5</f>
        <v>12788.4</v>
      </c>
      <c r="S28" s="75">
        <f>SUM(I28,L28:O28,R28,P28,Q28)</f>
        <v>980852.80000000016</v>
      </c>
      <c r="T28" s="70"/>
    </row>
    <row r="29" spans="1:20" s="76" customFormat="1" ht="15" hidden="1" customHeight="1" x14ac:dyDescent="0.2">
      <c r="A29" s="78" t="s">
        <v>54</v>
      </c>
      <c r="B29" s="75">
        <v>222708</v>
      </c>
      <c r="C29" s="75">
        <v>80783.100000000006</v>
      </c>
      <c r="D29" s="75">
        <v>2407.5</v>
      </c>
      <c r="E29" s="75">
        <v>631.5</v>
      </c>
      <c r="F29" s="75">
        <v>2153.6</v>
      </c>
      <c r="G29" s="75">
        <v>23.3</v>
      </c>
      <c r="H29" s="75">
        <v>969.1</v>
      </c>
      <c r="I29" s="75">
        <f>SUM(B29:H29)</f>
        <v>309676.09999999992</v>
      </c>
      <c r="J29" s="75">
        <v>210768.8</v>
      </c>
      <c r="K29" s="75">
        <v>15246.7</v>
      </c>
      <c r="L29" s="75">
        <f>SUM(J29:K29)</f>
        <v>226015.5</v>
      </c>
      <c r="M29" s="75" t="s">
        <v>42</v>
      </c>
      <c r="N29" s="75">
        <v>8443.4</v>
      </c>
      <c r="O29" s="75">
        <v>382067.5</v>
      </c>
      <c r="P29" s="75">
        <v>78783.3</v>
      </c>
      <c r="Q29" s="75">
        <v>4209.8999999999996</v>
      </c>
      <c r="R29" s="75">
        <f>1055.6+7861.1+4.1</f>
        <v>8920.8000000000011</v>
      </c>
      <c r="S29" s="75">
        <f>SUM(I29,L29:O29,R29,P29,Q29)</f>
        <v>1018116.5</v>
      </c>
      <c r="T29" s="70"/>
    </row>
    <row r="30" spans="1:20" s="76" customFormat="1" ht="15" hidden="1" customHeight="1" x14ac:dyDescent="0.2">
      <c r="A30" s="78" t="s">
        <v>55</v>
      </c>
      <c r="B30" s="75">
        <v>227340.9</v>
      </c>
      <c r="C30" s="75">
        <v>120095.4</v>
      </c>
      <c r="D30" s="75">
        <v>1624.7</v>
      </c>
      <c r="E30" s="75">
        <v>1035.0999999999999</v>
      </c>
      <c r="F30" s="75">
        <v>3555.9</v>
      </c>
      <c r="G30" s="75">
        <v>22.9</v>
      </c>
      <c r="H30" s="75">
        <v>1326.1</v>
      </c>
      <c r="I30" s="75">
        <f>SUM(B30:H30)</f>
        <v>355001</v>
      </c>
      <c r="J30" s="75">
        <v>170878.6</v>
      </c>
      <c r="K30" s="75">
        <v>13593.9</v>
      </c>
      <c r="L30" s="75">
        <f>SUM(J30:K30)</f>
        <v>184472.5</v>
      </c>
      <c r="M30" s="75" t="s">
        <v>42</v>
      </c>
      <c r="N30" s="75">
        <v>9222.6</v>
      </c>
      <c r="O30" s="75">
        <v>372538.8</v>
      </c>
      <c r="P30" s="75">
        <v>82125.3</v>
      </c>
      <c r="Q30" s="75">
        <v>8152.8</v>
      </c>
      <c r="R30" s="75">
        <f>1064.1+10111.9+5977.7</f>
        <v>17153.7</v>
      </c>
      <c r="S30" s="75">
        <f>SUM(I30,L30:O30,R30,P30,Q30)</f>
        <v>1028666.7</v>
      </c>
      <c r="T30" s="70"/>
    </row>
    <row r="31" spans="1:20" s="76" customFormat="1" ht="15" customHeight="1" x14ac:dyDescent="0.2">
      <c r="A31" s="7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0"/>
    </row>
    <row r="32" spans="1:20" s="76" customFormat="1" ht="15" customHeight="1" x14ac:dyDescent="0.2">
      <c r="A32" s="78" t="s">
        <v>56</v>
      </c>
      <c r="B32" s="75">
        <v>223176.6</v>
      </c>
      <c r="C32" s="75">
        <v>71767.600000000006</v>
      </c>
      <c r="D32" s="75">
        <v>1878.3</v>
      </c>
      <c r="E32" s="75">
        <v>1593.8</v>
      </c>
      <c r="F32" s="75">
        <v>4089.8</v>
      </c>
      <c r="G32" s="75">
        <v>47.4</v>
      </c>
      <c r="H32" s="75">
        <v>243.7</v>
      </c>
      <c r="I32" s="75">
        <f>SUM(B32:H32)</f>
        <v>302797.2</v>
      </c>
      <c r="J32" s="75">
        <v>177861.5</v>
      </c>
      <c r="K32" s="75">
        <v>18845.099999999999</v>
      </c>
      <c r="L32" s="75">
        <f>SUM(J32:K32)</f>
        <v>196706.6</v>
      </c>
      <c r="M32" s="75" t="s">
        <v>42</v>
      </c>
      <c r="N32" s="75">
        <v>10123.6</v>
      </c>
      <c r="O32" s="75">
        <v>356984.6</v>
      </c>
      <c r="P32" s="75">
        <v>82192</v>
      </c>
      <c r="Q32" s="75">
        <v>13545.7</v>
      </c>
      <c r="R32" s="75">
        <f>1091.7+7442.4+6.9</f>
        <v>8541</v>
      </c>
      <c r="S32" s="75">
        <f>SUM(I32,L32:O32,R32,P32,Q32)</f>
        <v>970890.7</v>
      </c>
      <c r="T32" s="70"/>
    </row>
    <row r="33" spans="1:20" s="76" customFormat="1" ht="15" customHeight="1" x14ac:dyDescent="0.2">
      <c r="A33" s="78" t="s">
        <v>57</v>
      </c>
      <c r="B33" s="75">
        <v>254961.4</v>
      </c>
      <c r="C33" s="75">
        <v>63611.8</v>
      </c>
      <c r="D33" s="75">
        <v>2089.9</v>
      </c>
      <c r="E33" s="75">
        <v>9771.2999999999993</v>
      </c>
      <c r="F33" s="75">
        <v>3640.6</v>
      </c>
      <c r="G33" s="75">
        <v>62.4</v>
      </c>
      <c r="H33" s="75">
        <v>357.5</v>
      </c>
      <c r="I33" s="75">
        <f>SUM(B33:H33)</f>
        <v>334494.90000000002</v>
      </c>
      <c r="J33" s="75">
        <v>170313</v>
      </c>
      <c r="K33" s="75">
        <v>15899.1</v>
      </c>
      <c r="L33" s="75">
        <f>SUM(J33:K33)</f>
        <v>186212.1</v>
      </c>
      <c r="M33" s="75" t="s">
        <v>42</v>
      </c>
      <c r="N33" s="75">
        <v>1293.3</v>
      </c>
      <c r="O33" s="75">
        <v>361289.7</v>
      </c>
      <c r="P33" s="75">
        <v>87845.1</v>
      </c>
      <c r="Q33" s="75">
        <v>5626.8</v>
      </c>
      <c r="R33" s="75">
        <f>1101.1+7274.1+6.3</f>
        <v>8381.5</v>
      </c>
      <c r="S33" s="75">
        <f>SUM(I33,L33:O33,R33,P33,Q33)</f>
        <v>985143.4</v>
      </c>
      <c r="T33" s="70"/>
    </row>
    <row r="34" spans="1:20" s="76" customFormat="1" ht="15" customHeight="1" x14ac:dyDescent="0.2">
      <c r="A34" s="78" t="s">
        <v>58</v>
      </c>
      <c r="B34" s="75">
        <v>216072.1</v>
      </c>
      <c r="C34" s="75">
        <v>79716.800000000003</v>
      </c>
      <c r="D34" s="75">
        <v>3810.3</v>
      </c>
      <c r="E34" s="75">
        <v>5700.2</v>
      </c>
      <c r="F34" s="75">
        <v>8658</v>
      </c>
      <c r="G34" s="75">
        <v>33.1</v>
      </c>
      <c r="H34" s="75">
        <v>323.5</v>
      </c>
      <c r="I34" s="75">
        <f>SUM(B34:H34)</f>
        <v>314314</v>
      </c>
      <c r="J34" s="75">
        <v>160628.9</v>
      </c>
      <c r="K34" s="75">
        <v>19205.5</v>
      </c>
      <c r="L34" s="75">
        <f>SUM(J34:K34)</f>
        <v>179834.4</v>
      </c>
      <c r="M34" s="75" t="s">
        <v>42</v>
      </c>
      <c r="N34" s="75">
        <v>1252.3</v>
      </c>
      <c r="O34" s="75">
        <v>351304.8</v>
      </c>
      <c r="P34" s="75">
        <v>87845.1</v>
      </c>
      <c r="Q34" s="75">
        <v>643.9</v>
      </c>
      <c r="R34" s="75">
        <f>1274.9+6928.9+5.2</f>
        <v>8209</v>
      </c>
      <c r="S34" s="75">
        <f>SUM(I34,L34:O34,R34,P34,Q34)</f>
        <v>943403.5</v>
      </c>
      <c r="T34" s="70"/>
    </row>
    <row r="35" spans="1:20" s="76" customFormat="1" ht="15" customHeight="1" x14ac:dyDescent="0.2">
      <c r="A35" s="78" t="s">
        <v>59</v>
      </c>
      <c r="B35" s="75">
        <v>230723.7</v>
      </c>
      <c r="C35" s="75">
        <v>84351</v>
      </c>
      <c r="D35" s="75">
        <v>2209.5</v>
      </c>
      <c r="E35" s="75">
        <v>1611</v>
      </c>
      <c r="F35" s="75">
        <v>4368.5</v>
      </c>
      <c r="G35" s="75">
        <v>44.5</v>
      </c>
      <c r="H35" s="75">
        <v>1200</v>
      </c>
      <c r="I35" s="75">
        <f>SUM(B35:H35)</f>
        <v>324508.2</v>
      </c>
      <c r="J35" s="75">
        <v>171839.3</v>
      </c>
      <c r="K35" s="75">
        <v>17303.7</v>
      </c>
      <c r="L35" s="75">
        <f>SUM(J35:K35)</f>
        <v>189143</v>
      </c>
      <c r="M35" s="75" t="s">
        <v>42</v>
      </c>
      <c r="N35" s="75">
        <v>5645.1</v>
      </c>
      <c r="O35" s="75">
        <v>354815.2</v>
      </c>
      <c r="P35" s="75">
        <v>87845.1</v>
      </c>
      <c r="Q35" s="75">
        <v>1265</v>
      </c>
      <c r="R35" s="75">
        <f>1187.7+6374.8+2.4</f>
        <v>7564.9</v>
      </c>
      <c r="S35" s="75">
        <f>SUM(I35,L35:O35,R35,P35,Q35)</f>
        <v>970786.5</v>
      </c>
      <c r="T35" s="70"/>
    </row>
    <row r="36" spans="1:20" s="76" customFormat="1" ht="15" customHeight="1" x14ac:dyDescent="0.2">
      <c r="A36" s="78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0"/>
    </row>
    <row r="37" spans="1:20" s="76" customFormat="1" ht="15" customHeight="1" x14ac:dyDescent="0.2">
      <c r="A37" s="78" t="s">
        <v>60</v>
      </c>
      <c r="B37" s="75">
        <v>219964.2</v>
      </c>
      <c r="C37" s="75">
        <v>94301.6</v>
      </c>
      <c r="D37" s="75">
        <v>2734.9</v>
      </c>
      <c r="E37" s="75">
        <v>2510.6999999999998</v>
      </c>
      <c r="F37" s="75">
        <v>2813.9</v>
      </c>
      <c r="G37" s="75">
        <v>26.4</v>
      </c>
      <c r="H37" s="75">
        <v>910.3</v>
      </c>
      <c r="I37" s="75">
        <v>323262.00000000012</v>
      </c>
      <c r="J37" s="75">
        <v>165597.4</v>
      </c>
      <c r="K37" s="75">
        <v>16333.1</v>
      </c>
      <c r="L37" s="75">
        <v>181930.5</v>
      </c>
      <c r="M37" s="75" t="s">
        <v>42</v>
      </c>
      <c r="N37" s="75">
        <v>5204</v>
      </c>
      <c r="O37" s="75">
        <v>350173.8</v>
      </c>
      <c r="P37" s="75">
        <v>87845.1</v>
      </c>
      <c r="Q37" s="75">
        <v>-3581.8</v>
      </c>
      <c r="R37" s="75">
        <v>7545.5999999999995</v>
      </c>
      <c r="S37" s="75">
        <v>952379.2</v>
      </c>
      <c r="T37" s="70"/>
    </row>
    <row r="38" spans="1:20" s="76" customFormat="1" ht="15" customHeight="1" x14ac:dyDescent="0.2">
      <c r="A38" s="78" t="s">
        <v>57</v>
      </c>
      <c r="B38" s="75">
        <v>255415.5</v>
      </c>
      <c r="C38" s="75">
        <v>98845.3</v>
      </c>
      <c r="D38" s="75">
        <v>1740</v>
      </c>
      <c r="E38" s="75">
        <v>3186.6</v>
      </c>
      <c r="F38" s="75">
        <v>4307.5</v>
      </c>
      <c r="G38" s="75">
        <v>16.100000000000001</v>
      </c>
      <c r="H38" s="75">
        <v>557.9</v>
      </c>
      <c r="I38" s="75">
        <v>364068.89999999997</v>
      </c>
      <c r="J38" s="75">
        <v>168849</v>
      </c>
      <c r="K38" s="75">
        <v>24468.2</v>
      </c>
      <c r="L38" s="75">
        <v>193317.2</v>
      </c>
      <c r="M38" s="75" t="s">
        <v>42</v>
      </c>
      <c r="N38" s="75">
        <v>5535.4</v>
      </c>
      <c r="O38" s="75">
        <v>351838.8</v>
      </c>
      <c r="P38" s="75">
        <v>87845.1</v>
      </c>
      <c r="Q38" s="75">
        <v>-2252.6</v>
      </c>
      <c r="R38" s="75">
        <v>7984.8</v>
      </c>
      <c r="S38" s="75">
        <v>1008337.6000000001</v>
      </c>
      <c r="T38" s="70"/>
    </row>
    <row r="39" spans="1:20" s="76" customFormat="1" ht="15" customHeight="1" x14ac:dyDescent="0.2">
      <c r="A39" s="78" t="s">
        <v>58</v>
      </c>
      <c r="B39" s="75">
        <v>254499.1</v>
      </c>
      <c r="C39" s="75">
        <v>124775.9</v>
      </c>
      <c r="D39" s="75">
        <v>3523.6</v>
      </c>
      <c r="E39" s="75">
        <v>834</v>
      </c>
      <c r="F39" s="75">
        <v>4926.1000000000004</v>
      </c>
      <c r="G39" s="75">
        <v>3.6</v>
      </c>
      <c r="H39" s="75">
        <v>1138.3</v>
      </c>
      <c r="I39" s="75">
        <v>389700.59999999992</v>
      </c>
      <c r="J39" s="75">
        <v>165324.79999999999</v>
      </c>
      <c r="K39" s="75">
        <v>21183.599999999999</v>
      </c>
      <c r="L39" s="75">
        <v>186508.4</v>
      </c>
      <c r="M39" s="75" t="s">
        <v>42</v>
      </c>
      <c r="N39" s="75">
        <v>5791.3</v>
      </c>
      <c r="O39" s="75">
        <v>338994.5</v>
      </c>
      <c r="P39" s="75">
        <v>88281.7</v>
      </c>
      <c r="Q39" s="75">
        <v>-5027.8</v>
      </c>
      <c r="R39" s="75">
        <v>7153.2000000000007</v>
      </c>
      <c r="S39" s="75">
        <v>1011401.8999999998</v>
      </c>
      <c r="T39" s="70"/>
    </row>
    <row r="40" spans="1:20" s="76" customFormat="1" ht="15" customHeight="1" x14ac:dyDescent="0.2">
      <c r="A40" s="78" t="s">
        <v>59</v>
      </c>
      <c r="B40" s="75">
        <v>267512.5</v>
      </c>
      <c r="C40" s="75">
        <v>134302.79999999999</v>
      </c>
      <c r="D40" s="75">
        <v>3575.7</v>
      </c>
      <c r="E40" s="75">
        <v>5995.8</v>
      </c>
      <c r="F40" s="75">
        <v>6509.8</v>
      </c>
      <c r="G40" s="75">
        <v>7.7</v>
      </c>
      <c r="H40" s="75">
        <v>1319.7</v>
      </c>
      <c r="I40" s="75">
        <v>419224</v>
      </c>
      <c r="J40" s="75">
        <v>229057.5</v>
      </c>
      <c r="K40" s="75">
        <v>14016.1</v>
      </c>
      <c r="L40" s="75">
        <v>243073.6</v>
      </c>
      <c r="M40" s="75" t="s">
        <v>42</v>
      </c>
      <c r="N40" s="75">
        <v>12385</v>
      </c>
      <c r="O40" s="75">
        <v>328508.5</v>
      </c>
      <c r="P40" s="75">
        <v>88281.600000000006</v>
      </c>
      <c r="Q40" s="75">
        <v>5702.3</v>
      </c>
      <c r="R40" s="75">
        <v>10157.300000000001</v>
      </c>
      <c r="S40" s="75">
        <v>1107332.3</v>
      </c>
      <c r="T40" s="70"/>
    </row>
    <row r="41" spans="1:20" s="76" customFormat="1" ht="15" customHeight="1" x14ac:dyDescent="0.2">
      <c r="A41" s="78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0"/>
    </row>
    <row r="42" spans="1:20" s="76" customFormat="1" ht="15" customHeight="1" x14ac:dyDescent="0.2">
      <c r="A42" s="78" t="s">
        <v>61</v>
      </c>
      <c r="B42" s="75">
        <v>267562.40000000002</v>
      </c>
      <c r="C42" s="75">
        <v>167615</v>
      </c>
      <c r="D42" s="75">
        <v>2634.1</v>
      </c>
      <c r="E42" s="75">
        <v>14379.7</v>
      </c>
      <c r="F42" s="75">
        <v>12223.899999999998</v>
      </c>
      <c r="G42" s="75">
        <v>157.1</v>
      </c>
      <c r="H42" s="75">
        <v>21755.599999999999</v>
      </c>
      <c r="I42" s="75">
        <v>486327.8</v>
      </c>
      <c r="J42" s="75">
        <v>178385.1</v>
      </c>
      <c r="K42" s="75">
        <v>18679.400000000001</v>
      </c>
      <c r="L42" s="75">
        <v>197064.5</v>
      </c>
      <c r="M42" s="75" t="s">
        <v>42</v>
      </c>
      <c r="N42" s="75">
        <v>24941.399999999998</v>
      </c>
      <c r="O42" s="75">
        <v>327928.2</v>
      </c>
      <c r="P42" s="75">
        <v>88281.600000000006</v>
      </c>
      <c r="Q42" s="75">
        <v>5190.1000000000004</v>
      </c>
      <c r="R42" s="75">
        <v>9476.2999999999993</v>
      </c>
      <c r="S42" s="75">
        <v>1139209.9000000004</v>
      </c>
      <c r="T42" s="70"/>
    </row>
    <row r="43" spans="1:20" s="76" customFormat="1" ht="15" customHeight="1" x14ac:dyDescent="0.2">
      <c r="A43" s="78" t="s">
        <v>62</v>
      </c>
      <c r="B43" s="75">
        <v>301775.5</v>
      </c>
      <c r="C43" s="75">
        <v>101969.20000000001</v>
      </c>
      <c r="D43" s="75">
        <v>2615.3999999999996</v>
      </c>
      <c r="E43" s="75">
        <v>12376</v>
      </c>
      <c r="F43" s="75">
        <v>17691.3</v>
      </c>
      <c r="G43" s="75">
        <v>11</v>
      </c>
      <c r="H43" s="75">
        <v>31187.100000000002</v>
      </c>
      <c r="I43" s="75">
        <v>467625.5</v>
      </c>
      <c r="J43" s="75">
        <v>164709.90000000002</v>
      </c>
      <c r="K43" s="75">
        <v>41120.100000000006</v>
      </c>
      <c r="L43" s="75">
        <v>205830.00000000003</v>
      </c>
      <c r="M43" s="75" t="s">
        <v>42</v>
      </c>
      <c r="N43" s="75">
        <v>28009</v>
      </c>
      <c r="O43" s="75">
        <v>341304.6</v>
      </c>
      <c r="P43" s="75">
        <v>90657.7</v>
      </c>
      <c r="Q43" s="75">
        <v>-342.1</v>
      </c>
      <c r="R43" s="75">
        <v>9538</v>
      </c>
      <c r="S43" s="75">
        <v>1142622.7</v>
      </c>
    </row>
    <row r="44" spans="1:20" s="76" customFormat="1" ht="15" customHeight="1" x14ac:dyDescent="0.2">
      <c r="A44" s="78" t="s">
        <v>63</v>
      </c>
      <c r="B44" s="75">
        <v>297683.09999999998</v>
      </c>
      <c r="C44" s="75">
        <v>156387.69999999998</v>
      </c>
      <c r="D44" s="75">
        <v>2490.3999999999996</v>
      </c>
      <c r="E44" s="75">
        <v>9305.2999999999993</v>
      </c>
      <c r="F44" s="75">
        <v>25793.7</v>
      </c>
      <c r="G44" s="75">
        <v>6.3</v>
      </c>
      <c r="H44" s="75">
        <v>31699.3</v>
      </c>
      <c r="I44" s="75">
        <v>523365.79999999993</v>
      </c>
      <c r="J44" s="75">
        <v>180754.30000000002</v>
      </c>
      <c r="K44" s="75">
        <v>23565.600000000002</v>
      </c>
      <c r="L44" s="75">
        <v>204319.90000000002</v>
      </c>
      <c r="M44" s="75" t="s">
        <v>42</v>
      </c>
      <c r="N44" s="75">
        <v>32252.799999999999</v>
      </c>
      <c r="O44" s="75">
        <v>332752.2</v>
      </c>
      <c r="P44" s="75">
        <v>91773</v>
      </c>
      <c r="Q44" s="75">
        <v>-3366.1</v>
      </c>
      <c r="R44" s="75">
        <v>11658.5</v>
      </c>
      <c r="S44" s="75">
        <v>1192756.0999999999</v>
      </c>
    </row>
    <row r="45" spans="1:20" s="76" customFormat="1" ht="15" customHeight="1" x14ac:dyDescent="0.2">
      <c r="A45" s="78" t="s">
        <v>64</v>
      </c>
      <c r="B45" s="75">
        <v>308146.5</v>
      </c>
      <c r="C45" s="79">
        <v>221165.7</v>
      </c>
      <c r="D45" s="75">
        <v>2169.6</v>
      </c>
      <c r="E45" s="75">
        <v>2679.8</v>
      </c>
      <c r="F45" s="75">
        <v>18075.599999999999</v>
      </c>
      <c r="G45" s="75">
        <v>20</v>
      </c>
      <c r="H45" s="80">
        <f>1575.7+28852.2</f>
        <v>30427.9</v>
      </c>
      <c r="I45" s="75">
        <f>SUM(B45:H45)</f>
        <v>582685.1</v>
      </c>
      <c r="J45" s="75">
        <v>227053.6</v>
      </c>
      <c r="K45" s="75">
        <v>29704.1</v>
      </c>
      <c r="L45" s="75">
        <f t="shared" ref="L45" si="3">SUM(J45:K45)</f>
        <v>256757.7</v>
      </c>
      <c r="M45" s="81" t="s">
        <v>42</v>
      </c>
      <c r="N45" s="79">
        <v>17665.900000000001</v>
      </c>
      <c r="O45" s="79">
        <v>338555.6</v>
      </c>
      <c r="P45" s="75">
        <v>96208</v>
      </c>
      <c r="Q45" s="79">
        <v>6712.5</v>
      </c>
      <c r="R45" s="80">
        <f>9178.8+1534.8</f>
        <v>10713.599999999999</v>
      </c>
      <c r="S45" s="79">
        <f t="shared" ref="S45" si="4">SUM(I45,L45:O45,R45,P45,Q45)</f>
        <v>1309298.4000000001</v>
      </c>
    </row>
    <row r="46" spans="1:20" s="76" customFormat="1" ht="15" customHeight="1" x14ac:dyDescent="0.2">
      <c r="A46" s="78"/>
      <c r="B46" s="75"/>
      <c r="C46" s="79"/>
      <c r="D46" s="75"/>
      <c r="E46" s="75"/>
      <c r="F46" s="75"/>
      <c r="G46" s="75"/>
      <c r="H46" s="80"/>
      <c r="I46" s="75"/>
      <c r="J46" s="75"/>
      <c r="K46" s="75"/>
      <c r="L46" s="75"/>
      <c r="M46" s="81"/>
      <c r="N46" s="79"/>
      <c r="O46" s="79"/>
      <c r="P46" s="75"/>
      <c r="Q46" s="79"/>
      <c r="R46" s="80"/>
      <c r="S46" s="79"/>
    </row>
    <row r="47" spans="1:20" s="76" customFormat="1" ht="15" customHeight="1" x14ac:dyDescent="0.2">
      <c r="A47" s="78" t="s">
        <v>65</v>
      </c>
      <c r="B47" s="75">
        <v>302042.8</v>
      </c>
      <c r="C47" s="75">
        <v>151882.29999999999</v>
      </c>
      <c r="D47" s="75">
        <v>1222.4000000000001</v>
      </c>
      <c r="E47" s="75">
        <v>12465.9</v>
      </c>
      <c r="F47" s="75">
        <v>18559.900000000001</v>
      </c>
      <c r="G47" s="75">
        <v>19.3</v>
      </c>
      <c r="H47" s="75">
        <f>30110.2+2368.4</f>
        <v>32478.600000000002</v>
      </c>
      <c r="I47" s="75">
        <f>SUM(B47:H47)</f>
        <v>518671.2</v>
      </c>
      <c r="J47" s="75">
        <v>218875.6</v>
      </c>
      <c r="K47" s="75">
        <v>34464.1</v>
      </c>
      <c r="L47" s="75">
        <f t="shared" ref="L47" si="5">SUM(J47:K47)</f>
        <v>253339.7</v>
      </c>
      <c r="M47" s="75" t="s">
        <v>42</v>
      </c>
      <c r="N47" s="75">
        <v>25616.3</v>
      </c>
      <c r="O47" s="75">
        <v>334143.8</v>
      </c>
      <c r="P47" s="75">
        <v>94216</v>
      </c>
      <c r="Q47" s="75">
        <v>-4198.5</v>
      </c>
      <c r="R47" s="75">
        <f>7811.4+1615.5</f>
        <v>9426.9</v>
      </c>
      <c r="S47" s="75">
        <f t="shared" ref="S47" si="6">SUM(I47,L47:O47,R47,P47,Q47)</f>
        <v>1231215.3999999999</v>
      </c>
    </row>
    <row r="48" spans="1:20" s="76" customFormat="1" ht="15" customHeight="1" x14ac:dyDescent="0.2">
      <c r="A48" s="78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0"/>
    </row>
    <row r="49" spans="1:21" s="70" customFormat="1" ht="15" hidden="1" customHeight="1" x14ac:dyDescent="0.2">
      <c r="A49" s="78" t="s">
        <v>66</v>
      </c>
      <c r="B49" s="69">
        <v>87847.1</v>
      </c>
      <c r="C49" s="69">
        <v>21116.2</v>
      </c>
      <c r="D49" s="69">
        <v>751.69999999999993</v>
      </c>
      <c r="E49" s="69" t="s">
        <v>42</v>
      </c>
      <c r="F49" s="69">
        <v>1538.8</v>
      </c>
      <c r="G49" s="69">
        <v>459</v>
      </c>
      <c r="H49" s="69">
        <v>2177.1999999999998</v>
      </c>
      <c r="I49" s="69">
        <f t="shared" ref="I49:I99" si="7">SUM(B49:H49)</f>
        <v>113890</v>
      </c>
      <c r="J49" s="69">
        <v>59366.000000000007</v>
      </c>
      <c r="K49" s="69">
        <v>3295.6</v>
      </c>
      <c r="L49" s="69">
        <f t="shared" ref="L49:L99" si="8">SUM(J49:K49)</f>
        <v>62661.600000000006</v>
      </c>
      <c r="M49" s="69" t="s">
        <v>42</v>
      </c>
      <c r="N49" s="69">
        <v>2368.6</v>
      </c>
      <c r="O49" s="69">
        <v>157560.9</v>
      </c>
      <c r="P49" s="69">
        <v>17178.599999999999</v>
      </c>
      <c r="Q49" s="69">
        <v>18725.099999999999</v>
      </c>
      <c r="R49" s="69">
        <v>25760.299999999996</v>
      </c>
      <c r="S49" s="69">
        <f t="shared" ref="S49:S60" si="9">SUM(I49,L49:O49,R49,P49,Q49)</f>
        <v>398145.09999999992</v>
      </c>
      <c r="U49" s="76"/>
    </row>
    <row r="50" spans="1:21" s="70" customFormat="1" ht="15" hidden="1" customHeight="1" x14ac:dyDescent="0.2">
      <c r="A50" s="78" t="s">
        <v>67</v>
      </c>
      <c r="B50" s="69">
        <v>88984.4</v>
      </c>
      <c r="C50" s="69">
        <v>19977.3</v>
      </c>
      <c r="D50" s="69">
        <v>1824.2999999999997</v>
      </c>
      <c r="E50" s="69" t="s">
        <v>42</v>
      </c>
      <c r="F50" s="69">
        <v>1165.7</v>
      </c>
      <c r="G50" s="69">
        <v>398.2</v>
      </c>
      <c r="H50" s="69">
        <v>2259.2999999999997</v>
      </c>
      <c r="I50" s="69">
        <f t="shared" si="7"/>
        <v>114609.2</v>
      </c>
      <c r="J50" s="69">
        <v>54535.1</v>
      </c>
      <c r="K50" s="69">
        <v>4006.3999999999996</v>
      </c>
      <c r="L50" s="69">
        <f t="shared" si="8"/>
        <v>58541.5</v>
      </c>
      <c r="M50" s="69" t="s">
        <v>42</v>
      </c>
      <c r="N50" s="69">
        <v>2117.1999999999998</v>
      </c>
      <c r="O50" s="69">
        <v>159092.1</v>
      </c>
      <c r="P50" s="69">
        <v>17173.8</v>
      </c>
      <c r="Q50" s="69">
        <v>20568</v>
      </c>
      <c r="R50" s="69">
        <v>22879.600000000002</v>
      </c>
      <c r="S50" s="69">
        <f t="shared" si="9"/>
        <v>394981.39999999997</v>
      </c>
      <c r="U50" s="76"/>
    </row>
    <row r="51" spans="1:21" s="70" customFormat="1" ht="15" hidden="1" customHeight="1" x14ac:dyDescent="0.2">
      <c r="A51" s="78" t="s">
        <v>68</v>
      </c>
      <c r="B51" s="69">
        <v>89739.6</v>
      </c>
      <c r="C51" s="69">
        <v>23461.300000000003</v>
      </c>
      <c r="D51" s="69">
        <v>1391.6999999999998</v>
      </c>
      <c r="E51" s="69" t="s">
        <v>42</v>
      </c>
      <c r="F51" s="69">
        <v>1864.2</v>
      </c>
      <c r="G51" s="69">
        <v>340.6</v>
      </c>
      <c r="H51" s="69">
        <v>2050.2999999999997</v>
      </c>
      <c r="I51" s="69">
        <f t="shared" si="7"/>
        <v>118847.70000000001</v>
      </c>
      <c r="J51" s="69">
        <v>60736.3</v>
      </c>
      <c r="K51" s="69">
        <v>5104.1000000000004</v>
      </c>
      <c r="L51" s="69">
        <f t="shared" si="8"/>
        <v>65840.400000000009</v>
      </c>
      <c r="M51" s="69">
        <v>3000</v>
      </c>
      <c r="N51" s="69">
        <v>2145.1999999999998</v>
      </c>
      <c r="O51" s="69">
        <v>168291.5</v>
      </c>
      <c r="P51" s="69">
        <v>19150.7</v>
      </c>
      <c r="Q51" s="69">
        <v>11489.8</v>
      </c>
      <c r="R51" s="69">
        <v>22978.099999999995</v>
      </c>
      <c r="S51" s="69">
        <f t="shared" si="9"/>
        <v>411743.4</v>
      </c>
      <c r="U51" s="76"/>
    </row>
    <row r="52" spans="1:21" s="70" customFormat="1" ht="15" hidden="1" customHeight="1" x14ac:dyDescent="0.2">
      <c r="A52" s="78" t="s">
        <v>69</v>
      </c>
      <c r="B52" s="69">
        <v>98410.2</v>
      </c>
      <c r="C52" s="69">
        <v>22480</v>
      </c>
      <c r="D52" s="69">
        <v>1734.1</v>
      </c>
      <c r="E52" s="69" t="s">
        <v>42</v>
      </c>
      <c r="F52" s="69">
        <v>2398.0000000000005</v>
      </c>
      <c r="G52" s="69">
        <v>261.39999999999998</v>
      </c>
      <c r="H52" s="69">
        <v>1930.2999999999997</v>
      </c>
      <c r="I52" s="69">
        <f t="shared" si="7"/>
        <v>127214</v>
      </c>
      <c r="J52" s="69">
        <v>68597.899999999994</v>
      </c>
      <c r="K52" s="69">
        <v>5030.8999999999996</v>
      </c>
      <c r="L52" s="69">
        <f t="shared" si="8"/>
        <v>73628.799999999988</v>
      </c>
      <c r="M52" s="69" t="s">
        <v>42</v>
      </c>
      <c r="N52" s="69">
        <v>1906.4</v>
      </c>
      <c r="O52" s="69">
        <v>163484.1</v>
      </c>
      <c r="P52" s="69">
        <v>19150.7</v>
      </c>
      <c r="Q52" s="69">
        <v>9489.6</v>
      </c>
      <c r="R52" s="69">
        <v>23361.800000000007</v>
      </c>
      <c r="S52" s="69">
        <f t="shared" si="9"/>
        <v>418235.39999999997</v>
      </c>
      <c r="U52" s="76"/>
    </row>
    <row r="53" spans="1:21" s="70" customFormat="1" ht="15" hidden="1" customHeight="1" x14ac:dyDescent="0.2">
      <c r="A53" s="78" t="s">
        <v>70</v>
      </c>
      <c r="B53" s="69">
        <v>98766.6</v>
      </c>
      <c r="C53" s="69">
        <v>23173.1</v>
      </c>
      <c r="D53" s="69">
        <v>1414.8</v>
      </c>
      <c r="E53" s="69" t="s">
        <v>42</v>
      </c>
      <c r="F53" s="69">
        <v>1675.1769999999997</v>
      </c>
      <c r="G53" s="69">
        <v>336.5</v>
      </c>
      <c r="H53" s="69">
        <v>2158.6999999999998</v>
      </c>
      <c r="I53" s="69">
        <f t="shared" si="7"/>
        <v>127524.87700000001</v>
      </c>
      <c r="J53" s="69">
        <v>60457.023000000001</v>
      </c>
      <c r="K53" s="69">
        <v>5029.2999999999993</v>
      </c>
      <c r="L53" s="69">
        <f t="shared" si="8"/>
        <v>65486.323000000004</v>
      </c>
      <c r="M53" s="69">
        <v>5000</v>
      </c>
      <c r="N53" s="69">
        <v>2593.4</v>
      </c>
      <c r="O53" s="69">
        <v>163549.40000000002</v>
      </c>
      <c r="P53" s="69">
        <v>19150.7</v>
      </c>
      <c r="Q53" s="69">
        <v>11034.9</v>
      </c>
      <c r="R53" s="69">
        <v>21917.499999999996</v>
      </c>
      <c r="S53" s="69">
        <f t="shared" si="9"/>
        <v>416257.10000000003</v>
      </c>
      <c r="U53" s="76"/>
    </row>
    <row r="54" spans="1:21" s="70" customFormat="1" ht="15" hidden="1" customHeight="1" x14ac:dyDescent="0.2">
      <c r="A54" s="78" t="s">
        <v>57</v>
      </c>
      <c r="B54" s="69">
        <v>109147.9</v>
      </c>
      <c r="C54" s="69">
        <v>18877.900000000001</v>
      </c>
      <c r="D54" s="69">
        <v>1506.9</v>
      </c>
      <c r="E54" s="69" t="s">
        <v>42</v>
      </c>
      <c r="F54" s="69">
        <v>4287.1000000000004</v>
      </c>
      <c r="G54" s="69">
        <v>490.1</v>
      </c>
      <c r="H54" s="69">
        <v>1501.1</v>
      </c>
      <c r="I54" s="69">
        <f t="shared" si="7"/>
        <v>135811</v>
      </c>
      <c r="J54" s="69">
        <v>54287.4</v>
      </c>
      <c r="K54" s="69">
        <v>4481.2999999999993</v>
      </c>
      <c r="L54" s="69">
        <f t="shared" si="8"/>
        <v>58768.7</v>
      </c>
      <c r="M54" s="69" t="s">
        <v>42</v>
      </c>
      <c r="N54" s="69">
        <v>2889.3</v>
      </c>
      <c r="O54" s="69">
        <v>166752.5</v>
      </c>
      <c r="P54" s="69">
        <v>19150.7</v>
      </c>
      <c r="Q54" s="69">
        <v>13870.1</v>
      </c>
      <c r="R54" s="69">
        <v>22506.300000000007</v>
      </c>
      <c r="S54" s="69">
        <f t="shared" si="9"/>
        <v>419748.6</v>
      </c>
      <c r="U54" s="76"/>
    </row>
    <row r="55" spans="1:21" s="70" customFormat="1" ht="15" hidden="1" customHeight="1" x14ac:dyDescent="0.2">
      <c r="A55" s="78" t="s">
        <v>71</v>
      </c>
      <c r="B55" s="69">
        <v>121800.8</v>
      </c>
      <c r="C55" s="69">
        <v>21782.1</v>
      </c>
      <c r="D55" s="69">
        <v>1271.3</v>
      </c>
      <c r="E55" s="69" t="s">
        <v>42</v>
      </c>
      <c r="F55" s="69">
        <v>1552.6999999999998</v>
      </c>
      <c r="G55" s="69">
        <v>456.2</v>
      </c>
      <c r="H55" s="69">
        <v>2042.5999999999997</v>
      </c>
      <c r="I55" s="69">
        <f t="shared" si="7"/>
        <v>148905.70000000001</v>
      </c>
      <c r="J55" s="69">
        <v>51778.400000000009</v>
      </c>
      <c r="K55" s="69">
        <v>3757.3999999999992</v>
      </c>
      <c r="L55" s="69">
        <f t="shared" si="8"/>
        <v>55535.80000000001</v>
      </c>
      <c r="M55" s="69" t="s">
        <v>42</v>
      </c>
      <c r="N55" s="69">
        <v>2612.9</v>
      </c>
      <c r="O55" s="69">
        <v>177733.2</v>
      </c>
      <c r="P55" s="69">
        <v>19150.7</v>
      </c>
      <c r="Q55" s="69">
        <v>15348.1</v>
      </c>
      <c r="R55" s="69">
        <v>21131.899999999998</v>
      </c>
      <c r="S55" s="69">
        <f t="shared" si="9"/>
        <v>440418.30000000005</v>
      </c>
      <c r="U55" s="76"/>
    </row>
    <row r="56" spans="1:21" s="70" customFormat="1" ht="15" hidden="1" customHeight="1" x14ac:dyDescent="0.2">
      <c r="A56" s="78" t="s">
        <v>72</v>
      </c>
      <c r="B56" s="69">
        <v>121398.7</v>
      </c>
      <c r="C56" s="69">
        <v>17654.900000000001</v>
      </c>
      <c r="D56" s="69">
        <v>920.40000000000009</v>
      </c>
      <c r="E56" s="69" t="s">
        <v>42</v>
      </c>
      <c r="F56" s="69">
        <v>1198.7</v>
      </c>
      <c r="G56" s="69">
        <v>293.2</v>
      </c>
      <c r="H56" s="69">
        <v>2010.8</v>
      </c>
      <c r="I56" s="69">
        <f t="shared" si="7"/>
        <v>143476.70000000001</v>
      </c>
      <c r="J56" s="69">
        <v>70846.899999999994</v>
      </c>
      <c r="K56" s="69">
        <v>5001.9999999999991</v>
      </c>
      <c r="L56" s="69">
        <f t="shared" si="8"/>
        <v>75848.899999999994</v>
      </c>
      <c r="M56" s="69" t="s">
        <v>42</v>
      </c>
      <c r="N56" s="69">
        <v>3329</v>
      </c>
      <c r="O56" s="69">
        <v>170889.4</v>
      </c>
      <c r="P56" s="69">
        <v>19150.7</v>
      </c>
      <c r="Q56" s="69">
        <v>14588.1</v>
      </c>
      <c r="R56" s="69">
        <v>20311.999999999996</v>
      </c>
      <c r="S56" s="69">
        <f t="shared" si="9"/>
        <v>447594.8</v>
      </c>
      <c r="U56" s="76"/>
    </row>
    <row r="57" spans="1:21" s="70" customFormat="1" ht="15" hidden="1" customHeight="1" x14ac:dyDescent="0.2">
      <c r="A57" s="78" t="s">
        <v>58</v>
      </c>
      <c r="B57" s="69">
        <v>123002.6</v>
      </c>
      <c r="C57" s="69">
        <v>17303.099999999999</v>
      </c>
      <c r="D57" s="69">
        <v>1436.6</v>
      </c>
      <c r="E57" s="69" t="s">
        <v>42</v>
      </c>
      <c r="F57" s="69">
        <v>2300</v>
      </c>
      <c r="G57" s="69">
        <v>256.10000000000002</v>
      </c>
      <c r="H57" s="69">
        <v>2635.2</v>
      </c>
      <c r="I57" s="69">
        <f t="shared" si="7"/>
        <v>146933.60000000003</v>
      </c>
      <c r="J57" s="69">
        <v>55193.799999999988</v>
      </c>
      <c r="K57" s="69">
        <v>5380.5000000000009</v>
      </c>
      <c r="L57" s="69">
        <f t="shared" si="8"/>
        <v>60574.299999999988</v>
      </c>
      <c r="M57" s="69" t="s">
        <v>42</v>
      </c>
      <c r="N57" s="69">
        <v>3473.3</v>
      </c>
      <c r="O57" s="69">
        <v>172169.9</v>
      </c>
      <c r="P57" s="69">
        <v>19150.7</v>
      </c>
      <c r="Q57" s="69">
        <v>13380.7</v>
      </c>
      <c r="R57" s="69">
        <v>20523.2</v>
      </c>
      <c r="S57" s="69">
        <f t="shared" si="9"/>
        <v>436205.7</v>
      </c>
      <c r="U57" s="76"/>
    </row>
    <row r="58" spans="1:21" s="70" customFormat="1" ht="15" hidden="1" customHeight="1" x14ac:dyDescent="0.2">
      <c r="A58" s="78" t="s">
        <v>73</v>
      </c>
      <c r="B58" s="69">
        <v>118622.6</v>
      </c>
      <c r="C58" s="69">
        <v>23160.400000000001</v>
      </c>
      <c r="D58" s="69">
        <v>835.6</v>
      </c>
      <c r="E58" s="69" t="s">
        <v>42</v>
      </c>
      <c r="F58" s="69">
        <v>1851.5</v>
      </c>
      <c r="G58" s="69">
        <v>143.6</v>
      </c>
      <c r="H58" s="69">
        <v>1653.9</v>
      </c>
      <c r="I58" s="69">
        <f t="shared" si="7"/>
        <v>146267.6</v>
      </c>
      <c r="J58" s="69">
        <v>61009.2</v>
      </c>
      <c r="K58" s="69">
        <v>6128.4</v>
      </c>
      <c r="L58" s="69">
        <f t="shared" si="8"/>
        <v>67137.599999999991</v>
      </c>
      <c r="M58" s="69" t="s">
        <v>42</v>
      </c>
      <c r="N58" s="69">
        <v>3310.6</v>
      </c>
      <c r="O58" s="69">
        <v>167470.6</v>
      </c>
      <c r="P58" s="69">
        <v>19150.7</v>
      </c>
      <c r="Q58" s="69">
        <v>12779.6</v>
      </c>
      <c r="R58" s="69">
        <v>24096.899999999998</v>
      </c>
      <c r="S58" s="69">
        <f t="shared" si="9"/>
        <v>440213.60000000003</v>
      </c>
      <c r="U58" s="76"/>
    </row>
    <row r="59" spans="1:21" s="70" customFormat="1" ht="15" hidden="1" customHeight="1" x14ac:dyDescent="0.2">
      <c r="A59" s="78" t="s">
        <v>74</v>
      </c>
      <c r="B59" s="69">
        <v>116373.1</v>
      </c>
      <c r="C59" s="69">
        <v>20223</v>
      </c>
      <c r="D59" s="69">
        <v>632.4</v>
      </c>
      <c r="E59" s="69" t="s">
        <v>42</v>
      </c>
      <c r="F59" s="69">
        <v>1054.3</v>
      </c>
      <c r="G59" s="69">
        <v>133</v>
      </c>
      <c r="H59" s="69">
        <v>1621.7</v>
      </c>
      <c r="I59" s="69">
        <f t="shared" si="7"/>
        <v>140037.5</v>
      </c>
      <c r="J59" s="69">
        <v>64713.2</v>
      </c>
      <c r="K59" s="69">
        <v>4789.8</v>
      </c>
      <c r="L59" s="69">
        <f t="shared" si="8"/>
        <v>69503</v>
      </c>
      <c r="M59" s="69">
        <v>1500</v>
      </c>
      <c r="N59" s="69">
        <v>3369.6</v>
      </c>
      <c r="O59" s="69">
        <v>169792.50000000003</v>
      </c>
      <c r="P59" s="69">
        <v>19150.7</v>
      </c>
      <c r="Q59" s="69">
        <v>16218.7</v>
      </c>
      <c r="R59" s="69">
        <v>19934.2</v>
      </c>
      <c r="S59" s="69">
        <f t="shared" si="9"/>
        <v>439506.20000000007</v>
      </c>
      <c r="U59" s="76"/>
    </row>
    <row r="60" spans="1:21" s="73" customFormat="1" ht="15" hidden="1" customHeight="1" x14ac:dyDescent="0.2">
      <c r="A60" s="78" t="s">
        <v>59</v>
      </c>
      <c r="B60" s="72">
        <v>124230.9</v>
      </c>
      <c r="C60" s="72">
        <v>24965.9</v>
      </c>
      <c r="D60" s="72">
        <v>1127</v>
      </c>
      <c r="E60" s="72" t="s">
        <v>42</v>
      </c>
      <c r="F60" s="72">
        <v>4527.2</v>
      </c>
      <c r="G60" s="72">
        <v>56.9</v>
      </c>
      <c r="H60" s="72">
        <v>1675.3</v>
      </c>
      <c r="I60" s="72">
        <f t="shared" si="7"/>
        <v>156583.19999999998</v>
      </c>
      <c r="J60" s="72">
        <v>87124.799999999988</v>
      </c>
      <c r="K60" s="72">
        <v>6683.6</v>
      </c>
      <c r="L60" s="72">
        <f t="shared" si="8"/>
        <v>93808.4</v>
      </c>
      <c r="M60" s="72">
        <v>12000</v>
      </c>
      <c r="N60" s="72">
        <v>5225.7</v>
      </c>
      <c r="O60" s="72">
        <v>175397.7</v>
      </c>
      <c r="P60" s="72">
        <v>22381.3</v>
      </c>
      <c r="Q60" s="72">
        <v>14196.7</v>
      </c>
      <c r="R60" s="72">
        <v>34017.399999999994</v>
      </c>
      <c r="S60" s="72">
        <f t="shared" si="9"/>
        <v>513610.4</v>
      </c>
      <c r="T60" s="70"/>
      <c r="U60" s="76"/>
    </row>
    <row r="61" spans="1:21" s="73" customFormat="1" ht="15" hidden="1" customHeight="1" x14ac:dyDescent="0.2">
      <c r="A61" s="8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0"/>
      <c r="U61" s="76"/>
    </row>
    <row r="62" spans="1:21" s="70" customFormat="1" ht="15" hidden="1" customHeight="1" x14ac:dyDescent="0.2">
      <c r="A62" s="78" t="s">
        <v>75</v>
      </c>
      <c r="B62" s="69">
        <v>114706.9</v>
      </c>
      <c r="C62" s="69">
        <v>31192.800000000003</v>
      </c>
      <c r="D62" s="69">
        <v>817.6</v>
      </c>
      <c r="E62" s="69" t="s">
        <v>42</v>
      </c>
      <c r="F62" s="69">
        <v>1689.4999999999998</v>
      </c>
      <c r="G62" s="69">
        <v>89.3</v>
      </c>
      <c r="H62" s="69">
        <v>1627.8</v>
      </c>
      <c r="I62" s="69">
        <f t="shared" si="7"/>
        <v>150123.9</v>
      </c>
      <c r="J62" s="69">
        <v>70428.599999999991</v>
      </c>
      <c r="K62" s="69">
        <v>5730.0999999999995</v>
      </c>
      <c r="L62" s="69">
        <f t="shared" si="8"/>
        <v>76158.7</v>
      </c>
      <c r="M62" s="69">
        <v>15000</v>
      </c>
      <c r="N62" s="69">
        <v>5513.8</v>
      </c>
      <c r="O62" s="69">
        <v>170683.4</v>
      </c>
      <c r="P62" s="69">
        <v>19150.7</v>
      </c>
      <c r="Q62" s="69">
        <v>8368.8000000000011</v>
      </c>
      <c r="R62" s="69">
        <v>24338.799999999999</v>
      </c>
      <c r="S62" s="69">
        <f t="shared" ref="S62:S73" si="10">SUM(I62,L62:O62,R62,P62,Q62)</f>
        <v>469338.09999999992</v>
      </c>
      <c r="U62" s="76"/>
    </row>
    <row r="63" spans="1:21" s="70" customFormat="1" ht="15" hidden="1" customHeight="1" x14ac:dyDescent="0.2">
      <c r="A63" s="78" t="s">
        <v>67</v>
      </c>
      <c r="B63" s="69">
        <v>113068.7</v>
      </c>
      <c r="C63" s="69">
        <v>27634.1</v>
      </c>
      <c r="D63" s="69">
        <v>704.00000000000011</v>
      </c>
      <c r="E63" s="69" t="s">
        <v>42</v>
      </c>
      <c r="F63" s="69">
        <v>1532.1679999999999</v>
      </c>
      <c r="G63" s="69">
        <v>93.5</v>
      </c>
      <c r="H63" s="69">
        <v>1771.6</v>
      </c>
      <c r="I63" s="69">
        <f t="shared" si="7"/>
        <v>144804.068</v>
      </c>
      <c r="J63" s="69">
        <v>65480.932000000001</v>
      </c>
      <c r="K63" s="69">
        <v>7613.9999999999982</v>
      </c>
      <c r="L63" s="69">
        <f t="shared" si="8"/>
        <v>73094.932000000001</v>
      </c>
      <c r="M63" s="69">
        <v>10000</v>
      </c>
      <c r="N63" s="69">
        <v>6639.8</v>
      </c>
      <c r="O63" s="69">
        <v>178338.8</v>
      </c>
      <c r="P63" s="69">
        <v>19150.7</v>
      </c>
      <c r="Q63" s="69">
        <v>10933.3</v>
      </c>
      <c r="R63" s="69">
        <v>24371.899999999998</v>
      </c>
      <c r="S63" s="69">
        <f t="shared" si="10"/>
        <v>467333.5</v>
      </c>
      <c r="U63" s="76"/>
    </row>
    <row r="64" spans="1:21" s="70" customFormat="1" ht="15" hidden="1" customHeight="1" x14ac:dyDescent="0.2">
      <c r="A64" s="78" t="s">
        <v>68</v>
      </c>
      <c r="B64" s="69">
        <v>112651.3</v>
      </c>
      <c r="C64" s="69">
        <v>22247.699999999997</v>
      </c>
      <c r="D64" s="69">
        <v>482.70000000000005</v>
      </c>
      <c r="E64" s="69" t="s">
        <v>42</v>
      </c>
      <c r="F64" s="69">
        <v>1866.9</v>
      </c>
      <c r="G64" s="69">
        <v>232.7</v>
      </c>
      <c r="H64" s="69">
        <v>1526.3</v>
      </c>
      <c r="I64" s="69">
        <f t="shared" si="7"/>
        <v>139007.6</v>
      </c>
      <c r="J64" s="69">
        <v>66205.8</v>
      </c>
      <c r="K64" s="69">
        <v>4506.1000000000004</v>
      </c>
      <c r="L64" s="69">
        <f t="shared" si="8"/>
        <v>70711.900000000009</v>
      </c>
      <c r="M64" s="69">
        <v>8300</v>
      </c>
      <c r="N64" s="69">
        <v>5647.2</v>
      </c>
      <c r="O64" s="69">
        <v>180864.6</v>
      </c>
      <c r="P64" s="69">
        <v>22381.3</v>
      </c>
      <c r="Q64" s="69">
        <v>15778.5</v>
      </c>
      <c r="R64" s="69">
        <v>14585.699999999993</v>
      </c>
      <c r="S64" s="69">
        <f t="shared" si="10"/>
        <v>457276.80000000005</v>
      </c>
      <c r="U64" s="76"/>
    </row>
    <row r="65" spans="1:21" s="70" customFormat="1" ht="15" hidden="1" customHeight="1" x14ac:dyDescent="0.2">
      <c r="A65" s="78" t="s">
        <v>69</v>
      </c>
      <c r="B65" s="69">
        <v>115183.7</v>
      </c>
      <c r="C65" s="69">
        <v>23019</v>
      </c>
      <c r="D65" s="69">
        <v>472.70000000000005</v>
      </c>
      <c r="E65" s="69" t="s">
        <v>42</v>
      </c>
      <c r="F65" s="69">
        <v>2219.5</v>
      </c>
      <c r="G65" s="69">
        <v>59.6</v>
      </c>
      <c r="H65" s="69">
        <v>1285.2</v>
      </c>
      <c r="I65" s="69">
        <f t="shared" si="7"/>
        <v>142239.70000000004</v>
      </c>
      <c r="J65" s="69">
        <v>60352.2</v>
      </c>
      <c r="K65" s="69">
        <v>5702.1000000000022</v>
      </c>
      <c r="L65" s="69">
        <f t="shared" si="8"/>
        <v>66054.3</v>
      </c>
      <c r="M65" s="69">
        <v>2300</v>
      </c>
      <c r="N65" s="69">
        <v>5663.5</v>
      </c>
      <c r="O65" s="69">
        <v>181050.30000000002</v>
      </c>
      <c r="P65" s="69">
        <v>32819.4</v>
      </c>
      <c r="Q65" s="69">
        <v>40</v>
      </c>
      <c r="R65" s="69">
        <v>15296.5</v>
      </c>
      <c r="S65" s="69">
        <f t="shared" si="10"/>
        <v>445463.70000000007</v>
      </c>
      <c r="U65" s="76"/>
    </row>
    <row r="66" spans="1:21" s="70" customFormat="1" ht="15" hidden="1" customHeight="1" x14ac:dyDescent="0.2">
      <c r="A66" s="78" t="s">
        <v>70</v>
      </c>
      <c r="B66" s="69">
        <v>112468.1</v>
      </c>
      <c r="C66" s="69">
        <v>30605.599999999999</v>
      </c>
      <c r="D66" s="69">
        <v>318.79999999999995</v>
      </c>
      <c r="E66" s="69" t="s">
        <v>42</v>
      </c>
      <c r="F66" s="69">
        <v>1111</v>
      </c>
      <c r="G66" s="69">
        <v>43</v>
      </c>
      <c r="H66" s="69">
        <v>1319.9</v>
      </c>
      <c r="I66" s="69">
        <f t="shared" si="7"/>
        <v>145866.4</v>
      </c>
      <c r="J66" s="69">
        <v>88451.400000000009</v>
      </c>
      <c r="K66" s="69">
        <v>5416.3</v>
      </c>
      <c r="L66" s="69">
        <f t="shared" si="8"/>
        <v>93867.700000000012</v>
      </c>
      <c r="M66" s="69" t="s">
        <v>42</v>
      </c>
      <c r="N66" s="69">
        <v>4707.2</v>
      </c>
      <c r="O66" s="69">
        <v>126775.29999999999</v>
      </c>
      <c r="P66" s="69">
        <v>32819.4</v>
      </c>
      <c r="Q66" s="69">
        <v>1453.3</v>
      </c>
      <c r="R66" s="69">
        <v>49502.30000000001</v>
      </c>
      <c r="S66" s="69">
        <f t="shared" si="10"/>
        <v>454991.6</v>
      </c>
      <c r="U66" s="76"/>
    </row>
    <row r="67" spans="1:21" s="70" customFormat="1" ht="15" hidden="1" customHeight="1" x14ac:dyDescent="0.2">
      <c r="A67" s="78" t="s">
        <v>57</v>
      </c>
      <c r="B67" s="69">
        <v>120665.4</v>
      </c>
      <c r="C67" s="69">
        <v>39647.5</v>
      </c>
      <c r="D67" s="69">
        <v>835.8</v>
      </c>
      <c r="E67" s="69" t="s">
        <v>42</v>
      </c>
      <c r="F67" s="69">
        <v>2826.4</v>
      </c>
      <c r="G67" s="69">
        <v>55.3</v>
      </c>
      <c r="H67" s="69">
        <v>1354.9</v>
      </c>
      <c r="I67" s="69">
        <f t="shared" si="7"/>
        <v>165385.29999999996</v>
      </c>
      <c r="J67" s="69">
        <v>86975.9</v>
      </c>
      <c r="K67" s="69">
        <v>6268.8</v>
      </c>
      <c r="L67" s="69">
        <f t="shared" si="8"/>
        <v>93244.7</v>
      </c>
      <c r="M67" s="69" t="s">
        <v>42</v>
      </c>
      <c r="N67" s="69">
        <v>3207.8999999999996</v>
      </c>
      <c r="O67" s="69">
        <v>127669</v>
      </c>
      <c r="P67" s="69">
        <v>32819.4</v>
      </c>
      <c r="Q67" s="69">
        <v>2077.6999999999998</v>
      </c>
      <c r="R67" s="69">
        <v>47419.4</v>
      </c>
      <c r="S67" s="69">
        <f t="shared" si="10"/>
        <v>471823.39999999997</v>
      </c>
      <c r="U67" s="76"/>
    </row>
    <row r="68" spans="1:21" s="70" customFormat="1" ht="15" hidden="1" customHeight="1" x14ac:dyDescent="0.2">
      <c r="A68" s="78" t="s">
        <v>71</v>
      </c>
      <c r="B68" s="69">
        <v>124675.4</v>
      </c>
      <c r="C68" s="69">
        <v>21455.5</v>
      </c>
      <c r="D68" s="69">
        <v>220.4</v>
      </c>
      <c r="E68" s="69" t="s">
        <v>42</v>
      </c>
      <c r="F68" s="69">
        <v>1534.6</v>
      </c>
      <c r="G68" s="69">
        <v>42.1</v>
      </c>
      <c r="H68" s="69">
        <v>1409.2</v>
      </c>
      <c r="I68" s="69">
        <f t="shared" si="7"/>
        <v>149337.20000000001</v>
      </c>
      <c r="J68" s="69">
        <v>78491</v>
      </c>
      <c r="K68" s="69">
        <v>5698</v>
      </c>
      <c r="L68" s="69">
        <f t="shared" si="8"/>
        <v>84189</v>
      </c>
      <c r="M68" s="69">
        <v>3000</v>
      </c>
      <c r="N68" s="69">
        <v>2971.7</v>
      </c>
      <c r="O68" s="69">
        <v>140035.5</v>
      </c>
      <c r="P68" s="69">
        <v>32819.4</v>
      </c>
      <c r="Q68" s="69">
        <v>2132.5</v>
      </c>
      <c r="R68" s="69">
        <v>47545.499999999993</v>
      </c>
      <c r="S68" s="69">
        <f t="shared" si="10"/>
        <v>462030.80000000005</v>
      </c>
      <c r="U68" s="76"/>
    </row>
    <row r="69" spans="1:21" s="70" customFormat="1" ht="15" hidden="1" customHeight="1" x14ac:dyDescent="0.2">
      <c r="A69" s="78" t="s">
        <v>72</v>
      </c>
      <c r="B69" s="69">
        <v>124765.5</v>
      </c>
      <c r="C69" s="69">
        <v>26062.2</v>
      </c>
      <c r="D69" s="69">
        <v>303.80000000000007</v>
      </c>
      <c r="E69" s="69" t="s">
        <v>42</v>
      </c>
      <c r="F69" s="69">
        <v>1731.2</v>
      </c>
      <c r="G69" s="69">
        <v>64.5</v>
      </c>
      <c r="H69" s="69">
        <v>1217</v>
      </c>
      <c r="I69" s="69">
        <f t="shared" si="7"/>
        <v>154144.20000000001</v>
      </c>
      <c r="J69" s="69">
        <v>73849.100000000006</v>
      </c>
      <c r="K69" s="69">
        <v>4379.2999999999993</v>
      </c>
      <c r="L69" s="69">
        <f t="shared" si="8"/>
        <v>78228.400000000009</v>
      </c>
      <c r="M69" s="69" t="s">
        <v>42</v>
      </c>
      <c r="N69" s="69">
        <v>2286.5</v>
      </c>
      <c r="O69" s="69">
        <v>250916.19999999998</v>
      </c>
      <c r="P69" s="69">
        <v>32819.4</v>
      </c>
      <c r="Q69" s="69">
        <v>3064.7</v>
      </c>
      <c r="R69" s="69">
        <v>45279.6</v>
      </c>
      <c r="S69" s="69">
        <f t="shared" si="10"/>
        <v>566739</v>
      </c>
      <c r="U69" s="76"/>
    </row>
    <row r="70" spans="1:21" s="70" customFormat="1" ht="15" hidden="1" customHeight="1" x14ac:dyDescent="0.2">
      <c r="A70" s="78" t="s">
        <v>58</v>
      </c>
      <c r="B70" s="69">
        <v>117851.2</v>
      </c>
      <c r="C70" s="69">
        <v>36139</v>
      </c>
      <c r="D70" s="69">
        <v>818.50000000000011</v>
      </c>
      <c r="E70" s="69" t="s">
        <v>42</v>
      </c>
      <c r="F70" s="69">
        <v>2040.1</v>
      </c>
      <c r="G70" s="69">
        <v>48.6</v>
      </c>
      <c r="H70" s="69">
        <v>1353.5</v>
      </c>
      <c r="I70" s="69">
        <f t="shared" si="7"/>
        <v>158250.90000000002</v>
      </c>
      <c r="J70" s="69">
        <v>67984.100000000006</v>
      </c>
      <c r="K70" s="69">
        <v>6049.1999999999989</v>
      </c>
      <c r="L70" s="69">
        <f t="shared" si="8"/>
        <v>74033.3</v>
      </c>
      <c r="M70" s="69" t="s">
        <v>42</v>
      </c>
      <c r="N70" s="69">
        <v>2277.6999999999998</v>
      </c>
      <c r="O70" s="69">
        <v>259318.9</v>
      </c>
      <c r="P70" s="69">
        <v>32819.4</v>
      </c>
      <c r="Q70" s="69">
        <v>4261.8999999999996</v>
      </c>
      <c r="R70" s="69">
        <v>44172.6</v>
      </c>
      <c r="S70" s="69">
        <f t="shared" si="10"/>
        <v>575134.70000000007</v>
      </c>
      <c r="U70" s="76"/>
    </row>
    <row r="71" spans="1:21" s="70" customFormat="1" ht="15" hidden="1" customHeight="1" x14ac:dyDescent="0.2">
      <c r="A71" s="78" t="s">
        <v>73</v>
      </c>
      <c r="B71" s="69">
        <v>119216.8</v>
      </c>
      <c r="C71" s="69">
        <v>33282.800000000003</v>
      </c>
      <c r="D71" s="69">
        <v>686.40000000000009</v>
      </c>
      <c r="E71" s="69" t="s">
        <v>42</v>
      </c>
      <c r="F71" s="69">
        <v>1721.9</v>
      </c>
      <c r="G71" s="69">
        <v>76.900000000000006</v>
      </c>
      <c r="H71" s="69">
        <v>1329.2</v>
      </c>
      <c r="I71" s="69">
        <f t="shared" si="7"/>
        <v>156314</v>
      </c>
      <c r="J71" s="69">
        <v>71060.899999999994</v>
      </c>
      <c r="K71" s="69">
        <v>8175.0999999999985</v>
      </c>
      <c r="L71" s="69">
        <f t="shared" si="8"/>
        <v>79236</v>
      </c>
      <c r="M71" s="69" t="s">
        <v>42</v>
      </c>
      <c r="N71" s="69">
        <v>1249.4000000000001</v>
      </c>
      <c r="O71" s="69">
        <v>260952.5</v>
      </c>
      <c r="P71" s="69">
        <v>32819.4</v>
      </c>
      <c r="Q71" s="69">
        <v>5853.2</v>
      </c>
      <c r="R71" s="69">
        <v>46079.999999999993</v>
      </c>
      <c r="S71" s="69">
        <f t="shared" si="10"/>
        <v>582504.5</v>
      </c>
      <c r="U71" s="76"/>
    </row>
    <row r="72" spans="1:21" s="70" customFormat="1" ht="15" hidden="1" customHeight="1" x14ac:dyDescent="0.2">
      <c r="A72" s="78" t="s">
        <v>74</v>
      </c>
      <c r="B72" s="69">
        <v>117965.7</v>
      </c>
      <c r="C72" s="69">
        <v>37170.699999999997</v>
      </c>
      <c r="D72" s="69">
        <v>941.09999999999991</v>
      </c>
      <c r="E72" s="69" t="s">
        <v>42</v>
      </c>
      <c r="F72" s="69">
        <v>1724.1</v>
      </c>
      <c r="G72" s="69">
        <v>100.3</v>
      </c>
      <c r="H72" s="69">
        <v>1112.4000000000001</v>
      </c>
      <c r="I72" s="69">
        <f t="shared" si="7"/>
        <v>159014.29999999999</v>
      </c>
      <c r="J72" s="69">
        <v>78929.399999999994</v>
      </c>
      <c r="K72" s="69">
        <v>6026.0000000000009</v>
      </c>
      <c r="L72" s="69">
        <f t="shared" si="8"/>
        <v>84955.4</v>
      </c>
      <c r="M72" s="69">
        <v>6000</v>
      </c>
      <c r="N72" s="69">
        <v>2394.6999999999998</v>
      </c>
      <c r="O72" s="69">
        <v>263875.60000000003</v>
      </c>
      <c r="P72" s="69">
        <v>32819.4</v>
      </c>
      <c r="Q72" s="69">
        <v>5428</v>
      </c>
      <c r="R72" s="69">
        <v>48552.299999999996</v>
      </c>
      <c r="S72" s="69">
        <f t="shared" si="10"/>
        <v>603039.70000000007</v>
      </c>
      <c r="U72" s="76"/>
    </row>
    <row r="73" spans="1:21" s="70" customFormat="1" ht="15" hidden="1" customHeight="1" x14ac:dyDescent="0.2">
      <c r="A73" s="78" t="s">
        <v>59</v>
      </c>
      <c r="B73" s="69">
        <v>136206.20000000001</v>
      </c>
      <c r="C73" s="69">
        <v>53891.1</v>
      </c>
      <c r="D73" s="69">
        <v>1014.1</v>
      </c>
      <c r="E73" s="69" t="s">
        <v>42</v>
      </c>
      <c r="F73" s="69">
        <v>6100.8</v>
      </c>
      <c r="G73" s="69">
        <v>29.2</v>
      </c>
      <c r="H73" s="69">
        <v>901.8</v>
      </c>
      <c r="I73" s="69">
        <f t="shared" si="7"/>
        <v>198143.2</v>
      </c>
      <c r="J73" s="69">
        <v>76348</v>
      </c>
      <c r="K73" s="69">
        <v>6233.9</v>
      </c>
      <c r="L73" s="69">
        <f t="shared" si="8"/>
        <v>82581.899999999994</v>
      </c>
      <c r="M73" s="69">
        <v>10000</v>
      </c>
      <c r="N73" s="69">
        <v>3627.5</v>
      </c>
      <c r="O73" s="69">
        <v>255985.09999999998</v>
      </c>
      <c r="P73" s="69">
        <v>32780.300000000003</v>
      </c>
      <c r="Q73" s="69">
        <v>4383.1000000000004</v>
      </c>
      <c r="R73" s="69">
        <v>72473.799999999988</v>
      </c>
      <c r="S73" s="69">
        <f t="shared" si="10"/>
        <v>659974.9</v>
      </c>
      <c r="U73" s="76"/>
    </row>
    <row r="74" spans="1:21" s="70" customFormat="1" ht="15" hidden="1" customHeight="1" x14ac:dyDescent="0.2">
      <c r="A74" s="7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U74" s="76"/>
    </row>
    <row r="75" spans="1:21" s="70" customFormat="1" ht="15" hidden="1" customHeight="1" x14ac:dyDescent="0.2">
      <c r="A75" s="78" t="s">
        <v>76</v>
      </c>
      <c r="B75" s="69">
        <v>124469.1</v>
      </c>
      <c r="C75" s="69">
        <v>44898.400000000001</v>
      </c>
      <c r="D75" s="69">
        <v>721.3</v>
      </c>
      <c r="E75" s="69" t="s">
        <v>42</v>
      </c>
      <c r="F75" s="69">
        <v>3451.6000000000004</v>
      </c>
      <c r="G75" s="69">
        <v>35</v>
      </c>
      <c r="H75" s="69">
        <v>778.3</v>
      </c>
      <c r="I75" s="69">
        <f t="shared" si="7"/>
        <v>174353.69999999998</v>
      </c>
      <c r="J75" s="69">
        <v>80851.600000000006</v>
      </c>
      <c r="K75" s="69">
        <v>5052.3999999999996</v>
      </c>
      <c r="L75" s="69">
        <f t="shared" si="8"/>
        <v>85904</v>
      </c>
      <c r="M75" s="69">
        <v>20000</v>
      </c>
      <c r="N75" s="69">
        <v>3848</v>
      </c>
      <c r="O75" s="69">
        <v>254946.7</v>
      </c>
      <c r="P75" s="69">
        <v>32780.300000000003</v>
      </c>
      <c r="Q75" s="69">
        <v>2347</v>
      </c>
      <c r="R75" s="69">
        <v>46761.799999999988</v>
      </c>
      <c r="S75" s="69">
        <f t="shared" ref="S75:S86" si="11">SUM(I75,L75:O75,R75,P75,Q75)</f>
        <v>620941.5</v>
      </c>
      <c r="U75" s="76"/>
    </row>
    <row r="76" spans="1:21" s="70" customFormat="1" ht="15" hidden="1" customHeight="1" x14ac:dyDescent="0.2">
      <c r="A76" s="78" t="s">
        <v>67</v>
      </c>
      <c r="B76" s="69">
        <v>125950.7</v>
      </c>
      <c r="C76" s="69">
        <v>41712.1</v>
      </c>
      <c r="D76" s="69">
        <v>1912.9999999999998</v>
      </c>
      <c r="E76" s="69" t="s">
        <v>42</v>
      </c>
      <c r="F76" s="69">
        <v>1645.8999999999999</v>
      </c>
      <c r="G76" s="69">
        <v>58.4</v>
      </c>
      <c r="H76" s="69">
        <v>1143.8</v>
      </c>
      <c r="I76" s="69">
        <f t="shared" si="7"/>
        <v>172423.89999999997</v>
      </c>
      <c r="J76" s="69">
        <v>89178.6</v>
      </c>
      <c r="K76" s="69">
        <v>6113.2999999999993</v>
      </c>
      <c r="L76" s="69">
        <f t="shared" si="8"/>
        <v>95291.900000000009</v>
      </c>
      <c r="M76" s="69">
        <v>16000</v>
      </c>
      <c r="N76" s="69">
        <v>3891.9</v>
      </c>
      <c r="O76" s="69">
        <v>261782.6</v>
      </c>
      <c r="P76" s="69">
        <v>32780.300000000003</v>
      </c>
      <c r="Q76" s="69">
        <v>3867.8</v>
      </c>
      <c r="R76" s="69">
        <v>48735.699999999983</v>
      </c>
      <c r="S76" s="69">
        <f t="shared" si="11"/>
        <v>634774.10000000009</v>
      </c>
      <c r="U76" s="76"/>
    </row>
    <row r="77" spans="1:21" s="70" customFormat="1" ht="15" hidden="1" customHeight="1" x14ac:dyDescent="0.2">
      <c r="A77" s="78" t="s">
        <v>68</v>
      </c>
      <c r="B77" s="69">
        <v>125349.6</v>
      </c>
      <c r="C77" s="69">
        <v>26586.199999999997</v>
      </c>
      <c r="D77" s="69">
        <v>707.1</v>
      </c>
      <c r="E77" s="69" t="s">
        <v>42</v>
      </c>
      <c r="F77" s="69">
        <v>2048.3000000000002</v>
      </c>
      <c r="G77" s="69">
        <v>77.400000000000006</v>
      </c>
      <c r="H77" s="69">
        <v>590.6</v>
      </c>
      <c r="I77" s="69">
        <f t="shared" si="7"/>
        <v>155359.19999999998</v>
      </c>
      <c r="J77" s="69">
        <v>79853.600000000006</v>
      </c>
      <c r="K77" s="69">
        <v>5787.5</v>
      </c>
      <c r="L77" s="69">
        <f t="shared" si="8"/>
        <v>85641.1</v>
      </c>
      <c r="M77" s="69">
        <v>22100</v>
      </c>
      <c r="N77" s="69">
        <v>4455.2</v>
      </c>
      <c r="O77" s="69">
        <v>260330.80000000002</v>
      </c>
      <c r="P77" s="69">
        <v>32780.300000000003</v>
      </c>
      <c r="Q77" s="69">
        <v>4744.6000000000004</v>
      </c>
      <c r="R77" s="69">
        <v>49469.799999999988</v>
      </c>
      <c r="S77" s="69">
        <f t="shared" si="11"/>
        <v>614881.00000000012</v>
      </c>
      <c r="U77" s="76"/>
    </row>
    <row r="78" spans="1:21" s="70" customFormat="1" ht="15" hidden="1" customHeight="1" x14ac:dyDescent="0.2">
      <c r="A78" s="78" t="s">
        <v>69</v>
      </c>
      <c r="B78" s="69">
        <v>127864.3</v>
      </c>
      <c r="C78" s="69">
        <v>42278.6</v>
      </c>
      <c r="D78" s="69">
        <v>2281</v>
      </c>
      <c r="E78" s="69" t="s">
        <v>42</v>
      </c>
      <c r="F78" s="69">
        <v>2970.8</v>
      </c>
      <c r="G78" s="69">
        <v>53</v>
      </c>
      <c r="H78" s="69">
        <v>722.2</v>
      </c>
      <c r="I78" s="69">
        <f t="shared" si="7"/>
        <v>176169.9</v>
      </c>
      <c r="J78" s="69">
        <v>65416.900000000009</v>
      </c>
      <c r="K78" s="69">
        <v>5949.6000000000013</v>
      </c>
      <c r="L78" s="69">
        <f t="shared" si="8"/>
        <v>71366.500000000015</v>
      </c>
      <c r="M78" s="69">
        <v>10000</v>
      </c>
      <c r="N78" s="69">
        <v>3924.4</v>
      </c>
      <c r="O78" s="69">
        <v>257699.40000000002</v>
      </c>
      <c r="P78" s="69">
        <v>36102.400000000001</v>
      </c>
      <c r="Q78" s="69">
        <v>1899.5</v>
      </c>
      <c r="R78" s="69">
        <v>46558.80000000001</v>
      </c>
      <c r="S78" s="69">
        <f t="shared" si="11"/>
        <v>603720.90000000014</v>
      </c>
      <c r="U78" s="76"/>
    </row>
    <row r="79" spans="1:21" s="70" customFormat="1" ht="15" hidden="1" customHeight="1" x14ac:dyDescent="0.2">
      <c r="A79" s="78" t="s">
        <v>70</v>
      </c>
      <c r="B79" s="69">
        <v>130114.6</v>
      </c>
      <c r="C79" s="69">
        <v>15889</v>
      </c>
      <c r="D79" s="69">
        <v>2142.3000000000002</v>
      </c>
      <c r="E79" s="69" t="s">
        <v>42</v>
      </c>
      <c r="F79" s="69">
        <v>3033.4</v>
      </c>
      <c r="G79" s="69">
        <v>40.6</v>
      </c>
      <c r="H79" s="69">
        <v>557.70000000000005</v>
      </c>
      <c r="I79" s="69">
        <f t="shared" si="7"/>
        <v>151777.60000000001</v>
      </c>
      <c r="J79" s="69">
        <v>61739.899999999994</v>
      </c>
      <c r="K79" s="69">
        <v>4834.4999999999991</v>
      </c>
      <c r="L79" s="69">
        <f t="shared" si="8"/>
        <v>66574.399999999994</v>
      </c>
      <c r="M79" s="69" t="s">
        <v>42</v>
      </c>
      <c r="N79" s="69">
        <v>3999.5</v>
      </c>
      <c r="O79" s="69">
        <v>251894.59999999998</v>
      </c>
      <c r="P79" s="69">
        <v>36102.400000000001</v>
      </c>
      <c r="Q79" s="69">
        <v>4185</v>
      </c>
      <c r="R79" s="69">
        <v>47977.999999999993</v>
      </c>
      <c r="S79" s="69">
        <f t="shared" si="11"/>
        <v>562511.5</v>
      </c>
      <c r="U79" s="76"/>
    </row>
    <row r="80" spans="1:21" s="70" customFormat="1" ht="15" hidden="1" customHeight="1" x14ac:dyDescent="0.2">
      <c r="A80" s="78" t="s">
        <v>57</v>
      </c>
      <c r="B80" s="69">
        <v>147647.5</v>
      </c>
      <c r="C80" s="69">
        <v>21971.5</v>
      </c>
      <c r="D80" s="69">
        <v>1973</v>
      </c>
      <c r="E80" s="69">
        <v>0.49099999999999999</v>
      </c>
      <c r="F80" s="69">
        <v>2936</v>
      </c>
      <c r="G80" s="69">
        <v>23.6</v>
      </c>
      <c r="H80" s="69">
        <v>883.10900000000004</v>
      </c>
      <c r="I80" s="69">
        <f t="shared" si="7"/>
        <v>175435.2</v>
      </c>
      <c r="J80" s="69">
        <v>65131.899999999994</v>
      </c>
      <c r="K80" s="69">
        <v>6546.4000000000005</v>
      </c>
      <c r="L80" s="69">
        <f t="shared" si="8"/>
        <v>71678.299999999988</v>
      </c>
      <c r="M80" s="69" t="s">
        <v>42</v>
      </c>
      <c r="N80" s="69">
        <v>5313.2</v>
      </c>
      <c r="O80" s="69">
        <v>252121.1</v>
      </c>
      <c r="P80" s="69">
        <v>36102.400000000001</v>
      </c>
      <c r="Q80" s="69">
        <v>4811.1000000000004</v>
      </c>
      <c r="R80" s="69">
        <v>30907.599999999999</v>
      </c>
      <c r="S80" s="69">
        <f t="shared" si="11"/>
        <v>576368.9</v>
      </c>
      <c r="U80" s="76"/>
    </row>
    <row r="81" spans="1:21" s="70" customFormat="1" ht="15" hidden="1" customHeight="1" x14ac:dyDescent="0.2">
      <c r="A81" s="78" t="s">
        <v>71</v>
      </c>
      <c r="B81" s="69">
        <v>163191.5</v>
      </c>
      <c r="C81" s="69">
        <v>23739.5</v>
      </c>
      <c r="D81" s="69">
        <v>1612.3</v>
      </c>
      <c r="E81" s="69">
        <v>50.491</v>
      </c>
      <c r="F81" s="69">
        <v>3851.2</v>
      </c>
      <c r="G81" s="69">
        <v>31</v>
      </c>
      <c r="H81" s="69">
        <v>432.50900000000001</v>
      </c>
      <c r="I81" s="69">
        <f t="shared" si="7"/>
        <v>192908.5</v>
      </c>
      <c r="J81" s="69">
        <v>52792.800000000003</v>
      </c>
      <c r="K81" s="69">
        <v>7092</v>
      </c>
      <c r="L81" s="69">
        <f t="shared" si="8"/>
        <v>59884.800000000003</v>
      </c>
      <c r="M81" s="69" t="s">
        <v>42</v>
      </c>
      <c r="N81" s="69">
        <v>6419.6</v>
      </c>
      <c r="O81" s="69">
        <v>260288</v>
      </c>
      <c r="P81" s="69">
        <v>36102.400000000001</v>
      </c>
      <c r="Q81" s="69">
        <v>1652.7</v>
      </c>
      <c r="R81" s="69">
        <v>31394.299999999996</v>
      </c>
      <c r="S81" s="69">
        <f t="shared" si="11"/>
        <v>588650.30000000005</v>
      </c>
      <c r="U81" s="76"/>
    </row>
    <row r="82" spans="1:21" s="70" customFormat="1" ht="15" hidden="1" customHeight="1" x14ac:dyDescent="0.2">
      <c r="A82" s="78" t="s">
        <v>72</v>
      </c>
      <c r="B82" s="69">
        <v>156374.20000000001</v>
      </c>
      <c r="C82" s="69">
        <v>31485.7</v>
      </c>
      <c r="D82" s="69">
        <v>1069.3000000000002</v>
      </c>
      <c r="E82" s="69">
        <v>200.49100000000001</v>
      </c>
      <c r="F82" s="69">
        <v>3228.5799999999995</v>
      </c>
      <c r="G82" s="69">
        <v>38.200000000000003</v>
      </c>
      <c r="H82" s="69">
        <v>563.70900000000006</v>
      </c>
      <c r="I82" s="69">
        <f t="shared" si="7"/>
        <v>192960.18000000002</v>
      </c>
      <c r="J82" s="69">
        <v>65891.12</v>
      </c>
      <c r="K82" s="69">
        <v>5933.7</v>
      </c>
      <c r="L82" s="69">
        <f t="shared" si="8"/>
        <v>71824.819999999992</v>
      </c>
      <c r="M82" s="69" t="s">
        <v>42</v>
      </c>
      <c r="N82" s="69">
        <v>6302.1</v>
      </c>
      <c r="O82" s="69">
        <v>270617.09999999998</v>
      </c>
      <c r="P82" s="69">
        <v>36102.400000000001</v>
      </c>
      <c r="Q82" s="69">
        <v>3288.8</v>
      </c>
      <c r="R82" s="69">
        <v>17668.900000000001</v>
      </c>
      <c r="S82" s="69">
        <f t="shared" si="11"/>
        <v>598764.30000000005</v>
      </c>
      <c r="U82" s="76"/>
    </row>
    <row r="83" spans="1:21" s="70" customFormat="1" ht="15" hidden="1" customHeight="1" x14ac:dyDescent="0.2">
      <c r="A83" s="78" t="s">
        <v>58</v>
      </c>
      <c r="B83" s="69">
        <v>149317.20000000001</v>
      </c>
      <c r="C83" s="69">
        <v>30479.4</v>
      </c>
      <c r="D83" s="69">
        <v>1908.1999999999998</v>
      </c>
      <c r="E83" s="69">
        <v>200.49100000000001</v>
      </c>
      <c r="F83" s="69">
        <v>1770.6000000000001</v>
      </c>
      <c r="G83" s="69">
        <v>19.399999999999999</v>
      </c>
      <c r="H83" s="69">
        <v>570.70900000000006</v>
      </c>
      <c r="I83" s="69">
        <f t="shared" si="7"/>
        <v>184266.00000000003</v>
      </c>
      <c r="J83" s="69">
        <v>57110.5</v>
      </c>
      <c r="K83" s="69">
        <v>5047.1000000000004</v>
      </c>
      <c r="L83" s="69">
        <f t="shared" si="8"/>
        <v>62157.599999999999</v>
      </c>
      <c r="M83" s="69">
        <v>2000</v>
      </c>
      <c r="N83" s="69">
        <v>6642.8</v>
      </c>
      <c r="O83" s="69">
        <v>279209.8</v>
      </c>
      <c r="P83" s="69">
        <v>36102.400000000001</v>
      </c>
      <c r="Q83" s="69">
        <v>2504.3000000000002</v>
      </c>
      <c r="R83" s="69">
        <v>18678</v>
      </c>
      <c r="S83" s="69">
        <f t="shared" si="11"/>
        <v>591560.9</v>
      </c>
      <c r="U83" s="76"/>
    </row>
    <row r="84" spans="1:21" s="70" customFormat="1" ht="15" hidden="1" customHeight="1" x14ac:dyDescent="0.2">
      <c r="A84" s="78" t="s">
        <v>73</v>
      </c>
      <c r="B84" s="69">
        <v>145288.6</v>
      </c>
      <c r="C84" s="69">
        <v>15265.400000000001</v>
      </c>
      <c r="D84" s="69">
        <v>2831.3</v>
      </c>
      <c r="E84" s="69">
        <v>0.49099999999999999</v>
      </c>
      <c r="F84" s="69">
        <v>954.49999999999989</v>
      </c>
      <c r="G84" s="69">
        <v>16.5</v>
      </c>
      <c r="H84" s="69">
        <v>677.80899999999997</v>
      </c>
      <c r="I84" s="69">
        <f t="shared" si="7"/>
        <v>165034.6</v>
      </c>
      <c r="J84" s="69">
        <v>68118.2</v>
      </c>
      <c r="K84" s="69">
        <v>4622.1000000000004</v>
      </c>
      <c r="L84" s="69">
        <f t="shared" si="8"/>
        <v>72740.3</v>
      </c>
      <c r="M84" s="69" t="s">
        <v>42</v>
      </c>
      <c r="N84" s="69">
        <v>6102.1</v>
      </c>
      <c r="O84" s="69">
        <v>281295.59999999998</v>
      </c>
      <c r="P84" s="69">
        <v>36102.400000000001</v>
      </c>
      <c r="Q84" s="69">
        <v>1997.3</v>
      </c>
      <c r="R84" s="69">
        <v>19530.800000000003</v>
      </c>
      <c r="S84" s="69">
        <f t="shared" si="11"/>
        <v>582803.10000000009</v>
      </c>
      <c r="U84" s="76"/>
    </row>
    <row r="85" spans="1:21" s="70" customFormat="1" ht="15" hidden="1" customHeight="1" x14ac:dyDescent="0.2">
      <c r="A85" s="78" t="s">
        <v>74</v>
      </c>
      <c r="B85" s="69">
        <v>143026.9</v>
      </c>
      <c r="C85" s="69">
        <v>31831.5</v>
      </c>
      <c r="D85" s="69">
        <v>3638.7</v>
      </c>
      <c r="E85" s="69">
        <v>100.5</v>
      </c>
      <c r="F85" s="69">
        <v>1518.6</v>
      </c>
      <c r="G85" s="69">
        <v>22</v>
      </c>
      <c r="H85" s="69">
        <v>575.40899999999999</v>
      </c>
      <c r="I85" s="69">
        <f t="shared" si="7"/>
        <v>180713.60900000003</v>
      </c>
      <c r="J85" s="69">
        <v>62343.5</v>
      </c>
      <c r="K85" s="69">
        <v>4884.9000000000005</v>
      </c>
      <c r="L85" s="69">
        <f t="shared" si="8"/>
        <v>67228.399999999994</v>
      </c>
      <c r="M85" s="69" t="s">
        <v>42</v>
      </c>
      <c r="N85" s="69">
        <v>6389.5</v>
      </c>
      <c r="O85" s="69">
        <v>274549</v>
      </c>
      <c r="P85" s="69">
        <v>36102.400000000001</v>
      </c>
      <c r="Q85" s="69">
        <v>5205.2</v>
      </c>
      <c r="R85" s="69">
        <v>19388.5</v>
      </c>
      <c r="S85" s="69">
        <f t="shared" si="11"/>
        <v>589576.60900000005</v>
      </c>
      <c r="U85" s="76"/>
    </row>
    <row r="86" spans="1:21" s="70" customFormat="1" ht="15" hidden="1" customHeight="1" x14ac:dyDescent="0.2">
      <c r="A86" s="78" t="s">
        <v>59</v>
      </c>
      <c r="B86" s="69">
        <v>155835.20000000001</v>
      </c>
      <c r="C86" s="69">
        <v>47450.5</v>
      </c>
      <c r="D86" s="69">
        <v>1428</v>
      </c>
      <c r="E86" s="69">
        <v>2738.884497</v>
      </c>
      <c r="F86" s="69">
        <v>3735.6</v>
      </c>
      <c r="G86" s="69">
        <v>28.6</v>
      </c>
      <c r="H86" s="69">
        <v>422.01550300000008</v>
      </c>
      <c r="I86" s="69">
        <f t="shared" si="7"/>
        <v>211638.80000000002</v>
      </c>
      <c r="J86" s="69">
        <v>95993</v>
      </c>
      <c r="K86" s="69">
        <v>6291.8</v>
      </c>
      <c r="L86" s="69">
        <f t="shared" si="8"/>
        <v>102284.8</v>
      </c>
      <c r="M86" s="69">
        <v>7000</v>
      </c>
      <c r="N86" s="69">
        <v>10515.6</v>
      </c>
      <c r="O86" s="69">
        <v>276658.60000000003</v>
      </c>
      <c r="P86" s="69">
        <v>36102</v>
      </c>
      <c r="Q86" s="69">
        <v>4813.2</v>
      </c>
      <c r="R86" s="69">
        <v>31416</v>
      </c>
      <c r="S86" s="69">
        <f t="shared" si="11"/>
        <v>680429</v>
      </c>
      <c r="U86" s="76"/>
    </row>
    <row r="87" spans="1:21" s="70" customFormat="1" ht="15" hidden="1" customHeight="1" x14ac:dyDescent="0.2">
      <c r="A87" s="7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U87" s="76"/>
    </row>
    <row r="88" spans="1:21" s="70" customFormat="1" ht="15" hidden="1" customHeight="1" x14ac:dyDescent="0.2">
      <c r="A88" s="78" t="s">
        <v>77</v>
      </c>
      <c r="B88" s="69">
        <v>145536.5</v>
      </c>
      <c r="C88" s="69">
        <v>43841.1</v>
      </c>
      <c r="D88" s="69">
        <v>512.70000000000005</v>
      </c>
      <c r="E88" s="69">
        <v>135.918432</v>
      </c>
      <c r="F88" s="69">
        <v>1078.5</v>
      </c>
      <c r="G88" s="69">
        <v>56</v>
      </c>
      <c r="H88" s="69">
        <v>742.38156800000002</v>
      </c>
      <c r="I88" s="69">
        <f t="shared" si="7"/>
        <v>191903.10000000003</v>
      </c>
      <c r="J88" s="69">
        <v>102498.7</v>
      </c>
      <c r="K88" s="69">
        <v>4329.5</v>
      </c>
      <c r="L88" s="69">
        <f t="shared" si="8"/>
        <v>106828.2</v>
      </c>
      <c r="M88" s="69">
        <v>8500</v>
      </c>
      <c r="N88" s="69">
        <v>9347.1</v>
      </c>
      <c r="O88" s="69">
        <v>281587.09999999998</v>
      </c>
      <c r="P88" s="69">
        <v>36102</v>
      </c>
      <c r="Q88" s="69">
        <v>2869.6000000000004</v>
      </c>
      <c r="R88" s="69">
        <v>19640.699999999997</v>
      </c>
      <c r="S88" s="69">
        <f t="shared" ref="S88:S99" si="12">SUM(I88,L88:O88,R88,P88,Q88)</f>
        <v>656777.79999999993</v>
      </c>
      <c r="U88" s="76"/>
    </row>
    <row r="89" spans="1:21" s="70" customFormat="1" ht="15" hidden="1" customHeight="1" x14ac:dyDescent="0.2">
      <c r="A89" s="78" t="s">
        <v>67</v>
      </c>
      <c r="B89" s="69">
        <v>144843.29999999999</v>
      </c>
      <c r="C89" s="69">
        <v>28928.1</v>
      </c>
      <c r="D89" s="69">
        <v>1155.7999999999997</v>
      </c>
      <c r="E89" s="69">
        <v>543</v>
      </c>
      <c r="F89" s="69">
        <v>1490.1</v>
      </c>
      <c r="G89" s="69">
        <v>36.700000000000003</v>
      </c>
      <c r="H89" s="69">
        <v>731</v>
      </c>
      <c r="I89" s="69">
        <f t="shared" si="7"/>
        <v>177728</v>
      </c>
      <c r="J89" s="69">
        <v>143804.4</v>
      </c>
      <c r="K89" s="69">
        <v>6314.2</v>
      </c>
      <c r="L89" s="69">
        <f t="shared" si="8"/>
        <v>150118.6</v>
      </c>
      <c r="M89" s="69">
        <v>3000</v>
      </c>
      <c r="N89" s="69">
        <v>9342.1</v>
      </c>
      <c r="O89" s="69">
        <v>281664.40000000002</v>
      </c>
      <c r="P89" s="69">
        <v>36102</v>
      </c>
      <c r="Q89" s="69">
        <v>5113.6000000000004</v>
      </c>
      <c r="R89" s="69">
        <v>20013.400000000001</v>
      </c>
      <c r="S89" s="69">
        <f t="shared" si="12"/>
        <v>683082.1</v>
      </c>
      <c r="U89" s="76"/>
    </row>
    <row r="90" spans="1:21" s="70" customFormat="1" ht="15" hidden="1" customHeight="1" x14ac:dyDescent="0.2">
      <c r="A90" s="78" t="s">
        <v>68</v>
      </c>
      <c r="B90" s="69">
        <v>149827.1</v>
      </c>
      <c r="C90" s="69">
        <v>39367.200000000004</v>
      </c>
      <c r="D90" s="69">
        <v>611.6</v>
      </c>
      <c r="E90" s="69">
        <v>398.98371200000003</v>
      </c>
      <c r="F90" s="69">
        <v>2831.0000000000005</v>
      </c>
      <c r="G90" s="69">
        <v>92.9</v>
      </c>
      <c r="H90" s="69">
        <v>1004.0162880000001</v>
      </c>
      <c r="I90" s="69">
        <f t="shared" si="7"/>
        <v>194132.80000000002</v>
      </c>
      <c r="J90" s="69">
        <v>106183</v>
      </c>
      <c r="K90" s="69">
        <v>3778.5</v>
      </c>
      <c r="L90" s="69">
        <f t="shared" si="8"/>
        <v>109961.5</v>
      </c>
      <c r="M90" s="69">
        <v>4500</v>
      </c>
      <c r="N90" s="69">
        <v>8476.4</v>
      </c>
      <c r="O90" s="69">
        <v>283289.5</v>
      </c>
      <c r="P90" s="69">
        <v>37182.400000000001</v>
      </c>
      <c r="Q90" s="69">
        <v>5589.2</v>
      </c>
      <c r="R90" s="69">
        <v>17734.699999999997</v>
      </c>
      <c r="S90" s="69">
        <f t="shared" si="12"/>
        <v>660866.5</v>
      </c>
      <c r="U90" s="76"/>
    </row>
    <row r="91" spans="1:21" s="70" customFormat="1" ht="15" hidden="1" customHeight="1" x14ac:dyDescent="0.2">
      <c r="A91" s="78" t="s">
        <v>69</v>
      </c>
      <c r="B91" s="69">
        <v>154603.9</v>
      </c>
      <c r="C91" s="69">
        <v>34054.1</v>
      </c>
      <c r="D91" s="69">
        <v>591.6</v>
      </c>
      <c r="E91" s="69">
        <v>647.1</v>
      </c>
      <c r="F91" s="69">
        <v>6855.9000000000005</v>
      </c>
      <c r="G91" s="69">
        <v>47.3</v>
      </c>
      <c r="H91" s="69">
        <v>872.30000000000007</v>
      </c>
      <c r="I91" s="69">
        <f t="shared" si="7"/>
        <v>197672.19999999998</v>
      </c>
      <c r="J91" s="69">
        <v>111507.6</v>
      </c>
      <c r="K91" s="69">
        <v>4071.3000000000006</v>
      </c>
      <c r="L91" s="69">
        <f t="shared" si="8"/>
        <v>115578.90000000001</v>
      </c>
      <c r="M91" s="69" t="s">
        <v>42</v>
      </c>
      <c r="N91" s="69">
        <v>8770.6</v>
      </c>
      <c r="O91" s="69">
        <v>304102.80000000005</v>
      </c>
      <c r="P91" s="69">
        <v>41805.5</v>
      </c>
      <c r="Q91" s="69">
        <v>2491.3000000000002</v>
      </c>
      <c r="R91" s="69">
        <v>17339.799999999996</v>
      </c>
      <c r="S91" s="69">
        <f t="shared" si="12"/>
        <v>687761.10000000009</v>
      </c>
      <c r="U91" s="76"/>
    </row>
    <row r="92" spans="1:21" s="70" customFormat="1" ht="15" hidden="1" customHeight="1" x14ac:dyDescent="0.2">
      <c r="A92" s="78" t="s">
        <v>70</v>
      </c>
      <c r="B92" s="69">
        <v>159225.29999999999</v>
      </c>
      <c r="C92" s="69">
        <v>26890.299999999996</v>
      </c>
      <c r="D92" s="69">
        <v>968.90000000000009</v>
      </c>
      <c r="E92" s="69">
        <v>398.98371200000003</v>
      </c>
      <c r="F92" s="69">
        <v>4582.8999999999996</v>
      </c>
      <c r="G92" s="69">
        <v>124.5</v>
      </c>
      <c r="H92" s="69">
        <v>765.01628800000003</v>
      </c>
      <c r="I92" s="69">
        <f t="shared" si="7"/>
        <v>192955.89999999997</v>
      </c>
      <c r="J92" s="69">
        <v>125562.79999999999</v>
      </c>
      <c r="K92" s="69">
        <v>4198.6000000000004</v>
      </c>
      <c r="L92" s="69">
        <f t="shared" si="8"/>
        <v>129761.4</v>
      </c>
      <c r="M92" s="69" t="s">
        <v>42</v>
      </c>
      <c r="N92" s="69">
        <v>7873.8</v>
      </c>
      <c r="O92" s="69">
        <v>299175.7</v>
      </c>
      <c r="P92" s="69">
        <v>41805.5</v>
      </c>
      <c r="Q92" s="69">
        <v>3851.6</v>
      </c>
      <c r="R92" s="69">
        <v>18759.400000000001</v>
      </c>
      <c r="S92" s="69">
        <f t="shared" si="12"/>
        <v>694183.29999999993</v>
      </c>
      <c r="U92" s="76"/>
    </row>
    <row r="93" spans="1:21" s="70" customFormat="1" ht="15" hidden="1" customHeight="1" x14ac:dyDescent="0.2">
      <c r="A93" s="78" t="s">
        <v>57</v>
      </c>
      <c r="B93" s="69">
        <v>172348.7</v>
      </c>
      <c r="C93" s="69">
        <v>27532.100000000002</v>
      </c>
      <c r="D93" s="69">
        <v>1167.8999999999999</v>
      </c>
      <c r="E93" s="69">
        <v>4490.4912750000003</v>
      </c>
      <c r="F93" s="69">
        <v>4553.0999999999995</v>
      </c>
      <c r="G93" s="69">
        <v>97</v>
      </c>
      <c r="H93" s="69">
        <v>801.50872499999969</v>
      </c>
      <c r="I93" s="69">
        <f t="shared" si="7"/>
        <v>210990.80000000002</v>
      </c>
      <c r="J93" s="69">
        <v>119726.19999999998</v>
      </c>
      <c r="K93" s="69">
        <v>6579.9</v>
      </c>
      <c r="L93" s="69">
        <f t="shared" si="8"/>
        <v>126306.09999999998</v>
      </c>
      <c r="M93" s="69" t="s">
        <v>42</v>
      </c>
      <c r="N93" s="69">
        <v>6058.6</v>
      </c>
      <c r="O93" s="69">
        <v>300858.90000000002</v>
      </c>
      <c r="P93" s="69">
        <v>41803.1</v>
      </c>
      <c r="Q93" s="69">
        <v>4904.3999999999996</v>
      </c>
      <c r="R93" s="69">
        <v>17984.400000000009</v>
      </c>
      <c r="S93" s="69">
        <f t="shared" si="12"/>
        <v>708906.3</v>
      </c>
      <c r="U93" s="76"/>
    </row>
    <row r="94" spans="1:21" s="70" customFormat="1" ht="15" hidden="1" customHeight="1" x14ac:dyDescent="0.2">
      <c r="A94" s="78" t="s">
        <v>71</v>
      </c>
      <c r="B94" s="69">
        <v>186362</v>
      </c>
      <c r="C94" s="69">
        <v>25164.7</v>
      </c>
      <c r="D94" s="69">
        <v>913</v>
      </c>
      <c r="E94" s="69">
        <v>4881.352691</v>
      </c>
      <c r="F94" s="69">
        <v>7643.699999999998</v>
      </c>
      <c r="G94" s="69">
        <v>97.7</v>
      </c>
      <c r="H94" s="69">
        <v>562.94730900000013</v>
      </c>
      <c r="I94" s="69">
        <f t="shared" si="7"/>
        <v>225625.40000000005</v>
      </c>
      <c r="J94" s="69">
        <v>103965.19999999998</v>
      </c>
      <c r="K94" s="69">
        <v>4708.6000000000004</v>
      </c>
      <c r="L94" s="69">
        <f t="shared" si="8"/>
        <v>108673.79999999999</v>
      </c>
      <c r="M94" s="69" t="s">
        <v>42</v>
      </c>
      <c r="N94" s="69">
        <v>5680.5</v>
      </c>
      <c r="O94" s="69">
        <v>316978.40000000002</v>
      </c>
      <c r="P94" s="69">
        <v>41803.1</v>
      </c>
      <c r="Q94" s="69">
        <v>7850.7</v>
      </c>
      <c r="R94" s="69">
        <v>18312.799999999996</v>
      </c>
      <c r="S94" s="69">
        <f t="shared" si="12"/>
        <v>724924.70000000007</v>
      </c>
      <c r="U94" s="76"/>
    </row>
    <row r="95" spans="1:21" s="70" customFormat="1" ht="15" hidden="1" customHeight="1" x14ac:dyDescent="0.2">
      <c r="A95" s="78" t="s">
        <v>72</v>
      </c>
      <c r="B95" s="69">
        <v>180063.1</v>
      </c>
      <c r="C95" s="69">
        <v>37662.400000000001</v>
      </c>
      <c r="D95" s="69">
        <v>1275.4000000000001</v>
      </c>
      <c r="E95" s="69">
        <v>181.68308100000002</v>
      </c>
      <c r="F95" s="69">
        <v>1958.6</v>
      </c>
      <c r="G95" s="69">
        <v>83.5</v>
      </c>
      <c r="H95" s="69">
        <v>481.61691899999994</v>
      </c>
      <c r="I95" s="69">
        <f t="shared" si="7"/>
        <v>221706.3</v>
      </c>
      <c r="J95" s="69">
        <v>98316</v>
      </c>
      <c r="K95" s="69">
        <v>5378.4</v>
      </c>
      <c r="L95" s="69">
        <f t="shared" si="8"/>
        <v>103694.39999999999</v>
      </c>
      <c r="M95" s="69" t="s">
        <v>42</v>
      </c>
      <c r="N95" s="69">
        <v>5244.3</v>
      </c>
      <c r="O95" s="69">
        <v>319000</v>
      </c>
      <c r="P95" s="69">
        <v>41803.5</v>
      </c>
      <c r="Q95" s="69">
        <v>6092.4</v>
      </c>
      <c r="R95" s="69">
        <v>16458.400000000001</v>
      </c>
      <c r="S95" s="69">
        <f t="shared" si="12"/>
        <v>713999.3</v>
      </c>
      <c r="U95" s="76"/>
    </row>
    <row r="96" spans="1:21" s="70" customFormat="1" ht="15" hidden="1" customHeight="1" x14ac:dyDescent="0.2">
      <c r="A96" s="78" t="s">
        <v>58</v>
      </c>
      <c r="B96" s="69">
        <v>168466.4</v>
      </c>
      <c r="C96" s="69">
        <v>33244.300000000003</v>
      </c>
      <c r="D96" s="69">
        <v>1493.8</v>
      </c>
      <c r="E96" s="69">
        <v>2484.4</v>
      </c>
      <c r="F96" s="69">
        <v>1412.9000000000003</v>
      </c>
      <c r="G96" s="69">
        <v>37.9</v>
      </c>
      <c r="H96" s="69">
        <v>500.59999999999991</v>
      </c>
      <c r="I96" s="69">
        <f t="shared" si="7"/>
        <v>207640.3</v>
      </c>
      <c r="J96" s="69">
        <v>90818.799999999988</v>
      </c>
      <c r="K96" s="69">
        <v>5304.4000000000005</v>
      </c>
      <c r="L96" s="69">
        <f t="shared" si="8"/>
        <v>96123.199999999983</v>
      </c>
      <c r="M96" s="69" t="s">
        <v>42</v>
      </c>
      <c r="N96" s="69">
        <v>7790</v>
      </c>
      <c r="O96" s="69">
        <v>313648.90000000002</v>
      </c>
      <c r="P96" s="69">
        <v>41803.5</v>
      </c>
      <c r="Q96" s="69">
        <v>6939</v>
      </c>
      <c r="R96" s="69">
        <v>19892.699999999997</v>
      </c>
      <c r="S96" s="69">
        <f t="shared" si="12"/>
        <v>693837.6</v>
      </c>
      <c r="U96" s="76"/>
    </row>
    <row r="97" spans="1:21" s="70" customFormat="1" ht="15" hidden="1" customHeight="1" x14ac:dyDescent="0.2">
      <c r="A97" s="78" t="s">
        <v>73</v>
      </c>
      <c r="B97" s="69">
        <v>163042.70000000001</v>
      </c>
      <c r="C97" s="69">
        <v>23626.300000000003</v>
      </c>
      <c r="D97" s="69">
        <v>931.2</v>
      </c>
      <c r="E97" s="69">
        <v>2788.4236020000003</v>
      </c>
      <c r="F97" s="69">
        <v>2651.1000000000004</v>
      </c>
      <c r="G97" s="69">
        <v>25.6</v>
      </c>
      <c r="H97" s="69">
        <v>1386.4763980000002</v>
      </c>
      <c r="I97" s="69">
        <f t="shared" si="7"/>
        <v>194451.80000000002</v>
      </c>
      <c r="J97" s="69">
        <v>95535.9</v>
      </c>
      <c r="K97" s="69">
        <v>5123.5</v>
      </c>
      <c r="L97" s="69">
        <f t="shared" si="8"/>
        <v>100659.4</v>
      </c>
      <c r="M97" s="69" t="s">
        <v>42</v>
      </c>
      <c r="N97" s="69">
        <v>10104.9</v>
      </c>
      <c r="O97" s="69">
        <v>327004.7</v>
      </c>
      <c r="P97" s="69">
        <v>41803.5</v>
      </c>
      <c r="Q97" s="69">
        <v>7465</v>
      </c>
      <c r="R97" s="69">
        <v>19099.299999999996</v>
      </c>
      <c r="S97" s="69">
        <f t="shared" si="12"/>
        <v>700588.60000000009</v>
      </c>
      <c r="U97" s="76"/>
    </row>
    <row r="98" spans="1:21" s="70" customFormat="1" ht="15" hidden="1" customHeight="1" x14ac:dyDescent="0.2">
      <c r="A98" s="78" t="s">
        <v>74</v>
      </c>
      <c r="B98" s="69">
        <v>157871.5</v>
      </c>
      <c r="C98" s="69">
        <v>19725.599999999999</v>
      </c>
      <c r="D98" s="69">
        <v>782.7</v>
      </c>
      <c r="E98" s="69">
        <v>2419.5932160000002</v>
      </c>
      <c r="F98" s="69">
        <v>2706.9</v>
      </c>
      <c r="G98" s="69">
        <v>9.1</v>
      </c>
      <c r="H98" s="69">
        <v>435.90678400000024</v>
      </c>
      <c r="I98" s="69">
        <f t="shared" si="7"/>
        <v>183951.30000000002</v>
      </c>
      <c r="J98" s="69">
        <v>91764.9</v>
      </c>
      <c r="K98" s="69">
        <v>5566.6999999999989</v>
      </c>
      <c r="L98" s="69">
        <f t="shared" si="8"/>
        <v>97331.599999999991</v>
      </c>
      <c r="M98" s="69" t="s">
        <v>42</v>
      </c>
      <c r="N98" s="69">
        <v>12542.7</v>
      </c>
      <c r="O98" s="69">
        <v>328313.3</v>
      </c>
      <c r="P98" s="69">
        <v>41803.5</v>
      </c>
      <c r="Q98" s="69">
        <v>8215.2000000000007</v>
      </c>
      <c r="R98" s="69">
        <v>16844.000000000007</v>
      </c>
      <c r="S98" s="69">
        <f t="shared" si="12"/>
        <v>689001.6</v>
      </c>
      <c r="U98" s="76"/>
    </row>
    <row r="99" spans="1:21" s="70" customFormat="1" ht="15" hidden="1" customHeight="1" x14ac:dyDescent="0.2">
      <c r="A99" s="78" t="s">
        <v>59</v>
      </c>
      <c r="B99" s="69">
        <v>170106</v>
      </c>
      <c r="C99" s="69">
        <v>34979.700000000004</v>
      </c>
      <c r="D99" s="69">
        <v>278</v>
      </c>
      <c r="E99" s="69">
        <v>500</v>
      </c>
      <c r="F99" s="69">
        <v>5041.4999999999982</v>
      </c>
      <c r="G99" s="69">
        <v>23.6</v>
      </c>
      <c r="H99" s="69">
        <v>397.3</v>
      </c>
      <c r="I99" s="69">
        <f t="shared" si="7"/>
        <v>211326.1</v>
      </c>
      <c r="J99" s="69">
        <v>103201.79999999999</v>
      </c>
      <c r="K99" s="69">
        <v>7172.3000000000011</v>
      </c>
      <c r="L99" s="69">
        <f t="shared" si="8"/>
        <v>110374.09999999999</v>
      </c>
      <c r="M99" s="69" t="s">
        <v>42</v>
      </c>
      <c r="N99" s="69">
        <v>12302.2</v>
      </c>
      <c r="O99" s="69">
        <v>330449.80000000005</v>
      </c>
      <c r="P99" s="69">
        <v>41797.4</v>
      </c>
      <c r="Q99" s="69">
        <v>9533.5</v>
      </c>
      <c r="R99" s="69">
        <v>56251.500000000007</v>
      </c>
      <c r="S99" s="69">
        <f t="shared" si="12"/>
        <v>772034.60000000009</v>
      </c>
      <c r="U99" s="76"/>
    </row>
    <row r="100" spans="1:21" s="70" customFormat="1" ht="15" hidden="1" customHeight="1" x14ac:dyDescent="0.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U100" s="76"/>
    </row>
    <row r="101" spans="1:21" s="70" customFormat="1" ht="15" hidden="1" customHeight="1" x14ac:dyDescent="0.2">
      <c r="A101" s="78" t="s">
        <v>78</v>
      </c>
      <c r="B101" s="72">
        <v>162981.5</v>
      </c>
      <c r="C101" s="72">
        <v>18924</v>
      </c>
      <c r="D101" s="72">
        <v>543.20000000000005</v>
      </c>
      <c r="E101" s="72">
        <v>2450.4688410000003</v>
      </c>
      <c r="F101" s="72">
        <v>2058.7000000000007</v>
      </c>
      <c r="G101" s="72">
        <v>44.3</v>
      </c>
      <c r="H101" s="72">
        <v>2583.6311589999991</v>
      </c>
      <c r="I101" s="72">
        <f t="shared" ref="I101:I112" si="13">SUM(B101:H101)</f>
        <v>189585.80000000002</v>
      </c>
      <c r="J101" s="72">
        <v>113451.1</v>
      </c>
      <c r="K101" s="72">
        <v>7384.9</v>
      </c>
      <c r="L101" s="72">
        <f t="shared" ref="L101:L112" si="14">SUM(J101:K101)</f>
        <v>120836</v>
      </c>
      <c r="M101" s="72" t="s">
        <v>42</v>
      </c>
      <c r="N101" s="72">
        <v>12079.5</v>
      </c>
      <c r="O101" s="72">
        <v>347210.1</v>
      </c>
      <c r="P101" s="72">
        <v>41797.4</v>
      </c>
      <c r="Q101" s="72">
        <v>14366.7</v>
      </c>
      <c r="R101" s="72">
        <f>26575.1-1270.6</f>
        <v>25304.5</v>
      </c>
      <c r="S101" s="72">
        <f t="shared" ref="S101:S112" si="15">SUM(I101,L101:O101,R101,P101,Q101)</f>
        <v>751180</v>
      </c>
      <c r="U101" s="76"/>
    </row>
    <row r="102" spans="1:21" s="70" customFormat="1" ht="15" hidden="1" customHeight="1" x14ac:dyDescent="0.2">
      <c r="A102" s="78" t="s">
        <v>67</v>
      </c>
      <c r="B102" s="72">
        <v>164099.6</v>
      </c>
      <c r="C102" s="72">
        <v>29919</v>
      </c>
      <c r="D102" s="72">
        <v>1147.5999999999999</v>
      </c>
      <c r="E102" s="72">
        <v>520.86202399999991</v>
      </c>
      <c r="F102" s="72">
        <v>3279.3</v>
      </c>
      <c r="G102" s="72">
        <v>44.3</v>
      </c>
      <c r="H102" s="72">
        <v>511.93797599999999</v>
      </c>
      <c r="I102" s="72">
        <f t="shared" si="13"/>
        <v>199522.59999999998</v>
      </c>
      <c r="J102" s="72">
        <v>102989.9</v>
      </c>
      <c r="K102" s="72">
        <v>8622.2000000000007</v>
      </c>
      <c r="L102" s="72">
        <f t="shared" si="14"/>
        <v>111612.09999999999</v>
      </c>
      <c r="M102" s="72" t="s">
        <v>42</v>
      </c>
      <c r="N102" s="72">
        <v>7387.8</v>
      </c>
      <c r="O102" s="72">
        <v>354739</v>
      </c>
      <c r="P102" s="72">
        <v>41797.4</v>
      </c>
      <c r="Q102" s="72">
        <v>17381.7</v>
      </c>
      <c r="R102" s="72">
        <f>19027.3-334.8</f>
        <v>18692.5</v>
      </c>
      <c r="S102" s="72">
        <f t="shared" si="15"/>
        <v>751133.1</v>
      </c>
      <c r="U102" s="76"/>
    </row>
    <row r="103" spans="1:21" s="70" customFormat="1" ht="15" hidden="1" customHeight="1" x14ac:dyDescent="0.2">
      <c r="A103" s="78" t="s">
        <v>68</v>
      </c>
      <c r="B103" s="72">
        <v>165509.4</v>
      </c>
      <c r="C103" s="72">
        <v>23200.9</v>
      </c>
      <c r="D103" s="72">
        <v>480.40000000000003</v>
      </c>
      <c r="E103" s="72">
        <v>444.90000000000003</v>
      </c>
      <c r="F103" s="72">
        <v>1503.9000000000003</v>
      </c>
      <c r="G103" s="72">
        <v>18.3</v>
      </c>
      <c r="H103" s="72">
        <v>2529.8000000000002</v>
      </c>
      <c r="I103" s="72">
        <f t="shared" si="13"/>
        <v>193687.59999999995</v>
      </c>
      <c r="J103" s="72">
        <v>105105.4</v>
      </c>
      <c r="K103" s="72">
        <v>6749.7</v>
      </c>
      <c r="L103" s="72">
        <f t="shared" si="14"/>
        <v>111855.09999999999</v>
      </c>
      <c r="M103" s="72" t="s">
        <v>42</v>
      </c>
      <c r="N103" s="72">
        <v>6964.2</v>
      </c>
      <c r="O103" s="72">
        <v>351493.3</v>
      </c>
      <c r="P103" s="72">
        <v>41769.199999999997</v>
      </c>
      <c r="Q103" s="72">
        <v>15829.2</v>
      </c>
      <c r="R103" s="72">
        <f>19102.9-318.8</f>
        <v>18784.100000000002</v>
      </c>
      <c r="S103" s="72">
        <f t="shared" si="15"/>
        <v>740382.69999999984</v>
      </c>
      <c r="U103" s="76"/>
    </row>
    <row r="104" spans="1:21" s="70" customFormat="1" ht="15" hidden="1" customHeight="1" x14ac:dyDescent="0.2">
      <c r="A104" s="78" t="s">
        <v>69</v>
      </c>
      <c r="B104" s="72">
        <v>168178.8</v>
      </c>
      <c r="C104" s="72">
        <v>28326</v>
      </c>
      <c r="D104" s="72">
        <v>525</v>
      </c>
      <c r="E104" s="72">
        <v>3254.9822990000002</v>
      </c>
      <c r="F104" s="72">
        <v>2712.4</v>
      </c>
      <c r="G104" s="72">
        <v>14.3</v>
      </c>
      <c r="H104" s="72">
        <v>569.21770099999958</v>
      </c>
      <c r="I104" s="72">
        <f t="shared" si="13"/>
        <v>203580.69999999995</v>
      </c>
      <c r="J104" s="72">
        <v>105819.7</v>
      </c>
      <c r="K104" s="72">
        <v>9511.2999999999993</v>
      </c>
      <c r="L104" s="72">
        <f t="shared" si="14"/>
        <v>115331</v>
      </c>
      <c r="M104" s="72" t="s">
        <v>42</v>
      </c>
      <c r="N104" s="72">
        <v>6330.1</v>
      </c>
      <c r="O104" s="72">
        <v>352132.9</v>
      </c>
      <c r="P104" s="72">
        <v>51954.3</v>
      </c>
      <c r="Q104" s="72">
        <v>6731</v>
      </c>
      <c r="R104" s="72">
        <f>18231.7-364.1</f>
        <v>17867.600000000002</v>
      </c>
      <c r="S104" s="72">
        <f t="shared" si="15"/>
        <v>753927.6</v>
      </c>
      <c r="U104" s="76"/>
    </row>
    <row r="105" spans="1:21" s="70" customFormat="1" ht="15" hidden="1" customHeight="1" x14ac:dyDescent="0.2">
      <c r="A105" s="78" t="s">
        <v>70</v>
      </c>
      <c r="B105" s="72">
        <v>167039</v>
      </c>
      <c r="C105" s="72">
        <v>27641.7</v>
      </c>
      <c r="D105" s="72">
        <v>365.90000000000003</v>
      </c>
      <c r="E105" s="72">
        <v>3068.6653120000001</v>
      </c>
      <c r="F105" s="72">
        <v>6215.7</v>
      </c>
      <c r="G105" s="72">
        <v>64.599999999999994</v>
      </c>
      <c r="H105" s="72">
        <v>468.33468800000037</v>
      </c>
      <c r="I105" s="72">
        <f t="shared" si="13"/>
        <v>204863.90000000002</v>
      </c>
      <c r="J105" s="72">
        <v>95765.200000000012</v>
      </c>
      <c r="K105" s="72">
        <v>6688.8</v>
      </c>
      <c r="L105" s="72">
        <f t="shared" si="14"/>
        <v>102454.00000000001</v>
      </c>
      <c r="M105" s="72" t="s">
        <v>42</v>
      </c>
      <c r="N105" s="72">
        <v>10020</v>
      </c>
      <c r="O105" s="72">
        <v>346496.6</v>
      </c>
      <c r="P105" s="72">
        <v>51954.3</v>
      </c>
      <c r="Q105" s="72">
        <v>3877.5</v>
      </c>
      <c r="R105" s="72">
        <v>18956.600000000006</v>
      </c>
      <c r="S105" s="72">
        <f t="shared" si="15"/>
        <v>738622.9</v>
      </c>
      <c r="U105" s="76"/>
    </row>
    <row r="106" spans="1:21" s="70" customFormat="1" ht="15" hidden="1" customHeight="1" x14ac:dyDescent="0.2">
      <c r="A106" s="78" t="s">
        <v>57</v>
      </c>
      <c r="B106" s="72">
        <v>183642.4</v>
      </c>
      <c r="C106" s="72">
        <v>27850.7</v>
      </c>
      <c r="D106" s="72">
        <v>1363.6</v>
      </c>
      <c r="E106" s="72">
        <v>989.76381599999991</v>
      </c>
      <c r="F106" s="72">
        <v>3705.5</v>
      </c>
      <c r="G106" s="72">
        <v>10</v>
      </c>
      <c r="H106" s="72">
        <v>373.03618400000005</v>
      </c>
      <c r="I106" s="72">
        <f t="shared" si="13"/>
        <v>217935</v>
      </c>
      <c r="J106" s="72">
        <v>90865.900000000009</v>
      </c>
      <c r="K106" s="72">
        <v>6351</v>
      </c>
      <c r="L106" s="72">
        <f t="shared" si="14"/>
        <v>97216.900000000009</v>
      </c>
      <c r="M106" s="72" t="s">
        <v>42</v>
      </c>
      <c r="N106" s="72">
        <v>9147.7000000000007</v>
      </c>
      <c r="O106" s="72">
        <v>353109.6</v>
      </c>
      <c r="P106" s="72">
        <v>51954.3</v>
      </c>
      <c r="Q106" s="72">
        <v>10753</v>
      </c>
      <c r="R106" s="72">
        <v>19695.300000000003</v>
      </c>
      <c r="S106" s="72">
        <f t="shared" si="15"/>
        <v>759811.8</v>
      </c>
      <c r="U106" s="76"/>
    </row>
    <row r="107" spans="1:21" s="70" customFormat="1" ht="15" hidden="1" customHeight="1" x14ac:dyDescent="0.2">
      <c r="A107" s="78" t="s">
        <v>71</v>
      </c>
      <c r="B107" s="72">
        <v>191205.6</v>
      </c>
      <c r="C107" s="72">
        <v>34620.6</v>
      </c>
      <c r="D107" s="72">
        <v>1745.6999999999998</v>
      </c>
      <c r="E107" s="72">
        <v>1122.0805439999999</v>
      </c>
      <c r="F107" s="72">
        <v>2790.1000000000004</v>
      </c>
      <c r="G107" s="72">
        <v>6.4</v>
      </c>
      <c r="H107" s="72">
        <v>449.81945599999995</v>
      </c>
      <c r="I107" s="72">
        <f t="shared" si="13"/>
        <v>231940.30000000002</v>
      </c>
      <c r="J107" s="72">
        <v>86849.599999999977</v>
      </c>
      <c r="K107" s="72">
        <v>8084.6999999999989</v>
      </c>
      <c r="L107" s="72">
        <f t="shared" si="14"/>
        <v>94934.299999999974</v>
      </c>
      <c r="M107" s="72" t="s">
        <v>42</v>
      </c>
      <c r="N107" s="72">
        <v>8263.5</v>
      </c>
      <c r="O107" s="72">
        <v>361512.7</v>
      </c>
      <c r="P107" s="72">
        <v>51954.3</v>
      </c>
      <c r="Q107" s="72">
        <v>15983.9</v>
      </c>
      <c r="R107" s="72">
        <f>13724.2-11.6</f>
        <v>13712.6</v>
      </c>
      <c r="S107" s="72">
        <f t="shared" si="15"/>
        <v>778301.60000000009</v>
      </c>
      <c r="U107" s="76"/>
    </row>
    <row r="108" spans="1:21" s="70" customFormat="1" ht="15" hidden="1" customHeight="1" x14ac:dyDescent="0.2">
      <c r="A108" s="78" t="s">
        <v>72</v>
      </c>
      <c r="B108" s="72">
        <v>196035.5</v>
      </c>
      <c r="C108" s="72">
        <v>27931.4</v>
      </c>
      <c r="D108" s="72">
        <v>1485.5</v>
      </c>
      <c r="E108" s="72">
        <v>992.75356799999997</v>
      </c>
      <c r="F108" s="72">
        <v>3236.7999999999997</v>
      </c>
      <c r="G108" s="72">
        <v>17.3</v>
      </c>
      <c r="H108" s="72">
        <v>298.04643199999998</v>
      </c>
      <c r="I108" s="72">
        <f t="shared" si="13"/>
        <v>229997.29999999996</v>
      </c>
      <c r="J108" s="72">
        <v>81605.3</v>
      </c>
      <c r="K108" s="72">
        <v>10033.699999999999</v>
      </c>
      <c r="L108" s="72">
        <f t="shared" si="14"/>
        <v>91639</v>
      </c>
      <c r="M108" s="72" t="s">
        <v>42</v>
      </c>
      <c r="N108" s="72">
        <v>6689.5999999999995</v>
      </c>
      <c r="O108" s="72">
        <v>373365.2</v>
      </c>
      <c r="P108" s="72">
        <v>51954.3</v>
      </c>
      <c r="Q108" s="72">
        <v>13988.6</v>
      </c>
      <c r="R108" s="72">
        <v>13920.899999999994</v>
      </c>
      <c r="S108" s="72">
        <f t="shared" si="15"/>
        <v>781554.89999999991</v>
      </c>
      <c r="U108" s="76"/>
    </row>
    <row r="109" spans="1:21" s="70" customFormat="1" ht="15" hidden="1" customHeight="1" x14ac:dyDescent="0.2">
      <c r="A109" s="78" t="s">
        <v>58</v>
      </c>
      <c r="B109" s="72">
        <v>184428.3</v>
      </c>
      <c r="C109" s="72">
        <v>32797.5</v>
      </c>
      <c r="D109" s="72">
        <v>1441.2</v>
      </c>
      <c r="E109" s="72">
        <v>289.7</v>
      </c>
      <c r="F109" s="72">
        <v>1869.8</v>
      </c>
      <c r="G109" s="72">
        <v>12.8</v>
      </c>
      <c r="H109" s="72">
        <v>334.9</v>
      </c>
      <c r="I109" s="72">
        <f t="shared" si="13"/>
        <v>221174.19999999998</v>
      </c>
      <c r="J109" s="72">
        <v>86434.9</v>
      </c>
      <c r="K109" s="72">
        <v>5154.5</v>
      </c>
      <c r="L109" s="72">
        <f t="shared" si="14"/>
        <v>91589.4</v>
      </c>
      <c r="M109" s="72" t="s">
        <v>42</v>
      </c>
      <c r="N109" s="72">
        <v>8142</v>
      </c>
      <c r="O109" s="72">
        <v>377411.10000000003</v>
      </c>
      <c r="P109" s="72">
        <v>51954.3</v>
      </c>
      <c r="Q109" s="72">
        <v>14018.3</v>
      </c>
      <c r="R109" s="72">
        <v>13744.900000000009</v>
      </c>
      <c r="S109" s="72">
        <f t="shared" si="15"/>
        <v>778034.20000000007</v>
      </c>
      <c r="U109" s="76"/>
    </row>
    <row r="110" spans="1:21" s="70" customFormat="1" ht="15" hidden="1" customHeight="1" x14ac:dyDescent="0.2">
      <c r="A110" s="78" t="s">
        <v>73</v>
      </c>
      <c r="B110" s="72">
        <v>180543.7</v>
      </c>
      <c r="C110" s="72">
        <v>38998.9</v>
      </c>
      <c r="D110" s="72">
        <v>2876.3</v>
      </c>
      <c r="E110" s="72">
        <v>4830.7</v>
      </c>
      <c r="F110" s="72">
        <v>6487.9000000000005</v>
      </c>
      <c r="G110" s="72">
        <v>24.3</v>
      </c>
      <c r="H110" s="72">
        <v>419.2</v>
      </c>
      <c r="I110" s="72">
        <f t="shared" si="13"/>
        <v>234181</v>
      </c>
      <c r="J110" s="72">
        <v>86386.3</v>
      </c>
      <c r="K110" s="72">
        <v>6521.5</v>
      </c>
      <c r="L110" s="72">
        <f t="shared" si="14"/>
        <v>92907.8</v>
      </c>
      <c r="M110" s="72" t="s">
        <v>42</v>
      </c>
      <c r="N110" s="72">
        <v>8277.1</v>
      </c>
      <c r="O110" s="72">
        <v>372759.3</v>
      </c>
      <c r="P110" s="72">
        <v>51954.3</v>
      </c>
      <c r="Q110" s="72">
        <v>14402.6</v>
      </c>
      <c r="R110" s="72">
        <f>7447.9-2.1</f>
        <v>7445.7999999999993</v>
      </c>
      <c r="S110" s="72">
        <f t="shared" si="15"/>
        <v>781927.9</v>
      </c>
      <c r="U110" s="76"/>
    </row>
    <row r="111" spans="1:21" s="70" customFormat="1" ht="15" hidden="1" customHeight="1" x14ac:dyDescent="0.2">
      <c r="A111" s="78" t="s">
        <v>74</v>
      </c>
      <c r="B111" s="72">
        <v>180263.8</v>
      </c>
      <c r="C111" s="72">
        <v>44006.6</v>
      </c>
      <c r="D111" s="72">
        <v>3435.2999999999997</v>
      </c>
      <c r="E111" s="72">
        <v>3861.3</v>
      </c>
      <c r="F111" s="72">
        <v>7826.4</v>
      </c>
      <c r="G111" s="72">
        <v>33</v>
      </c>
      <c r="H111" s="72">
        <v>611</v>
      </c>
      <c r="I111" s="72">
        <f t="shared" si="13"/>
        <v>240037.39999999997</v>
      </c>
      <c r="J111" s="72">
        <v>90816.700000000012</v>
      </c>
      <c r="K111" s="72">
        <v>8686.5000000000018</v>
      </c>
      <c r="L111" s="72">
        <f t="shared" si="14"/>
        <v>99503.200000000012</v>
      </c>
      <c r="M111" s="72" t="s">
        <v>42</v>
      </c>
      <c r="N111" s="72">
        <v>11660.1</v>
      </c>
      <c r="O111" s="72">
        <v>378277.3</v>
      </c>
      <c r="P111" s="72">
        <v>51954.3</v>
      </c>
      <c r="Q111" s="72">
        <v>16233.8</v>
      </c>
      <c r="R111" s="72">
        <f>8022.9-0.6</f>
        <v>8022.2999999999993</v>
      </c>
      <c r="S111" s="72">
        <f t="shared" si="15"/>
        <v>805688.40000000014</v>
      </c>
      <c r="U111" s="76"/>
    </row>
    <row r="112" spans="1:21" s="70" customFormat="1" ht="15" hidden="1" customHeight="1" x14ac:dyDescent="0.2">
      <c r="A112" s="78" t="s">
        <v>59</v>
      </c>
      <c r="B112" s="72">
        <v>198246.9</v>
      </c>
      <c r="C112" s="72">
        <v>39879.9</v>
      </c>
      <c r="D112" s="72">
        <v>2827.5</v>
      </c>
      <c r="E112" s="72">
        <v>22413.599999999999</v>
      </c>
      <c r="F112" s="72">
        <v>3234.3</v>
      </c>
      <c r="G112" s="72">
        <v>14.5</v>
      </c>
      <c r="H112" s="72">
        <v>669.4</v>
      </c>
      <c r="I112" s="72">
        <f t="shared" si="13"/>
        <v>267286.09999999998</v>
      </c>
      <c r="J112" s="72">
        <v>115882.1</v>
      </c>
      <c r="K112" s="72">
        <v>8635.4999999999982</v>
      </c>
      <c r="L112" s="72">
        <f t="shared" si="14"/>
        <v>124517.6</v>
      </c>
      <c r="M112" s="72">
        <v>6800</v>
      </c>
      <c r="N112" s="72">
        <v>15658.2</v>
      </c>
      <c r="O112" s="72">
        <v>418096.6</v>
      </c>
      <c r="P112" s="72">
        <v>51954.3</v>
      </c>
      <c r="Q112" s="72">
        <v>7906</v>
      </c>
      <c r="R112" s="72">
        <v>19735.000000000015</v>
      </c>
      <c r="S112" s="72">
        <f t="shared" si="15"/>
        <v>911953.8</v>
      </c>
      <c r="U112" s="76"/>
    </row>
    <row r="113" spans="1:21" s="70" customFormat="1" ht="15" hidden="1" customHeight="1" x14ac:dyDescent="0.2">
      <c r="A113" s="78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U113" s="76"/>
    </row>
    <row r="114" spans="1:21" s="70" customFormat="1" ht="15" hidden="1" customHeight="1" x14ac:dyDescent="0.2">
      <c r="A114" s="78" t="s">
        <v>79</v>
      </c>
      <c r="B114" s="69">
        <v>182477.4</v>
      </c>
      <c r="C114" s="69">
        <v>41549.800000000003</v>
      </c>
      <c r="D114" s="69">
        <v>3714.3</v>
      </c>
      <c r="E114" s="69">
        <v>5031.2</v>
      </c>
      <c r="F114" s="69">
        <v>1475.9</v>
      </c>
      <c r="G114" s="69">
        <v>48.3</v>
      </c>
      <c r="H114" s="69">
        <v>1113.7</v>
      </c>
      <c r="I114" s="69">
        <f t="shared" ref="I114:I125" si="16">SUM(B114:H114)</f>
        <v>235410.6</v>
      </c>
      <c r="J114" s="69">
        <v>153482.9</v>
      </c>
      <c r="K114" s="69">
        <v>8312.1999999999989</v>
      </c>
      <c r="L114" s="69">
        <f t="shared" ref="L114:L125" si="17">SUM(J114:K114)</f>
        <v>161795.1</v>
      </c>
      <c r="M114" s="69" t="s">
        <v>42</v>
      </c>
      <c r="N114" s="69">
        <v>12013.6</v>
      </c>
      <c r="O114" s="69">
        <v>429150.2</v>
      </c>
      <c r="P114" s="69">
        <v>51954.3</v>
      </c>
      <c r="Q114" s="69">
        <v>8993.7999999999993</v>
      </c>
      <c r="R114" s="69">
        <v>12466.4</v>
      </c>
      <c r="S114" s="69">
        <f t="shared" ref="S114:S125" si="18">SUM(I114,L114:O114,R114,P114,Q114)</f>
        <v>911784.00000000012</v>
      </c>
      <c r="U114" s="76"/>
    </row>
    <row r="115" spans="1:21" s="70" customFormat="1" ht="15" hidden="1" customHeight="1" x14ac:dyDescent="0.2">
      <c r="A115" s="78" t="s">
        <v>67</v>
      </c>
      <c r="B115" s="69">
        <v>188192.1</v>
      </c>
      <c r="C115" s="69">
        <v>46670</v>
      </c>
      <c r="D115" s="69">
        <v>2782.2</v>
      </c>
      <c r="E115" s="69">
        <v>11248.3</v>
      </c>
      <c r="F115" s="69">
        <v>6918.6999999999989</v>
      </c>
      <c r="G115" s="69">
        <v>41.8</v>
      </c>
      <c r="H115" s="69">
        <v>415.1</v>
      </c>
      <c r="I115" s="69">
        <f t="shared" si="16"/>
        <v>256268.2</v>
      </c>
      <c r="J115" s="69">
        <v>182101.80000000002</v>
      </c>
      <c r="K115" s="69">
        <v>9581.9999999999982</v>
      </c>
      <c r="L115" s="69">
        <f t="shared" si="17"/>
        <v>191683.80000000002</v>
      </c>
      <c r="M115" s="69" t="s">
        <v>42</v>
      </c>
      <c r="N115" s="69">
        <v>9408</v>
      </c>
      <c r="O115" s="69">
        <v>451586.9</v>
      </c>
      <c r="P115" s="69">
        <v>51954.3</v>
      </c>
      <c r="Q115" s="69">
        <v>14534.400000000001</v>
      </c>
      <c r="R115" s="69">
        <v>12817.4</v>
      </c>
      <c r="S115" s="69">
        <f t="shared" si="18"/>
        <v>988253.00000000012</v>
      </c>
      <c r="U115" s="76"/>
    </row>
    <row r="116" spans="1:21" s="70" customFormat="1" ht="15" hidden="1" customHeight="1" x14ac:dyDescent="0.2">
      <c r="A116" s="78" t="s">
        <v>68</v>
      </c>
      <c r="B116" s="69">
        <v>189178.2</v>
      </c>
      <c r="C116" s="69">
        <v>45758.400000000001</v>
      </c>
      <c r="D116" s="69">
        <v>2115</v>
      </c>
      <c r="E116" s="69">
        <v>9951.2000000000007</v>
      </c>
      <c r="F116" s="69">
        <v>5247.0000000000009</v>
      </c>
      <c r="G116" s="69">
        <v>70.7</v>
      </c>
      <c r="H116" s="69">
        <v>298.60000000000002</v>
      </c>
      <c r="I116" s="69">
        <f t="shared" si="16"/>
        <v>252619.10000000003</v>
      </c>
      <c r="J116" s="69">
        <v>127805.2</v>
      </c>
      <c r="K116" s="69">
        <v>12116.600000000002</v>
      </c>
      <c r="L116" s="69">
        <f t="shared" si="17"/>
        <v>139921.79999999999</v>
      </c>
      <c r="M116" s="69" t="s">
        <v>42</v>
      </c>
      <c r="N116" s="69">
        <v>8762.2000000000007</v>
      </c>
      <c r="O116" s="69">
        <v>407828.7</v>
      </c>
      <c r="P116" s="69">
        <v>51954.3</v>
      </c>
      <c r="Q116" s="69">
        <v>18082</v>
      </c>
      <c r="R116" s="69">
        <v>10925</v>
      </c>
      <c r="S116" s="69">
        <f t="shared" si="18"/>
        <v>890093.10000000009</v>
      </c>
      <c r="U116" s="76"/>
    </row>
    <row r="117" spans="1:21" s="70" customFormat="1" ht="15" hidden="1" customHeight="1" x14ac:dyDescent="0.2">
      <c r="A117" s="78" t="s">
        <v>69</v>
      </c>
      <c r="B117" s="69">
        <v>192574</v>
      </c>
      <c r="C117" s="69">
        <v>53981.2</v>
      </c>
      <c r="D117" s="69">
        <v>3020.3</v>
      </c>
      <c r="E117" s="69">
        <v>1329.9</v>
      </c>
      <c r="F117" s="69">
        <v>7844.6</v>
      </c>
      <c r="G117" s="69">
        <v>43</v>
      </c>
      <c r="H117" s="69">
        <v>760.2</v>
      </c>
      <c r="I117" s="69">
        <f t="shared" si="16"/>
        <v>259553.2</v>
      </c>
      <c r="J117" s="69">
        <v>124352.7</v>
      </c>
      <c r="K117" s="69">
        <v>9775.1</v>
      </c>
      <c r="L117" s="69">
        <f t="shared" si="17"/>
        <v>134127.79999999999</v>
      </c>
      <c r="M117" s="69" t="s">
        <v>42</v>
      </c>
      <c r="N117" s="69">
        <v>8634.1</v>
      </c>
      <c r="O117" s="69">
        <v>405891.2</v>
      </c>
      <c r="P117" s="69">
        <v>62982</v>
      </c>
      <c r="Q117" s="69">
        <v>5719.1</v>
      </c>
      <c r="R117" s="69">
        <v>9107.7000000000007</v>
      </c>
      <c r="S117" s="69">
        <f t="shared" si="18"/>
        <v>886015.1</v>
      </c>
      <c r="U117" s="76"/>
    </row>
    <row r="118" spans="1:21" s="70" customFormat="1" ht="15" hidden="1" customHeight="1" x14ac:dyDescent="0.2">
      <c r="A118" s="78" t="s">
        <v>70</v>
      </c>
      <c r="B118" s="69">
        <v>197918.3</v>
      </c>
      <c r="C118" s="69">
        <v>46750.1</v>
      </c>
      <c r="D118" s="69">
        <v>2696.4</v>
      </c>
      <c r="E118" s="69">
        <v>4135.4000000000005</v>
      </c>
      <c r="F118" s="69">
        <v>7258.8</v>
      </c>
      <c r="G118" s="69">
        <v>140.30000000000001</v>
      </c>
      <c r="H118" s="69">
        <v>373.5</v>
      </c>
      <c r="I118" s="69">
        <f t="shared" si="16"/>
        <v>259272.79999999996</v>
      </c>
      <c r="J118" s="69">
        <v>139544.29999999999</v>
      </c>
      <c r="K118" s="69">
        <v>10014.800000000003</v>
      </c>
      <c r="L118" s="69">
        <f t="shared" si="17"/>
        <v>149559.09999999998</v>
      </c>
      <c r="M118" s="69" t="s">
        <v>42</v>
      </c>
      <c r="N118" s="69">
        <v>5998.5</v>
      </c>
      <c r="O118" s="69">
        <v>399562.69999999995</v>
      </c>
      <c r="P118" s="69">
        <v>62981.7</v>
      </c>
      <c r="Q118" s="69">
        <v>1325.9</v>
      </c>
      <c r="R118" s="69">
        <v>7909.5999999999995</v>
      </c>
      <c r="S118" s="69">
        <f t="shared" si="18"/>
        <v>886610.29999999981</v>
      </c>
      <c r="U118" s="76"/>
    </row>
    <row r="119" spans="1:21" s="70" customFormat="1" ht="15" hidden="1" customHeight="1" x14ac:dyDescent="0.2">
      <c r="A119" s="78" t="s">
        <v>57</v>
      </c>
      <c r="B119" s="69">
        <v>205811.8</v>
      </c>
      <c r="C119" s="69">
        <v>56976.3</v>
      </c>
      <c r="D119" s="69">
        <v>2218.5</v>
      </c>
      <c r="E119" s="69">
        <v>7760.5</v>
      </c>
      <c r="F119" s="69">
        <v>7471.7000000000007</v>
      </c>
      <c r="G119" s="69">
        <v>79.7</v>
      </c>
      <c r="H119" s="69">
        <v>271.5</v>
      </c>
      <c r="I119" s="69">
        <f t="shared" si="16"/>
        <v>280590</v>
      </c>
      <c r="J119" s="69">
        <v>118464.1</v>
      </c>
      <c r="K119" s="69">
        <v>7468.0999999999995</v>
      </c>
      <c r="L119" s="69">
        <f t="shared" si="17"/>
        <v>125932.20000000001</v>
      </c>
      <c r="M119" s="69" t="s">
        <v>42</v>
      </c>
      <c r="N119" s="69">
        <v>3846.6</v>
      </c>
      <c r="O119" s="69">
        <v>370829.69999999995</v>
      </c>
      <c r="P119" s="69">
        <v>62981.7</v>
      </c>
      <c r="Q119" s="69">
        <v>-3424.7</v>
      </c>
      <c r="R119" s="69">
        <v>8142.1</v>
      </c>
      <c r="S119" s="69">
        <f t="shared" si="18"/>
        <v>848897.6</v>
      </c>
      <c r="U119" s="76"/>
    </row>
    <row r="120" spans="1:21" s="70" customFormat="1" ht="15" hidden="1" customHeight="1" x14ac:dyDescent="0.2">
      <c r="A120" s="78" t="s">
        <v>71</v>
      </c>
      <c r="B120" s="69">
        <v>205754.8</v>
      </c>
      <c r="C120" s="69">
        <v>42545.7</v>
      </c>
      <c r="D120" s="69">
        <v>1712.5</v>
      </c>
      <c r="E120" s="69">
        <v>1034.5999999999999</v>
      </c>
      <c r="F120" s="69">
        <v>3739.7000000000003</v>
      </c>
      <c r="G120" s="69">
        <v>57.6</v>
      </c>
      <c r="H120" s="69">
        <v>313.7</v>
      </c>
      <c r="I120" s="69">
        <f t="shared" si="16"/>
        <v>255158.60000000003</v>
      </c>
      <c r="J120" s="69">
        <v>177698.40000000002</v>
      </c>
      <c r="K120" s="69">
        <v>8995.2999999999993</v>
      </c>
      <c r="L120" s="69">
        <f t="shared" si="17"/>
        <v>186693.7</v>
      </c>
      <c r="M120" s="69" t="s">
        <v>42</v>
      </c>
      <c r="N120" s="69">
        <v>3846.6</v>
      </c>
      <c r="O120" s="69">
        <v>371231.19999999995</v>
      </c>
      <c r="P120" s="69">
        <v>62981.7</v>
      </c>
      <c r="Q120" s="69">
        <v>-5328</v>
      </c>
      <c r="R120" s="69">
        <v>7997.4</v>
      </c>
      <c r="S120" s="69">
        <f t="shared" si="18"/>
        <v>882581.2</v>
      </c>
      <c r="U120" s="76"/>
    </row>
    <row r="121" spans="1:21" s="70" customFormat="1" ht="15" hidden="1" customHeight="1" x14ac:dyDescent="0.2">
      <c r="A121" s="78" t="s">
        <v>72</v>
      </c>
      <c r="B121" s="69">
        <v>207966.5</v>
      </c>
      <c r="C121" s="69">
        <v>65307.6</v>
      </c>
      <c r="D121" s="69">
        <v>2783.3</v>
      </c>
      <c r="E121" s="69">
        <v>4962.2000000000007</v>
      </c>
      <c r="F121" s="69">
        <v>7575.4</v>
      </c>
      <c r="G121" s="69">
        <v>52.2</v>
      </c>
      <c r="H121" s="69">
        <v>218.9</v>
      </c>
      <c r="I121" s="69">
        <f t="shared" si="16"/>
        <v>288866.10000000003</v>
      </c>
      <c r="J121" s="69">
        <v>132464.29999999999</v>
      </c>
      <c r="K121" s="69">
        <v>11129.4</v>
      </c>
      <c r="L121" s="69">
        <f t="shared" si="17"/>
        <v>143593.69999999998</v>
      </c>
      <c r="M121" s="69" t="s">
        <v>42</v>
      </c>
      <c r="N121" s="69">
        <v>4059.5</v>
      </c>
      <c r="O121" s="69">
        <v>366147.9</v>
      </c>
      <c r="P121" s="69">
        <v>62981.7</v>
      </c>
      <c r="Q121" s="69">
        <v>-6995.2</v>
      </c>
      <c r="R121" s="69">
        <v>8018.7</v>
      </c>
      <c r="S121" s="69">
        <f t="shared" si="18"/>
        <v>866672.4</v>
      </c>
      <c r="U121" s="76"/>
    </row>
    <row r="122" spans="1:21" s="76" customFormat="1" ht="15" hidden="1" customHeight="1" x14ac:dyDescent="0.2">
      <c r="A122" s="78" t="s">
        <v>58</v>
      </c>
      <c r="B122" s="75">
        <v>201031</v>
      </c>
      <c r="C122" s="75">
        <v>65670.899999999994</v>
      </c>
      <c r="D122" s="75">
        <v>4193</v>
      </c>
      <c r="E122" s="75">
        <v>1516.7</v>
      </c>
      <c r="F122" s="75">
        <v>4666.1000000000004</v>
      </c>
      <c r="G122" s="75">
        <v>54.7</v>
      </c>
      <c r="H122" s="75">
        <v>280.2</v>
      </c>
      <c r="I122" s="75">
        <f t="shared" si="16"/>
        <v>277412.60000000003</v>
      </c>
      <c r="J122" s="75">
        <v>140502.5</v>
      </c>
      <c r="K122" s="75">
        <v>13394.6</v>
      </c>
      <c r="L122" s="75">
        <f t="shared" si="17"/>
        <v>153897.1</v>
      </c>
      <c r="M122" s="75" t="s">
        <v>42</v>
      </c>
      <c r="N122" s="75">
        <v>3616.6</v>
      </c>
      <c r="O122" s="75">
        <v>380943.4</v>
      </c>
      <c r="P122" s="75">
        <v>62981.7</v>
      </c>
      <c r="Q122" s="75">
        <v>-7091.6</v>
      </c>
      <c r="R122" s="75">
        <v>8182.5999999999995</v>
      </c>
      <c r="S122" s="75">
        <f t="shared" si="18"/>
        <v>879942.4</v>
      </c>
      <c r="T122" s="70"/>
    </row>
    <row r="123" spans="1:21" s="76" customFormat="1" ht="15" hidden="1" customHeight="1" x14ac:dyDescent="0.2">
      <c r="A123" s="78" t="s">
        <v>73</v>
      </c>
      <c r="B123" s="75">
        <v>202480.1</v>
      </c>
      <c r="C123" s="75">
        <v>63902</v>
      </c>
      <c r="D123" s="75">
        <v>3120.3999999999996</v>
      </c>
      <c r="E123" s="75">
        <v>14280.7</v>
      </c>
      <c r="F123" s="75">
        <v>4807.3999999999996</v>
      </c>
      <c r="G123" s="75">
        <v>67.5</v>
      </c>
      <c r="H123" s="75">
        <v>563.79999999999995</v>
      </c>
      <c r="I123" s="75">
        <f t="shared" si="16"/>
        <v>289221.90000000002</v>
      </c>
      <c r="J123" s="75">
        <v>157765.70000000001</v>
      </c>
      <c r="K123" s="75">
        <v>11185.099999999999</v>
      </c>
      <c r="L123" s="75">
        <f t="shared" si="17"/>
        <v>168950.80000000002</v>
      </c>
      <c r="M123" s="75" t="s">
        <v>42</v>
      </c>
      <c r="N123" s="75">
        <v>3527.8</v>
      </c>
      <c r="O123" s="75">
        <v>382194.3</v>
      </c>
      <c r="P123" s="75">
        <v>62981.7</v>
      </c>
      <c r="Q123" s="75">
        <v>-8333.2000000000007</v>
      </c>
      <c r="R123" s="75">
        <v>10430.4</v>
      </c>
      <c r="S123" s="75">
        <f t="shared" si="18"/>
        <v>908973.70000000007</v>
      </c>
      <c r="T123" s="70"/>
    </row>
    <row r="124" spans="1:21" s="76" customFormat="1" ht="15" hidden="1" customHeight="1" x14ac:dyDescent="0.2">
      <c r="A124" s="78" t="s">
        <v>74</v>
      </c>
      <c r="B124" s="75">
        <v>205821.3</v>
      </c>
      <c r="C124" s="75">
        <v>68293.7</v>
      </c>
      <c r="D124" s="75">
        <v>2717.5</v>
      </c>
      <c r="E124" s="75">
        <v>4330</v>
      </c>
      <c r="F124" s="75">
        <v>5401.4999999999991</v>
      </c>
      <c r="G124" s="75">
        <v>104.6</v>
      </c>
      <c r="H124" s="75">
        <v>723.9</v>
      </c>
      <c r="I124" s="75">
        <f t="shared" si="16"/>
        <v>287392.5</v>
      </c>
      <c r="J124" s="75">
        <v>154764.9</v>
      </c>
      <c r="K124" s="75">
        <v>14064.599999999999</v>
      </c>
      <c r="L124" s="75">
        <f t="shared" si="17"/>
        <v>168829.5</v>
      </c>
      <c r="M124" s="75" t="s">
        <v>42</v>
      </c>
      <c r="N124" s="75">
        <v>6643.5</v>
      </c>
      <c r="O124" s="75">
        <v>380221.19999999995</v>
      </c>
      <c r="P124" s="75">
        <v>62981.7</v>
      </c>
      <c r="Q124" s="75">
        <v>-9920.7999999999993</v>
      </c>
      <c r="R124" s="75">
        <v>8132.8</v>
      </c>
      <c r="S124" s="75">
        <f t="shared" si="18"/>
        <v>904280.39999999991</v>
      </c>
      <c r="T124" s="70"/>
    </row>
    <row r="125" spans="1:21" s="76" customFormat="1" ht="15" hidden="1" customHeight="1" x14ac:dyDescent="0.2">
      <c r="A125" s="78" t="s">
        <v>59</v>
      </c>
      <c r="B125" s="75">
        <v>211683.7</v>
      </c>
      <c r="C125" s="75">
        <v>82710.8</v>
      </c>
      <c r="D125" s="75">
        <v>2674</v>
      </c>
      <c r="E125" s="75">
        <v>5135.8</v>
      </c>
      <c r="F125" s="75">
        <v>3566.2</v>
      </c>
      <c r="G125" s="75">
        <v>28</v>
      </c>
      <c r="H125" s="75">
        <v>787.6</v>
      </c>
      <c r="I125" s="75">
        <f t="shared" si="16"/>
        <v>306586.09999999998</v>
      </c>
      <c r="J125" s="75">
        <v>152366.70000000001</v>
      </c>
      <c r="K125" s="75">
        <v>14733.599999999997</v>
      </c>
      <c r="L125" s="75">
        <f t="shared" si="17"/>
        <v>167100.30000000002</v>
      </c>
      <c r="M125" s="75" t="s">
        <v>42</v>
      </c>
      <c r="N125" s="75">
        <v>7533</v>
      </c>
      <c r="O125" s="75">
        <v>383189.69999999995</v>
      </c>
      <c r="P125" s="75">
        <v>62981.7</v>
      </c>
      <c r="Q125" s="75">
        <v>-13851.5</v>
      </c>
      <c r="R125" s="75">
        <v>10207.700000000001</v>
      </c>
      <c r="S125" s="75">
        <f t="shared" si="18"/>
        <v>923746.99999999988</v>
      </c>
      <c r="T125" s="70"/>
    </row>
    <row r="126" spans="1:21" s="76" customFormat="1" ht="15" hidden="1" customHeight="1" x14ac:dyDescent="0.2">
      <c r="A126" s="82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0"/>
    </row>
    <row r="127" spans="1:21" s="76" customFormat="1" ht="15" hidden="1" customHeight="1" x14ac:dyDescent="0.2">
      <c r="A127" s="78" t="s">
        <v>80</v>
      </c>
      <c r="B127" s="75">
        <v>202030.1</v>
      </c>
      <c r="C127" s="75">
        <v>63490.3</v>
      </c>
      <c r="D127" s="75">
        <v>2260.1999999999998</v>
      </c>
      <c r="E127" s="75">
        <v>957</v>
      </c>
      <c r="F127" s="75">
        <v>2464.6999999999998</v>
      </c>
      <c r="G127" s="75">
        <v>33.9</v>
      </c>
      <c r="H127" s="75">
        <v>1652.3</v>
      </c>
      <c r="I127" s="75">
        <f>SUM(B127:H127)</f>
        <v>272888.50000000006</v>
      </c>
      <c r="J127" s="75">
        <v>172496.40000000002</v>
      </c>
      <c r="K127" s="75">
        <v>13216.800000000001</v>
      </c>
      <c r="L127" s="75">
        <f>SUM(J127:K127)</f>
        <v>185713.2</v>
      </c>
      <c r="M127" s="75" t="s">
        <v>42</v>
      </c>
      <c r="N127" s="75">
        <v>10044</v>
      </c>
      <c r="O127" s="75">
        <v>374224.5</v>
      </c>
      <c r="P127" s="75">
        <v>62981.7</v>
      </c>
      <c r="Q127" s="75">
        <v>-14103.1</v>
      </c>
      <c r="R127" s="75">
        <v>8292.8000000000011</v>
      </c>
      <c r="S127" s="75">
        <f t="shared" ref="S127:S138" si="19">SUM(I127,L127:O127,R127,P127,Q127)</f>
        <v>900041.60000000009</v>
      </c>
      <c r="T127" s="70"/>
    </row>
    <row r="128" spans="1:21" s="76" customFormat="1" ht="15" hidden="1" customHeight="1" x14ac:dyDescent="0.2">
      <c r="A128" s="78" t="s">
        <v>67</v>
      </c>
      <c r="B128" s="75">
        <v>199255.9</v>
      </c>
      <c r="C128" s="75">
        <v>59022.7</v>
      </c>
      <c r="D128" s="75">
        <v>2097</v>
      </c>
      <c r="E128" s="75">
        <v>2284.6999999999998</v>
      </c>
      <c r="F128" s="75">
        <v>2938.3</v>
      </c>
      <c r="G128" s="75">
        <v>32.299999999999997</v>
      </c>
      <c r="H128" s="75">
        <v>613</v>
      </c>
      <c r="I128" s="75">
        <f t="shared" ref="I128:I133" si="20">SUM(B128:H128)</f>
        <v>266243.89999999997</v>
      </c>
      <c r="J128" s="75">
        <v>167665</v>
      </c>
      <c r="K128" s="75">
        <v>14149.8</v>
      </c>
      <c r="L128" s="75">
        <f t="shared" ref="L128:L133" si="21">SUM(J128:K128)</f>
        <v>181814.8</v>
      </c>
      <c r="M128" s="75" t="s">
        <v>42</v>
      </c>
      <c r="N128" s="75">
        <v>9270.7000000000007</v>
      </c>
      <c r="O128" s="75">
        <v>385806.2</v>
      </c>
      <c r="P128" s="75">
        <v>62981.7</v>
      </c>
      <c r="Q128" s="75">
        <v>-13312</v>
      </c>
      <c r="R128" s="75">
        <f>1240.9+8347.8</f>
        <v>9588.6999999999989</v>
      </c>
      <c r="S128" s="75">
        <f t="shared" si="19"/>
        <v>902393.99999999988</v>
      </c>
      <c r="T128" s="70"/>
    </row>
    <row r="129" spans="1:20" s="76" customFormat="1" ht="15" hidden="1" customHeight="1" x14ac:dyDescent="0.2">
      <c r="A129" s="78" t="s">
        <v>68</v>
      </c>
      <c r="B129" s="75">
        <v>201300.8</v>
      </c>
      <c r="C129" s="75">
        <v>70896.399999999994</v>
      </c>
      <c r="D129" s="75">
        <v>1135.9000000000001</v>
      </c>
      <c r="E129" s="75">
        <v>426.9</v>
      </c>
      <c r="F129" s="75">
        <v>1041.5</v>
      </c>
      <c r="G129" s="75">
        <v>24.6</v>
      </c>
      <c r="H129" s="75">
        <v>1373.4</v>
      </c>
      <c r="I129" s="75">
        <f t="shared" si="20"/>
        <v>276199.5</v>
      </c>
      <c r="J129" s="75">
        <v>151558.6</v>
      </c>
      <c r="K129" s="75">
        <v>9517.2999999999993</v>
      </c>
      <c r="L129" s="75">
        <f t="shared" si="21"/>
        <v>161075.9</v>
      </c>
      <c r="M129" s="75">
        <v>27200</v>
      </c>
      <c r="N129" s="75">
        <v>6602.2</v>
      </c>
      <c r="O129" s="75">
        <v>396544.3</v>
      </c>
      <c r="P129" s="75">
        <v>62981.7</v>
      </c>
      <c r="Q129" s="75">
        <v>-13903.7</v>
      </c>
      <c r="R129" s="75">
        <f>1098+8346.4+7.5</f>
        <v>9451.9</v>
      </c>
      <c r="S129" s="75">
        <f t="shared" si="19"/>
        <v>926151.8</v>
      </c>
      <c r="T129" s="70"/>
    </row>
    <row r="130" spans="1:20" s="76" customFormat="1" ht="15" hidden="1" customHeight="1" x14ac:dyDescent="0.2">
      <c r="A130" s="78" t="s">
        <v>69</v>
      </c>
      <c r="B130" s="75">
        <v>208491.1</v>
      </c>
      <c r="C130" s="75">
        <v>88908.1</v>
      </c>
      <c r="D130" s="75">
        <v>1749.2</v>
      </c>
      <c r="E130" s="75">
        <v>1280.0999999999999</v>
      </c>
      <c r="F130" s="75">
        <v>3119.1</v>
      </c>
      <c r="G130" s="75">
        <v>29.9</v>
      </c>
      <c r="H130" s="75">
        <v>3474.7</v>
      </c>
      <c r="I130" s="75">
        <f t="shared" si="20"/>
        <v>307052.2</v>
      </c>
      <c r="J130" s="75">
        <v>154586</v>
      </c>
      <c r="K130" s="75">
        <v>9327.7000000000007</v>
      </c>
      <c r="L130" s="75">
        <f t="shared" si="21"/>
        <v>163913.70000000001</v>
      </c>
      <c r="M130" s="75" t="s">
        <v>42</v>
      </c>
      <c r="N130" s="75">
        <v>6404.9</v>
      </c>
      <c r="O130" s="75">
        <v>398474</v>
      </c>
      <c r="P130" s="75">
        <v>78783.3</v>
      </c>
      <c r="Q130" s="75">
        <v>800</v>
      </c>
      <c r="R130" s="75">
        <f>1060.8+8334.8+4.7</f>
        <v>9400.2999999999993</v>
      </c>
      <c r="S130" s="75">
        <f t="shared" si="19"/>
        <v>964828.40000000014</v>
      </c>
      <c r="T130" s="70"/>
    </row>
    <row r="131" spans="1:20" s="76" customFormat="1" ht="15" hidden="1" customHeight="1" x14ac:dyDescent="0.2">
      <c r="A131" s="78" t="s">
        <v>70</v>
      </c>
      <c r="B131" s="75">
        <v>217664.2</v>
      </c>
      <c r="C131" s="75">
        <v>94855.4</v>
      </c>
      <c r="D131" s="75">
        <v>2191.3000000000002</v>
      </c>
      <c r="E131" s="75">
        <v>297.8</v>
      </c>
      <c r="F131" s="75">
        <v>1750.3</v>
      </c>
      <c r="G131" s="75">
        <v>45</v>
      </c>
      <c r="H131" s="75">
        <v>1633.4</v>
      </c>
      <c r="I131" s="75">
        <f t="shared" si="20"/>
        <v>318437.39999999997</v>
      </c>
      <c r="J131" s="75">
        <v>137527.9</v>
      </c>
      <c r="K131" s="75">
        <v>5877.3</v>
      </c>
      <c r="L131" s="75">
        <f t="shared" si="21"/>
        <v>143405.19999999998</v>
      </c>
      <c r="M131" s="75" t="s">
        <v>42</v>
      </c>
      <c r="N131" s="75">
        <v>5114.3</v>
      </c>
      <c r="O131" s="75">
        <v>396516</v>
      </c>
      <c r="P131" s="75">
        <v>78783.3</v>
      </c>
      <c r="Q131" s="75">
        <v>3446.2</v>
      </c>
      <c r="R131" s="75">
        <f>1028.6+8275.1+3.5</f>
        <v>9307.2000000000007</v>
      </c>
      <c r="S131" s="75">
        <f t="shared" si="19"/>
        <v>955009.59999999986</v>
      </c>
      <c r="T131" s="70"/>
    </row>
    <row r="132" spans="1:20" s="76" customFormat="1" ht="15" hidden="1" customHeight="1" x14ac:dyDescent="0.2">
      <c r="A132" s="78" t="s">
        <v>57</v>
      </c>
      <c r="B132" s="75">
        <v>223781.8</v>
      </c>
      <c r="C132" s="75">
        <v>100650</v>
      </c>
      <c r="D132" s="75">
        <v>1303.5</v>
      </c>
      <c r="E132" s="75">
        <v>1428.4</v>
      </c>
      <c r="F132" s="75">
        <v>6385</v>
      </c>
      <c r="G132" s="75">
        <v>20.2</v>
      </c>
      <c r="H132" s="75">
        <v>1329.6</v>
      </c>
      <c r="I132" s="75">
        <f t="shared" si="20"/>
        <v>334898.5</v>
      </c>
      <c r="J132" s="75">
        <v>142792.20000000001</v>
      </c>
      <c r="K132" s="75">
        <v>8597.5</v>
      </c>
      <c r="L132" s="75">
        <f t="shared" si="21"/>
        <v>151389.70000000001</v>
      </c>
      <c r="M132" s="75" t="s">
        <v>42</v>
      </c>
      <c r="N132" s="75">
        <v>2743.8</v>
      </c>
      <c r="O132" s="75">
        <v>397532.8</v>
      </c>
      <c r="P132" s="75">
        <v>78783.3</v>
      </c>
      <c r="Q132" s="75">
        <v>2716.3</v>
      </c>
      <c r="R132" s="75">
        <f>1057.4+8115.5+3615.5</f>
        <v>12788.4</v>
      </c>
      <c r="S132" s="75">
        <f t="shared" si="19"/>
        <v>980852.80000000016</v>
      </c>
      <c r="T132" s="70"/>
    </row>
    <row r="133" spans="1:20" s="76" customFormat="1" ht="15" hidden="1" customHeight="1" x14ac:dyDescent="0.2">
      <c r="A133" s="78" t="s">
        <v>71</v>
      </c>
      <c r="B133" s="75">
        <v>239726</v>
      </c>
      <c r="C133" s="75">
        <v>85589</v>
      </c>
      <c r="D133" s="75">
        <v>1871.9</v>
      </c>
      <c r="E133" s="75">
        <v>5114.6000000000004</v>
      </c>
      <c r="F133" s="75">
        <v>6762.7</v>
      </c>
      <c r="G133" s="75">
        <v>16.100000000000001</v>
      </c>
      <c r="H133" s="75">
        <v>3757.8</v>
      </c>
      <c r="I133" s="75">
        <f t="shared" si="20"/>
        <v>342838.1</v>
      </c>
      <c r="J133" s="75">
        <v>138095.29999999999</v>
      </c>
      <c r="K133" s="75">
        <v>7698.4</v>
      </c>
      <c r="L133" s="75">
        <f t="shared" si="21"/>
        <v>145793.69999999998</v>
      </c>
      <c r="M133" s="75" t="s">
        <v>42</v>
      </c>
      <c r="N133" s="75">
        <v>9700.7000000000007</v>
      </c>
      <c r="O133" s="75">
        <v>385996.79999999999</v>
      </c>
      <c r="P133" s="75">
        <v>78783.3</v>
      </c>
      <c r="Q133" s="75">
        <v>2458.5</v>
      </c>
      <c r="R133" s="75">
        <f>1203.3+7690.8+2.3</f>
        <v>8896.4</v>
      </c>
      <c r="S133" s="75">
        <f t="shared" si="19"/>
        <v>974467.5</v>
      </c>
      <c r="T133" s="70"/>
    </row>
    <row r="134" spans="1:20" s="76" customFormat="1" ht="15" hidden="1" customHeight="1" x14ac:dyDescent="0.2">
      <c r="A134" s="78" t="s">
        <v>72</v>
      </c>
      <c r="B134" s="75">
        <v>234022.8</v>
      </c>
      <c r="C134" s="75">
        <v>93988.4</v>
      </c>
      <c r="D134" s="75">
        <v>1591.3</v>
      </c>
      <c r="E134" s="75">
        <v>622.79999999999995</v>
      </c>
      <c r="F134" s="75">
        <v>2898.3</v>
      </c>
      <c r="G134" s="75">
        <v>44.9</v>
      </c>
      <c r="H134" s="75">
        <v>4866.3</v>
      </c>
      <c r="I134" s="75">
        <f>SUM(B134:H134)</f>
        <v>338034.79999999993</v>
      </c>
      <c r="J134" s="75">
        <v>137255.5</v>
      </c>
      <c r="K134" s="75">
        <v>13616.9</v>
      </c>
      <c r="L134" s="75">
        <f>SUM(J134:K134)</f>
        <v>150872.4</v>
      </c>
      <c r="M134" s="75" t="s">
        <v>42</v>
      </c>
      <c r="N134" s="75">
        <v>9573.7999999999993</v>
      </c>
      <c r="O134" s="75">
        <v>379199.7</v>
      </c>
      <c r="P134" s="75">
        <v>78783.3</v>
      </c>
      <c r="Q134" s="75">
        <v>4721.2</v>
      </c>
      <c r="R134" s="75">
        <f>940.7+7960.5+1.6</f>
        <v>8902.8000000000011</v>
      </c>
      <c r="S134" s="75">
        <f t="shared" si="19"/>
        <v>970088</v>
      </c>
      <c r="T134" s="70"/>
    </row>
    <row r="135" spans="1:20" s="76" customFormat="1" ht="15" hidden="1" customHeight="1" x14ac:dyDescent="0.2">
      <c r="A135" s="78" t="s">
        <v>58</v>
      </c>
      <c r="B135" s="75">
        <v>222708</v>
      </c>
      <c r="C135" s="75">
        <v>80783.100000000006</v>
      </c>
      <c r="D135" s="75">
        <v>2407.5</v>
      </c>
      <c r="E135" s="75">
        <v>631.5</v>
      </c>
      <c r="F135" s="75">
        <v>2153.6</v>
      </c>
      <c r="G135" s="75">
        <v>23.3</v>
      </c>
      <c r="H135" s="75">
        <v>969.1</v>
      </c>
      <c r="I135" s="75">
        <f>SUM(B135:H135)</f>
        <v>309676.09999999992</v>
      </c>
      <c r="J135" s="75">
        <v>210768.8</v>
      </c>
      <c r="K135" s="75">
        <v>15246.7</v>
      </c>
      <c r="L135" s="75">
        <f>SUM(J135:K135)</f>
        <v>226015.5</v>
      </c>
      <c r="M135" s="75" t="s">
        <v>42</v>
      </c>
      <c r="N135" s="75">
        <v>8443.4</v>
      </c>
      <c r="O135" s="75">
        <v>382067.5</v>
      </c>
      <c r="P135" s="75">
        <v>78783.3</v>
      </c>
      <c r="Q135" s="75">
        <v>4209.8999999999996</v>
      </c>
      <c r="R135" s="75">
        <f>1055.6+7861.1+4.1</f>
        <v>8920.8000000000011</v>
      </c>
      <c r="S135" s="75">
        <f t="shared" si="19"/>
        <v>1018116.5</v>
      </c>
      <c r="T135" s="70"/>
    </row>
    <row r="136" spans="1:20" s="76" customFormat="1" ht="15" hidden="1" customHeight="1" x14ac:dyDescent="0.2">
      <c r="A136" s="78" t="s">
        <v>73</v>
      </c>
      <c r="B136" s="75">
        <v>222327.4</v>
      </c>
      <c r="C136" s="75">
        <v>134377.79999999999</v>
      </c>
      <c r="D136" s="75">
        <v>2382.1999999999998</v>
      </c>
      <c r="E136" s="75">
        <v>5301.7</v>
      </c>
      <c r="F136" s="75">
        <v>5743.4</v>
      </c>
      <c r="G136" s="75">
        <v>39.299999999999997</v>
      </c>
      <c r="H136" s="75">
        <v>174.2</v>
      </c>
      <c r="I136" s="75">
        <f>SUM(B136:H136)</f>
        <v>370346</v>
      </c>
      <c r="J136" s="75">
        <v>186852.3</v>
      </c>
      <c r="K136" s="75">
        <v>17798.599999999999</v>
      </c>
      <c r="L136" s="75">
        <f>SUM(J136:K136)</f>
        <v>204650.9</v>
      </c>
      <c r="M136" s="75" t="s">
        <v>42</v>
      </c>
      <c r="N136" s="75">
        <v>9452.2000000000007</v>
      </c>
      <c r="O136" s="75">
        <v>380171.5</v>
      </c>
      <c r="P136" s="75">
        <v>78783.3</v>
      </c>
      <c r="Q136" s="75">
        <v>8619.5</v>
      </c>
      <c r="R136" s="75">
        <f>1157.5+7920+2.2</f>
        <v>9079.7000000000007</v>
      </c>
      <c r="S136" s="75">
        <f t="shared" si="19"/>
        <v>1061103.0999999999</v>
      </c>
      <c r="T136" s="70"/>
    </row>
    <row r="137" spans="1:20" s="76" customFormat="1" ht="15" hidden="1" customHeight="1" x14ac:dyDescent="0.2">
      <c r="A137" s="78" t="s">
        <v>74</v>
      </c>
      <c r="B137" s="75">
        <v>219197.7</v>
      </c>
      <c r="C137" s="75">
        <v>105839.2</v>
      </c>
      <c r="D137" s="75">
        <v>1576.2</v>
      </c>
      <c r="E137" s="75">
        <v>910.9</v>
      </c>
      <c r="F137" s="75">
        <v>1671.9</v>
      </c>
      <c r="G137" s="75">
        <v>10.8</v>
      </c>
      <c r="H137" s="75">
        <v>1629</v>
      </c>
      <c r="I137" s="75">
        <f>SUM(B137:H137)</f>
        <v>330835.70000000007</v>
      </c>
      <c r="J137" s="75">
        <v>184862.5</v>
      </c>
      <c r="K137" s="75">
        <v>21913.1</v>
      </c>
      <c r="L137" s="75">
        <f>SUM(J137:K137)</f>
        <v>206775.6</v>
      </c>
      <c r="M137" s="75" t="s">
        <v>42</v>
      </c>
      <c r="N137" s="75">
        <v>9053</v>
      </c>
      <c r="O137" s="75">
        <v>376171.7</v>
      </c>
      <c r="P137" s="75">
        <v>78783.3</v>
      </c>
      <c r="Q137" s="75">
        <v>10345.200000000001</v>
      </c>
      <c r="R137" s="75">
        <f>1071.6+7946.1+1.1</f>
        <v>9018.8000000000011</v>
      </c>
      <c r="S137" s="75">
        <f t="shared" si="19"/>
        <v>1020983.3</v>
      </c>
      <c r="T137" s="70"/>
    </row>
    <row r="138" spans="1:20" s="76" customFormat="1" ht="15" hidden="1" customHeight="1" x14ac:dyDescent="0.2">
      <c r="A138" s="78" t="s">
        <v>59</v>
      </c>
      <c r="B138" s="75">
        <v>227340.9</v>
      </c>
      <c r="C138" s="75">
        <v>120095.4</v>
      </c>
      <c r="D138" s="75">
        <v>1624.7</v>
      </c>
      <c r="E138" s="75">
        <v>1035.0999999999999</v>
      </c>
      <c r="F138" s="75">
        <v>3555.9</v>
      </c>
      <c r="G138" s="75">
        <v>22.9</v>
      </c>
      <c r="H138" s="75">
        <v>1326.1</v>
      </c>
      <c r="I138" s="75">
        <f>SUM(B138:H138)</f>
        <v>355001</v>
      </c>
      <c r="J138" s="75">
        <v>170878.6</v>
      </c>
      <c r="K138" s="75">
        <v>13593.9</v>
      </c>
      <c r="L138" s="75">
        <f>SUM(J138:K138)</f>
        <v>184472.5</v>
      </c>
      <c r="M138" s="75" t="s">
        <v>42</v>
      </c>
      <c r="N138" s="75">
        <v>9222.6</v>
      </c>
      <c r="O138" s="75">
        <v>372538.8</v>
      </c>
      <c r="P138" s="75">
        <v>82125.3</v>
      </c>
      <c r="Q138" s="75">
        <v>8152.8</v>
      </c>
      <c r="R138" s="75">
        <f>1064.1+10111.9+5977.7</f>
        <v>17153.7</v>
      </c>
      <c r="S138" s="75">
        <f t="shared" si="19"/>
        <v>1028666.7</v>
      </c>
      <c r="T138" s="70"/>
    </row>
    <row r="139" spans="1:20" s="76" customFormat="1" ht="15" hidden="1" customHeight="1" x14ac:dyDescent="0.2">
      <c r="A139" s="78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0"/>
    </row>
    <row r="140" spans="1:20" s="76" customFormat="1" ht="15" hidden="1" customHeight="1" x14ac:dyDescent="0.2">
      <c r="A140" s="78" t="s">
        <v>81</v>
      </c>
      <c r="B140" s="75">
        <v>221881.2</v>
      </c>
      <c r="C140" s="75">
        <v>90284</v>
      </c>
      <c r="D140" s="75">
        <v>1251.9000000000001</v>
      </c>
      <c r="E140" s="75">
        <v>1412.8</v>
      </c>
      <c r="F140" s="75">
        <v>2661.8</v>
      </c>
      <c r="G140" s="75">
        <v>11.2</v>
      </c>
      <c r="H140" s="75">
        <v>309.5</v>
      </c>
      <c r="I140" s="75">
        <f t="shared" ref="I140:I151" si="22">SUM(B140:H140)</f>
        <v>317812.40000000002</v>
      </c>
      <c r="J140" s="75">
        <v>183213.4</v>
      </c>
      <c r="K140" s="75">
        <v>12820.3</v>
      </c>
      <c r="L140" s="75">
        <f t="shared" ref="L140:L151" si="23">SUM(J140:K140)</f>
        <v>196033.69999999998</v>
      </c>
      <c r="M140" s="75" t="s">
        <v>42</v>
      </c>
      <c r="N140" s="75">
        <v>10502.8</v>
      </c>
      <c r="O140" s="75">
        <v>357331.8</v>
      </c>
      <c r="P140" s="75">
        <v>82125.3</v>
      </c>
      <c r="Q140" s="75">
        <v>11229.7</v>
      </c>
      <c r="R140" s="75">
        <f>1109.7+6687.8+0.8</f>
        <v>7798.3</v>
      </c>
      <c r="S140" s="75">
        <f t="shared" ref="S140:S151" si="24">SUM(I140,L140:O140,R140,P140,Q140)</f>
        <v>982834</v>
      </c>
      <c r="T140" s="70"/>
    </row>
    <row r="141" spans="1:20" s="76" customFormat="1" ht="15" hidden="1" customHeight="1" x14ac:dyDescent="0.2">
      <c r="A141" s="78" t="s">
        <v>82</v>
      </c>
      <c r="B141" s="75">
        <v>223869.8</v>
      </c>
      <c r="C141" s="75">
        <v>128772</v>
      </c>
      <c r="D141" s="75">
        <v>2667.8</v>
      </c>
      <c r="E141" s="75">
        <v>1446.5</v>
      </c>
      <c r="F141" s="75">
        <v>4150.5</v>
      </c>
      <c r="G141" s="75">
        <v>29.4</v>
      </c>
      <c r="H141" s="75">
        <v>410.4</v>
      </c>
      <c r="I141" s="75">
        <f t="shared" si="22"/>
        <v>361346.4</v>
      </c>
      <c r="J141" s="75">
        <v>180351.7</v>
      </c>
      <c r="K141" s="75">
        <v>15679.5</v>
      </c>
      <c r="L141" s="75">
        <f t="shared" si="23"/>
        <v>196031.2</v>
      </c>
      <c r="M141" s="75" t="s">
        <v>42</v>
      </c>
      <c r="N141" s="75">
        <v>10301.6</v>
      </c>
      <c r="O141" s="75">
        <v>354020.7</v>
      </c>
      <c r="P141" s="75">
        <v>82192</v>
      </c>
      <c r="Q141" s="75">
        <v>10806.9</v>
      </c>
      <c r="R141" s="75">
        <f>1045.4+7527.8+1.2</f>
        <v>8574.4000000000015</v>
      </c>
      <c r="S141" s="75">
        <f t="shared" si="24"/>
        <v>1023273.2000000002</v>
      </c>
      <c r="T141" s="70"/>
    </row>
    <row r="142" spans="1:20" s="76" customFormat="1" ht="15" hidden="1" customHeight="1" x14ac:dyDescent="0.2">
      <c r="A142" s="78" t="s">
        <v>56</v>
      </c>
      <c r="B142" s="75">
        <v>223176.6</v>
      </c>
      <c r="C142" s="75">
        <v>71767.600000000006</v>
      </c>
      <c r="D142" s="75">
        <v>1878.3</v>
      </c>
      <c r="E142" s="75">
        <v>1593.8</v>
      </c>
      <c r="F142" s="75">
        <v>4089.8</v>
      </c>
      <c r="G142" s="75">
        <v>47.4</v>
      </c>
      <c r="H142" s="75">
        <v>243.7</v>
      </c>
      <c r="I142" s="75">
        <f t="shared" si="22"/>
        <v>302797.2</v>
      </c>
      <c r="J142" s="75">
        <v>177861.5</v>
      </c>
      <c r="K142" s="75">
        <v>18845.099999999999</v>
      </c>
      <c r="L142" s="75">
        <f t="shared" si="23"/>
        <v>196706.6</v>
      </c>
      <c r="M142" s="75" t="s">
        <v>42</v>
      </c>
      <c r="N142" s="75">
        <v>10123.6</v>
      </c>
      <c r="O142" s="75">
        <v>356984.6</v>
      </c>
      <c r="P142" s="75">
        <v>82192</v>
      </c>
      <c r="Q142" s="75">
        <v>13545.7</v>
      </c>
      <c r="R142" s="75">
        <f>1091.7+7442.4+6.9</f>
        <v>8541</v>
      </c>
      <c r="S142" s="75">
        <f t="shared" si="24"/>
        <v>970890.7</v>
      </c>
      <c r="T142" s="70"/>
    </row>
    <row r="143" spans="1:20" s="76" customFormat="1" ht="15" hidden="1" customHeight="1" x14ac:dyDescent="0.2">
      <c r="A143" s="78" t="s">
        <v>83</v>
      </c>
      <c r="B143" s="75">
        <v>238022.8</v>
      </c>
      <c r="C143" s="75">
        <v>72697.2</v>
      </c>
      <c r="D143" s="75">
        <v>1431.1</v>
      </c>
      <c r="E143" s="75">
        <v>3120.4</v>
      </c>
      <c r="F143" s="75">
        <v>4725.5</v>
      </c>
      <c r="G143" s="75">
        <v>18.399999999999999</v>
      </c>
      <c r="H143" s="75">
        <v>403.8</v>
      </c>
      <c r="I143" s="75">
        <f t="shared" si="22"/>
        <v>320419.20000000001</v>
      </c>
      <c r="J143" s="75">
        <v>182040</v>
      </c>
      <c r="K143" s="75">
        <v>16782.099999999999</v>
      </c>
      <c r="L143" s="75">
        <f t="shared" si="23"/>
        <v>198822.1</v>
      </c>
      <c r="M143" s="75" t="s">
        <v>42</v>
      </c>
      <c r="N143" s="75">
        <v>9306.4</v>
      </c>
      <c r="O143" s="75">
        <v>360084.5</v>
      </c>
      <c r="P143" s="75">
        <v>87845.1</v>
      </c>
      <c r="Q143" s="75">
        <v>5028.8999999999996</v>
      </c>
      <c r="R143" s="75">
        <f>1124.5+8498.8+5.4</f>
        <v>9628.6999999999989</v>
      </c>
      <c r="S143" s="75">
        <f t="shared" si="24"/>
        <v>991134.9</v>
      </c>
      <c r="T143" s="70"/>
    </row>
    <row r="144" spans="1:20" s="76" customFormat="1" ht="15" hidden="1" customHeight="1" x14ac:dyDescent="0.2">
      <c r="A144" s="78" t="s">
        <v>84</v>
      </c>
      <c r="B144" s="75">
        <v>248023.4</v>
      </c>
      <c r="C144" s="75">
        <v>69415.7</v>
      </c>
      <c r="D144" s="75">
        <v>1979.6</v>
      </c>
      <c r="E144" s="75">
        <v>6610</v>
      </c>
      <c r="F144" s="75">
        <v>5097.8999999999996</v>
      </c>
      <c r="G144" s="75">
        <v>48</v>
      </c>
      <c r="H144" s="75">
        <v>588.29999999999995</v>
      </c>
      <c r="I144" s="75">
        <f t="shared" si="22"/>
        <v>331762.89999999997</v>
      </c>
      <c r="J144" s="75">
        <v>187762.3</v>
      </c>
      <c r="K144" s="75">
        <v>18121.8</v>
      </c>
      <c r="L144" s="75">
        <f t="shared" si="23"/>
        <v>205884.09999999998</v>
      </c>
      <c r="M144" s="75" t="s">
        <v>42</v>
      </c>
      <c r="N144" s="75">
        <v>8857.5</v>
      </c>
      <c r="O144" s="75">
        <v>356222.3</v>
      </c>
      <c r="P144" s="75">
        <v>87845.1</v>
      </c>
      <c r="Q144" s="75">
        <v>7161.4</v>
      </c>
      <c r="R144" s="75">
        <f>1125+7914.2-0.9</f>
        <v>9038.3000000000011</v>
      </c>
      <c r="S144" s="75">
        <f t="shared" si="24"/>
        <v>1006771.6000000001</v>
      </c>
      <c r="T144" s="70"/>
    </row>
    <row r="145" spans="1:20" s="76" customFormat="1" ht="15" hidden="1" customHeight="1" x14ac:dyDescent="0.2">
      <c r="A145" s="78" t="s">
        <v>57</v>
      </c>
      <c r="B145" s="75">
        <v>254961.4</v>
      </c>
      <c r="C145" s="75">
        <v>63611.8</v>
      </c>
      <c r="D145" s="75">
        <v>2089.9</v>
      </c>
      <c r="E145" s="75">
        <v>9771.2999999999993</v>
      </c>
      <c r="F145" s="75">
        <v>3640.6</v>
      </c>
      <c r="G145" s="75">
        <v>62.4</v>
      </c>
      <c r="H145" s="75">
        <v>357.5</v>
      </c>
      <c r="I145" s="75">
        <f t="shared" si="22"/>
        <v>334494.90000000002</v>
      </c>
      <c r="J145" s="75">
        <v>170313</v>
      </c>
      <c r="K145" s="75">
        <v>15899.1</v>
      </c>
      <c r="L145" s="75">
        <f t="shared" si="23"/>
        <v>186212.1</v>
      </c>
      <c r="M145" s="75" t="s">
        <v>42</v>
      </c>
      <c r="N145" s="75">
        <v>1293.3</v>
      </c>
      <c r="O145" s="75">
        <v>361289.7</v>
      </c>
      <c r="P145" s="75">
        <v>87845.1</v>
      </c>
      <c r="Q145" s="75">
        <v>5626.8</v>
      </c>
      <c r="R145" s="75">
        <f>1101.1+7274.1+6.3</f>
        <v>8381.5</v>
      </c>
      <c r="S145" s="75">
        <f t="shared" si="24"/>
        <v>985143.4</v>
      </c>
      <c r="T145" s="70"/>
    </row>
    <row r="146" spans="1:20" s="76" customFormat="1" ht="15" hidden="1" customHeight="1" x14ac:dyDescent="0.2">
      <c r="A146" s="78" t="s">
        <v>85</v>
      </c>
      <c r="B146" s="75">
        <v>238905.2</v>
      </c>
      <c r="C146" s="75">
        <v>80850</v>
      </c>
      <c r="D146" s="75">
        <v>1992.3</v>
      </c>
      <c r="E146" s="75">
        <v>2711.7</v>
      </c>
      <c r="F146" s="75">
        <v>2932.2</v>
      </c>
      <c r="G146" s="75">
        <v>59.3</v>
      </c>
      <c r="H146" s="75">
        <v>428</v>
      </c>
      <c r="I146" s="75">
        <f t="shared" si="22"/>
        <v>327878.7</v>
      </c>
      <c r="J146" s="75">
        <v>149713.70000000001</v>
      </c>
      <c r="K146" s="75">
        <v>14670.5</v>
      </c>
      <c r="L146" s="75">
        <f t="shared" si="23"/>
        <v>164384.20000000001</v>
      </c>
      <c r="M146" s="75" t="s">
        <v>42</v>
      </c>
      <c r="N146" s="75">
        <v>1675.7</v>
      </c>
      <c r="O146" s="75">
        <v>356249.3</v>
      </c>
      <c r="P146" s="75">
        <v>87845.1</v>
      </c>
      <c r="Q146" s="75">
        <v>3574.2</v>
      </c>
      <c r="R146" s="75">
        <f>1220.4+7961.3+10.4</f>
        <v>9192.1</v>
      </c>
      <c r="S146" s="75">
        <f t="shared" si="24"/>
        <v>950799.29999999993</v>
      </c>
      <c r="T146" s="70"/>
    </row>
    <row r="147" spans="1:20" s="76" customFormat="1" ht="15" hidden="1" customHeight="1" x14ac:dyDescent="0.2">
      <c r="A147" s="78" t="s">
        <v>86</v>
      </c>
      <c r="B147" s="75">
        <v>230953.7</v>
      </c>
      <c r="C147" s="75">
        <v>89861</v>
      </c>
      <c r="D147" s="75">
        <v>3013.9</v>
      </c>
      <c r="E147" s="75">
        <v>3048.9</v>
      </c>
      <c r="F147" s="75">
        <v>1505.9</v>
      </c>
      <c r="G147" s="75">
        <v>18.2</v>
      </c>
      <c r="H147" s="75">
        <v>333.6</v>
      </c>
      <c r="I147" s="75">
        <f t="shared" si="22"/>
        <v>328735.20000000007</v>
      </c>
      <c r="J147" s="75">
        <v>143623.20000000001</v>
      </c>
      <c r="K147" s="75">
        <v>22600.6</v>
      </c>
      <c r="L147" s="75">
        <f t="shared" si="23"/>
        <v>166223.80000000002</v>
      </c>
      <c r="M147" s="75" t="s">
        <v>42</v>
      </c>
      <c r="N147" s="75">
        <v>1816.6</v>
      </c>
      <c r="O147" s="75">
        <v>355556.2</v>
      </c>
      <c r="P147" s="75">
        <v>87845.1</v>
      </c>
      <c r="Q147" s="75">
        <v>2386.1</v>
      </c>
      <c r="R147" s="75">
        <f>1256+7135.8+3.3</f>
        <v>8395.0999999999985</v>
      </c>
      <c r="S147" s="75">
        <f t="shared" si="24"/>
        <v>950958.1</v>
      </c>
      <c r="T147" s="70"/>
    </row>
    <row r="148" spans="1:20" s="76" customFormat="1" ht="15" hidden="1" customHeight="1" x14ac:dyDescent="0.2">
      <c r="A148" s="78" t="s">
        <v>58</v>
      </c>
      <c r="B148" s="75">
        <v>216072.1</v>
      </c>
      <c r="C148" s="75">
        <v>79716.800000000003</v>
      </c>
      <c r="D148" s="75">
        <v>3810.3</v>
      </c>
      <c r="E148" s="75">
        <v>5700.2</v>
      </c>
      <c r="F148" s="75">
        <v>8658</v>
      </c>
      <c r="G148" s="75">
        <v>33.1</v>
      </c>
      <c r="H148" s="75">
        <v>323.5</v>
      </c>
      <c r="I148" s="75">
        <f t="shared" si="22"/>
        <v>314314</v>
      </c>
      <c r="J148" s="75">
        <v>160628.9</v>
      </c>
      <c r="K148" s="75">
        <v>19205.5</v>
      </c>
      <c r="L148" s="75">
        <f t="shared" si="23"/>
        <v>179834.4</v>
      </c>
      <c r="M148" s="75" t="s">
        <v>42</v>
      </c>
      <c r="N148" s="75">
        <v>1252.3</v>
      </c>
      <c r="O148" s="75">
        <v>351304.8</v>
      </c>
      <c r="P148" s="75">
        <v>87845.1</v>
      </c>
      <c r="Q148" s="75">
        <v>643.9</v>
      </c>
      <c r="R148" s="75">
        <f>1274.9+6928.9+5.2</f>
        <v>8209</v>
      </c>
      <c r="S148" s="75">
        <f t="shared" si="24"/>
        <v>943403.5</v>
      </c>
      <c r="T148" s="70"/>
    </row>
    <row r="149" spans="1:20" s="76" customFormat="1" ht="15" hidden="1" customHeight="1" x14ac:dyDescent="0.2">
      <c r="A149" s="78" t="s">
        <v>87</v>
      </c>
      <c r="B149" s="75">
        <v>225234.3</v>
      </c>
      <c r="C149" s="75">
        <v>112668.5</v>
      </c>
      <c r="D149" s="75">
        <v>2770.6</v>
      </c>
      <c r="E149" s="75">
        <v>6435.6</v>
      </c>
      <c r="F149" s="75">
        <v>6415.9</v>
      </c>
      <c r="G149" s="75">
        <v>25.1</v>
      </c>
      <c r="H149" s="75">
        <v>463.8</v>
      </c>
      <c r="I149" s="75">
        <f t="shared" si="22"/>
        <v>354013.79999999993</v>
      </c>
      <c r="J149" s="75">
        <v>149259.9</v>
      </c>
      <c r="K149" s="75">
        <v>22784.400000000001</v>
      </c>
      <c r="L149" s="75">
        <f t="shared" si="23"/>
        <v>172044.3</v>
      </c>
      <c r="M149" s="75" t="s">
        <v>42</v>
      </c>
      <c r="N149" s="75">
        <v>2211.8000000000002</v>
      </c>
      <c r="O149" s="75">
        <v>349041.3</v>
      </c>
      <c r="P149" s="75">
        <v>87845.1</v>
      </c>
      <c r="Q149" s="75">
        <v>6204.2</v>
      </c>
      <c r="R149" s="75">
        <f>1234.8+6347.4+3.4</f>
        <v>7585.5999999999995</v>
      </c>
      <c r="S149" s="75">
        <f t="shared" si="24"/>
        <v>978946.09999999986</v>
      </c>
      <c r="T149" s="70"/>
    </row>
    <row r="150" spans="1:20" s="76" customFormat="1" ht="15" hidden="1" customHeight="1" x14ac:dyDescent="0.2">
      <c r="A150" s="78" t="s">
        <v>88</v>
      </c>
      <c r="B150" s="75">
        <v>221763.4</v>
      </c>
      <c r="C150" s="75">
        <v>89671.1</v>
      </c>
      <c r="D150" s="75">
        <v>2847.7</v>
      </c>
      <c r="E150" s="75">
        <v>835</v>
      </c>
      <c r="F150" s="75">
        <v>4746.8999999999996</v>
      </c>
      <c r="G150" s="75">
        <v>22</v>
      </c>
      <c r="H150" s="75">
        <v>870.5</v>
      </c>
      <c r="I150" s="75">
        <f t="shared" si="22"/>
        <v>320756.60000000003</v>
      </c>
      <c r="J150" s="75">
        <v>147265.60000000001</v>
      </c>
      <c r="K150" s="75">
        <v>24715</v>
      </c>
      <c r="L150" s="75">
        <f t="shared" si="23"/>
        <v>171980.6</v>
      </c>
      <c r="M150" s="75" t="s">
        <v>42</v>
      </c>
      <c r="N150" s="75">
        <v>3556.8</v>
      </c>
      <c r="O150" s="75">
        <v>350334.2</v>
      </c>
      <c r="P150" s="75">
        <v>87845.1</v>
      </c>
      <c r="Q150" s="75">
        <v>6887.1</v>
      </c>
      <c r="R150" s="75">
        <f>1411.3+6797.6+13.4</f>
        <v>8222.2999999999993</v>
      </c>
      <c r="S150" s="75">
        <f t="shared" si="24"/>
        <v>949582.70000000007</v>
      </c>
      <c r="T150" s="70"/>
    </row>
    <row r="151" spans="1:20" s="76" customFormat="1" ht="15" hidden="1" customHeight="1" x14ac:dyDescent="0.2">
      <c r="A151" s="78" t="s">
        <v>89</v>
      </c>
      <c r="B151" s="75">
        <v>230723.7</v>
      </c>
      <c r="C151" s="75">
        <v>84351</v>
      </c>
      <c r="D151" s="75">
        <v>2209.5</v>
      </c>
      <c r="E151" s="75">
        <v>1611</v>
      </c>
      <c r="F151" s="75">
        <v>4368.5</v>
      </c>
      <c r="G151" s="75">
        <v>44.5</v>
      </c>
      <c r="H151" s="75">
        <v>1200</v>
      </c>
      <c r="I151" s="75">
        <f t="shared" si="22"/>
        <v>324508.2</v>
      </c>
      <c r="J151" s="75">
        <v>171839.3</v>
      </c>
      <c r="K151" s="75">
        <v>17303.7</v>
      </c>
      <c r="L151" s="75">
        <f t="shared" si="23"/>
        <v>189143</v>
      </c>
      <c r="M151" s="75" t="s">
        <v>42</v>
      </c>
      <c r="N151" s="75">
        <v>5645.1</v>
      </c>
      <c r="O151" s="75">
        <v>354815.2</v>
      </c>
      <c r="P151" s="75">
        <v>87845.1</v>
      </c>
      <c r="Q151" s="75">
        <v>1265</v>
      </c>
      <c r="R151" s="75">
        <f>1187.7+6374.8+2.4</f>
        <v>7564.9</v>
      </c>
      <c r="S151" s="75">
        <f t="shared" si="24"/>
        <v>970786.5</v>
      </c>
      <c r="T151" s="70"/>
    </row>
    <row r="152" spans="1:20" s="76" customFormat="1" ht="15" hidden="1" customHeight="1" x14ac:dyDescent="0.2">
      <c r="A152" s="78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0"/>
    </row>
    <row r="153" spans="1:20" s="76" customFormat="1" ht="15" hidden="1" customHeight="1" x14ac:dyDescent="0.2">
      <c r="A153" s="78" t="s">
        <v>90</v>
      </c>
      <c r="B153" s="75">
        <v>226455.9</v>
      </c>
      <c r="C153" s="75">
        <v>97415.5</v>
      </c>
      <c r="D153" s="75">
        <v>1524.2</v>
      </c>
      <c r="E153" s="75">
        <v>1365.4</v>
      </c>
      <c r="F153" s="75">
        <v>2402.5</v>
      </c>
      <c r="G153" s="75">
        <v>52.7</v>
      </c>
      <c r="H153" s="75">
        <v>588.70000000000005</v>
      </c>
      <c r="I153" s="75">
        <f t="shared" ref="I153:I164" si="25">SUM(B153:H153)</f>
        <v>329804.90000000008</v>
      </c>
      <c r="J153" s="75">
        <v>140739.1</v>
      </c>
      <c r="K153" s="75">
        <v>16982.3</v>
      </c>
      <c r="L153" s="75">
        <f t="shared" ref="L153:L164" si="26">SUM(J153:K153)</f>
        <v>157721.4</v>
      </c>
      <c r="M153" s="75" t="s">
        <v>42</v>
      </c>
      <c r="N153" s="75">
        <v>5990</v>
      </c>
      <c r="O153" s="75">
        <v>351129.1</v>
      </c>
      <c r="P153" s="75">
        <v>87845.1</v>
      </c>
      <c r="Q153" s="75">
        <v>545.6</v>
      </c>
      <c r="R153" s="75">
        <f>1258.3+6257+6.2</f>
        <v>7521.5</v>
      </c>
      <c r="S153" s="75">
        <f t="shared" ref="S153:S164" si="27">SUM(I153,L153:O153,R153,P153,Q153)</f>
        <v>940557.6</v>
      </c>
      <c r="T153" s="70"/>
    </row>
    <row r="154" spans="1:20" s="76" customFormat="1" ht="15" hidden="1" customHeight="1" x14ac:dyDescent="0.2">
      <c r="A154" s="78" t="s">
        <v>91</v>
      </c>
      <c r="B154" s="75">
        <v>228222</v>
      </c>
      <c r="C154" s="75">
        <v>82311.3</v>
      </c>
      <c r="D154" s="75">
        <v>2882.1</v>
      </c>
      <c r="E154" s="75">
        <v>10313.200000000001</v>
      </c>
      <c r="F154" s="75">
        <v>9164.2000000000007</v>
      </c>
      <c r="G154" s="75">
        <v>6.9</v>
      </c>
      <c r="H154" s="75">
        <v>948.2</v>
      </c>
      <c r="I154" s="75">
        <f t="shared" si="25"/>
        <v>333847.90000000002</v>
      </c>
      <c r="J154" s="75">
        <v>141698.79999999999</v>
      </c>
      <c r="K154" s="75">
        <v>16637.3</v>
      </c>
      <c r="L154" s="75">
        <f t="shared" si="26"/>
        <v>158336.09999999998</v>
      </c>
      <c r="M154" s="75" t="s">
        <v>42</v>
      </c>
      <c r="N154" s="75">
        <v>6827.1</v>
      </c>
      <c r="O154" s="75">
        <v>344743.7</v>
      </c>
      <c r="P154" s="75">
        <v>87845.1</v>
      </c>
      <c r="Q154" s="75">
        <v>-398.2</v>
      </c>
      <c r="R154" s="75">
        <f>1188.5+5968.6+4.9</f>
        <v>7162</v>
      </c>
      <c r="S154" s="75">
        <f t="shared" si="27"/>
        <v>938363.70000000007</v>
      </c>
      <c r="T154" s="70"/>
    </row>
    <row r="155" spans="1:20" s="76" customFormat="1" ht="15" hidden="1" customHeight="1" x14ac:dyDescent="0.2">
      <c r="A155" s="78" t="s">
        <v>68</v>
      </c>
      <c r="B155" s="75">
        <v>219964.2</v>
      </c>
      <c r="C155" s="75">
        <v>94301.6</v>
      </c>
      <c r="D155" s="75">
        <v>2734.9</v>
      </c>
      <c r="E155" s="75">
        <v>2510.6999999999998</v>
      </c>
      <c r="F155" s="75">
        <v>2813.9</v>
      </c>
      <c r="G155" s="75">
        <v>26.4</v>
      </c>
      <c r="H155" s="75">
        <v>910.3</v>
      </c>
      <c r="I155" s="75">
        <f t="shared" si="25"/>
        <v>323262.00000000012</v>
      </c>
      <c r="J155" s="75">
        <v>165597.4</v>
      </c>
      <c r="K155" s="75">
        <v>16333.1</v>
      </c>
      <c r="L155" s="75">
        <f t="shared" si="26"/>
        <v>181930.5</v>
      </c>
      <c r="M155" s="75" t="s">
        <v>42</v>
      </c>
      <c r="N155" s="75">
        <v>5204</v>
      </c>
      <c r="O155" s="75">
        <v>350173.8</v>
      </c>
      <c r="P155" s="75">
        <v>87845.1</v>
      </c>
      <c r="Q155" s="75">
        <v>-3581.8</v>
      </c>
      <c r="R155" s="75">
        <f>1206.1+6336.3+3.2</f>
        <v>7545.5999999999995</v>
      </c>
      <c r="S155" s="75">
        <f t="shared" si="27"/>
        <v>952379.2</v>
      </c>
      <c r="T155" s="70"/>
    </row>
    <row r="156" spans="1:20" s="76" customFormat="1" ht="15" customHeight="1" x14ac:dyDescent="0.2">
      <c r="A156" s="78" t="s">
        <v>92</v>
      </c>
      <c r="B156" s="75">
        <v>230212</v>
      </c>
      <c r="C156" s="75">
        <v>112572.5</v>
      </c>
      <c r="D156" s="75">
        <v>1956.8</v>
      </c>
      <c r="E156" s="75">
        <v>1361.9</v>
      </c>
      <c r="F156" s="75">
        <v>3187.7</v>
      </c>
      <c r="G156" s="75">
        <v>15.2</v>
      </c>
      <c r="H156" s="75">
        <v>438.4</v>
      </c>
      <c r="I156" s="75">
        <f t="shared" si="25"/>
        <v>349744.50000000006</v>
      </c>
      <c r="J156" s="75">
        <v>163066.1</v>
      </c>
      <c r="K156" s="75">
        <v>21294.799999999999</v>
      </c>
      <c r="L156" s="75">
        <f t="shared" si="26"/>
        <v>184360.9</v>
      </c>
      <c r="M156" s="75" t="s">
        <v>42</v>
      </c>
      <c r="N156" s="75">
        <v>5204</v>
      </c>
      <c r="O156" s="75">
        <v>355049.6</v>
      </c>
      <c r="P156" s="75">
        <v>87845.1</v>
      </c>
      <c r="Q156" s="75">
        <v>-7259.2</v>
      </c>
      <c r="R156" s="75">
        <v>7610.3</v>
      </c>
      <c r="S156" s="75">
        <f t="shared" si="27"/>
        <v>982555.20000000007</v>
      </c>
      <c r="T156" s="70"/>
    </row>
    <row r="157" spans="1:20" s="76" customFormat="1" ht="15" customHeight="1" x14ac:dyDescent="0.2">
      <c r="A157" s="78" t="s">
        <v>70</v>
      </c>
      <c r="B157" s="75">
        <v>230195.9</v>
      </c>
      <c r="C157" s="75">
        <v>105627.9</v>
      </c>
      <c r="D157" s="75">
        <v>2568.1999999999998</v>
      </c>
      <c r="E157" s="75">
        <v>7539.1</v>
      </c>
      <c r="F157" s="75">
        <v>7710.2</v>
      </c>
      <c r="G157" s="75">
        <v>37.6</v>
      </c>
      <c r="H157" s="75">
        <v>798.3</v>
      </c>
      <c r="I157" s="75">
        <f t="shared" si="25"/>
        <v>354477.19999999995</v>
      </c>
      <c r="J157" s="75">
        <v>162441.29999999999</v>
      </c>
      <c r="K157" s="75">
        <v>18544.900000000001</v>
      </c>
      <c r="L157" s="75">
        <f t="shared" si="26"/>
        <v>180986.19999999998</v>
      </c>
      <c r="M157" s="75" t="s">
        <v>42</v>
      </c>
      <c r="N157" s="75">
        <v>6494.3</v>
      </c>
      <c r="O157" s="75">
        <v>352456.3</v>
      </c>
      <c r="P157" s="75">
        <v>87845.1</v>
      </c>
      <c r="Q157" s="75">
        <v>-5109.2</v>
      </c>
      <c r="R157" s="75">
        <f>1955.5+6113.6+35</f>
        <v>8104.1</v>
      </c>
      <c r="S157" s="75">
        <f t="shared" si="27"/>
        <v>985254</v>
      </c>
      <c r="T157" s="70"/>
    </row>
    <row r="158" spans="1:20" s="76" customFormat="1" ht="15" customHeight="1" x14ac:dyDescent="0.2">
      <c r="A158" s="78" t="s">
        <v>57</v>
      </c>
      <c r="B158" s="75">
        <v>255415.5</v>
      </c>
      <c r="C158" s="75">
        <v>98845.3</v>
      </c>
      <c r="D158" s="75">
        <v>1740</v>
      </c>
      <c r="E158" s="75">
        <v>3186.6</v>
      </c>
      <c r="F158" s="75">
        <v>4307.5</v>
      </c>
      <c r="G158" s="75">
        <v>16.100000000000001</v>
      </c>
      <c r="H158" s="75">
        <v>557.9</v>
      </c>
      <c r="I158" s="75">
        <f t="shared" si="25"/>
        <v>364068.89999999997</v>
      </c>
      <c r="J158" s="75">
        <v>168849</v>
      </c>
      <c r="K158" s="75">
        <v>24468.2</v>
      </c>
      <c r="L158" s="75">
        <f t="shared" si="26"/>
        <v>193317.2</v>
      </c>
      <c r="M158" s="75" t="s">
        <v>42</v>
      </c>
      <c r="N158" s="75">
        <v>5535.4</v>
      </c>
      <c r="O158" s="75">
        <v>351838.8</v>
      </c>
      <c r="P158" s="75">
        <v>87845.1</v>
      </c>
      <c r="Q158" s="75">
        <v>-2252.6</v>
      </c>
      <c r="R158" s="75">
        <f>1938.5+6025.6+20.7</f>
        <v>7984.8</v>
      </c>
      <c r="S158" s="75">
        <f t="shared" si="27"/>
        <v>1008337.6000000001</v>
      </c>
      <c r="T158" s="70"/>
    </row>
    <row r="159" spans="1:20" s="76" customFormat="1" ht="15" customHeight="1" x14ac:dyDescent="0.2">
      <c r="A159" s="78" t="s">
        <v>71</v>
      </c>
      <c r="B159" s="75">
        <v>265902.59999999998</v>
      </c>
      <c r="C159" s="75">
        <v>101091.2</v>
      </c>
      <c r="D159" s="75">
        <v>2646.6</v>
      </c>
      <c r="E159" s="75">
        <v>6715.9</v>
      </c>
      <c r="F159" s="75">
        <v>5193.3</v>
      </c>
      <c r="G159" s="75">
        <v>8.4</v>
      </c>
      <c r="H159" s="75">
        <v>772.4</v>
      </c>
      <c r="I159" s="75">
        <f t="shared" si="25"/>
        <v>382330.4</v>
      </c>
      <c r="J159" s="75">
        <v>160363.6</v>
      </c>
      <c r="K159" s="75">
        <v>21791.599999999999</v>
      </c>
      <c r="L159" s="75">
        <f t="shared" si="26"/>
        <v>182155.2</v>
      </c>
      <c r="M159" s="75" t="s">
        <v>42</v>
      </c>
      <c r="N159" s="75">
        <v>4201.3999999999996</v>
      </c>
      <c r="O159" s="75">
        <v>346787.6</v>
      </c>
      <c r="P159" s="75">
        <v>87845.1</v>
      </c>
      <c r="Q159" s="75">
        <v>-1465.7</v>
      </c>
      <c r="R159" s="75">
        <f>1168.8+6628.3+40.1</f>
        <v>7837.2000000000007</v>
      </c>
      <c r="S159" s="75">
        <f t="shared" si="27"/>
        <v>1009691.2000000001</v>
      </c>
      <c r="T159" s="70"/>
    </row>
    <row r="160" spans="1:20" s="76" customFormat="1" ht="15" customHeight="1" x14ac:dyDescent="0.2">
      <c r="A160" s="78" t="s">
        <v>72</v>
      </c>
      <c r="B160" s="75">
        <v>259211.2</v>
      </c>
      <c r="C160" s="75">
        <v>96485.6</v>
      </c>
      <c r="D160" s="75">
        <v>3581.1</v>
      </c>
      <c r="E160" s="75">
        <v>678.2</v>
      </c>
      <c r="F160" s="75">
        <v>4709.8</v>
      </c>
      <c r="G160" s="75">
        <v>5.4</v>
      </c>
      <c r="H160" s="75">
        <v>2762.9</v>
      </c>
      <c r="I160" s="75">
        <f t="shared" si="25"/>
        <v>367434.20000000007</v>
      </c>
      <c r="J160" s="75">
        <v>159090.79999999999</v>
      </c>
      <c r="K160" s="75">
        <v>13209.3</v>
      </c>
      <c r="L160" s="75">
        <f t="shared" si="26"/>
        <v>172300.09999999998</v>
      </c>
      <c r="M160" s="75" t="s">
        <v>42</v>
      </c>
      <c r="N160" s="75">
        <v>4932.5</v>
      </c>
      <c r="O160" s="75">
        <v>340352.3</v>
      </c>
      <c r="P160" s="75">
        <v>88281.600000000006</v>
      </c>
      <c r="Q160" s="75">
        <v>-2656.6</v>
      </c>
      <c r="R160" s="75">
        <f>6114.2+15.1+1235.7</f>
        <v>7365</v>
      </c>
      <c r="S160" s="75">
        <f t="shared" si="27"/>
        <v>978009.10000000009</v>
      </c>
      <c r="T160" s="70"/>
    </row>
    <row r="161" spans="1:20" s="76" customFormat="1" ht="15" customHeight="1" x14ac:dyDescent="0.2">
      <c r="A161" s="78" t="s">
        <v>58</v>
      </c>
      <c r="B161" s="75">
        <v>254499.1</v>
      </c>
      <c r="C161" s="75">
        <v>124775.9</v>
      </c>
      <c r="D161" s="75">
        <v>3523.6</v>
      </c>
      <c r="E161" s="75">
        <v>834</v>
      </c>
      <c r="F161" s="75">
        <v>4926.1000000000004</v>
      </c>
      <c r="G161" s="75">
        <v>3.6</v>
      </c>
      <c r="H161" s="75">
        <v>1138.3</v>
      </c>
      <c r="I161" s="75">
        <f t="shared" si="25"/>
        <v>389700.59999999992</v>
      </c>
      <c r="J161" s="75">
        <v>165324.79999999999</v>
      </c>
      <c r="K161" s="75">
        <v>21183.599999999999</v>
      </c>
      <c r="L161" s="75">
        <f t="shared" si="26"/>
        <v>186508.4</v>
      </c>
      <c r="M161" s="75" t="s">
        <v>42</v>
      </c>
      <c r="N161" s="75">
        <v>5791.3</v>
      </c>
      <c r="O161" s="75">
        <v>338994.5</v>
      </c>
      <c r="P161" s="75">
        <v>88281.7</v>
      </c>
      <c r="Q161" s="75">
        <v>-5027.8</v>
      </c>
      <c r="R161" s="75">
        <f>5752+8.1+1393.1</f>
        <v>7153.2000000000007</v>
      </c>
      <c r="S161" s="75">
        <f t="shared" si="27"/>
        <v>1011401.8999999998</v>
      </c>
      <c r="T161" s="70"/>
    </row>
    <row r="162" spans="1:20" s="76" customFormat="1" ht="15" customHeight="1" x14ac:dyDescent="0.2">
      <c r="A162" s="78" t="s">
        <v>73</v>
      </c>
      <c r="B162" s="75">
        <v>254519.8</v>
      </c>
      <c r="C162" s="75">
        <v>112931.8</v>
      </c>
      <c r="D162" s="75">
        <v>3149.6</v>
      </c>
      <c r="E162" s="75">
        <v>1498.7</v>
      </c>
      <c r="F162" s="75">
        <v>3531.1</v>
      </c>
      <c r="G162" s="75">
        <v>5.2</v>
      </c>
      <c r="H162" s="75">
        <v>1875</v>
      </c>
      <c r="I162" s="75">
        <f t="shared" si="25"/>
        <v>377511.19999999995</v>
      </c>
      <c r="J162" s="75">
        <v>175018.1</v>
      </c>
      <c r="K162" s="75">
        <v>15080.7</v>
      </c>
      <c r="L162" s="75">
        <f t="shared" si="26"/>
        <v>190098.80000000002</v>
      </c>
      <c r="M162" s="75" t="s">
        <v>42</v>
      </c>
      <c r="N162" s="75">
        <v>7752</v>
      </c>
      <c r="O162" s="75">
        <v>336106.5</v>
      </c>
      <c r="P162" s="75">
        <v>88281.600000000006</v>
      </c>
      <c r="Q162" s="75">
        <v>-148.19999999999999</v>
      </c>
      <c r="R162" s="75">
        <f>5886.8+8.1+1388.8</f>
        <v>7283.7000000000007</v>
      </c>
      <c r="S162" s="75">
        <f t="shared" si="27"/>
        <v>1006885.6</v>
      </c>
      <c r="T162" s="70"/>
    </row>
    <row r="163" spans="1:20" s="76" customFormat="1" ht="15" customHeight="1" x14ac:dyDescent="0.2">
      <c r="A163" s="78" t="s">
        <v>74</v>
      </c>
      <c r="B163" s="75">
        <v>255283.4</v>
      </c>
      <c r="C163" s="75">
        <v>125278.8</v>
      </c>
      <c r="D163" s="75">
        <v>2943.8</v>
      </c>
      <c r="E163" s="75">
        <v>8178.4</v>
      </c>
      <c r="F163" s="75">
        <v>9000.1</v>
      </c>
      <c r="G163" s="75">
        <v>3.2</v>
      </c>
      <c r="H163" s="75">
        <v>1378.3</v>
      </c>
      <c r="I163" s="75">
        <f t="shared" si="25"/>
        <v>402066</v>
      </c>
      <c r="J163" s="75">
        <v>180613.8</v>
      </c>
      <c r="K163" s="75">
        <v>13791.1</v>
      </c>
      <c r="L163" s="75">
        <f t="shared" si="26"/>
        <v>194404.9</v>
      </c>
      <c r="M163" s="75" t="s">
        <v>42</v>
      </c>
      <c r="N163" s="75">
        <v>10573.9</v>
      </c>
      <c r="O163" s="75">
        <v>330545.8</v>
      </c>
      <c r="P163" s="75">
        <v>88281.600000000006</v>
      </c>
      <c r="Q163" s="75">
        <v>4929</v>
      </c>
      <c r="R163" s="75">
        <f>9209.8+3.1+1507.9</f>
        <v>10720.8</v>
      </c>
      <c r="S163" s="75">
        <f t="shared" si="27"/>
        <v>1041522.0000000001</v>
      </c>
      <c r="T163" s="70"/>
    </row>
    <row r="164" spans="1:20" s="76" customFormat="1" ht="15" customHeight="1" x14ac:dyDescent="0.2">
      <c r="A164" s="78" t="s">
        <v>59</v>
      </c>
      <c r="B164" s="75">
        <v>267512.5</v>
      </c>
      <c r="C164" s="75">
        <v>134302.79999999999</v>
      </c>
      <c r="D164" s="75">
        <v>3575.7</v>
      </c>
      <c r="E164" s="75">
        <v>5995.8</v>
      </c>
      <c r="F164" s="75">
        <v>6509.8</v>
      </c>
      <c r="G164" s="75">
        <v>7.7</v>
      </c>
      <c r="H164" s="75">
        <v>1319.7</v>
      </c>
      <c r="I164" s="75">
        <f t="shared" si="25"/>
        <v>419224</v>
      </c>
      <c r="J164" s="75">
        <v>229057.5</v>
      </c>
      <c r="K164" s="75">
        <v>14016.1</v>
      </c>
      <c r="L164" s="75">
        <f t="shared" si="26"/>
        <v>243073.6</v>
      </c>
      <c r="M164" s="75" t="s">
        <v>42</v>
      </c>
      <c r="N164" s="75">
        <v>12385</v>
      </c>
      <c r="O164" s="75">
        <v>328508.5</v>
      </c>
      <c r="P164" s="75">
        <v>88281.600000000006</v>
      </c>
      <c r="Q164" s="75">
        <v>5702.3</v>
      </c>
      <c r="R164" s="75">
        <f>8800+6.7+1350.6</f>
        <v>10157.300000000001</v>
      </c>
      <c r="S164" s="75">
        <f t="shared" si="27"/>
        <v>1107332.3</v>
      </c>
      <c r="T164" s="70"/>
    </row>
    <row r="165" spans="1:20" s="76" customFormat="1" ht="15" customHeight="1" x14ac:dyDescent="0.2">
      <c r="A165" s="78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0"/>
    </row>
    <row r="166" spans="1:20" s="76" customFormat="1" ht="15" customHeight="1" x14ac:dyDescent="0.25">
      <c r="A166" s="78" t="s">
        <v>93</v>
      </c>
      <c r="B166" s="75">
        <v>257413.7</v>
      </c>
      <c r="C166" s="75">
        <v>190039</v>
      </c>
      <c r="D166" s="75">
        <v>2479</v>
      </c>
      <c r="E166" s="75">
        <v>5009.2</v>
      </c>
      <c r="F166" s="75">
        <v>5833.8</v>
      </c>
      <c r="G166" s="75">
        <v>2.2000000000000002</v>
      </c>
      <c r="H166" s="75">
        <v>22330.5</v>
      </c>
      <c r="I166" s="75">
        <f>SUM(B166:H166)</f>
        <v>483107.4</v>
      </c>
      <c r="J166" s="75">
        <v>170874</v>
      </c>
      <c r="K166" s="75">
        <v>19271</v>
      </c>
      <c r="L166" s="75">
        <f t="shared" ref="L166:L173" si="28">SUM(J166:K166)</f>
        <v>190145</v>
      </c>
      <c r="M166" s="75" t="s">
        <v>42</v>
      </c>
      <c r="N166" s="75">
        <v>22328.5</v>
      </c>
      <c r="O166" s="75">
        <v>331895</v>
      </c>
      <c r="P166" s="75">
        <v>88281.600000000006</v>
      </c>
      <c r="Q166" s="75">
        <v>2053.1999999999998</v>
      </c>
      <c r="R166" s="75">
        <f>8276.7+4.6+1360.3</f>
        <v>9641.6</v>
      </c>
      <c r="S166" s="75">
        <f t="shared" ref="S166:S177" si="29">SUM(I166,L166:O166,R166,P166,Q166)</f>
        <v>1127452.3</v>
      </c>
      <c r="T166" s="83"/>
    </row>
    <row r="167" spans="1:20" s="76" customFormat="1" ht="15" customHeight="1" x14ac:dyDescent="0.25">
      <c r="A167" s="78" t="s">
        <v>94</v>
      </c>
      <c r="B167" s="75">
        <v>258459.9</v>
      </c>
      <c r="C167" s="75">
        <v>164896.79999999999</v>
      </c>
      <c r="D167" s="75">
        <v>1876.3999999999999</v>
      </c>
      <c r="E167" s="75">
        <v>4951.3</v>
      </c>
      <c r="F167" s="75">
        <v>6435.3000000000011</v>
      </c>
      <c r="G167" s="75">
        <v>2.2000000000000002</v>
      </c>
      <c r="H167" s="75">
        <v>22811.899999999998</v>
      </c>
      <c r="I167" s="75">
        <f t="shared" ref="I167:I172" si="30">SUM(B167:H167)</f>
        <v>459433.8</v>
      </c>
      <c r="J167" s="75">
        <v>209138</v>
      </c>
      <c r="K167" s="75">
        <v>16971.900000000001</v>
      </c>
      <c r="L167" s="75">
        <f t="shared" si="28"/>
        <v>226109.9</v>
      </c>
      <c r="M167" s="75" t="s">
        <v>42</v>
      </c>
      <c r="N167" s="75">
        <v>23253.300000000003</v>
      </c>
      <c r="O167" s="75">
        <v>331462.59999999998</v>
      </c>
      <c r="P167" s="75">
        <v>88281.600000000006</v>
      </c>
      <c r="Q167" s="75">
        <v>5368.2</v>
      </c>
      <c r="R167" s="75">
        <f>9494.9+1423.4</f>
        <v>10918.3</v>
      </c>
      <c r="S167" s="75">
        <f t="shared" si="29"/>
        <v>1144827.7</v>
      </c>
      <c r="T167" s="83"/>
    </row>
    <row r="168" spans="1:20" s="76" customFormat="1" ht="15" customHeight="1" x14ac:dyDescent="0.25">
      <c r="A168" s="78" t="s">
        <v>95</v>
      </c>
      <c r="B168" s="75">
        <v>267562.40000000002</v>
      </c>
      <c r="C168" s="75">
        <v>167615</v>
      </c>
      <c r="D168" s="75">
        <v>2634.1</v>
      </c>
      <c r="E168" s="75">
        <v>14379.7</v>
      </c>
      <c r="F168" s="75">
        <v>12223.899999999998</v>
      </c>
      <c r="G168" s="75">
        <v>157.1</v>
      </c>
      <c r="H168" s="75">
        <v>21755.599999999999</v>
      </c>
      <c r="I168" s="75">
        <f t="shared" si="30"/>
        <v>486327.8</v>
      </c>
      <c r="J168" s="75">
        <v>178385.1</v>
      </c>
      <c r="K168" s="75">
        <v>18679.400000000001</v>
      </c>
      <c r="L168" s="75">
        <f t="shared" si="28"/>
        <v>197064.5</v>
      </c>
      <c r="M168" s="75" t="s">
        <v>42</v>
      </c>
      <c r="N168" s="75">
        <v>24941.399999999998</v>
      </c>
      <c r="O168" s="75">
        <v>327928.2</v>
      </c>
      <c r="P168" s="75">
        <v>88281.600000000006</v>
      </c>
      <c r="Q168" s="75">
        <v>5190.1000000000004</v>
      </c>
      <c r="R168" s="75">
        <f>8059.5+1432.4-15.6</f>
        <v>9476.2999999999993</v>
      </c>
      <c r="S168" s="75">
        <f t="shared" si="29"/>
        <v>1139209.9000000004</v>
      </c>
      <c r="T168" s="83"/>
    </row>
    <row r="169" spans="1:20" s="76" customFormat="1" ht="15" customHeight="1" x14ac:dyDescent="0.25">
      <c r="A169" s="78" t="s">
        <v>96</v>
      </c>
      <c r="B169" s="75">
        <v>269369.5</v>
      </c>
      <c r="C169" s="75">
        <v>160086.1</v>
      </c>
      <c r="D169" s="75">
        <v>2462.2000000000003</v>
      </c>
      <c r="E169" s="75">
        <v>11933.800000000001</v>
      </c>
      <c r="F169" s="75">
        <v>11015.3</v>
      </c>
      <c r="G169" s="75">
        <v>89.2</v>
      </c>
      <c r="H169" s="75">
        <v>27316.7</v>
      </c>
      <c r="I169" s="75">
        <f t="shared" si="30"/>
        <v>482272.8</v>
      </c>
      <c r="J169" s="75">
        <v>173976.19999999998</v>
      </c>
      <c r="K169" s="75">
        <v>24947.8</v>
      </c>
      <c r="L169" s="75">
        <f t="shared" si="28"/>
        <v>198923.99999999997</v>
      </c>
      <c r="M169" s="75" t="s">
        <v>42</v>
      </c>
      <c r="N169" s="75">
        <v>30930.7</v>
      </c>
      <c r="O169" s="75">
        <v>330300.90000000002</v>
      </c>
      <c r="P169" s="75">
        <v>88281.600000000006</v>
      </c>
      <c r="Q169" s="75">
        <v>828.7</v>
      </c>
      <c r="R169" s="75">
        <f>8116.5-9.7+1427.8</f>
        <v>9534.6</v>
      </c>
      <c r="S169" s="75">
        <f t="shared" si="29"/>
        <v>1141073.3</v>
      </c>
      <c r="T169" s="83"/>
    </row>
    <row r="170" spans="1:20" s="76" customFormat="1" ht="15" customHeight="1" x14ac:dyDescent="0.25">
      <c r="A170" s="78" t="s">
        <v>70</v>
      </c>
      <c r="B170" s="75">
        <v>276838.09999999998</v>
      </c>
      <c r="C170" s="75">
        <v>152045.6</v>
      </c>
      <c r="D170" s="75">
        <v>1629.7999999999997</v>
      </c>
      <c r="E170" s="75">
        <v>11390.6</v>
      </c>
      <c r="F170" s="75">
        <v>13862.1</v>
      </c>
      <c r="G170" s="75">
        <v>29.3</v>
      </c>
      <c r="H170" s="75">
        <v>35984.9</v>
      </c>
      <c r="I170" s="75">
        <f t="shared" si="30"/>
        <v>491780.39999999991</v>
      </c>
      <c r="J170" s="75">
        <v>210015.59999999998</v>
      </c>
      <c r="K170" s="75">
        <v>33505.500000000007</v>
      </c>
      <c r="L170" s="75">
        <f t="shared" si="28"/>
        <v>243521.09999999998</v>
      </c>
      <c r="M170" s="75" t="s">
        <v>42</v>
      </c>
      <c r="N170" s="75">
        <v>25659</v>
      </c>
      <c r="O170" s="75">
        <v>338545.9</v>
      </c>
      <c r="P170" s="75">
        <v>88281.600000000006</v>
      </c>
      <c r="Q170" s="75">
        <v>-1.9</v>
      </c>
      <c r="R170" s="75">
        <f>1477.6+13323.5-14.9</f>
        <v>14786.2</v>
      </c>
      <c r="S170" s="75">
        <f t="shared" si="29"/>
        <v>1202572.3</v>
      </c>
      <c r="T170" s="83"/>
    </row>
    <row r="171" spans="1:20" s="76" customFormat="1" ht="15" customHeight="1" x14ac:dyDescent="0.25">
      <c r="A171" s="78" t="s">
        <v>57</v>
      </c>
      <c r="B171" s="75">
        <v>301775.5</v>
      </c>
      <c r="C171" s="75">
        <v>101969.20000000001</v>
      </c>
      <c r="D171" s="75">
        <v>2615.3999999999996</v>
      </c>
      <c r="E171" s="75">
        <v>12376</v>
      </c>
      <c r="F171" s="75">
        <v>17691.3</v>
      </c>
      <c r="G171" s="75">
        <v>11</v>
      </c>
      <c r="H171" s="75">
        <v>31187.100000000002</v>
      </c>
      <c r="I171" s="75">
        <f t="shared" si="30"/>
        <v>467625.5</v>
      </c>
      <c r="J171" s="75">
        <v>164709.90000000002</v>
      </c>
      <c r="K171" s="75">
        <v>41120.100000000006</v>
      </c>
      <c r="L171" s="75">
        <f t="shared" si="28"/>
        <v>205830.00000000003</v>
      </c>
      <c r="M171" s="75" t="s">
        <v>42</v>
      </c>
      <c r="N171" s="75">
        <v>28009</v>
      </c>
      <c r="O171" s="75">
        <v>341304.6</v>
      </c>
      <c r="P171" s="75">
        <v>90657.7</v>
      </c>
      <c r="Q171" s="75">
        <v>-342.1</v>
      </c>
      <c r="R171" s="75">
        <f>1445.2+7960.3+132.5</f>
        <v>9538</v>
      </c>
      <c r="S171" s="75">
        <f t="shared" si="29"/>
        <v>1142622.7</v>
      </c>
      <c r="T171" s="83"/>
    </row>
    <row r="172" spans="1:20" s="76" customFormat="1" ht="15" customHeight="1" x14ac:dyDescent="0.25">
      <c r="A172" s="78" t="s">
        <v>97</v>
      </c>
      <c r="B172" s="75">
        <v>304085.59999999998</v>
      </c>
      <c r="C172" s="75">
        <v>97125.9</v>
      </c>
      <c r="D172" s="75">
        <v>1957.6</v>
      </c>
      <c r="E172" s="75">
        <v>13864.5</v>
      </c>
      <c r="F172" s="75">
        <v>20166.2</v>
      </c>
      <c r="G172" s="75">
        <v>7.9</v>
      </c>
      <c r="H172" s="75">
        <v>30645</v>
      </c>
      <c r="I172" s="75">
        <f t="shared" si="30"/>
        <v>467852.7</v>
      </c>
      <c r="J172" s="75">
        <v>183201.80000000002</v>
      </c>
      <c r="K172" s="75">
        <v>31479.4</v>
      </c>
      <c r="L172" s="75">
        <f t="shared" si="28"/>
        <v>214681.2</v>
      </c>
      <c r="M172" s="75" t="s">
        <v>42</v>
      </c>
      <c r="N172" s="75">
        <v>30132.1</v>
      </c>
      <c r="O172" s="75">
        <v>343809.9</v>
      </c>
      <c r="P172" s="75">
        <v>90496.5</v>
      </c>
      <c r="Q172" s="75">
        <v>-527.5</v>
      </c>
      <c r="R172" s="75">
        <f>7253.1-24.8+1452.5</f>
        <v>8680.7999999999993</v>
      </c>
      <c r="S172" s="75">
        <f t="shared" si="29"/>
        <v>1155125.7</v>
      </c>
      <c r="T172" s="83"/>
    </row>
    <row r="173" spans="1:20" s="76" customFormat="1" ht="15" customHeight="1" x14ac:dyDescent="0.25">
      <c r="A173" s="78" t="s">
        <v>72</v>
      </c>
      <c r="B173" s="75">
        <v>307668.59999999998</v>
      </c>
      <c r="C173" s="75">
        <v>142342.39999999999</v>
      </c>
      <c r="D173" s="75">
        <v>1440.9</v>
      </c>
      <c r="E173" s="75">
        <v>5930</v>
      </c>
      <c r="F173" s="75">
        <v>19397.8</v>
      </c>
      <c r="G173" s="75">
        <v>16.2</v>
      </c>
      <c r="H173" s="75">
        <v>30509.1</v>
      </c>
      <c r="I173" s="75">
        <f>SUM(B173:H173)</f>
        <v>507305</v>
      </c>
      <c r="J173" s="75">
        <v>179805.90000000002</v>
      </c>
      <c r="K173" s="75">
        <v>23346.299999999996</v>
      </c>
      <c r="L173" s="75">
        <f t="shared" si="28"/>
        <v>203152.2</v>
      </c>
      <c r="M173" s="75" t="s">
        <v>42</v>
      </c>
      <c r="N173" s="75">
        <v>31170.5</v>
      </c>
      <c r="O173" s="75">
        <v>343249.1</v>
      </c>
      <c r="P173" s="75">
        <v>90496.5</v>
      </c>
      <c r="Q173" s="75">
        <v>-3069.1</v>
      </c>
      <c r="R173" s="75">
        <f>8395.4+1472.9</f>
        <v>9868.2999999999993</v>
      </c>
      <c r="S173" s="75">
        <f t="shared" si="29"/>
        <v>1182172.4999999998</v>
      </c>
      <c r="T173" s="83"/>
    </row>
    <row r="174" spans="1:20" s="76" customFormat="1" ht="15" customHeight="1" x14ac:dyDescent="0.25">
      <c r="A174" s="78" t="s">
        <v>58</v>
      </c>
      <c r="B174" s="75">
        <v>297683.09999999998</v>
      </c>
      <c r="C174" s="79">
        <v>156387.69999999998</v>
      </c>
      <c r="D174" s="75">
        <v>2490.3999999999996</v>
      </c>
      <c r="E174" s="75">
        <v>9305.2999999999993</v>
      </c>
      <c r="F174" s="75">
        <v>25793.7</v>
      </c>
      <c r="G174" s="75">
        <v>6.3</v>
      </c>
      <c r="H174" s="80">
        <v>31699.3</v>
      </c>
      <c r="I174" s="75">
        <f>SUM(B174:H174)</f>
        <v>523365.79999999993</v>
      </c>
      <c r="J174" s="75">
        <v>180754.30000000002</v>
      </c>
      <c r="K174" s="75">
        <v>23565.600000000002</v>
      </c>
      <c r="L174" s="75">
        <f t="shared" ref="L174:L177" si="31">SUM(J174:K174)</f>
        <v>204319.90000000002</v>
      </c>
      <c r="M174" s="81" t="s">
        <v>42</v>
      </c>
      <c r="N174" s="79">
        <v>32252.799999999999</v>
      </c>
      <c r="O174" s="79">
        <v>332752.2</v>
      </c>
      <c r="P174" s="75">
        <v>91773</v>
      </c>
      <c r="Q174" s="79">
        <v>-3366.1</v>
      </c>
      <c r="R174" s="80">
        <f>1485.3+10173.2</f>
        <v>11658.5</v>
      </c>
      <c r="S174" s="79">
        <f t="shared" si="29"/>
        <v>1192756.0999999999</v>
      </c>
      <c r="T174" s="83"/>
    </row>
    <row r="175" spans="1:20" s="76" customFormat="1" ht="15" customHeight="1" x14ac:dyDescent="0.25">
      <c r="A175" s="78" t="s">
        <v>73</v>
      </c>
      <c r="B175" s="75">
        <v>289035.90000000002</v>
      </c>
      <c r="C175" s="79">
        <v>161445.5</v>
      </c>
      <c r="D175" s="75">
        <v>1731.9</v>
      </c>
      <c r="E175" s="75">
        <v>8725.2999999999993</v>
      </c>
      <c r="F175" s="75">
        <v>19832.3</v>
      </c>
      <c r="G175" s="75">
        <v>0.7</v>
      </c>
      <c r="H175" s="80">
        <f>2097.6+31650.7</f>
        <v>33748.300000000003</v>
      </c>
      <c r="I175" s="75">
        <f>SUM(B175:H175)</f>
        <v>514519.9</v>
      </c>
      <c r="J175" s="75">
        <v>208945.8</v>
      </c>
      <c r="K175" s="75">
        <v>20303.7</v>
      </c>
      <c r="L175" s="75">
        <f t="shared" si="31"/>
        <v>229249.5</v>
      </c>
      <c r="M175" s="81" t="s">
        <v>42</v>
      </c>
      <c r="N175" s="79">
        <v>16128.3</v>
      </c>
      <c r="O175" s="79">
        <v>338942.8</v>
      </c>
      <c r="P175" s="75">
        <v>94971.6</v>
      </c>
      <c r="Q175" s="79">
        <v>-1820.2</v>
      </c>
      <c r="R175" s="80">
        <f>17579.4+1513.9</f>
        <v>19093.300000000003</v>
      </c>
      <c r="S175" s="79">
        <f t="shared" si="29"/>
        <v>1211085.2000000002</v>
      </c>
      <c r="T175" s="84"/>
    </row>
    <row r="176" spans="1:20" s="76" customFormat="1" ht="15" customHeight="1" x14ac:dyDescent="0.25">
      <c r="A176" s="78" t="s">
        <v>74</v>
      </c>
      <c r="B176" s="75">
        <v>290455.59999999998</v>
      </c>
      <c r="C176" s="79">
        <v>161605.9</v>
      </c>
      <c r="D176" s="75">
        <v>2342.8000000000002</v>
      </c>
      <c r="E176" s="75">
        <v>9104.7999999999993</v>
      </c>
      <c r="F176" s="75">
        <v>20719.8</v>
      </c>
      <c r="G176" s="75">
        <v>15.6</v>
      </c>
      <c r="H176" s="80">
        <f>1580.2+30565.1</f>
        <v>32145.3</v>
      </c>
      <c r="I176" s="75">
        <f>SUM(B176:H176)</f>
        <v>516389.79999999993</v>
      </c>
      <c r="J176" s="75">
        <v>215045.8</v>
      </c>
      <c r="K176" s="75">
        <v>27672</v>
      </c>
      <c r="L176" s="75">
        <f t="shared" si="31"/>
        <v>242717.8</v>
      </c>
      <c r="M176" s="81" t="s">
        <v>42</v>
      </c>
      <c r="N176" s="79">
        <v>15512</v>
      </c>
      <c r="O176" s="79">
        <v>336478.4</v>
      </c>
      <c r="P176" s="75">
        <v>94971.6</v>
      </c>
      <c r="Q176" s="79">
        <v>-3812.7</v>
      </c>
      <c r="R176" s="80">
        <f>21257.2+1663.4</f>
        <v>22920.600000000002</v>
      </c>
      <c r="S176" s="79">
        <f t="shared" si="29"/>
        <v>1225177.5000000002</v>
      </c>
      <c r="T176" s="84"/>
    </row>
    <row r="177" spans="1:20" s="76" customFormat="1" ht="15" customHeight="1" x14ac:dyDescent="0.25">
      <c r="A177" s="78" t="s">
        <v>59</v>
      </c>
      <c r="B177" s="75">
        <v>308146.5</v>
      </c>
      <c r="C177" s="79">
        <v>221165.7</v>
      </c>
      <c r="D177" s="75">
        <v>2169.6</v>
      </c>
      <c r="E177" s="75">
        <v>2679.8</v>
      </c>
      <c r="F177" s="75">
        <v>18075.599999999999</v>
      </c>
      <c r="G177" s="75">
        <v>20</v>
      </c>
      <c r="H177" s="80">
        <f>1575.7+28852.2</f>
        <v>30427.9</v>
      </c>
      <c r="I177" s="75">
        <f>SUM(B177:H177)</f>
        <v>582685.1</v>
      </c>
      <c r="J177" s="75">
        <v>227053.6</v>
      </c>
      <c r="K177" s="75">
        <v>29704.1</v>
      </c>
      <c r="L177" s="75">
        <f t="shared" si="31"/>
        <v>256757.7</v>
      </c>
      <c r="M177" s="81" t="s">
        <v>42</v>
      </c>
      <c r="N177" s="79">
        <v>17665.900000000001</v>
      </c>
      <c r="O177" s="79">
        <v>338555.6</v>
      </c>
      <c r="P177" s="75">
        <v>96208</v>
      </c>
      <c r="Q177" s="79">
        <v>6712.5</v>
      </c>
      <c r="R177" s="80">
        <f>9178.8+1534.8</f>
        <v>10713.599999999999</v>
      </c>
      <c r="S177" s="79">
        <f t="shared" si="29"/>
        <v>1309298.4000000001</v>
      </c>
      <c r="T177" s="84"/>
    </row>
    <row r="178" spans="1:20" s="76" customFormat="1" ht="15" customHeight="1" x14ac:dyDescent="0.25">
      <c r="A178" s="78"/>
      <c r="B178" s="75"/>
      <c r="C178" s="79"/>
      <c r="D178" s="75"/>
      <c r="E178" s="75"/>
      <c r="F178" s="75"/>
      <c r="G178" s="75"/>
      <c r="H178" s="80"/>
      <c r="I178" s="75"/>
      <c r="J178" s="75"/>
      <c r="K178" s="75"/>
      <c r="L178" s="75"/>
      <c r="M178" s="81"/>
      <c r="N178" s="79"/>
      <c r="O178" s="79"/>
      <c r="P178" s="75"/>
      <c r="Q178" s="79"/>
      <c r="R178" s="80"/>
      <c r="S178" s="79"/>
      <c r="T178" s="84"/>
    </row>
    <row r="179" spans="1:20" s="76" customFormat="1" ht="15" customHeight="1" x14ac:dyDescent="0.25">
      <c r="A179" s="78" t="s">
        <v>98</v>
      </c>
      <c r="B179" s="75">
        <v>293218</v>
      </c>
      <c r="C179" s="79">
        <v>203592.7</v>
      </c>
      <c r="D179" s="75">
        <v>1738.6</v>
      </c>
      <c r="E179" s="75">
        <v>9511.6</v>
      </c>
      <c r="F179" s="75">
        <v>21108.400000000001</v>
      </c>
      <c r="G179" s="75">
        <v>10.4</v>
      </c>
      <c r="H179" s="80">
        <f>2448.4+28764.2</f>
        <v>31212.600000000002</v>
      </c>
      <c r="I179" s="75">
        <f>SUM(B179:H179)</f>
        <v>560392.29999999993</v>
      </c>
      <c r="J179" s="75">
        <v>218313.60000000003</v>
      </c>
      <c r="K179" s="75">
        <v>31606.1</v>
      </c>
      <c r="L179" s="75">
        <f t="shared" ref="L179:L181" si="32">SUM(J179:K179)</f>
        <v>249919.70000000004</v>
      </c>
      <c r="M179" s="81" t="s">
        <v>42</v>
      </c>
      <c r="N179" s="79">
        <v>25105.7</v>
      </c>
      <c r="O179" s="79">
        <v>340558</v>
      </c>
      <c r="P179" s="75">
        <v>96208</v>
      </c>
      <c r="Q179" s="79">
        <v>-9844.7000000000007</v>
      </c>
      <c r="R179" s="80">
        <f>8347.1+1557</f>
        <v>9904.1</v>
      </c>
      <c r="S179" s="79">
        <f t="shared" ref="S179:S181" si="33">SUM(I179,L179:O179,R179,P179,Q179)</f>
        <v>1272243.1000000001</v>
      </c>
      <c r="T179" s="84"/>
    </row>
    <row r="180" spans="1:20" s="76" customFormat="1" ht="15" customHeight="1" x14ac:dyDescent="0.25">
      <c r="A180" s="85" t="s">
        <v>99</v>
      </c>
      <c r="B180" s="75">
        <v>298489.90000000002</v>
      </c>
      <c r="C180" s="75">
        <v>188388</v>
      </c>
      <c r="D180" s="75">
        <v>3051.2</v>
      </c>
      <c r="E180" s="75">
        <v>9623.2000000000007</v>
      </c>
      <c r="F180" s="75">
        <v>12736.9</v>
      </c>
      <c r="G180" s="75">
        <v>16.2</v>
      </c>
      <c r="H180" s="75">
        <f>3594.9+29079.4</f>
        <v>32674.300000000003</v>
      </c>
      <c r="I180" s="75">
        <f>SUM(B180:H180)</f>
        <v>544979.70000000007</v>
      </c>
      <c r="J180" s="75">
        <v>218866.3</v>
      </c>
      <c r="K180" s="75">
        <v>34747.9</v>
      </c>
      <c r="L180" s="75">
        <f t="shared" si="32"/>
        <v>253614.19999999998</v>
      </c>
      <c r="M180" s="75" t="s">
        <v>42</v>
      </c>
      <c r="N180" s="75">
        <v>28298.5</v>
      </c>
      <c r="O180" s="75">
        <v>338999.5</v>
      </c>
      <c r="P180" s="75">
        <v>94497.7</v>
      </c>
      <c r="Q180" s="75">
        <v>-6948</v>
      </c>
      <c r="R180" s="75">
        <f>12438.9+1568.1</f>
        <v>14007</v>
      </c>
      <c r="S180" s="75">
        <f t="shared" si="33"/>
        <v>1267448.5999999999</v>
      </c>
      <c r="T180" s="84"/>
    </row>
    <row r="181" spans="1:20" s="75" customFormat="1" ht="15" customHeight="1" x14ac:dyDescent="0.2">
      <c r="A181" s="85" t="s">
        <v>68</v>
      </c>
      <c r="B181" s="75">
        <v>302042.8</v>
      </c>
      <c r="C181" s="75">
        <v>151882.29999999999</v>
      </c>
      <c r="D181" s="75">
        <v>1222.4000000000001</v>
      </c>
      <c r="E181" s="75">
        <v>12465.9</v>
      </c>
      <c r="F181" s="75">
        <v>18559.900000000001</v>
      </c>
      <c r="G181" s="75">
        <v>19.3</v>
      </c>
      <c r="H181" s="75">
        <f>30110.2+2368.4</f>
        <v>32478.600000000002</v>
      </c>
      <c r="I181" s="75">
        <f>SUM(B181:H181)</f>
        <v>518671.2</v>
      </c>
      <c r="J181" s="75">
        <v>218875.6</v>
      </c>
      <c r="K181" s="75">
        <v>34464.1</v>
      </c>
      <c r="L181" s="75">
        <f t="shared" si="32"/>
        <v>253339.7</v>
      </c>
      <c r="M181" s="75" t="s">
        <v>42</v>
      </c>
      <c r="N181" s="75">
        <v>25616.3</v>
      </c>
      <c r="O181" s="75">
        <v>334143.8</v>
      </c>
      <c r="P181" s="75">
        <v>94216</v>
      </c>
      <c r="Q181" s="75">
        <v>-4198.5</v>
      </c>
      <c r="R181" s="75">
        <f>7811.4+1615.5</f>
        <v>9426.9</v>
      </c>
      <c r="S181" s="75">
        <f t="shared" si="33"/>
        <v>1231215.3999999999</v>
      </c>
    </row>
    <row r="182" spans="1:20" s="87" customFormat="1" ht="15" customHeight="1" x14ac:dyDescent="0.2">
      <c r="A182" s="86" t="s">
        <v>69</v>
      </c>
      <c r="B182" s="75">
        <v>300253.3</v>
      </c>
      <c r="C182" s="75">
        <v>200369.1</v>
      </c>
      <c r="D182" s="75">
        <v>1233.4000000000001</v>
      </c>
      <c r="E182" s="75">
        <v>11112.6</v>
      </c>
      <c r="F182" s="75">
        <v>14744.399999999998</v>
      </c>
      <c r="G182" s="75">
        <v>10.7</v>
      </c>
      <c r="H182" s="75">
        <v>34299.9</v>
      </c>
      <c r="I182" s="75">
        <v>562023.4</v>
      </c>
      <c r="J182" s="75">
        <v>236621.9</v>
      </c>
      <c r="K182" s="75">
        <v>39005</v>
      </c>
      <c r="L182" s="75">
        <v>275626.90000000002</v>
      </c>
      <c r="M182" s="75" t="s">
        <v>42</v>
      </c>
      <c r="N182" s="75">
        <v>26193</v>
      </c>
      <c r="O182" s="75">
        <v>330829.40000000002</v>
      </c>
      <c r="P182" s="75">
        <v>94212.9</v>
      </c>
      <c r="Q182" s="75">
        <v>-3064.5999999999995</v>
      </c>
      <c r="R182" s="75">
        <v>10211.300000000001</v>
      </c>
      <c r="S182" s="75">
        <v>1296032.3</v>
      </c>
    </row>
    <row r="183" spans="1:20" s="70" customFormat="1" x14ac:dyDescent="0.2">
      <c r="A183" s="88"/>
      <c r="B183" s="89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spans="1:20" ht="21.75" customHeight="1" x14ac:dyDescent="0.2">
      <c r="A184" s="90" t="s">
        <v>100</v>
      </c>
      <c r="B184" s="91"/>
      <c r="C184" s="91"/>
      <c r="D184" s="91"/>
      <c r="E184" s="91"/>
      <c r="F184" s="91"/>
      <c r="G184" s="92"/>
      <c r="H184" s="92"/>
      <c r="I184" s="91"/>
      <c r="J184" s="92"/>
      <c r="K184" s="91"/>
      <c r="L184" s="91"/>
      <c r="M184" s="91"/>
      <c r="N184" s="91"/>
      <c r="O184" s="91"/>
      <c r="P184" s="93"/>
      <c r="Q184" s="93"/>
      <c r="R184" s="91"/>
      <c r="S184" s="94"/>
    </row>
    <row r="185" spans="1:20" x14ac:dyDescent="0.2">
      <c r="A185" s="70"/>
      <c r="B185" s="36"/>
      <c r="C185" s="36"/>
      <c r="D185" s="36"/>
      <c r="E185" s="36"/>
      <c r="F185" s="36"/>
      <c r="G185" s="95"/>
      <c r="H185" s="95"/>
      <c r="I185" s="36"/>
      <c r="J185" s="95"/>
      <c r="K185" s="36"/>
      <c r="L185" s="36"/>
      <c r="M185" s="36"/>
      <c r="N185" s="36"/>
      <c r="O185" s="36"/>
      <c r="P185" s="96"/>
      <c r="R185" s="36"/>
      <c r="S185" s="36"/>
    </row>
    <row r="186" spans="1:20" x14ac:dyDescent="0.2">
      <c r="B186" s="36"/>
    </row>
  </sheetData>
  <mergeCells count="4">
    <mergeCell ref="B2:R2"/>
    <mergeCell ref="B3:R3"/>
    <mergeCell ref="B6:I6"/>
    <mergeCell ref="J6:L6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II_2_2 Liabilities BRB</vt:lpstr>
      <vt:lpstr>'II_2_2 Liabilities BRB'!Print_Area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2018-07-17T06:30:01Z</dcterms:created>
  <dcterms:modified xsi:type="dcterms:W3CDTF">2018-07-17T06:30:16Z</dcterms:modified>
</cp:coreProperties>
</file>