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1251\Desktop\STA_DOC\Bullet_trans_stella\bulletin_avril2018_anglais\Money&amp;credit\"/>
    </mc:Choice>
  </mc:AlternateContent>
  <bookViews>
    <workbookView xWindow="0" yWindow="0" windowWidth="24000" windowHeight="10425"/>
  </bookViews>
  <sheets>
    <sheet name="II_5_1 Assets MS" sheetId="1" r:id="rId1"/>
  </sheets>
  <definedNames>
    <definedName name="_xlnm.Print_Area" localSheetId="0">'II_5_1 Assets MS'!$A$1:$W$187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80" i="1" l="1"/>
  <c r="Q180" i="1"/>
  <c r="T180" i="1" s="1"/>
  <c r="I180" i="1"/>
  <c r="L180" i="1" s="1"/>
  <c r="O180" i="1" s="1"/>
  <c r="G180" i="1"/>
  <c r="C180" i="1"/>
  <c r="E180" i="1" s="1"/>
  <c r="B180" i="1"/>
  <c r="T179" i="1"/>
  <c r="I179" i="1"/>
  <c r="G179" i="1"/>
  <c r="L179" i="1" s="1"/>
  <c r="O179" i="1" s="1"/>
  <c r="V179" i="1" s="1"/>
  <c r="C179" i="1"/>
  <c r="B179" i="1"/>
  <c r="E179" i="1" s="1"/>
  <c r="W179" i="1" s="1"/>
  <c r="Q178" i="1"/>
  <c r="T178" i="1" s="1"/>
  <c r="I178" i="1"/>
  <c r="G178" i="1"/>
  <c r="L178" i="1" s="1"/>
  <c r="O178" i="1" s="1"/>
  <c r="C178" i="1"/>
  <c r="E178" i="1" s="1"/>
  <c r="B178" i="1"/>
  <c r="Q176" i="1"/>
  <c r="T176" i="1" s="1"/>
  <c r="G176" i="1"/>
  <c r="L176" i="1" s="1"/>
  <c r="O176" i="1" s="1"/>
  <c r="V176" i="1" s="1"/>
  <c r="C176" i="1"/>
  <c r="B176" i="1"/>
  <c r="E176" i="1" s="1"/>
  <c r="Q175" i="1"/>
  <c r="T175" i="1" s="1"/>
  <c r="O175" i="1"/>
  <c r="V175" i="1" s="1"/>
  <c r="L175" i="1"/>
  <c r="G175" i="1"/>
  <c r="C175" i="1"/>
  <c r="B175" i="1"/>
  <c r="E175" i="1" s="1"/>
  <c r="W175" i="1" s="1"/>
  <c r="T174" i="1"/>
  <c r="Q174" i="1"/>
  <c r="L174" i="1"/>
  <c r="O174" i="1" s="1"/>
  <c r="V174" i="1" s="1"/>
  <c r="G174" i="1"/>
  <c r="C174" i="1"/>
  <c r="B174" i="1"/>
  <c r="E174" i="1" s="1"/>
  <c r="W174" i="1" s="1"/>
  <c r="T173" i="1"/>
  <c r="G173" i="1"/>
  <c r="L173" i="1" s="1"/>
  <c r="O173" i="1" s="1"/>
  <c r="V173" i="1" s="1"/>
  <c r="W173" i="1" s="1"/>
  <c r="E173" i="1"/>
  <c r="T172" i="1"/>
  <c r="L172" i="1"/>
  <c r="O172" i="1" s="1"/>
  <c r="V172" i="1" s="1"/>
  <c r="W172" i="1" s="1"/>
  <c r="G172" i="1"/>
  <c r="E172" i="1"/>
  <c r="T171" i="1"/>
  <c r="G171" i="1"/>
  <c r="L171" i="1" s="1"/>
  <c r="O171" i="1" s="1"/>
  <c r="V171" i="1" s="1"/>
  <c r="W171" i="1" s="1"/>
  <c r="E171" i="1"/>
  <c r="Q170" i="1"/>
  <c r="T170" i="1" s="1"/>
  <c r="G170" i="1"/>
  <c r="L170" i="1" s="1"/>
  <c r="O170" i="1" s="1"/>
  <c r="V170" i="1" s="1"/>
  <c r="W170" i="1" s="1"/>
  <c r="E170" i="1"/>
  <c r="Q169" i="1"/>
  <c r="T169" i="1" s="1"/>
  <c r="G169" i="1"/>
  <c r="L169" i="1" s="1"/>
  <c r="O169" i="1" s="1"/>
  <c r="E169" i="1"/>
  <c r="Q168" i="1"/>
  <c r="T168" i="1" s="1"/>
  <c r="G168" i="1"/>
  <c r="L168" i="1" s="1"/>
  <c r="O168" i="1" s="1"/>
  <c r="V168" i="1" s="1"/>
  <c r="W168" i="1" s="1"/>
  <c r="E168" i="1"/>
  <c r="T167" i="1"/>
  <c r="O167" i="1"/>
  <c r="V167" i="1" s="1"/>
  <c r="W167" i="1" s="1"/>
  <c r="L167" i="1"/>
  <c r="E167" i="1"/>
  <c r="T166" i="1"/>
  <c r="L166" i="1"/>
  <c r="O166" i="1" s="1"/>
  <c r="V166" i="1" s="1"/>
  <c r="E166" i="1"/>
  <c r="W166" i="1" s="1"/>
  <c r="T165" i="1"/>
  <c r="L165" i="1"/>
  <c r="O165" i="1" s="1"/>
  <c r="V165" i="1" s="1"/>
  <c r="E165" i="1"/>
  <c r="T163" i="1"/>
  <c r="L163" i="1"/>
  <c r="O163" i="1" s="1"/>
  <c r="V163" i="1" s="1"/>
  <c r="W163" i="1" s="1"/>
  <c r="E163" i="1"/>
  <c r="T162" i="1"/>
  <c r="O162" i="1"/>
  <c r="V162" i="1" s="1"/>
  <c r="W162" i="1" s="1"/>
  <c r="L162" i="1"/>
  <c r="E162" i="1"/>
  <c r="T161" i="1"/>
  <c r="L161" i="1"/>
  <c r="O161" i="1" s="1"/>
  <c r="V161" i="1" s="1"/>
  <c r="E161" i="1"/>
  <c r="W161" i="1" s="1"/>
  <c r="T160" i="1"/>
  <c r="L160" i="1"/>
  <c r="O160" i="1" s="1"/>
  <c r="V160" i="1" s="1"/>
  <c r="E160" i="1"/>
  <c r="W160" i="1" s="1"/>
  <c r="T159" i="1"/>
  <c r="L159" i="1"/>
  <c r="O159" i="1" s="1"/>
  <c r="V159" i="1" s="1"/>
  <c r="W159" i="1" s="1"/>
  <c r="E159" i="1"/>
  <c r="T158" i="1"/>
  <c r="O158" i="1"/>
  <c r="V158" i="1" s="1"/>
  <c r="W158" i="1" s="1"/>
  <c r="L158" i="1"/>
  <c r="E158" i="1"/>
  <c r="T157" i="1"/>
  <c r="L157" i="1"/>
  <c r="O157" i="1" s="1"/>
  <c r="V157" i="1" s="1"/>
  <c r="E157" i="1"/>
  <c r="W157" i="1" s="1"/>
  <c r="T156" i="1"/>
  <c r="L156" i="1"/>
  <c r="O156" i="1" s="1"/>
  <c r="V156" i="1" s="1"/>
  <c r="E156" i="1"/>
  <c r="W156" i="1" s="1"/>
  <c r="T155" i="1"/>
  <c r="L155" i="1"/>
  <c r="O155" i="1" s="1"/>
  <c r="V155" i="1" s="1"/>
  <c r="W155" i="1" s="1"/>
  <c r="E155" i="1"/>
  <c r="T154" i="1"/>
  <c r="O154" i="1"/>
  <c r="V154" i="1" s="1"/>
  <c r="W154" i="1" s="1"/>
  <c r="L154" i="1"/>
  <c r="E154" i="1"/>
  <c r="T153" i="1"/>
  <c r="L153" i="1"/>
  <c r="O153" i="1" s="1"/>
  <c r="V153" i="1" s="1"/>
  <c r="E153" i="1"/>
  <c r="W153" i="1" s="1"/>
  <c r="T152" i="1"/>
  <c r="L152" i="1"/>
  <c r="O152" i="1" s="1"/>
  <c r="V152" i="1" s="1"/>
  <c r="E152" i="1"/>
  <c r="W152" i="1" s="1"/>
  <c r="T150" i="1"/>
  <c r="L150" i="1"/>
  <c r="O150" i="1" s="1"/>
  <c r="V150" i="1" s="1"/>
  <c r="W150" i="1" s="1"/>
  <c r="E150" i="1"/>
  <c r="T149" i="1"/>
  <c r="O149" i="1"/>
  <c r="V149" i="1" s="1"/>
  <c r="W149" i="1" s="1"/>
  <c r="L149" i="1"/>
  <c r="E149" i="1"/>
  <c r="T148" i="1"/>
  <c r="L148" i="1"/>
  <c r="O148" i="1" s="1"/>
  <c r="V148" i="1" s="1"/>
  <c r="E148" i="1"/>
  <c r="W148" i="1" s="1"/>
  <c r="T147" i="1"/>
  <c r="L147" i="1"/>
  <c r="O147" i="1" s="1"/>
  <c r="V147" i="1" s="1"/>
  <c r="E147" i="1"/>
  <c r="W147" i="1" s="1"/>
  <c r="T146" i="1"/>
  <c r="L146" i="1"/>
  <c r="O146" i="1" s="1"/>
  <c r="V146" i="1" s="1"/>
  <c r="W146" i="1" s="1"/>
  <c r="E146" i="1"/>
  <c r="T145" i="1"/>
  <c r="O145" i="1"/>
  <c r="V145" i="1" s="1"/>
  <c r="W145" i="1" s="1"/>
  <c r="L145" i="1"/>
  <c r="E145" i="1"/>
  <c r="T144" i="1"/>
  <c r="L144" i="1"/>
  <c r="O144" i="1" s="1"/>
  <c r="V144" i="1" s="1"/>
  <c r="E144" i="1"/>
  <c r="T143" i="1"/>
  <c r="L143" i="1"/>
  <c r="O143" i="1" s="1"/>
  <c r="V143" i="1" s="1"/>
  <c r="E143" i="1"/>
  <c r="W143" i="1" s="1"/>
  <c r="T142" i="1"/>
  <c r="L142" i="1"/>
  <c r="O142" i="1" s="1"/>
  <c r="V142" i="1" s="1"/>
  <c r="W142" i="1" s="1"/>
  <c r="E142" i="1"/>
  <c r="T141" i="1"/>
  <c r="O141" i="1"/>
  <c r="V141" i="1" s="1"/>
  <c r="W141" i="1" s="1"/>
  <c r="L141" i="1"/>
  <c r="E141" i="1"/>
  <c r="T140" i="1"/>
  <c r="L140" i="1"/>
  <c r="O140" i="1" s="1"/>
  <c r="V140" i="1" s="1"/>
  <c r="E140" i="1"/>
  <c r="W140" i="1" s="1"/>
  <c r="T139" i="1"/>
  <c r="L139" i="1"/>
  <c r="O139" i="1" s="1"/>
  <c r="V139" i="1" s="1"/>
  <c r="E139" i="1"/>
  <c r="T137" i="1"/>
  <c r="L137" i="1"/>
  <c r="O137" i="1" s="1"/>
  <c r="V137" i="1" s="1"/>
  <c r="W137" i="1" s="1"/>
  <c r="E137" i="1"/>
  <c r="T136" i="1"/>
  <c r="O136" i="1"/>
  <c r="V136" i="1" s="1"/>
  <c r="W136" i="1" s="1"/>
  <c r="L136" i="1"/>
  <c r="E136" i="1"/>
  <c r="T135" i="1"/>
  <c r="L135" i="1"/>
  <c r="O135" i="1" s="1"/>
  <c r="V135" i="1" s="1"/>
  <c r="E135" i="1"/>
  <c r="T134" i="1"/>
  <c r="L134" i="1"/>
  <c r="O134" i="1" s="1"/>
  <c r="V134" i="1" s="1"/>
  <c r="E134" i="1"/>
  <c r="W134" i="1" s="1"/>
  <c r="T133" i="1"/>
  <c r="L133" i="1"/>
  <c r="O133" i="1" s="1"/>
  <c r="V133" i="1" s="1"/>
  <c r="W133" i="1" s="1"/>
  <c r="E133" i="1"/>
  <c r="T132" i="1"/>
  <c r="O132" i="1"/>
  <c r="V132" i="1" s="1"/>
  <c r="W132" i="1" s="1"/>
  <c r="L132" i="1"/>
  <c r="E132" i="1"/>
  <c r="T131" i="1"/>
  <c r="L131" i="1"/>
  <c r="O131" i="1" s="1"/>
  <c r="V131" i="1" s="1"/>
  <c r="E131" i="1"/>
  <c r="W131" i="1" s="1"/>
  <c r="T130" i="1"/>
  <c r="L130" i="1"/>
  <c r="O130" i="1" s="1"/>
  <c r="V130" i="1" s="1"/>
  <c r="E130" i="1"/>
  <c r="T129" i="1"/>
  <c r="L129" i="1"/>
  <c r="O129" i="1" s="1"/>
  <c r="V129" i="1" s="1"/>
  <c r="W129" i="1" s="1"/>
  <c r="E129" i="1"/>
  <c r="T128" i="1"/>
  <c r="O128" i="1"/>
  <c r="V128" i="1" s="1"/>
  <c r="W128" i="1" s="1"/>
  <c r="L128" i="1"/>
  <c r="E128" i="1"/>
  <c r="T127" i="1"/>
  <c r="L127" i="1"/>
  <c r="O127" i="1" s="1"/>
  <c r="V127" i="1" s="1"/>
  <c r="E127" i="1"/>
  <c r="T126" i="1"/>
  <c r="L126" i="1"/>
  <c r="O126" i="1" s="1"/>
  <c r="V126" i="1" s="1"/>
  <c r="E126" i="1"/>
  <c r="W126" i="1" s="1"/>
  <c r="T124" i="1"/>
  <c r="L124" i="1"/>
  <c r="O124" i="1" s="1"/>
  <c r="V124" i="1" s="1"/>
  <c r="W124" i="1" s="1"/>
  <c r="E124" i="1"/>
  <c r="T123" i="1"/>
  <c r="O123" i="1"/>
  <c r="V123" i="1" s="1"/>
  <c r="W123" i="1" s="1"/>
  <c r="L123" i="1"/>
  <c r="E123" i="1"/>
  <c r="T122" i="1"/>
  <c r="L122" i="1"/>
  <c r="O122" i="1" s="1"/>
  <c r="V122" i="1" s="1"/>
  <c r="E122" i="1"/>
  <c r="W122" i="1" s="1"/>
  <c r="T121" i="1"/>
  <c r="L121" i="1"/>
  <c r="O121" i="1" s="1"/>
  <c r="V121" i="1" s="1"/>
  <c r="E121" i="1"/>
  <c r="T120" i="1"/>
  <c r="L120" i="1"/>
  <c r="O120" i="1" s="1"/>
  <c r="V120" i="1" s="1"/>
  <c r="W120" i="1" s="1"/>
  <c r="E120" i="1"/>
  <c r="T119" i="1"/>
  <c r="O119" i="1"/>
  <c r="V119" i="1" s="1"/>
  <c r="W119" i="1" s="1"/>
  <c r="L119" i="1"/>
  <c r="E119" i="1"/>
  <c r="T118" i="1"/>
  <c r="L118" i="1"/>
  <c r="O118" i="1" s="1"/>
  <c r="V118" i="1" s="1"/>
  <c r="E118" i="1"/>
  <c r="W118" i="1" s="1"/>
  <c r="T117" i="1"/>
  <c r="L117" i="1"/>
  <c r="O117" i="1" s="1"/>
  <c r="V117" i="1" s="1"/>
  <c r="E117" i="1"/>
  <c r="W117" i="1" s="1"/>
  <c r="T116" i="1"/>
  <c r="L116" i="1"/>
  <c r="O116" i="1" s="1"/>
  <c r="V116" i="1" s="1"/>
  <c r="W116" i="1" s="1"/>
  <c r="E116" i="1"/>
  <c r="T115" i="1"/>
  <c r="O115" i="1"/>
  <c r="V115" i="1" s="1"/>
  <c r="W115" i="1" s="1"/>
  <c r="L115" i="1"/>
  <c r="E115" i="1"/>
  <c r="T114" i="1"/>
  <c r="L114" i="1"/>
  <c r="O114" i="1" s="1"/>
  <c r="V114" i="1" s="1"/>
  <c r="E114" i="1"/>
  <c r="W114" i="1" s="1"/>
  <c r="T113" i="1"/>
  <c r="L113" i="1"/>
  <c r="O113" i="1" s="1"/>
  <c r="V113" i="1" s="1"/>
  <c r="E113" i="1"/>
  <c r="W113" i="1" s="1"/>
  <c r="T111" i="1"/>
  <c r="L111" i="1"/>
  <c r="O111" i="1" s="1"/>
  <c r="V111" i="1" s="1"/>
  <c r="W111" i="1" s="1"/>
  <c r="E111" i="1"/>
  <c r="T110" i="1"/>
  <c r="O110" i="1"/>
  <c r="V110" i="1" s="1"/>
  <c r="W110" i="1" s="1"/>
  <c r="L110" i="1"/>
  <c r="E110" i="1"/>
  <c r="T109" i="1"/>
  <c r="L109" i="1"/>
  <c r="O109" i="1" s="1"/>
  <c r="V109" i="1" s="1"/>
  <c r="E109" i="1"/>
  <c r="T108" i="1"/>
  <c r="L108" i="1"/>
  <c r="O108" i="1" s="1"/>
  <c r="V108" i="1" s="1"/>
  <c r="E108" i="1"/>
  <c r="W108" i="1" s="1"/>
  <c r="T107" i="1"/>
  <c r="L107" i="1"/>
  <c r="O107" i="1" s="1"/>
  <c r="V107" i="1" s="1"/>
  <c r="W107" i="1" s="1"/>
  <c r="E107" i="1"/>
  <c r="T106" i="1"/>
  <c r="O106" i="1"/>
  <c r="V106" i="1" s="1"/>
  <c r="W106" i="1" s="1"/>
  <c r="L106" i="1"/>
  <c r="E106" i="1"/>
  <c r="T105" i="1"/>
  <c r="L105" i="1"/>
  <c r="O105" i="1" s="1"/>
  <c r="V105" i="1" s="1"/>
  <c r="E105" i="1"/>
  <c r="W105" i="1" s="1"/>
  <c r="T104" i="1"/>
  <c r="L104" i="1"/>
  <c r="O104" i="1" s="1"/>
  <c r="V104" i="1" s="1"/>
  <c r="E104" i="1"/>
  <c r="T103" i="1"/>
  <c r="L103" i="1"/>
  <c r="O103" i="1" s="1"/>
  <c r="V103" i="1" s="1"/>
  <c r="W103" i="1" s="1"/>
  <c r="E103" i="1"/>
  <c r="T102" i="1"/>
  <c r="O102" i="1"/>
  <c r="V102" i="1" s="1"/>
  <c r="W102" i="1" s="1"/>
  <c r="L102" i="1"/>
  <c r="E102" i="1"/>
  <c r="T101" i="1"/>
  <c r="L101" i="1"/>
  <c r="O101" i="1" s="1"/>
  <c r="V101" i="1" s="1"/>
  <c r="E101" i="1"/>
  <c r="T100" i="1"/>
  <c r="L100" i="1"/>
  <c r="O100" i="1" s="1"/>
  <c r="V100" i="1" s="1"/>
  <c r="E100" i="1"/>
  <c r="W100" i="1" s="1"/>
  <c r="T98" i="1"/>
  <c r="L98" i="1"/>
  <c r="O98" i="1" s="1"/>
  <c r="V98" i="1" s="1"/>
  <c r="W98" i="1" s="1"/>
  <c r="E98" i="1"/>
  <c r="T97" i="1"/>
  <c r="O97" i="1"/>
  <c r="V97" i="1" s="1"/>
  <c r="W97" i="1" s="1"/>
  <c r="L97" i="1"/>
  <c r="E97" i="1"/>
  <c r="T96" i="1"/>
  <c r="L96" i="1"/>
  <c r="O96" i="1" s="1"/>
  <c r="V96" i="1" s="1"/>
  <c r="E96" i="1"/>
  <c r="W96" i="1" s="1"/>
  <c r="T95" i="1"/>
  <c r="L95" i="1"/>
  <c r="O95" i="1" s="1"/>
  <c r="V95" i="1" s="1"/>
  <c r="E95" i="1"/>
  <c r="T94" i="1"/>
  <c r="L94" i="1"/>
  <c r="O94" i="1" s="1"/>
  <c r="V94" i="1" s="1"/>
  <c r="W94" i="1" s="1"/>
  <c r="E94" i="1"/>
  <c r="T93" i="1"/>
  <c r="O93" i="1"/>
  <c r="V93" i="1" s="1"/>
  <c r="W93" i="1" s="1"/>
  <c r="L93" i="1"/>
  <c r="E93" i="1"/>
  <c r="T92" i="1"/>
  <c r="L92" i="1"/>
  <c r="O92" i="1" s="1"/>
  <c r="V92" i="1" s="1"/>
  <c r="E92" i="1"/>
  <c r="T91" i="1"/>
  <c r="L91" i="1"/>
  <c r="O91" i="1" s="1"/>
  <c r="V91" i="1" s="1"/>
  <c r="E91" i="1"/>
  <c r="W91" i="1" s="1"/>
  <c r="T90" i="1"/>
  <c r="L90" i="1"/>
  <c r="O90" i="1" s="1"/>
  <c r="V90" i="1" s="1"/>
  <c r="W90" i="1" s="1"/>
  <c r="E90" i="1"/>
  <c r="T89" i="1"/>
  <c r="O89" i="1"/>
  <c r="V89" i="1" s="1"/>
  <c r="W89" i="1" s="1"/>
  <c r="L89" i="1"/>
  <c r="E89" i="1"/>
  <c r="T88" i="1"/>
  <c r="L88" i="1"/>
  <c r="O88" i="1" s="1"/>
  <c r="V88" i="1" s="1"/>
  <c r="E88" i="1"/>
  <c r="W88" i="1" s="1"/>
  <c r="T87" i="1"/>
  <c r="L87" i="1"/>
  <c r="O87" i="1" s="1"/>
  <c r="V87" i="1" s="1"/>
  <c r="E87" i="1"/>
  <c r="T85" i="1"/>
  <c r="L85" i="1"/>
  <c r="O85" i="1" s="1"/>
  <c r="V85" i="1" s="1"/>
  <c r="W85" i="1" s="1"/>
  <c r="E85" i="1"/>
  <c r="T84" i="1"/>
  <c r="O84" i="1"/>
  <c r="V84" i="1" s="1"/>
  <c r="W84" i="1" s="1"/>
  <c r="L84" i="1"/>
  <c r="E84" i="1"/>
  <c r="T83" i="1"/>
  <c r="L83" i="1"/>
  <c r="O83" i="1" s="1"/>
  <c r="V83" i="1" s="1"/>
  <c r="E83" i="1"/>
  <c r="W83" i="1" s="1"/>
  <c r="T82" i="1"/>
  <c r="L82" i="1"/>
  <c r="O82" i="1" s="1"/>
  <c r="V82" i="1" s="1"/>
  <c r="E82" i="1"/>
  <c r="W82" i="1" s="1"/>
  <c r="T81" i="1"/>
  <c r="L81" i="1"/>
  <c r="O81" i="1" s="1"/>
  <c r="V81" i="1" s="1"/>
  <c r="W81" i="1" s="1"/>
  <c r="E81" i="1"/>
  <c r="T80" i="1"/>
  <c r="O80" i="1"/>
  <c r="V80" i="1" s="1"/>
  <c r="W80" i="1" s="1"/>
  <c r="L80" i="1"/>
  <c r="E80" i="1"/>
  <c r="T79" i="1"/>
  <c r="L79" i="1"/>
  <c r="O79" i="1" s="1"/>
  <c r="V79" i="1" s="1"/>
  <c r="E79" i="1"/>
  <c r="T78" i="1"/>
  <c r="L78" i="1"/>
  <c r="O78" i="1" s="1"/>
  <c r="V78" i="1" s="1"/>
  <c r="E78" i="1"/>
  <c r="W78" i="1" s="1"/>
  <c r="T77" i="1"/>
  <c r="L77" i="1"/>
  <c r="O77" i="1" s="1"/>
  <c r="V77" i="1" s="1"/>
  <c r="W77" i="1" s="1"/>
  <c r="E77" i="1"/>
  <c r="T76" i="1"/>
  <c r="O76" i="1"/>
  <c r="V76" i="1" s="1"/>
  <c r="W76" i="1" s="1"/>
  <c r="L76" i="1"/>
  <c r="E76" i="1"/>
  <c r="T75" i="1"/>
  <c r="L75" i="1"/>
  <c r="O75" i="1" s="1"/>
  <c r="V75" i="1" s="1"/>
  <c r="E75" i="1"/>
  <c r="T74" i="1"/>
  <c r="L74" i="1"/>
  <c r="O74" i="1" s="1"/>
  <c r="V74" i="1" s="1"/>
  <c r="E74" i="1"/>
  <c r="T72" i="1"/>
  <c r="L72" i="1"/>
  <c r="O72" i="1" s="1"/>
  <c r="V72" i="1" s="1"/>
  <c r="W72" i="1" s="1"/>
  <c r="E72" i="1"/>
  <c r="T71" i="1"/>
  <c r="O71" i="1"/>
  <c r="V71" i="1" s="1"/>
  <c r="W71" i="1" s="1"/>
  <c r="L71" i="1"/>
  <c r="E71" i="1"/>
  <c r="T70" i="1"/>
  <c r="L70" i="1"/>
  <c r="O70" i="1" s="1"/>
  <c r="V70" i="1" s="1"/>
  <c r="E70" i="1"/>
  <c r="W70" i="1" s="1"/>
  <c r="T69" i="1"/>
  <c r="L69" i="1"/>
  <c r="O69" i="1" s="1"/>
  <c r="V69" i="1" s="1"/>
  <c r="W69" i="1" s="1"/>
  <c r="E69" i="1"/>
  <c r="T68" i="1"/>
  <c r="L68" i="1"/>
  <c r="O68" i="1" s="1"/>
  <c r="V68" i="1" s="1"/>
  <c r="W68" i="1" s="1"/>
  <c r="E68" i="1"/>
  <c r="T67" i="1"/>
  <c r="O67" i="1"/>
  <c r="V67" i="1" s="1"/>
  <c r="W67" i="1" s="1"/>
  <c r="L67" i="1"/>
  <c r="E67" i="1"/>
  <c r="T66" i="1"/>
  <c r="L66" i="1"/>
  <c r="O66" i="1" s="1"/>
  <c r="V66" i="1" s="1"/>
  <c r="E66" i="1"/>
  <c r="T65" i="1"/>
  <c r="L65" i="1"/>
  <c r="O65" i="1" s="1"/>
  <c r="V65" i="1" s="1"/>
  <c r="W65" i="1" s="1"/>
  <c r="E65" i="1"/>
  <c r="T64" i="1"/>
  <c r="L64" i="1"/>
  <c r="O64" i="1" s="1"/>
  <c r="V64" i="1" s="1"/>
  <c r="W64" i="1" s="1"/>
  <c r="E64" i="1"/>
  <c r="T63" i="1"/>
  <c r="O63" i="1"/>
  <c r="V63" i="1" s="1"/>
  <c r="W63" i="1" s="1"/>
  <c r="L63" i="1"/>
  <c r="E63" i="1"/>
  <c r="T62" i="1"/>
  <c r="L62" i="1"/>
  <c r="O62" i="1" s="1"/>
  <c r="V62" i="1" s="1"/>
  <c r="E62" i="1"/>
  <c r="W62" i="1" s="1"/>
  <c r="T61" i="1"/>
  <c r="L61" i="1"/>
  <c r="O61" i="1" s="1"/>
  <c r="V61" i="1" s="1"/>
  <c r="W61" i="1" s="1"/>
  <c r="E61" i="1"/>
  <c r="V59" i="1"/>
  <c r="W59" i="1" s="1"/>
  <c r="T59" i="1"/>
  <c r="O59" i="1"/>
  <c r="L59" i="1"/>
  <c r="E59" i="1"/>
  <c r="T58" i="1"/>
  <c r="O58" i="1"/>
  <c r="V58" i="1" s="1"/>
  <c r="L58" i="1"/>
  <c r="E58" i="1"/>
  <c r="T57" i="1"/>
  <c r="L57" i="1"/>
  <c r="O57" i="1" s="1"/>
  <c r="V57" i="1" s="1"/>
  <c r="E57" i="1"/>
  <c r="W57" i="1" s="1"/>
  <c r="T56" i="1"/>
  <c r="L56" i="1"/>
  <c r="O56" i="1" s="1"/>
  <c r="V56" i="1" s="1"/>
  <c r="W56" i="1" s="1"/>
  <c r="E56" i="1"/>
  <c r="V55" i="1"/>
  <c r="W55" i="1" s="1"/>
  <c r="T55" i="1"/>
  <c r="O55" i="1"/>
  <c r="L55" i="1"/>
  <c r="E55" i="1"/>
  <c r="T54" i="1"/>
  <c r="O54" i="1"/>
  <c r="V54" i="1" s="1"/>
  <c r="L54" i="1"/>
  <c r="E54" i="1"/>
  <c r="T53" i="1"/>
  <c r="L53" i="1"/>
  <c r="O53" i="1" s="1"/>
  <c r="V53" i="1" s="1"/>
  <c r="E53" i="1"/>
  <c r="W53" i="1" s="1"/>
  <c r="T52" i="1"/>
  <c r="L52" i="1"/>
  <c r="O52" i="1" s="1"/>
  <c r="V52" i="1" s="1"/>
  <c r="W52" i="1" s="1"/>
  <c r="E52" i="1"/>
  <c r="V51" i="1"/>
  <c r="W51" i="1" s="1"/>
  <c r="T51" i="1"/>
  <c r="O51" i="1"/>
  <c r="L51" i="1"/>
  <c r="E51" i="1"/>
  <c r="T50" i="1"/>
  <c r="O50" i="1"/>
  <c r="V50" i="1" s="1"/>
  <c r="L50" i="1"/>
  <c r="E50" i="1"/>
  <c r="W50" i="1" s="1"/>
  <c r="T49" i="1"/>
  <c r="L49" i="1"/>
  <c r="O49" i="1" s="1"/>
  <c r="V49" i="1" s="1"/>
  <c r="E49" i="1"/>
  <c r="T48" i="1"/>
  <c r="L48" i="1"/>
  <c r="O48" i="1" s="1"/>
  <c r="V48" i="1" s="1"/>
  <c r="W48" i="1" s="1"/>
  <c r="E48" i="1"/>
  <c r="R46" i="1"/>
  <c r="Q46" i="1"/>
  <c r="T46" i="1" s="1"/>
  <c r="I46" i="1"/>
  <c r="G46" i="1"/>
  <c r="L46" i="1" s="1"/>
  <c r="O46" i="1" s="1"/>
  <c r="E46" i="1"/>
  <c r="C46" i="1"/>
  <c r="B46" i="1"/>
  <c r="T23" i="1"/>
  <c r="L23" i="1"/>
  <c r="O23" i="1" s="1"/>
  <c r="V23" i="1" s="1"/>
  <c r="E23" i="1"/>
  <c r="W23" i="1" s="1"/>
  <c r="T22" i="1"/>
  <c r="L22" i="1"/>
  <c r="O22" i="1" s="1"/>
  <c r="V22" i="1" s="1"/>
  <c r="W22" i="1" s="1"/>
  <c r="E22" i="1"/>
  <c r="V21" i="1"/>
  <c r="W21" i="1" s="1"/>
  <c r="T21" i="1"/>
  <c r="O21" i="1"/>
  <c r="L21" i="1"/>
  <c r="E21" i="1"/>
  <c r="T20" i="1"/>
  <c r="O20" i="1"/>
  <c r="V20" i="1" s="1"/>
  <c r="L20" i="1"/>
  <c r="E20" i="1"/>
  <c r="W20" i="1" s="1"/>
  <c r="T19" i="1"/>
  <c r="L19" i="1"/>
  <c r="O19" i="1" s="1"/>
  <c r="V19" i="1" s="1"/>
  <c r="E19" i="1"/>
  <c r="T18" i="1"/>
  <c r="L18" i="1"/>
  <c r="O18" i="1" s="1"/>
  <c r="V18" i="1" s="1"/>
  <c r="W18" i="1" s="1"/>
  <c r="E18" i="1"/>
  <c r="W49" i="1" l="1"/>
  <c r="W87" i="1"/>
  <c r="W92" i="1"/>
  <c r="W121" i="1"/>
  <c r="W127" i="1"/>
  <c r="V169" i="1"/>
  <c r="W169" i="1" s="1"/>
  <c r="W178" i="1"/>
  <c r="V46" i="1"/>
  <c r="W46" i="1" s="1"/>
  <c r="W58" i="1"/>
  <c r="W74" i="1"/>
  <c r="W79" i="1"/>
  <c r="V178" i="1"/>
  <c r="W54" i="1"/>
  <c r="W66" i="1"/>
  <c r="W95" i="1"/>
  <c r="W101" i="1"/>
  <c r="W130" i="1"/>
  <c r="W135" i="1"/>
  <c r="W165" i="1"/>
  <c r="W176" i="1"/>
  <c r="W19" i="1"/>
  <c r="W75" i="1"/>
  <c r="W104" i="1"/>
  <c r="W109" i="1"/>
  <c r="W139" i="1"/>
  <c r="W144" i="1"/>
  <c r="V180" i="1"/>
  <c r="W180" i="1" s="1"/>
</calcChain>
</file>

<file path=xl/sharedStrings.xml><?xml version="1.0" encoding="utf-8"?>
<sst xmlns="http://schemas.openxmlformats.org/spreadsheetml/2006/main" count="427" uniqueCount="101">
  <si>
    <t>ASSETS</t>
  </si>
  <si>
    <t>MONETARY SURVEY</t>
  </si>
  <si>
    <t xml:space="preserve">   II.5.1</t>
  </si>
  <si>
    <t>( In million of BIF)</t>
  </si>
  <si>
    <t xml:space="preserve">    TOTAL</t>
  </si>
  <si>
    <t xml:space="preserve">          Description</t>
  </si>
  <si>
    <t xml:space="preserve">     NET FOREIGN ASSETS</t>
  </si>
  <si>
    <t>DOMESTIC CREDIT</t>
  </si>
  <si>
    <t xml:space="preserve"> </t>
  </si>
  <si>
    <t xml:space="preserve"> B.R.B.</t>
  </si>
  <si>
    <t xml:space="preserve">   commercial</t>
  </si>
  <si>
    <t>Microfinance</t>
  </si>
  <si>
    <t>Total</t>
  </si>
  <si>
    <t>Net claims on government</t>
  </si>
  <si>
    <t xml:space="preserve">      Claims on economy</t>
  </si>
  <si>
    <t>TOTAL</t>
  </si>
  <si>
    <t>banks</t>
  </si>
  <si>
    <t>institutions</t>
  </si>
  <si>
    <t>Period</t>
  </si>
  <si>
    <t>Government</t>
  </si>
  <si>
    <t>Treasury</t>
  </si>
  <si>
    <t>Certificats</t>
  </si>
  <si>
    <t>Other</t>
  </si>
  <si>
    <t>Special</t>
  </si>
  <si>
    <t>Rescheduled</t>
  </si>
  <si>
    <t xml:space="preserve">Total </t>
  </si>
  <si>
    <t>Local</t>
  </si>
  <si>
    <t>claims on</t>
  </si>
  <si>
    <t xml:space="preserve">  Total</t>
  </si>
  <si>
    <t>Overdraft</t>
  </si>
  <si>
    <t>bills and bonds</t>
  </si>
  <si>
    <t>du</t>
  </si>
  <si>
    <t>claims</t>
  </si>
  <si>
    <t>credit</t>
  </si>
  <si>
    <t>deposits</t>
  </si>
  <si>
    <t>government</t>
  </si>
  <si>
    <t>public</t>
  </si>
  <si>
    <t>private</t>
  </si>
  <si>
    <t>non financial</t>
  </si>
  <si>
    <t>sector</t>
  </si>
  <si>
    <t>corporations</t>
  </si>
  <si>
    <t>2008</t>
  </si>
  <si>
    <t>-</t>
  </si>
  <si>
    <t>2009</t>
  </si>
  <si>
    <t>2010</t>
  </si>
  <si>
    <t>2011</t>
  </si>
  <si>
    <t>2012</t>
  </si>
  <si>
    <t>2013</t>
  </si>
  <si>
    <t>2014</t>
  </si>
  <si>
    <t>2015</t>
  </si>
  <si>
    <t>2014 March</t>
  </si>
  <si>
    <t xml:space="preserve">         June</t>
  </si>
  <si>
    <t>2014 September</t>
  </si>
  <si>
    <t>2014 December</t>
  </si>
  <si>
    <t>2015 March</t>
  </si>
  <si>
    <t xml:space="preserve">          June</t>
  </si>
  <si>
    <t xml:space="preserve">          September</t>
  </si>
  <si>
    <t xml:space="preserve">          December</t>
  </si>
  <si>
    <t>2016 March</t>
  </si>
  <si>
    <t>2017 March</t>
  </si>
  <si>
    <t xml:space="preserve">        June</t>
  </si>
  <si>
    <t xml:space="preserve">        September</t>
  </si>
  <si>
    <t xml:space="preserve">        December</t>
  </si>
  <si>
    <t>2018 March</t>
  </si>
  <si>
    <t>2008 January</t>
  </si>
  <si>
    <t xml:space="preserve">          February        </t>
  </si>
  <si>
    <t xml:space="preserve">          March</t>
  </si>
  <si>
    <t xml:space="preserve">          April</t>
  </si>
  <si>
    <t xml:space="preserve">          May</t>
  </si>
  <si>
    <t xml:space="preserve">          Jully</t>
  </si>
  <si>
    <t xml:space="preserve">          August</t>
  </si>
  <si>
    <t xml:space="preserve">          October</t>
  </si>
  <si>
    <t xml:space="preserve">          November</t>
  </si>
  <si>
    <t>2009 January</t>
  </si>
  <si>
    <t>2010 January</t>
  </si>
  <si>
    <t>2011 January</t>
  </si>
  <si>
    <t>2012 January</t>
  </si>
  <si>
    <t>2013 January</t>
  </si>
  <si>
    <t>2014 January</t>
  </si>
  <si>
    <t>2015 January</t>
  </si>
  <si>
    <t xml:space="preserve">2015 February        </t>
  </si>
  <si>
    <t>2015  April</t>
  </si>
  <si>
    <t>2015   May</t>
  </si>
  <si>
    <t>2015  Jully</t>
  </si>
  <si>
    <t>2015  August</t>
  </si>
  <si>
    <t>2015 October</t>
  </si>
  <si>
    <t>2015 November</t>
  </si>
  <si>
    <t>2015 December</t>
  </si>
  <si>
    <t>2016 January</t>
  </si>
  <si>
    <t>2016 February</t>
  </si>
  <si>
    <t>2016 April</t>
  </si>
  <si>
    <t xml:space="preserve">          July</t>
  </si>
  <si>
    <t>2017 January</t>
  </si>
  <si>
    <t xml:space="preserve">          February</t>
  </si>
  <si>
    <r>
      <t>2018 January</t>
    </r>
    <r>
      <rPr>
        <vertAlign val="superscript"/>
        <sz val="11"/>
        <rFont val="Helv"/>
      </rPr>
      <t>(p)</t>
    </r>
  </si>
  <si>
    <r>
      <t xml:space="preserve">          February</t>
    </r>
    <r>
      <rPr>
        <vertAlign val="superscript"/>
        <sz val="11"/>
        <rFont val="Helv"/>
      </rPr>
      <t>(p)</t>
    </r>
  </si>
  <si>
    <r>
      <t xml:space="preserve">          March</t>
    </r>
    <r>
      <rPr>
        <vertAlign val="superscript"/>
        <sz val="11"/>
        <rFont val="Helv"/>
      </rPr>
      <t>(p)</t>
    </r>
  </si>
  <si>
    <t xml:space="preserve">          April (p)</t>
  </si>
  <si>
    <t>(p): Provisoire</t>
  </si>
  <si>
    <t>Source: Financial statement of BRB, Commercial banks, Deposit taking microfinance institutions (from December 2010) and CCP</t>
  </si>
  <si>
    <t>(p): Provisional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</si>
</sst>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\(#,##0.0\)"/>
    <numFmt numFmtId="165" formatCode="#,##0.0"/>
    <numFmt numFmtId="166" formatCode="0_)"/>
    <numFmt numFmtId="167" formatCode="0.0_)"/>
    <numFmt numFmtId="168" formatCode="_-* #,##0.00\ _F_-;\-* #,##0.00\ _F_-;_-* &quot;-&quot;??\ _F_-;_-@_-"/>
  </numFmts>
  <fonts count="7" x14ac:knownFonts="1">
    <font>
      <sz val="12"/>
      <name val="Helv"/>
    </font>
    <font>
      <sz val="12"/>
      <name val="Helv"/>
    </font>
    <font>
      <b/>
      <sz val="10"/>
      <name val="Helv"/>
    </font>
    <font>
      <sz val="10"/>
      <name val="Helv"/>
    </font>
    <font>
      <sz val="11"/>
      <name val="Courier New"/>
      <family val="3"/>
    </font>
    <font>
      <sz val="14"/>
      <name val="Helv"/>
    </font>
    <font>
      <vertAlign val="superscript"/>
      <sz val="11"/>
      <name val="Helv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164" fontId="0" fillId="0" borderId="0"/>
    <xf numFmtId="168" fontId="4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</cellStyleXfs>
  <cellXfs count="101">
    <xf numFmtId="164" fontId="0" fillId="0" borderId="0" xfId="0"/>
    <xf numFmtId="164" fontId="2" fillId="0" borderId="1" xfId="0" applyFont="1" applyBorder="1"/>
    <xf numFmtId="164" fontId="2" fillId="0" borderId="2" xfId="0" applyFont="1" applyBorder="1"/>
    <xf numFmtId="164" fontId="2" fillId="2" borderId="2" xfId="0" applyFont="1" applyFill="1" applyBorder="1"/>
    <xf numFmtId="164" fontId="3" fillId="0" borderId="3" xfId="0" applyFont="1" applyBorder="1"/>
    <xf numFmtId="164" fontId="3" fillId="0" borderId="0" xfId="0" applyFont="1"/>
    <xf numFmtId="164" fontId="3" fillId="0" borderId="4" xfId="0" applyFont="1" applyBorder="1" applyAlignment="1">
      <alignment horizontal="center"/>
    </xf>
    <xf numFmtId="164" fontId="2" fillId="0" borderId="0" xfId="0" applyNumberFormat="1" applyFont="1" applyBorder="1" applyAlignment="1" applyProtection="1">
      <alignment horizontal="left"/>
    </xf>
    <xf numFmtId="164" fontId="2" fillId="0" borderId="0" xfId="0" applyNumberFormat="1" applyFont="1" applyBorder="1" applyAlignment="1" applyProtection="1">
      <alignment horizontal="center" vertical="center"/>
    </xf>
    <xf numFmtId="164" fontId="2" fillId="0" borderId="5" xfId="0" applyNumberFormat="1" applyFont="1" applyBorder="1" applyAlignment="1" applyProtection="1">
      <alignment horizontal="left"/>
    </xf>
    <xf numFmtId="164" fontId="3" fillId="0" borderId="0" xfId="0" applyFont="1" applyAlignment="1">
      <alignment horizontal="center"/>
    </xf>
    <xf numFmtId="164" fontId="3" fillId="0" borderId="4" xfId="0" applyFont="1" applyBorder="1"/>
    <xf numFmtId="164" fontId="2" fillId="0" borderId="0" xfId="0" applyNumberFormat="1" applyFont="1" applyBorder="1" applyAlignment="1" applyProtection="1">
      <alignment vertical="center"/>
    </xf>
    <xf numFmtId="164" fontId="2" fillId="0" borderId="5" xfId="0" applyNumberFormat="1" applyFont="1" applyBorder="1" applyAlignment="1" applyProtection="1">
      <alignment vertical="center"/>
    </xf>
    <xf numFmtId="164" fontId="2" fillId="0" borderId="6" xfId="0" applyNumberFormat="1" applyFont="1" applyBorder="1" applyAlignment="1" applyProtection="1">
      <alignment horizontal="fill"/>
    </xf>
    <xf numFmtId="164" fontId="2" fillId="0" borderId="7" xfId="0" applyNumberFormat="1" applyFont="1" applyBorder="1" applyAlignment="1" applyProtection="1">
      <alignment horizontal="fill"/>
    </xf>
    <xf numFmtId="164" fontId="2" fillId="2" borderId="7" xfId="0" applyNumberFormat="1" applyFont="1" applyFill="1" applyBorder="1" applyAlignment="1" applyProtection="1">
      <alignment horizontal="fill"/>
    </xf>
    <xf numFmtId="164" fontId="2" fillId="0" borderId="8" xfId="0" applyNumberFormat="1" applyFont="1" applyBorder="1" applyAlignment="1" applyProtection="1">
      <alignment horizontal="fill"/>
    </xf>
    <xf numFmtId="164" fontId="3" fillId="0" borderId="0" xfId="0" applyNumberFormat="1" applyFont="1" applyAlignment="1" applyProtection="1">
      <alignment horizontal="left"/>
    </xf>
    <xf numFmtId="164" fontId="3" fillId="0" borderId="9" xfId="0" applyFont="1" applyBorder="1"/>
    <xf numFmtId="164" fontId="2" fillId="0" borderId="4" xfId="0" applyNumberFormat="1" applyFont="1" applyBorder="1" applyAlignment="1" applyProtection="1"/>
    <xf numFmtId="164" fontId="2" fillId="0" borderId="0" xfId="0" applyNumberFormat="1" applyFont="1" applyBorder="1" applyAlignment="1" applyProtection="1"/>
    <xf numFmtId="164" fontId="2" fillId="0" borderId="5" xfId="0" applyNumberFormat="1" applyFont="1" applyBorder="1" applyAlignment="1" applyProtection="1"/>
    <xf numFmtId="164" fontId="3" fillId="0" borderId="0" xfId="0" applyFont="1" applyBorder="1"/>
    <xf numFmtId="164" fontId="3" fillId="2" borderId="0" xfId="0" applyFont="1" applyFill="1" applyBorder="1"/>
    <xf numFmtId="164" fontId="3" fillId="0" borderId="5" xfId="0" applyFont="1" applyBorder="1"/>
    <xf numFmtId="164" fontId="2" fillId="0" borderId="5" xfId="0" applyNumberFormat="1" applyFont="1" applyBorder="1" applyAlignment="1" applyProtection="1">
      <alignment horizontal="center"/>
    </xf>
    <xf numFmtId="164" fontId="2" fillId="0" borderId="10" xfId="2" applyFont="1" applyBorder="1"/>
    <xf numFmtId="164" fontId="2" fillId="0" borderId="6" xfId="0" applyNumberFormat="1" applyFont="1" applyBorder="1" applyAlignment="1" applyProtection="1">
      <alignment horizontal="center"/>
    </xf>
    <xf numFmtId="164" fontId="2" fillId="0" borderId="7" xfId="0" applyNumberFormat="1" applyFont="1" applyBorder="1" applyAlignment="1" applyProtection="1">
      <alignment horizontal="center"/>
    </xf>
    <xf numFmtId="164" fontId="2" fillId="0" borderId="8" xfId="0" applyNumberFormat="1" applyFont="1" applyBorder="1" applyAlignment="1" applyProtection="1">
      <alignment horizontal="center"/>
    </xf>
    <xf numFmtId="164" fontId="2" fillId="0" borderId="10" xfId="0" applyFont="1" applyBorder="1"/>
    <xf numFmtId="164" fontId="3" fillId="0" borderId="10" xfId="0" applyFont="1" applyBorder="1"/>
    <xf numFmtId="164" fontId="3" fillId="0" borderId="1" xfId="0" applyFont="1" applyBorder="1"/>
    <xf numFmtId="164" fontId="3" fillId="0" borderId="2" xfId="0" applyFont="1" applyBorder="1"/>
    <xf numFmtId="164" fontId="3" fillId="2" borderId="2" xfId="0" applyFont="1" applyFill="1" applyBorder="1"/>
    <xf numFmtId="164" fontId="3" fillId="0" borderId="10" xfId="0" applyNumberFormat="1" applyFont="1" applyBorder="1" applyAlignment="1" applyProtection="1">
      <alignment horizontal="left"/>
    </xf>
    <xf numFmtId="164" fontId="2" fillId="0" borderId="10" xfId="0" applyNumberFormat="1" applyFont="1" applyBorder="1" applyAlignment="1" applyProtection="1">
      <alignment horizontal="left"/>
    </xf>
    <xf numFmtId="164" fontId="3" fillId="0" borderId="10" xfId="0" applyNumberFormat="1" applyFont="1" applyBorder="1" applyAlignment="1" applyProtection="1">
      <alignment horizontal="center"/>
    </xf>
    <xf numFmtId="164" fontId="3" fillId="0" borderId="5" xfId="0" applyNumberFormat="1" applyFont="1" applyBorder="1" applyAlignment="1" applyProtection="1">
      <alignment horizontal="left"/>
    </xf>
    <xf numFmtId="164" fontId="3" fillId="0" borderId="5" xfId="0" applyNumberFormat="1" applyFont="1" applyBorder="1" applyAlignment="1" applyProtection="1">
      <alignment horizontal="center" vertical="center"/>
    </xf>
    <xf numFmtId="164" fontId="3" fillId="0" borderId="4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3" fillId="0" borderId="5" xfId="0" applyNumberFormat="1" applyFont="1" applyBorder="1" applyAlignment="1" applyProtection="1">
      <alignment horizontal="center"/>
    </xf>
    <xf numFmtId="164" fontId="2" fillId="0" borderId="10" xfId="0" applyNumberFormat="1" applyFont="1" applyBorder="1" applyAlignment="1" applyProtection="1">
      <alignment horizontal="center"/>
    </xf>
    <xf numFmtId="164" fontId="3" fillId="0" borderId="5" xfId="0" applyNumberFormat="1" applyFont="1" applyBorder="1" applyAlignment="1" applyProtection="1">
      <alignment horizontal="center"/>
    </xf>
    <xf numFmtId="164" fontId="3" fillId="0" borderId="6" xfId="0" applyNumberFormat="1" applyFont="1" applyBorder="1" applyAlignment="1" applyProtection="1">
      <alignment horizontal="fill"/>
    </xf>
    <xf numFmtId="164" fontId="3" fillId="0" borderId="7" xfId="0" applyNumberFormat="1" applyFont="1" applyBorder="1" applyAlignment="1" applyProtection="1">
      <alignment horizontal="fill"/>
    </xf>
    <xf numFmtId="164" fontId="3" fillId="0" borderId="8" xfId="0" applyNumberFormat="1" applyFont="1" applyBorder="1" applyAlignment="1" applyProtection="1">
      <alignment horizontal="fill"/>
    </xf>
    <xf numFmtId="164" fontId="3" fillId="0" borderId="8" xfId="0" applyNumberFormat="1" applyFont="1" applyBorder="1" applyAlignment="1" applyProtection="1">
      <alignment horizontal="left"/>
    </xf>
    <xf numFmtId="164" fontId="3" fillId="2" borderId="7" xfId="0" applyNumberFormat="1" applyFont="1" applyFill="1" applyBorder="1" applyAlignment="1" applyProtection="1">
      <alignment horizontal="fill"/>
    </xf>
    <xf numFmtId="164" fontId="3" fillId="0" borderId="10" xfId="0" applyNumberFormat="1" applyFont="1" applyBorder="1" applyAlignment="1" applyProtection="1">
      <alignment horizontal="fill"/>
    </xf>
    <xf numFmtId="165" fontId="3" fillId="0" borderId="10" xfId="0" applyNumberFormat="1" applyFont="1" applyFill="1" applyBorder="1" applyAlignment="1" applyProtection="1">
      <alignment horizontal="right"/>
    </xf>
    <xf numFmtId="164" fontId="3" fillId="2" borderId="10" xfId="0" applyFont="1" applyFill="1" applyBorder="1"/>
    <xf numFmtId="164" fontId="2" fillId="0" borderId="10" xfId="3" applyFont="1" applyBorder="1"/>
    <xf numFmtId="164" fontId="3" fillId="0" borderId="4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3" fillId="0" borderId="1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11" xfId="0" applyNumberFormat="1" applyFont="1" applyBorder="1" applyAlignment="1" applyProtection="1">
      <alignment horizontal="fill"/>
    </xf>
    <xf numFmtId="165" fontId="3" fillId="0" borderId="11" xfId="0" applyNumberFormat="1" applyFont="1" applyFill="1" applyBorder="1" applyAlignment="1" applyProtection="1">
      <alignment horizontal="right"/>
    </xf>
    <xf numFmtId="164" fontId="3" fillId="0" borderId="11" xfId="0" applyFont="1" applyBorder="1"/>
    <xf numFmtId="164" fontId="3" fillId="0" borderId="6" xfId="0" applyFont="1" applyBorder="1"/>
    <xf numFmtId="164" fontId="3" fillId="0" borderId="7" xfId="0" applyNumberFormat="1" applyFont="1" applyBorder="1" applyAlignment="1" applyProtection="1">
      <alignment horizontal="center"/>
    </xf>
    <xf numFmtId="164" fontId="3" fillId="0" borderId="7" xfId="0" applyFont="1" applyBorder="1"/>
    <xf numFmtId="164" fontId="3" fillId="0" borderId="8" xfId="0" applyNumberFormat="1" applyFont="1" applyBorder="1" applyAlignment="1" applyProtection="1">
      <alignment horizontal="center"/>
    </xf>
    <xf numFmtId="164" fontId="3" fillId="0" borderId="11" xfId="0" applyNumberFormat="1" applyFont="1" applyBorder="1" applyAlignment="1" applyProtection="1">
      <alignment horizontal="center"/>
    </xf>
    <xf numFmtId="164" fontId="3" fillId="2" borderId="11" xfId="0" applyNumberFormat="1" applyFont="1" applyFill="1" applyBorder="1" applyAlignment="1" applyProtection="1">
      <alignment horizontal="center"/>
    </xf>
    <xf numFmtId="164" fontId="3" fillId="0" borderId="8" xfId="0" applyFont="1" applyBorder="1"/>
    <xf numFmtId="165" fontId="3" fillId="0" borderId="9" xfId="0" applyNumberFormat="1" applyFont="1" applyFill="1" applyBorder="1" applyAlignment="1" applyProtection="1">
      <alignment horizontal="right"/>
    </xf>
    <xf numFmtId="164" fontId="3" fillId="0" borderId="10" xfId="0" quotePrefix="1" applyNumberFormat="1" applyFont="1" applyFill="1" applyBorder="1" applyAlignment="1" applyProtection="1">
      <alignment horizontal="left"/>
    </xf>
    <xf numFmtId="164" fontId="3" fillId="0" borderId="0" xfId="0" applyFont="1" applyFill="1"/>
    <xf numFmtId="166" fontId="3" fillId="0" borderId="10" xfId="0" applyNumberFormat="1" applyFont="1" applyFill="1" applyBorder="1" applyAlignment="1" applyProtection="1">
      <alignment horizontal="left"/>
    </xf>
    <xf numFmtId="165" fontId="3" fillId="0" borderId="10" xfId="0" quotePrefix="1" applyNumberFormat="1" applyFont="1" applyFill="1" applyBorder="1" applyAlignment="1" applyProtection="1">
      <alignment horizontal="right"/>
    </xf>
    <xf numFmtId="165" fontId="3" fillId="0" borderId="0" xfId="0" quotePrefix="1" applyNumberFormat="1" applyFont="1" applyFill="1" applyBorder="1" applyAlignment="1" applyProtection="1">
      <alignment horizontal="right"/>
    </xf>
    <xf numFmtId="165" fontId="3" fillId="2" borderId="10" xfId="0" applyNumberFormat="1" applyFont="1" applyFill="1" applyBorder="1" applyAlignment="1" applyProtection="1">
      <alignment horizontal="right"/>
    </xf>
    <xf numFmtId="165" fontId="3" fillId="0" borderId="5" xfId="0" quotePrefix="1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167" fontId="3" fillId="0" borderId="0" xfId="0" applyNumberFormat="1" applyFont="1" applyProtection="1"/>
    <xf numFmtId="165" fontId="3" fillId="2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>
      <alignment horizontal="right"/>
    </xf>
    <xf numFmtId="167" fontId="3" fillId="0" borderId="10" xfId="0" applyNumberFormat="1" applyFont="1" applyFill="1" applyBorder="1" applyAlignment="1" applyProtection="1">
      <alignment horizontal="left"/>
    </xf>
    <xf numFmtId="164" fontId="3" fillId="0" borderId="10" xfId="0" applyNumberFormat="1" applyFont="1" applyFill="1" applyBorder="1" applyAlignment="1" applyProtection="1">
      <alignment horizontal="left"/>
    </xf>
    <xf numFmtId="164" fontId="3" fillId="2" borderId="10" xfId="0" applyNumberFormat="1" applyFont="1" applyFill="1" applyBorder="1" applyAlignment="1" applyProtection="1">
      <alignment horizontal="left"/>
    </xf>
    <xf numFmtId="165" fontId="3" fillId="0" borderId="4" xfId="0" applyNumberFormat="1" applyFont="1" applyFill="1" applyBorder="1" applyAlignment="1" applyProtection="1">
      <alignment horizontal="right"/>
    </xf>
    <xf numFmtId="164" fontId="1" fillId="3" borderId="0" xfId="4" applyFont="1" applyFill="1" applyBorder="1"/>
    <xf numFmtId="165" fontId="5" fillId="0" borderId="0" xfId="1" applyNumberFormat="1" applyFont="1" applyFill="1" applyAlignment="1" applyProtection="1">
      <alignment horizontal="right"/>
    </xf>
    <xf numFmtId="167" fontId="3" fillId="0" borderId="2" xfId="0" applyNumberFormat="1" applyFont="1" applyBorder="1" applyProtection="1"/>
    <xf numFmtId="165" fontId="3" fillId="0" borderId="2" xfId="0" applyNumberFormat="1" applyFont="1" applyFill="1" applyBorder="1" applyAlignment="1" applyProtection="1">
      <alignment horizontal="right"/>
    </xf>
    <xf numFmtId="167" fontId="3" fillId="2" borderId="2" xfId="0" applyNumberFormat="1" applyFont="1" applyFill="1" applyBorder="1" applyProtection="1"/>
    <xf numFmtId="167" fontId="3" fillId="0" borderId="3" xfId="0" applyNumberFormat="1" applyFont="1" applyBorder="1" applyProtection="1"/>
    <xf numFmtId="164" fontId="2" fillId="0" borderId="6" xfId="0" applyFont="1" applyBorder="1"/>
    <xf numFmtId="167" fontId="3" fillId="0" borderId="7" xfId="0" applyNumberFormat="1" applyFont="1" applyBorder="1" applyProtection="1"/>
    <xf numFmtId="167" fontId="3" fillId="2" borderId="7" xfId="0" applyNumberFormat="1" applyFont="1" applyFill="1" applyBorder="1" applyProtection="1"/>
    <xf numFmtId="167" fontId="3" fillId="0" borderId="8" xfId="0" applyNumberFormat="1" applyFont="1" applyBorder="1" applyProtection="1"/>
    <xf numFmtId="164" fontId="2" fillId="0" borderId="4" xfId="0" applyFont="1" applyBorder="1"/>
    <xf numFmtId="167" fontId="3" fillId="0" borderId="0" xfId="0" applyNumberFormat="1" applyFont="1" applyBorder="1" applyProtection="1"/>
    <xf numFmtId="167" fontId="3" fillId="2" borderId="0" xfId="0" applyNumberFormat="1" applyFont="1" applyFill="1" applyBorder="1" applyProtection="1"/>
    <xf numFmtId="167" fontId="3" fillId="0" borderId="5" xfId="0" applyNumberFormat="1" applyFont="1" applyBorder="1" applyProtection="1"/>
    <xf numFmtId="164" fontId="3" fillId="2" borderId="7" xfId="0" applyFont="1" applyFill="1" applyBorder="1"/>
    <xf numFmtId="164" fontId="3" fillId="2" borderId="0" xfId="0" applyFont="1" applyFill="1"/>
  </cellXfs>
  <cellStyles count="5">
    <cellStyle name="Comma" xfId="1" builtinId="3"/>
    <cellStyle name="Normal" xfId="0" builtinId="0"/>
    <cellStyle name="Normal 3" xfId="2"/>
    <cellStyle name="Normal 4" xfId="3"/>
    <cellStyle name="Normal_ii4-1sitmonétaire actif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1</xdr:col>
      <xdr:colOff>0</xdr:colOff>
      <xdr:row>14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647700"/>
          <a:ext cx="1238250" cy="1628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7"/>
  <sheetViews>
    <sheetView showGridLines="0" tabSelected="1" view="pageBreakPreview" topLeftCell="A47" zoomScale="80" zoomScaleNormal="100" zoomScaleSheetLayoutView="80" workbookViewId="0">
      <selection activeCell="F173" sqref="F173"/>
    </sheetView>
  </sheetViews>
  <sheetFormatPr defaultColWidth="13.88671875" defaultRowHeight="12.75" x14ac:dyDescent="0.2"/>
  <cols>
    <col min="1" max="1" width="14.5546875" style="5" customWidth="1"/>
    <col min="2" max="2" width="8.6640625" style="5" bestFit="1" customWidth="1"/>
    <col min="3" max="3" width="9.77734375" style="5" bestFit="1" customWidth="1"/>
    <col min="4" max="4" width="9.88671875" style="5" bestFit="1" customWidth="1"/>
    <col min="5" max="5" width="9" style="5" bestFit="1" customWidth="1"/>
    <col min="6" max="6" width="9.21875" style="5" bestFit="1" customWidth="1"/>
    <col min="7" max="7" width="11.44140625" style="5" bestFit="1" customWidth="1"/>
    <col min="8" max="8" width="8.21875" style="5" hidden="1" customWidth="1"/>
    <col min="9" max="9" width="7.6640625" style="5" bestFit="1" customWidth="1"/>
    <col min="10" max="10" width="7.88671875" style="5" bestFit="1" customWidth="1"/>
    <col min="11" max="11" width="9.77734375" style="5" bestFit="1" customWidth="1"/>
    <col min="12" max="13" width="9.21875" style="5" bestFit="1" customWidth="1"/>
    <col min="14" max="14" width="9" style="5" bestFit="1" customWidth="1"/>
    <col min="15" max="15" width="9.33203125" style="5" bestFit="1" customWidth="1"/>
    <col min="16" max="16" width="1.6640625" style="5" hidden="1" customWidth="1"/>
    <col min="17" max="17" width="9.88671875" style="5" bestFit="1" customWidth="1"/>
    <col min="18" max="18" width="8.44140625" style="5" bestFit="1" customWidth="1"/>
    <col min="19" max="19" width="9" style="100" bestFit="1" customWidth="1"/>
    <col min="20" max="20" width="8.44140625" style="5" bestFit="1" customWidth="1"/>
    <col min="21" max="21" width="2.77734375" style="5" hidden="1" customWidth="1"/>
    <col min="22" max="22" width="9.77734375" style="5" bestFit="1" customWidth="1"/>
    <col min="23" max="23" width="9.5546875" style="5" bestFit="1" customWidth="1"/>
    <col min="24" max="16384" width="13.88671875" style="5"/>
  </cols>
  <sheetData>
    <row r="1" spans="1:25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2"/>
      <c r="U1" s="2"/>
      <c r="V1" s="2"/>
      <c r="W1" s="4"/>
    </row>
    <row r="2" spans="1:25" s="10" customFormat="1" x14ac:dyDescent="0.2">
      <c r="A2" s="6"/>
      <c r="B2" s="7" t="s">
        <v>0</v>
      </c>
      <c r="C2" s="8" t="s">
        <v>1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 t="s">
        <v>2</v>
      </c>
    </row>
    <row r="3" spans="1:25" x14ac:dyDescent="0.2">
      <c r="A3" s="11"/>
      <c r="B3" s="12"/>
      <c r="C3" s="8" t="s">
        <v>3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13"/>
    </row>
    <row r="4" spans="1:25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6"/>
      <c r="T4" s="15"/>
      <c r="U4" s="15"/>
      <c r="V4" s="15"/>
      <c r="W4" s="17"/>
      <c r="X4" s="18"/>
      <c r="Y4" s="18"/>
    </row>
    <row r="5" spans="1:25" x14ac:dyDescent="0.2">
      <c r="A5" s="19"/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4"/>
      <c r="T5" s="23"/>
      <c r="U5" s="23"/>
      <c r="V5" s="25"/>
      <c r="W5" s="26" t="s">
        <v>4</v>
      </c>
    </row>
    <row r="6" spans="1:25" x14ac:dyDescent="0.2">
      <c r="A6" s="27" t="s">
        <v>5</v>
      </c>
      <c r="B6" s="28" t="s">
        <v>6</v>
      </c>
      <c r="C6" s="29"/>
      <c r="D6" s="29"/>
      <c r="E6" s="30"/>
      <c r="F6" s="28" t="s">
        <v>7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30"/>
      <c r="W6" s="26" t="s">
        <v>0</v>
      </c>
    </row>
    <row r="7" spans="1:25" x14ac:dyDescent="0.2">
      <c r="A7" s="31"/>
      <c r="B7" s="32"/>
      <c r="C7" s="32"/>
      <c r="D7" s="32"/>
      <c r="E7" s="32"/>
      <c r="F7" s="33"/>
      <c r="G7" s="34"/>
      <c r="H7" s="34"/>
      <c r="I7" s="34"/>
      <c r="J7" s="34"/>
      <c r="K7" s="34"/>
      <c r="L7" s="34"/>
      <c r="M7" s="34"/>
      <c r="N7" s="34"/>
      <c r="O7" s="4"/>
      <c r="P7" s="4"/>
      <c r="Q7" s="33"/>
      <c r="R7" s="34"/>
      <c r="S7" s="35"/>
      <c r="T7" s="4"/>
      <c r="U7" s="23"/>
      <c r="V7" s="36" t="s">
        <v>8</v>
      </c>
      <c r="W7" s="25"/>
    </row>
    <row r="8" spans="1:25" x14ac:dyDescent="0.2">
      <c r="A8" s="37" t="s">
        <v>8</v>
      </c>
      <c r="B8" s="38" t="s">
        <v>9</v>
      </c>
      <c r="C8" s="39" t="s">
        <v>10</v>
      </c>
      <c r="D8" s="40" t="s">
        <v>11</v>
      </c>
      <c r="E8" s="38" t="s">
        <v>12</v>
      </c>
      <c r="F8" s="41" t="s">
        <v>13</v>
      </c>
      <c r="G8" s="42"/>
      <c r="H8" s="42"/>
      <c r="I8" s="42"/>
      <c r="J8" s="42"/>
      <c r="K8" s="42"/>
      <c r="L8" s="42"/>
      <c r="M8" s="42"/>
      <c r="N8" s="42"/>
      <c r="O8" s="42"/>
      <c r="P8" s="43"/>
      <c r="Q8" s="41" t="s">
        <v>14</v>
      </c>
      <c r="R8" s="42"/>
      <c r="S8" s="42"/>
      <c r="T8" s="43"/>
      <c r="U8" s="23"/>
      <c r="V8" s="44" t="s">
        <v>15</v>
      </c>
      <c r="W8" s="25"/>
    </row>
    <row r="9" spans="1:25" x14ac:dyDescent="0.2">
      <c r="A9" s="31"/>
      <c r="B9" s="38" t="s">
        <v>8</v>
      </c>
      <c r="C9" s="45" t="s">
        <v>16</v>
      </c>
      <c r="D9" s="40" t="s">
        <v>17</v>
      </c>
      <c r="E9" s="38" t="s">
        <v>8</v>
      </c>
      <c r="F9" s="46"/>
      <c r="G9" s="47"/>
      <c r="H9" s="47"/>
      <c r="I9" s="47"/>
      <c r="J9" s="47"/>
      <c r="K9" s="47"/>
      <c r="L9" s="47"/>
      <c r="M9" s="47"/>
      <c r="N9" s="47"/>
      <c r="O9" s="48"/>
      <c r="P9" s="49"/>
      <c r="Q9" s="46"/>
      <c r="R9" s="47"/>
      <c r="S9" s="50"/>
      <c r="T9" s="48"/>
      <c r="U9" s="23"/>
      <c r="V9" s="51"/>
      <c r="W9" s="25"/>
    </row>
    <row r="10" spans="1:25" x14ac:dyDescent="0.2">
      <c r="A10" s="31"/>
      <c r="B10" s="52"/>
      <c r="C10" s="32"/>
      <c r="D10" s="39"/>
      <c r="E10" s="52"/>
      <c r="F10" s="11"/>
      <c r="G10" s="32"/>
      <c r="H10" s="23"/>
      <c r="I10" s="11"/>
      <c r="J10" s="32"/>
      <c r="K10" s="32"/>
      <c r="L10" s="23"/>
      <c r="M10" s="32"/>
      <c r="N10" s="25"/>
      <c r="O10" s="32"/>
      <c r="P10" s="23"/>
      <c r="Q10" s="32"/>
      <c r="R10" s="32"/>
      <c r="S10" s="53"/>
      <c r="T10" s="32"/>
      <c r="U10" s="23"/>
      <c r="V10" s="32"/>
      <c r="W10" s="25"/>
    </row>
    <row r="11" spans="1:25" x14ac:dyDescent="0.2">
      <c r="A11" s="54" t="s">
        <v>18</v>
      </c>
      <c r="B11" s="52"/>
      <c r="C11" s="32"/>
      <c r="D11" s="52"/>
      <c r="E11" s="52"/>
      <c r="F11" s="55" t="s">
        <v>19</v>
      </c>
      <c r="G11" s="38" t="s">
        <v>20</v>
      </c>
      <c r="H11" s="56" t="s">
        <v>21</v>
      </c>
      <c r="I11" s="6" t="s">
        <v>22</v>
      </c>
      <c r="J11" s="6" t="s">
        <v>23</v>
      </c>
      <c r="K11" s="57" t="s">
        <v>24</v>
      </c>
      <c r="L11" s="58" t="s">
        <v>25</v>
      </c>
      <c r="M11" s="57" t="s">
        <v>19</v>
      </c>
      <c r="N11" s="38" t="s">
        <v>26</v>
      </c>
      <c r="O11" s="38" t="s">
        <v>12</v>
      </c>
      <c r="P11" s="23"/>
      <c r="Q11" s="55" t="s">
        <v>27</v>
      </c>
      <c r="R11" s="55" t="s">
        <v>27</v>
      </c>
      <c r="S11" s="38" t="s">
        <v>26</v>
      </c>
      <c r="T11" s="38" t="s">
        <v>28</v>
      </c>
      <c r="U11" s="23"/>
      <c r="V11" s="32"/>
      <c r="W11" s="25"/>
    </row>
    <row r="12" spans="1:25" x14ac:dyDescent="0.2">
      <c r="A12" s="31"/>
      <c r="B12" s="52"/>
      <c r="C12" s="32"/>
      <c r="D12" s="52"/>
      <c r="E12" s="52"/>
      <c r="F12" s="55" t="s">
        <v>29</v>
      </c>
      <c r="G12" s="38" t="s">
        <v>30</v>
      </c>
      <c r="H12" s="56" t="s">
        <v>31</v>
      </c>
      <c r="I12" s="55" t="s">
        <v>32</v>
      </c>
      <c r="J12" s="55" t="s">
        <v>33</v>
      </c>
      <c r="K12" s="38" t="s">
        <v>32</v>
      </c>
      <c r="L12" s="56" t="s">
        <v>32</v>
      </c>
      <c r="M12" s="38" t="s">
        <v>34</v>
      </c>
      <c r="N12" s="57" t="s">
        <v>35</v>
      </c>
      <c r="O12" s="32"/>
      <c r="P12" s="23"/>
      <c r="Q12" s="38" t="s">
        <v>36</v>
      </c>
      <c r="R12" s="38" t="s">
        <v>37</v>
      </c>
      <c r="S12" s="57" t="s">
        <v>35</v>
      </c>
      <c r="T12" s="32"/>
      <c r="U12" s="23"/>
      <c r="V12" s="32"/>
      <c r="W12" s="25"/>
    </row>
    <row r="13" spans="1:25" x14ac:dyDescent="0.2">
      <c r="A13" s="32"/>
      <c r="B13" s="52"/>
      <c r="C13" s="32" t="s">
        <v>8</v>
      </c>
      <c r="D13" s="52"/>
      <c r="E13" s="52"/>
      <c r="F13" s="11"/>
      <c r="G13" s="57"/>
      <c r="H13" s="56"/>
      <c r="I13" s="55"/>
      <c r="J13" s="38"/>
      <c r="K13" s="38"/>
      <c r="L13" s="56"/>
      <c r="M13" s="32"/>
      <c r="N13" s="38" t="s">
        <v>34</v>
      </c>
      <c r="O13" s="32"/>
      <c r="P13" s="23"/>
      <c r="Q13" s="38" t="s">
        <v>38</v>
      </c>
      <c r="R13" s="38" t="s">
        <v>39</v>
      </c>
      <c r="S13" s="38" t="s">
        <v>34</v>
      </c>
      <c r="T13" s="32"/>
      <c r="U13" s="23"/>
      <c r="V13" s="32"/>
      <c r="W13" s="25"/>
    </row>
    <row r="14" spans="1:25" x14ac:dyDescent="0.2">
      <c r="A14" s="59"/>
      <c r="B14" s="60"/>
      <c r="C14" s="61"/>
      <c r="D14" s="60"/>
      <c r="E14" s="60"/>
      <c r="F14" s="62"/>
      <c r="G14" s="61"/>
      <c r="H14" s="63"/>
      <c r="I14" s="62"/>
      <c r="J14" s="61"/>
      <c r="K14" s="61"/>
      <c r="L14" s="64"/>
      <c r="M14" s="61"/>
      <c r="N14" s="65"/>
      <c r="O14" s="61"/>
      <c r="P14" s="64"/>
      <c r="Q14" s="66" t="s">
        <v>40</v>
      </c>
      <c r="R14" s="66"/>
      <c r="S14" s="67"/>
      <c r="T14" s="61"/>
      <c r="U14" s="64"/>
      <c r="V14" s="61"/>
      <c r="W14" s="68"/>
    </row>
    <row r="15" spans="1:25" x14ac:dyDescent="0.2">
      <c r="A15" s="1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</row>
    <row r="16" spans="1:25" s="71" customFormat="1" hidden="1" x14ac:dyDescent="0.2">
      <c r="A16" s="70" t="s">
        <v>41</v>
      </c>
      <c r="B16" s="52">
        <v>159092.20000000007</v>
      </c>
      <c r="C16" s="52">
        <v>95759.5</v>
      </c>
      <c r="D16" s="52"/>
      <c r="E16" s="52">
        <v>254851.70000000007</v>
      </c>
      <c r="F16" s="52">
        <v>170798.9</v>
      </c>
      <c r="G16" s="52">
        <v>58561</v>
      </c>
      <c r="H16" s="52" t="s">
        <v>42</v>
      </c>
      <c r="I16" s="52">
        <v>9544.5</v>
      </c>
      <c r="J16" s="52" t="s">
        <v>42</v>
      </c>
      <c r="K16" s="52" t="s">
        <v>42</v>
      </c>
      <c r="L16" s="52">
        <v>238904.4</v>
      </c>
      <c r="M16" s="52">
        <v>125831.59999999999</v>
      </c>
      <c r="N16" s="52">
        <v>11736.2</v>
      </c>
      <c r="O16" s="52">
        <v>101336.6</v>
      </c>
      <c r="P16" s="52"/>
      <c r="Q16" s="52">
        <v>21927.199999999997</v>
      </c>
      <c r="R16" s="52">
        <v>261749.50000000003</v>
      </c>
      <c r="S16" s="52">
        <v>120.8</v>
      </c>
      <c r="T16" s="52">
        <v>283797.5</v>
      </c>
      <c r="U16" s="52"/>
      <c r="V16" s="52">
        <v>385134.1</v>
      </c>
      <c r="W16" s="52">
        <v>639985.80000000005</v>
      </c>
    </row>
    <row r="17" spans="1:23" s="71" customFormat="1" hidden="1" x14ac:dyDescent="0.2">
      <c r="A17" s="70" t="s">
        <v>43</v>
      </c>
      <c r="B17" s="52">
        <v>144966.20000000007</v>
      </c>
      <c r="C17" s="52">
        <v>119531.40000000002</v>
      </c>
      <c r="D17" s="52"/>
      <c r="E17" s="52">
        <v>264497.60000000009</v>
      </c>
      <c r="F17" s="52">
        <v>215622.30000000002</v>
      </c>
      <c r="G17" s="52">
        <v>100072.8</v>
      </c>
      <c r="H17" s="52" t="s">
        <v>42</v>
      </c>
      <c r="I17" s="52">
        <v>11255.3</v>
      </c>
      <c r="J17" s="52" t="s">
        <v>42</v>
      </c>
      <c r="K17" s="52" t="s">
        <v>42</v>
      </c>
      <c r="L17" s="52">
        <v>326950.40000000002</v>
      </c>
      <c r="M17" s="52">
        <v>133925.09999999998</v>
      </c>
      <c r="N17" s="52">
        <v>14842.5</v>
      </c>
      <c r="O17" s="52">
        <v>178182.80000000005</v>
      </c>
      <c r="P17" s="52"/>
      <c r="Q17" s="52">
        <v>8440.7000000000007</v>
      </c>
      <c r="R17" s="52">
        <v>321233.5</v>
      </c>
      <c r="S17" s="52">
        <v>497.1</v>
      </c>
      <c r="T17" s="52">
        <v>330171.3</v>
      </c>
      <c r="U17" s="52"/>
      <c r="V17" s="52">
        <v>508354.10000000003</v>
      </c>
      <c r="W17" s="52">
        <v>772851.70000000019</v>
      </c>
    </row>
    <row r="18" spans="1:23" s="71" customFormat="1" hidden="1" x14ac:dyDescent="0.2">
      <c r="A18" s="70" t="s">
        <v>44</v>
      </c>
      <c r="B18" s="52">
        <v>141613.59999999998</v>
      </c>
      <c r="C18" s="52">
        <v>112437.40000000001</v>
      </c>
      <c r="D18" s="52" t="s">
        <v>42</v>
      </c>
      <c r="E18" s="52">
        <f>+SUM(B18:D18)</f>
        <v>254051</v>
      </c>
      <c r="F18" s="52">
        <v>19134.2</v>
      </c>
      <c r="G18" s="52">
        <v>109104.5</v>
      </c>
      <c r="H18" s="52" t="s">
        <v>42</v>
      </c>
      <c r="I18" s="52">
        <v>14177.3</v>
      </c>
      <c r="J18" s="52">
        <v>88925</v>
      </c>
      <c r="K18" s="52">
        <v>145130.9</v>
      </c>
      <c r="L18" s="52">
        <f>+SUM(F18:K18)</f>
        <v>376471.9</v>
      </c>
      <c r="M18" s="52">
        <v>154397</v>
      </c>
      <c r="N18" s="52">
        <v>11748.2</v>
      </c>
      <c r="O18" s="52">
        <f t="shared" ref="O18:O23" si="0">+L18-M18-N18</f>
        <v>210326.7</v>
      </c>
      <c r="P18" s="52"/>
      <c r="Q18" s="52">
        <v>8682.2000000000007</v>
      </c>
      <c r="R18" s="52">
        <v>456484.39999999997</v>
      </c>
      <c r="S18" s="52">
        <v>599.4</v>
      </c>
      <c r="T18" s="52">
        <f t="shared" ref="T18:T23" si="1">SUM(Q18:S18)</f>
        <v>465766</v>
      </c>
      <c r="U18" s="52"/>
      <c r="V18" s="52">
        <f t="shared" ref="V18:V23" si="2">SUM(O18,T18)</f>
        <v>676092.7</v>
      </c>
      <c r="W18" s="52">
        <f t="shared" ref="W18:W23" si="3">SUM(E18,V18)</f>
        <v>930143.7</v>
      </c>
    </row>
    <row r="19" spans="1:23" s="71" customFormat="1" hidden="1" x14ac:dyDescent="0.2">
      <c r="A19" s="70" t="s">
        <v>45</v>
      </c>
      <c r="B19" s="52">
        <v>82293.999999999942</v>
      </c>
      <c r="C19" s="52">
        <v>123231.6</v>
      </c>
      <c r="D19" s="52" t="s">
        <v>42</v>
      </c>
      <c r="E19" s="52">
        <f>+SUM(B19:D19)</f>
        <v>205525.59999999995</v>
      </c>
      <c r="F19" s="52">
        <v>86260.6</v>
      </c>
      <c r="G19" s="52">
        <v>84484.4</v>
      </c>
      <c r="H19" s="52" t="s">
        <v>42</v>
      </c>
      <c r="I19" s="52">
        <v>14746.9</v>
      </c>
      <c r="J19" s="52">
        <v>94325</v>
      </c>
      <c r="K19" s="52">
        <v>141433.29999999999</v>
      </c>
      <c r="L19" s="52">
        <f>+SUM(F19:K19)</f>
        <v>421250.2</v>
      </c>
      <c r="M19" s="52">
        <v>175688.5</v>
      </c>
      <c r="N19" s="52">
        <v>14154.1</v>
      </c>
      <c r="O19" s="52">
        <f t="shared" si="0"/>
        <v>231407.6</v>
      </c>
      <c r="P19" s="52"/>
      <c r="Q19" s="52">
        <v>4009.9000000000005</v>
      </c>
      <c r="R19" s="52">
        <v>608067.4</v>
      </c>
      <c r="S19" s="52">
        <v>1021.9000000000001</v>
      </c>
      <c r="T19" s="52">
        <f t="shared" si="1"/>
        <v>613099.20000000007</v>
      </c>
      <c r="U19" s="52"/>
      <c r="V19" s="52">
        <f t="shared" si="2"/>
        <v>844506.8</v>
      </c>
      <c r="W19" s="52">
        <f t="shared" si="3"/>
        <v>1050032.3999999999</v>
      </c>
    </row>
    <row r="20" spans="1:23" s="71" customFormat="1" hidden="1" x14ac:dyDescent="0.2">
      <c r="A20" s="70" t="s">
        <v>46</v>
      </c>
      <c r="B20" s="52">
        <v>66928.900000000023</v>
      </c>
      <c r="C20" s="52">
        <v>129708.8</v>
      </c>
      <c r="D20" s="52" t="s">
        <v>42</v>
      </c>
      <c r="E20" s="52">
        <f>+SUM(B20:D20)</f>
        <v>196637.7</v>
      </c>
      <c r="F20" s="52">
        <v>155251.9</v>
      </c>
      <c r="G20" s="52">
        <v>49024.3</v>
      </c>
      <c r="H20" s="52"/>
      <c r="I20" s="52">
        <v>17982.400000000001</v>
      </c>
      <c r="J20" s="52">
        <v>117037.4</v>
      </c>
      <c r="K20" s="52">
        <v>137735.70000000001</v>
      </c>
      <c r="L20" s="52">
        <f>+SUM(F20:K20)</f>
        <v>477031.7</v>
      </c>
      <c r="M20" s="52">
        <v>182671.3</v>
      </c>
      <c r="N20" s="52">
        <v>18296</v>
      </c>
      <c r="O20" s="52">
        <f t="shared" si="0"/>
        <v>276064.40000000002</v>
      </c>
      <c r="P20" s="52"/>
      <c r="Q20" s="52">
        <v>24157.200000000001</v>
      </c>
      <c r="R20" s="52">
        <v>678101.2</v>
      </c>
      <c r="S20" s="52">
        <v>1057.9000000000001</v>
      </c>
      <c r="T20" s="52">
        <f t="shared" si="1"/>
        <v>703316.29999999993</v>
      </c>
      <c r="U20" s="52"/>
      <c r="V20" s="52">
        <f t="shared" si="2"/>
        <v>979380.7</v>
      </c>
      <c r="W20" s="52">
        <f t="shared" si="3"/>
        <v>1176018.3999999999</v>
      </c>
    </row>
    <row r="21" spans="1:23" s="71" customFormat="1" x14ac:dyDescent="0.2">
      <c r="A21" s="70" t="s">
        <v>47</v>
      </c>
      <c r="B21" s="52">
        <v>118133.79999999993</v>
      </c>
      <c r="C21" s="52">
        <v>111622.29999999997</v>
      </c>
      <c r="D21" s="52">
        <v>-97.2</v>
      </c>
      <c r="E21" s="52">
        <f>+SUM(B21:D21)</f>
        <v>229658.89999999991</v>
      </c>
      <c r="F21" s="52" t="s">
        <v>42</v>
      </c>
      <c r="G21" s="52">
        <v>109019.90000000001</v>
      </c>
      <c r="H21" s="52"/>
      <c r="I21" s="52">
        <v>18506.300000000003</v>
      </c>
      <c r="J21" s="52">
        <v>107284.3</v>
      </c>
      <c r="K21" s="52">
        <v>289290</v>
      </c>
      <c r="L21" s="52">
        <f>+SUM(F21:K21)</f>
        <v>524100.5</v>
      </c>
      <c r="M21" s="52">
        <v>226962.7</v>
      </c>
      <c r="N21" s="52">
        <v>23790.1</v>
      </c>
      <c r="O21" s="52">
        <f t="shared" si="0"/>
        <v>273347.7</v>
      </c>
      <c r="P21" s="52"/>
      <c r="Q21" s="52">
        <v>36129.5</v>
      </c>
      <c r="R21" s="52">
        <v>738305.70000000007</v>
      </c>
      <c r="S21" s="52">
        <v>2469.1999999999998</v>
      </c>
      <c r="T21" s="52">
        <f t="shared" si="1"/>
        <v>776904.4</v>
      </c>
      <c r="U21" s="52"/>
      <c r="V21" s="52">
        <f t="shared" si="2"/>
        <v>1050252.1000000001</v>
      </c>
      <c r="W21" s="52">
        <f t="shared" si="3"/>
        <v>1279911</v>
      </c>
    </row>
    <row r="22" spans="1:23" s="71" customFormat="1" x14ac:dyDescent="0.2">
      <c r="A22" s="70" t="s">
        <v>48</v>
      </c>
      <c r="B22" s="52">
        <v>128675.89999999997</v>
      </c>
      <c r="C22" s="52">
        <v>51849.400000000023</v>
      </c>
      <c r="D22" s="52">
        <v>-48.6</v>
      </c>
      <c r="E22" s="52">
        <f>+SUM(B22:D22)</f>
        <v>180476.69999999998</v>
      </c>
      <c r="F22" s="52">
        <v>55186.9</v>
      </c>
      <c r="G22" s="52">
        <v>147702.70000000001</v>
      </c>
      <c r="H22" s="52"/>
      <c r="I22" s="52">
        <v>49269.8</v>
      </c>
      <c r="J22" s="52">
        <v>106976.2</v>
      </c>
      <c r="K22" s="52">
        <v>285900.5</v>
      </c>
      <c r="L22" s="52">
        <f>+SUM(F22:K22)</f>
        <v>645036.10000000009</v>
      </c>
      <c r="M22" s="52">
        <v>238599.69999999995</v>
      </c>
      <c r="N22" s="52">
        <v>23004.400000000001</v>
      </c>
      <c r="O22" s="52">
        <f t="shared" si="0"/>
        <v>383432.00000000012</v>
      </c>
      <c r="P22" s="52"/>
      <c r="Q22" s="52">
        <v>40818.700000000004</v>
      </c>
      <c r="R22" s="52">
        <v>808571.6</v>
      </c>
      <c r="S22" s="52">
        <v>3449.2999999999997</v>
      </c>
      <c r="T22" s="52">
        <f t="shared" si="1"/>
        <v>852839.6</v>
      </c>
      <c r="U22" s="52"/>
      <c r="V22" s="52">
        <f t="shared" si="2"/>
        <v>1236271.6000000001</v>
      </c>
      <c r="W22" s="52">
        <f t="shared" si="3"/>
        <v>1416748.3</v>
      </c>
    </row>
    <row r="23" spans="1:23" s="71" customFormat="1" x14ac:dyDescent="0.2">
      <c r="A23" s="70" t="s">
        <v>49</v>
      </c>
      <c r="B23" s="52">
        <v>-132985.60000000001</v>
      </c>
      <c r="C23" s="52">
        <v>57115.499999999971</v>
      </c>
      <c r="D23" s="52" t="s">
        <v>42</v>
      </c>
      <c r="E23" s="52">
        <f t="shared" ref="E23:E84" si="4">+SUM(B23:D23)</f>
        <v>-75870.100000000035</v>
      </c>
      <c r="F23" s="52">
        <v>273246</v>
      </c>
      <c r="G23" s="52">
        <v>254809.2</v>
      </c>
      <c r="H23" s="52"/>
      <c r="I23" s="52">
        <v>50048.700000000004</v>
      </c>
      <c r="J23" s="52">
        <v>90564.7</v>
      </c>
      <c r="K23" s="52">
        <v>277913.90000000002</v>
      </c>
      <c r="L23" s="52">
        <f t="shared" ref="L23:L88" si="5">+SUM(F23:K23)</f>
        <v>946582.49999999988</v>
      </c>
      <c r="M23" s="52">
        <v>233140.3</v>
      </c>
      <c r="N23" s="52">
        <v>26275.999999999996</v>
      </c>
      <c r="O23" s="52">
        <f t="shared" si="0"/>
        <v>687166.2</v>
      </c>
      <c r="P23" s="52"/>
      <c r="Q23" s="52">
        <v>6532.0999999999995</v>
      </c>
      <c r="R23" s="52">
        <v>822595.39999999991</v>
      </c>
      <c r="S23" s="52">
        <v>27.1</v>
      </c>
      <c r="T23" s="52">
        <f t="shared" si="1"/>
        <v>829154.59999999986</v>
      </c>
      <c r="U23" s="52"/>
      <c r="V23" s="52">
        <f t="shared" si="2"/>
        <v>1516320.7999999998</v>
      </c>
      <c r="W23" s="52">
        <f t="shared" si="3"/>
        <v>1440450.6999999997</v>
      </c>
    </row>
    <row r="24" spans="1:23" s="71" customFormat="1" x14ac:dyDescent="0.2">
      <c r="A24" s="72">
        <v>2016</v>
      </c>
      <c r="B24" s="52">
        <v>-162073.80000000002</v>
      </c>
      <c r="C24" s="52">
        <v>-14449.299999999974</v>
      </c>
      <c r="D24" s="52" t="s">
        <v>42</v>
      </c>
      <c r="E24" s="52">
        <v>-176523.09999999998</v>
      </c>
      <c r="F24" s="52">
        <v>134973.1</v>
      </c>
      <c r="G24" s="52">
        <v>438079.6</v>
      </c>
      <c r="H24" s="52"/>
      <c r="I24" s="52">
        <v>37099.5</v>
      </c>
      <c r="J24" s="52">
        <v>73845.100000000006</v>
      </c>
      <c r="K24" s="52">
        <v>543481.59999999998</v>
      </c>
      <c r="L24" s="52">
        <v>1227478.8999999999</v>
      </c>
      <c r="M24" s="52">
        <v>290598</v>
      </c>
      <c r="N24" s="52">
        <v>30394.800000000003</v>
      </c>
      <c r="O24" s="52">
        <v>906486.09999999986</v>
      </c>
      <c r="P24" s="52"/>
      <c r="Q24" s="52">
        <v>7173.4000000000005</v>
      </c>
      <c r="R24" s="52">
        <v>859893.09999999986</v>
      </c>
      <c r="S24" s="52">
        <v>57.6</v>
      </c>
      <c r="T24" s="52">
        <v>867124.09999999986</v>
      </c>
      <c r="U24" s="52"/>
      <c r="V24" s="52">
        <v>1773610.1999999997</v>
      </c>
      <c r="W24" s="52">
        <v>1597087.0999999996</v>
      </c>
    </row>
    <row r="25" spans="1:23" s="71" customFormat="1" x14ac:dyDescent="0.2">
      <c r="A25" s="72">
        <v>2017</v>
      </c>
      <c r="B25" s="52">
        <v>-139165.79999999999</v>
      </c>
      <c r="C25" s="52">
        <v>-9919.6000000000058</v>
      </c>
      <c r="D25" s="52" t="s">
        <v>42</v>
      </c>
      <c r="E25" s="52">
        <v>-149085.4</v>
      </c>
      <c r="F25" s="73">
        <v>194279.5</v>
      </c>
      <c r="G25" s="73">
        <v>643490.6</v>
      </c>
      <c r="H25" s="73"/>
      <c r="I25" s="73">
        <v>30909.1</v>
      </c>
      <c r="J25" s="73">
        <v>57125.4</v>
      </c>
      <c r="K25" s="74">
        <v>535803.19999999995</v>
      </c>
      <c r="L25" s="75">
        <v>1461607.7999999998</v>
      </c>
      <c r="M25" s="76">
        <v>297362</v>
      </c>
      <c r="N25" s="52">
        <v>49354.6</v>
      </c>
      <c r="O25" s="75">
        <v>1114891.1999999997</v>
      </c>
      <c r="P25" s="77"/>
      <c r="Q25" s="78">
        <v>28762.899999999998</v>
      </c>
      <c r="R25" s="75">
        <v>871645.09999999986</v>
      </c>
      <c r="S25" s="79">
        <v>4937.3999999999996</v>
      </c>
      <c r="T25" s="52">
        <v>905345.39999999991</v>
      </c>
      <c r="U25" s="80"/>
      <c r="V25" s="77">
        <v>2020236.5999999996</v>
      </c>
      <c r="W25" s="52">
        <v>1871151.1999999997</v>
      </c>
    </row>
    <row r="26" spans="1:23" s="71" customFormat="1" hidden="1" x14ac:dyDescent="0.2">
      <c r="A26" s="36" t="s">
        <v>50</v>
      </c>
      <c r="B26" s="52">
        <v>95018.600000000035</v>
      </c>
      <c r="C26" s="52">
        <v>115929.5</v>
      </c>
      <c r="D26" s="52">
        <v>-97.15</v>
      </c>
      <c r="E26" s="52">
        <v>210850.95000000004</v>
      </c>
      <c r="F26" s="52">
        <v>8513</v>
      </c>
      <c r="G26" s="52">
        <v>108771.9</v>
      </c>
      <c r="H26" s="52"/>
      <c r="I26" s="52">
        <v>13377.35</v>
      </c>
      <c r="J26" s="52">
        <v>107284.3</v>
      </c>
      <c r="K26" s="52">
        <v>288673.7</v>
      </c>
      <c r="L26" s="52">
        <v>526620.25</v>
      </c>
      <c r="M26" s="52">
        <v>226181.625</v>
      </c>
      <c r="N26" s="52">
        <v>17505.000000000004</v>
      </c>
      <c r="O26" s="52">
        <v>282933.625</v>
      </c>
      <c r="P26" s="52"/>
      <c r="Q26" s="52">
        <v>35670.550000000003</v>
      </c>
      <c r="R26" s="52">
        <v>737616.67500000005</v>
      </c>
      <c r="S26" s="52">
        <v>3128.7000000000003</v>
      </c>
      <c r="T26" s="52">
        <v>776415.92500000005</v>
      </c>
      <c r="U26" s="52"/>
      <c r="V26" s="52">
        <v>1059349.55</v>
      </c>
      <c r="W26" s="52">
        <v>1270200.5</v>
      </c>
    </row>
    <row r="27" spans="1:23" s="71" customFormat="1" hidden="1" x14ac:dyDescent="0.2">
      <c r="A27" s="36" t="s">
        <v>51</v>
      </c>
      <c r="B27" s="52">
        <v>89071.500000000116</v>
      </c>
      <c r="C27" s="52">
        <v>95701.300000000032</v>
      </c>
      <c r="D27" s="52">
        <v>-97.1</v>
      </c>
      <c r="E27" s="52">
        <v>184675.70000000016</v>
      </c>
      <c r="F27" s="52">
        <v>39309.599999999999</v>
      </c>
      <c r="G27" s="52">
        <v>134209.09999999998</v>
      </c>
      <c r="H27" s="52"/>
      <c r="I27" s="52">
        <v>19154.099999999999</v>
      </c>
      <c r="J27" s="52">
        <v>107284.3</v>
      </c>
      <c r="K27" s="52">
        <v>287441.19999999995</v>
      </c>
      <c r="L27" s="52">
        <v>587398.29999999993</v>
      </c>
      <c r="M27" s="52">
        <v>210489.45</v>
      </c>
      <c r="N27" s="52">
        <v>17287.8</v>
      </c>
      <c r="O27" s="52">
        <v>359621.04999999993</v>
      </c>
      <c r="P27" s="52"/>
      <c r="Q27" s="52">
        <v>41979.700000000004</v>
      </c>
      <c r="R27" s="52">
        <v>760632.55</v>
      </c>
      <c r="S27" s="52">
        <v>3154.2</v>
      </c>
      <c r="T27" s="52">
        <v>805766.45</v>
      </c>
      <c r="U27" s="52"/>
      <c r="V27" s="52">
        <v>1165387.5</v>
      </c>
      <c r="W27" s="52">
        <v>1350063.2000000002</v>
      </c>
    </row>
    <row r="28" spans="1:23" s="71" customFormat="1" hidden="1" x14ac:dyDescent="0.2">
      <c r="A28" s="36" t="s">
        <v>52</v>
      </c>
      <c r="B28" s="52">
        <v>142837.30000000005</v>
      </c>
      <c r="C28" s="52">
        <v>70021.499999999971</v>
      </c>
      <c r="D28" s="52">
        <v>-72.849999999999994</v>
      </c>
      <c r="E28" s="52">
        <v>212785.95</v>
      </c>
      <c r="F28" s="52">
        <v>27300.1</v>
      </c>
      <c r="G28" s="52">
        <v>151516.40000000002</v>
      </c>
      <c r="H28" s="52"/>
      <c r="I28" s="52">
        <v>22817.899999999998</v>
      </c>
      <c r="J28" s="52">
        <v>107284.3</v>
      </c>
      <c r="K28" s="52">
        <v>286825</v>
      </c>
      <c r="L28" s="52">
        <v>595743.69999999995</v>
      </c>
      <c r="M28" s="52">
        <v>278294.0861111111</v>
      </c>
      <c r="N28" s="52">
        <v>25072.2</v>
      </c>
      <c r="O28" s="52">
        <v>292377.41388888884</v>
      </c>
      <c r="P28" s="52"/>
      <c r="Q28" s="52">
        <v>44045.2</v>
      </c>
      <c r="R28" s="52">
        <v>779072.27499999991</v>
      </c>
      <c r="S28" s="52">
        <v>3642.8999999999996</v>
      </c>
      <c r="T28" s="52">
        <v>826760.37499999988</v>
      </c>
      <c r="U28" s="52"/>
      <c r="V28" s="52">
        <v>1119137.7888888887</v>
      </c>
      <c r="W28" s="52">
        <v>1331923.7388888886</v>
      </c>
    </row>
    <row r="29" spans="1:23" s="71" customFormat="1" hidden="1" x14ac:dyDescent="0.2">
      <c r="A29" s="36" t="s">
        <v>53</v>
      </c>
      <c r="B29" s="52">
        <v>128675.89999999997</v>
      </c>
      <c r="C29" s="52">
        <v>51849.400000000023</v>
      </c>
      <c r="D29" s="52">
        <v>-48.6</v>
      </c>
      <c r="E29" s="52">
        <v>180476.69999999998</v>
      </c>
      <c r="F29" s="52">
        <v>55186.9</v>
      </c>
      <c r="G29" s="52">
        <v>147702.70000000001</v>
      </c>
      <c r="H29" s="52"/>
      <c r="I29" s="52">
        <v>49269.8</v>
      </c>
      <c r="J29" s="52">
        <v>106976.2</v>
      </c>
      <c r="K29" s="52">
        <v>285900.5</v>
      </c>
      <c r="L29" s="52">
        <v>645036.10000000009</v>
      </c>
      <c r="M29" s="52">
        <v>238599.69999999995</v>
      </c>
      <c r="N29" s="52">
        <v>23004.400000000001</v>
      </c>
      <c r="O29" s="52">
        <v>383432.00000000012</v>
      </c>
      <c r="P29" s="52"/>
      <c r="Q29" s="52">
        <v>40818.700000000004</v>
      </c>
      <c r="R29" s="52">
        <v>808571.6</v>
      </c>
      <c r="S29" s="52">
        <v>3449.2999999999997</v>
      </c>
      <c r="T29" s="52">
        <v>852839.6</v>
      </c>
      <c r="U29" s="52"/>
      <c r="V29" s="52">
        <v>1236271.6000000001</v>
      </c>
      <c r="W29" s="52">
        <v>1416748.3</v>
      </c>
    </row>
    <row r="30" spans="1:23" s="71" customFormat="1" x14ac:dyDescent="0.2">
      <c r="A30" s="36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</row>
    <row r="31" spans="1:23" s="71" customFormat="1" x14ac:dyDescent="0.2">
      <c r="A31" s="36" t="s">
        <v>54</v>
      </c>
      <c r="B31" s="52">
        <v>115526.40000000002</v>
      </c>
      <c r="C31" s="52">
        <v>45364.599999999977</v>
      </c>
      <c r="D31" s="52">
        <v>-24.300000000000004</v>
      </c>
      <c r="E31" s="52">
        <v>160866.70000000001</v>
      </c>
      <c r="F31" s="52">
        <v>23590.1</v>
      </c>
      <c r="G31" s="52">
        <v>156652.5</v>
      </c>
      <c r="H31" s="52"/>
      <c r="I31" s="52">
        <v>51790.149999999994</v>
      </c>
      <c r="J31" s="52">
        <v>104166</v>
      </c>
      <c r="K31" s="52">
        <v>284644.40000000002</v>
      </c>
      <c r="L31" s="52">
        <v>620843.15</v>
      </c>
      <c r="M31" s="52">
        <v>247151.10000000003</v>
      </c>
      <c r="N31" s="52">
        <v>29000.600000000002</v>
      </c>
      <c r="O31" s="52">
        <v>344691.45</v>
      </c>
      <c r="P31" s="52"/>
      <c r="Q31" s="52">
        <v>22882</v>
      </c>
      <c r="R31" s="52">
        <v>813741.85000000009</v>
      </c>
      <c r="S31" s="52">
        <v>3910.9</v>
      </c>
      <c r="T31" s="52">
        <v>840534.75000000012</v>
      </c>
      <c r="U31" s="52"/>
      <c r="V31" s="52">
        <v>1185226.2000000002</v>
      </c>
      <c r="W31" s="52">
        <v>1346092.9000000001</v>
      </c>
    </row>
    <row r="32" spans="1:23" s="71" customFormat="1" x14ac:dyDescent="0.2">
      <c r="A32" s="36" t="s">
        <v>55</v>
      </c>
      <c r="B32" s="52">
        <v>11927.5</v>
      </c>
      <c r="C32" s="52">
        <v>53211.099999999977</v>
      </c>
      <c r="D32" s="52" t="s">
        <v>42</v>
      </c>
      <c r="E32" s="52">
        <v>65138.599999999977</v>
      </c>
      <c r="F32" s="52">
        <v>121700.8</v>
      </c>
      <c r="G32" s="52">
        <v>166756.20000000001</v>
      </c>
      <c r="H32" s="52"/>
      <c r="I32" s="52">
        <v>48967.6</v>
      </c>
      <c r="J32" s="52">
        <v>100317.8</v>
      </c>
      <c r="K32" s="52">
        <v>282393.09999999998</v>
      </c>
      <c r="L32" s="52">
        <v>720135.5</v>
      </c>
      <c r="M32" s="52">
        <v>229305.3</v>
      </c>
      <c r="N32" s="52">
        <v>26258.899999999998</v>
      </c>
      <c r="O32" s="52">
        <v>464571.3</v>
      </c>
      <c r="P32" s="52"/>
      <c r="Q32" s="52">
        <v>9628.4</v>
      </c>
      <c r="R32" s="52">
        <v>851270.29999999981</v>
      </c>
      <c r="S32" s="52">
        <v>3822.2</v>
      </c>
      <c r="T32" s="52">
        <v>864720.89999999979</v>
      </c>
      <c r="U32" s="52"/>
      <c r="V32" s="52">
        <v>1329292.1999999997</v>
      </c>
      <c r="W32" s="52">
        <v>1394430.7999999998</v>
      </c>
    </row>
    <row r="33" spans="1:23" s="71" customFormat="1" x14ac:dyDescent="0.2">
      <c r="A33" s="36" t="s">
        <v>56</v>
      </c>
      <c r="B33" s="52">
        <v>-77050.099999999977</v>
      </c>
      <c r="C33" s="52">
        <v>43805.499999999942</v>
      </c>
      <c r="D33" s="52" t="s">
        <v>42</v>
      </c>
      <c r="E33" s="52">
        <v>-33244.600000000035</v>
      </c>
      <c r="F33" s="52">
        <v>201450.1</v>
      </c>
      <c r="G33" s="52">
        <v>177101.60000000003</v>
      </c>
      <c r="H33" s="52"/>
      <c r="I33" s="52">
        <v>50070.919444444444</v>
      </c>
      <c r="J33" s="52">
        <v>96137.9</v>
      </c>
      <c r="K33" s="52">
        <v>280473.5</v>
      </c>
      <c r="L33" s="52">
        <v>805234.01944444457</v>
      </c>
      <c r="M33" s="52">
        <v>208556.71944444446</v>
      </c>
      <c r="N33" s="52">
        <v>29497.3</v>
      </c>
      <c r="O33" s="52">
        <v>567180</v>
      </c>
      <c r="P33" s="52"/>
      <c r="Q33" s="52">
        <v>14965.4</v>
      </c>
      <c r="R33" s="52">
        <v>859248.7333333334</v>
      </c>
      <c r="S33" s="52">
        <v>3755.9</v>
      </c>
      <c r="T33" s="52">
        <v>877970.03333333344</v>
      </c>
      <c r="U33" s="52"/>
      <c r="V33" s="52">
        <v>1445150.0333333334</v>
      </c>
      <c r="W33" s="52">
        <v>1411905.4333333333</v>
      </c>
    </row>
    <row r="34" spans="1:23" s="71" customFormat="1" x14ac:dyDescent="0.2">
      <c r="A34" s="36" t="s">
        <v>57</v>
      </c>
      <c r="B34" s="52">
        <v>-132985.60000000001</v>
      </c>
      <c r="C34" s="52">
        <v>57115.499999999971</v>
      </c>
      <c r="D34" s="52" t="s">
        <v>42</v>
      </c>
      <c r="E34" s="52">
        <v>-75870.100000000035</v>
      </c>
      <c r="F34" s="52">
        <v>273246</v>
      </c>
      <c r="G34" s="52">
        <v>254809.2</v>
      </c>
      <c r="H34" s="52"/>
      <c r="I34" s="52">
        <v>50048.700000000004</v>
      </c>
      <c r="J34" s="52">
        <v>90564.7</v>
      </c>
      <c r="K34" s="52">
        <v>277913.90000000002</v>
      </c>
      <c r="L34" s="52">
        <v>946582.49999999988</v>
      </c>
      <c r="M34" s="52">
        <v>233140.3</v>
      </c>
      <c r="N34" s="52">
        <v>26275.999999999996</v>
      </c>
      <c r="O34" s="52">
        <v>687166.2</v>
      </c>
      <c r="P34" s="52"/>
      <c r="Q34" s="52">
        <v>6532.0999999999995</v>
      </c>
      <c r="R34" s="52">
        <v>822595.39999999991</v>
      </c>
      <c r="S34" s="52">
        <v>27.1</v>
      </c>
      <c r="T34" s="52">
        <v>829154.59999999986</v>
      </c>
      <c r="U34" s="52"/>
      <c r="V34" s="52">
        <v>1516320.7999999998</v>
      </c>
      <c r="W34" s="52">
        <v>1440450.6999999997</v>
      </c>
    </row>
    <row r="35" spans="1:23" s="71" customFormat="1" x14ac:dyDescent="0.2">
      <c r="A35" s="36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</row>
    <row r="36" spans="1:23" s="71" customFormat="1" x14ac:dyDescent="0.2">
      <c r="A36" s="36" t="s">
        <v>58</v>
      </c>
      <c r="B36" s="52">
        <v>-194954.00000000006</v>
      </c>
      <c r="C36" s="52">
        <v>33930.199999999953</v>
      </c>
      <c r="D36" s="52" t="s">
        <v>42</v>
      </c>
      <c r="E36" s="52">
        <v>-161023.8000000001</v>
      </c>
      <c r="F36" s="52">
        <v>273246</v>
      </c>
      <c r="G36" s="52">
        <v>296894.8</v>
      </c>
      <c r="H36" s="52"/>
      <c r="I36" s="52">
        <v>49380.450000000004</v>
      </c>
      <c r="J36" s="52">
        <v>86384.8</v>
      </c>
      <c r="K36" s="52">
        <v>275994.3</v>
      </c>
      <c r="L36" s="52">
        <v>981900.35000000009</v>
      </c>
      <c r="M36" s="52">
        <v>230971.85</v>
      </c>
      <c r="N36" s="52">
        <v>25784.100000000002</v>
      </c>
      <c r="O36" s="52">
        <v>725144.40000000014</v>
      </c>
      <c r="P36" s="52"/>
      <c r="Q36" s="52">
        <v>2767.5</v>
      </c>
      <c r="R36" s="52">
        <v>840814.9</v>
      </c>
      <c r="S36" s="52">
        <v>22.2</v>
      </c>
      <c r="T36" s="52">
        <v>843604.6</v>
      </c>
      <c r="U36" s="52"/>
      <c r="V36" s="52">
        <v>1568749</v>
      </c>
      <c r="W36" s="52">
        <v>1407725.2</v>
      </c>
    </row>
    <row r="37" spans="1:23" s="71" customFormat="1" x14ac:dyDescent="0.2">
      <c r="A37" s="36" t="s">
        <v>55</v>
      </c>
      <c r="B37" s="52">
        <v>-186003.4</v>
      </c>
      <c r="C37" s="52">
        <v>20116.699999999953</v>
      </c>
      <c r="D37" s="52" t="s">
        <v>42</v>
      </c>
      <c r="E37" s="52">
        <v>-165886.70000000004</v>
      </c>
      <c r="F37" s="52">
        <v>19504.700000000012</v>
      </c>
      <c r="G37" s="52">
        <v>348742.9</v>
      </c>
      <c r="H37" s="52"/>
      <c r="I37" s="52">
        <v>53053.399999999994</v>
      </c>
      <c r="J37" s="52">
        <v>83598.2</v>
      </c>
      <c r="K37" s="52">
        <v>547320.69999999995</v>
      </c>
      <c r="L37" s="52">
        <v>1052219.8999999999</v>
      </c>
      <c r="M37" s="52">
        <v>221487</v>
      </c>
      <c r="N37" s="52">
        <v>41471.800000000003</v>
      </c>
      <c r="O37" s="52">
        <v>789261.09999999986</v>
      </c>
      <c r="P37" s="52"/>
      <c r="Q37" s="52">
        <v>6427</v>
      </c>
      <c r="R37" s="52">
        <v>864550.89999999991</v>
      </c>
      <c r="S37" s="52">
        <v>59.2</v>
      </c>
      <c r="T37" s="52">
        <v>871037.09999999986</v>
      </c>
      <c r="U37" s="52"/>
      <c r="V37" s="52">
        <v>1660298.1999999997</v>
      </c>
      <c r="W37" s="52">
        <v>1494411.4999999998</v>
      </c>
    </row>
    <row r="38" spans="1:23" s="71" customFormat="1" x14ac:dyDescent="0.2">
      <c r="A38" s="81" t="s">
        <v>56</v>
      </c>
      <c r="B38" s="52">
        <v>-181601</v>
      </c>
      <c r="C38" s="52">
        <v>-10844.799999999959</v>
      </c>
      <c r="D38" s="52" t="s">
        <v>42</v>
      </c>
      <c r="E38" s="52">
        <v>-192445.79999999996</v>
      </c>
      <c r="F38" s="52">
        <v>18972.7</v>
      </c>
      <c r="G38" s="52">
        <v>390238.4</v>
      </c>
      <c r="H38" s="52"/>
      <c r="I38" s="52">
        <v>46820.399999999994</v>
      </c>
      <c r="J38" s="52">
        <v>79418.3</v>
      </c>
      <c r="K38" s="52">
        <v>546041</v>
      </c>
      <c r="L38" s="52">
        <v>1081490.8</v>
      </c>
      <c r="M38" s="52">
        <v>219202.59999999998</v>
      </c>
      <c r="N38" s="52">
        <v>34600.5</v>
      </c>
      <c r="O38" s="52">
        <v>827687.70000000007</v>
      </c>
      <c r="P38" s="52"/>
      <c r="Q38" s="52">
        <v>11245.4</v>
      </c>
      <c r="R38" s="52">
        <v>878654.15</v>
      </c>
      <c r="S38" s="52">
        <v>15.5</v>
      </c>
      <c r="T38" s="52">
        <v>889915.05</v>
      </c>
      <c r="U38" s="52"/>
      <c r="V38" s="52">
        <v>1717602.75</v>
      </c>
      <c r="W38" s="52">
        <v>1525156.95</v>
      </c>
    </row>
    <row r="39" spans="1:23" s="71" customFormat="1" x14ac:dyDescent="0.2">
      <c r="A39" s="81" t="s">
        <v>57</v>
      </c>
      <c r="B39" s="52">
        <v>-162073.80000000002</v>
      </c>
      <c r="C39" s="52">
        <v>-14449.299999999974</v>
      </c>
      <c r="D39" s="52" t="s">
        <v>42</v>
      </c>
      <c r="E39" s="52">
        <v>-176523.09999999998</v>
      </c>
      <c r="F39" s="52">
        <v>134973.1</v>
      </c>
      <c r="G39" s="52">
        <v>438079.6</v>
      </c>
      <c r="H39" s="52"/>
      <c r="I39" s="52">
        <v>37099.5</v>
      </c>
      <c r="J39" s="52">
        <v>73845.100000000006</v>
      </c>
      <c r="K39" s="52">
        <v>543481.59999999998</v>
      </c>
      <c r="L39" s="52">
        <v>1227478.8999999999</v>
      </c>
      <c r="M39" s="52">
        <v>290598</v>
      </c>
      <c r="N39" s="52">
        <v>30394.800000000003</v>
      </c>
      <c r="O39" s="52">
        <v>906486.09999999986</v>
      </c>
      <c r="P39" s="52"/>
      <c r="Q39" s="52">
        <v>7173.4000000000005</v>
      </c>
      <c r="R39" s="52">
        <v>859893.09999999986</v>
      </c>
      <c r="S39" s="52">
        <v>57.6</v>
      </c>
      <c r="T39" s="52">
        <v>867124.09999999986</v>
      </c>
      <c r="U39" s="52"/>
      <c r="V39" s="52">
        <v>1773610.1999999997</v>
      </c>
      <c r="W39" s="52">
        <v>1597087.0999999996</v>
      </c>
    </row>
    <row r="40" spans="1:23" s="71" customFormat="1" x14ac:dyDescent="0.2">
      <c r="A40" s="36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</row>
    <row r="41" spans="1:23" s="71" customFormat="1" x14ac:dyDescent="0.2">
      <c r="A41" s="81" t="s">
        <v>59</v>
      </c>
      <c r="B41" s="52">
        <v>-133135.90000000002</v>
      </c>
      <c r="C41" s="52">
        <v>-31494.300000000003</v>
      </c>
      <c r="D41" s="52" t="s">
        <v>42</v>
      </c>
      <c r="E41" s="52">
        <v>-164630.20000000001</v>
      </c>
      <c r="F41" s="73">
        <v>130042.5</v>
      </c>
      <c r="G41" s="73">
        <v>474831.29999999993</v>
      </c>
      <c r="H41" s="73"/>
      <c r="I41" s="73">
        <v>48574.1</v>
      </c>
      <c r="J41" s="73">
        <v>69665.100000000006</v>
      </c>
      <c r="K41" s="74">
        <v>541562</v>
      </c>
      <c r="L41" s="75">
        <v>1264675</v>
      </c>
      <c r="M41" s="76">
        <v>246340.4</v>
      </c>
      <c r="N41" s="52">
        <v>31886.899999999998</v>
      </c>
      <c r="O41" s="75">
        <v>986447.7</v>
      </c>
      <c r="P41" s="77"/>
      <c r="Q41" s="78">
        <v>6812.0999999999995</v>
      </c>
      <c r="R41" s="75">
        <v>809886.1</v>
      </c>
      <c r="S41" s="79">
        <v>58.6</v>
      </c>
      <c r="T41" s="52">
        <v>816756.79999999993</v>
      </c>
      <c r="U41" s="80"/>
      <c r="V41" s="77">
        <v>1803204.5</v>
      </c>
      <c r="W41" s="52">
        <v>1638574.3</v>
      </c>
    </row>
    <row r="42" spans="1:23" s="71" customFormat="1" x14ac:dyDescent="0.2">
      <c r="A42" s="81" t="s">
        <v>60</v>
      </c>
      <c r="B42" s="52">
        <v>-140476.99999999994</v>
      </c>
      <c r="C42" s="52">
        <v>-12640.399999999994</v>
      </c>
      <c r="D42" s="52" t="s">
        <v>42</v>
      </c>
      <c r="E42" s="52">
        <v>-153117.39999999994</v>
      </c>
      <c r="F42" s="73">
        <v>141652.79999999999</v>
      </c>
      <c r="G42" s="73">
        <v>520961.5</v>
      </c>
      <c r="H42" s="73"/>
      <c r="I42" s="73">
        <v>41002.699999999997</v>
      </c>
      <c r="J42" s="73">
        <v>66878.5</v>
      </c>
      <c r="K42" s="74">
        <v>540282.30000000005</v>
      </c>
      <c r="L42" s="75">
        <v>1310777.8</v>
      </c>
      <c r="M42" s="76">
        <v>244206.4</v>
      </c>
      <c r="N42" s="52">
        <v>54196.200000000004</v>
      </c>
      <c r="O42" s="75">
        <v>1012375.2000000002</v>
      </c>
      <c r="P42" s="77"/>
      <c r="Q42" s="78">
        <v>13580.699999999999</v>
      </c>
      <c r="R42" s="75">
        <v>868483.8</v>
      </c>
      <c r="S42" s="79">
        <v>33.299999999999997</v>
      </c>
      <c r="T42" s="52">
        <v>882097.8</v>
      </c>
      <c r="U42" s="80"/>
      <c r="V42" s="77">
        <v>1894473.0000000002</v>
      </c>
      <c r="W42" s="52">
        <v>1741355.6000000003</v>
      </c>
    </row>
    <row r="43" spans="1:23" s="71" customFormat="1" x14ac:dyDescent="0.2">
      <c r="A43" s="81" t="s">
        <v>61</v>
      </c>
      <c r="B43" s="52">
        <v>-134023.79999999999</v>
      </c>
      <c r="C43" s="52">
        <v>-42355.7</v>
      </c>
      <c r="D43" s="52" t="s">
        <v>42</v>
      </c>
      <c r="E43" s="52">
        <v>-176379.5</v>
      </c>
      <c r="F43" s="73">
        <v>112382.3</v>
      </c>
      <c r="G43" s="73">
        <v>550738.80000000005</v>
      </c>
      <c r="H43" s="73"/>
      <c r="I43" s="73">
        <v>43981.899999999994</v>
      </c>
      <c r="J43" s="73">
        <v>62698.6</v>
      </c>
      <c r="K43" s="74">
        <v>538362.6</v>
      </c>
      <c r="L43" s="75">
        <v>1308164.2000000002</v>
      </c>
      <c r="M43" s="76">
        <v>233335.65</v>
      </c>
      <c r="N43" s="52">
        <v>36826.199999999997</v>
      </c>
      <c r="O43" s="75">
        <v>1038002.3500000003</v>
      </c>
      <c r="P43" s="77"/>
      <c r="Q43" s="78">
        <v>28033</v>
      </c>
      <c r="R43" s="75">
        <v>902900.45</v>
      </c>
      <c r="S43" s="79">
        <v>56.1</v>
      </c>
      <c r="T43" s="52">
        <v>930989.54999999993</v>
      </c>
      <c r="U43" s="80"/>
      <c r="V43" s="77">
        <v>1968991.9000000004</v>
      </c>
      <c r="W43" s="52">
        <v>1792612.4000000004</v>
      </c>
    </row>
    <row r="44" spans="1:23" s="71" customFormat="1" x14ac:dyDescent="0.2">
      <c r="A44" s="81" t="s">
        <v>62</v>
      </c>
      <c r="B44" s="52">
        <v>-139165.79999999999</v>
      </c>
      <c r="C44" s="52">
        <v>-9919.6000000000058</v>
      </c>
      <c r="D44" s="52" t="s">
        <v>42</v>
      </c>
      <c r="E44" s="52">
        <v>-149085.4</v>
      </c>
      <c r="F44" s="73">
        <v>194279.5</v>
      </c>
      <c r="G44" s="73">
        <v>643490.6</v>
      </c>
      <c r="H44" s="73"/>
      <c r="I44" s="73">
        <v>30909.1</v>
      </c>
      <c r="J44" s="73">
        <v>57125.4</v>
      </c>
      <c r="K44" s="74">
        <v>535803.19999999995</v>
      </c>
      <c r="L44" s="75">
        <v>1461607.7999999998</v>
      </c>
      <c r="M44" s="76">
        <v>297362</v>
      </c>
      <c r="N44" s="52">
        <v>49354.6</v>
      </c>
      <c r="O44" s="75">
        <v>1114891.1999999997</v>
      </c>
      <c r="P44" s="77"/>
      <c r="Q44" s="78">
        <v>28762.899999999998</v>
      </c>
      <c r="R44" s="75">
        <v>871645.09999999986</v>
      </c>
      <c r="S44" s="79">
        <v>4937.3999999999996</v>
      </c>
      <c r="T44" s="52">
        <v>905345.39999999991</v>
      </c>
      <c r="U44" s="80"/>
      <c r="V44" s="77">
        <v>2020236.5999999996</v>
      </c>
      <c r="W44" s="52">
        <v>1871151.1999999997</v>
      </c>
    </row>
    <row r="45" spans="1:23" s="71" customFormat="1" x14ac:dyDescent="0.2">
      <c r="A45" s="81"/>
      <c r="B45" s="52"/>
      <c r="C45" s="52"/>
      <c r="D45" s="52"/>
      <c r="E45" s="52"/>
      <c r="F45" s="73"/>
      <c r="G45" s="73"/>
      <c r="H45" s="73"/>
      <c r="I45" s="73"/>
      <c r="J45" s="73"/>
      <c r="K45" s="74"/>
      <c r="L45" s="75"/>
      <c r="M45" s="76"/>
      <c r="N45" s="52"/>
      <c r="O45" s="75"/>
      <c r="P45" s="77"/>
      <c r="Q45" s="78"/>
      <c r="R45" s="75"/>
      <c r="S45" s="79"/>
      <c r="T45" s="52"/>
      <c r="U45" s="80"/>
      <c r="V45" s="77"/>
      <c r="W45" s="52"/>
    </row>
    <row r="46" spans="1:23" s="71" customFormat="1" x14ac:dyDescent="0.2">
      <c r="A46" s="81" t="s">
        <v>63</v>
      </c>
      <c r="B46" s="52">
        <f>153639.2-334143.8</f>
        <v>-180504.59999999998</v>
      </c>
      <c r="C46" s="52">
        <f>169526.8-158712.3</f>
        <v>10814.5</v>
      </c>
      <c r="D46" s="52" t="s">
        <v>42</v>
      </c>
      <c r="E46" s="52">
        <f t="shared" ref="E46" si="6">+SUM(B46:D46)</f>
        <v>-169690.09999999998</v>
      </c>
      <c r="F46" s="73">
        <v>151279.29999999999</v>
      </c>
      <c r="G46" s="73">
        <f>190476.2+525581.2</f>
        <v>716057.39999999991</v>
      </c>
      <c r="H46" s="73"/>
      <c r="I46" s="73">
        <f>15743.4+13628.1</f>
        <v>29371.5</v>
      </c>
      <c r="J46" s="73">
        <v>52945.5</v>
      </c>
      <c r="K46" s="74">
        <v>533314.30000000005</v>
      </c>
      <c r="L46" s="75">
        <f>+SUM(F46:K46)</f>
        <v>1482968</v>
      </c>
      <c r="M46" s="76">
        <v>288644.90000000002</v>
      </c>
      <c r="N46" s="52">
        <v>56551.9</v>
      </c>
      <c r="O46" s="75">
        <f>+L46-M46-N46</f>
        <v>1137771.2000000002</v>
      </c>
      <c r="P46" s="77"/>
      <c r="Q46" s="78">
        <f>15902.8+129.8</f>
        <v>16032.599999999999</v>
      </c>
      <c r="R46" s="75">
        <f>829884.8+8446.2+58517.2</f>
        <v>896848.2</v>
      </c>
      <c r="S46" s="79">
        <v>5422.5</v>
      </c>
      <c r="T46" s="52">
        <f t="shared" ref="T46" si="7">SUM(Q46:S46)</f>
        <v>918303.29999999993</v>
      </c>
      <c r="U46" s="80"/>
      <c r="V46" s="77">
        <f>SUM(O46,T46)</f>
        <v>2056074.5</v>
      </c>
      <c r="W46" s="52">
        <f>SUM(E46,V46)</f>
        <v>1886384.4</v>
      </c>
    </row>
    <row r="47" spans="1:23" s="71" customFormat="1" x14ac:dyDescent="0.2">
      <c r="A47" s="81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1:23" s="71" customFormat="1" hidden="1" x14ac:dyDescent="0.2">
      <c r="A48" s="36" t="s">
        <v>64</v>
      </c>
      <c r="B48" s="52">
        <v>71000.099999999977</v>
      </c>
      <c r="C48" s="52">
        <v>72524.799999999988</v>
      </c>
      <c r="D48" s="52" t="s">
        <v>42</v>
      </c>
      <c r="E48" s="52">
        <f t="shared" si="4"/>
        <v>143524.89999999997</v>
      </c>
      <c r="F48" s="52">
        <v>158139.70000000001</v>
      </c>
      <c r="G48" s="52">
        <v>40422.300000000003</v>
      </c>
      <c r="H48" s="52" t="s">
        <v>42</v>
      </c>
      <c r="I48" s="52">
        <v>5365.5</v>
      </c>
      <c r="J48" s="52" t="s">
        <v>42</v>
      </c>
      <c r="K48" s="52" t="s">
        <v>42</v>
      </c>
      <c r="L48" s="52">
        <f t="shared" si="5"/>
        <v>203927.5</v>
      </c>
      <c r="M48" s="52">
        <v>80610.600000000006</v>
      </c>
      <c r="N48" s="52">
        <v>9941.8999999999978</v>
      </c>
      <c r="O48" s="52">
        <f t="shared" ref="O48:O116" si="8">+L48-M48-N48</f>
        <v>113375</v>
      </c>
      <c r="P48" s="52"/>
      <c r="Q48" s="52">
        <v>9503.2000000000007</v>
      </c>
      <c r="R48" s="52">
        <v>218676.50000000003</v>
      </c>
      <c r="S48" s="52">
        <v>77.900000000000006</v>
      </c>
      <c r="T48" s="52">
        <f t="shared" ref="T48:T116" si="9">SUM(Q48:S48)</f>
        <v>228257.60000000003</v>
      </c>
      <c r="U48" s="52"/>
      <c r="V48" s="52">
        <f t="shared" ref="V48:V116" si="10">SUM(O48,T48)</f>
        <v>341632.60000000003</v>
      </c>
      <c r="W48" s="52">
        <f>SUM(E48,V48)</f>
        <v>485157.5</v>
      </c>
    </row>
    <row r="49" spans="1:23" s="71" customFormat="1" hidden="1" x14ac:dyDescent="0.2">
      <c r="A49" s="36" t="s">
        <v>65</v>
      </c>
      <c r="B49" s="52">
        <v>62812.299999999988</v>
      </c>
      <c r="C49" s="52">
        <v>81461.900000000009</v>
      </c>
      <c r="D49" s="52" t="s">
        <v>42</v>
      </c>
      <c r="E49" s="52">
        <f t="shared" si="4"/>
        <v>144274.20000000001</v>
      </c>
      <c r="F49" s="52">
        <v>163802</v>
      </c>
      <c r="G49" s="52">
        <v>45396.9</v>
      </c>
      <c r="H49" s="52" t="s">
        <v>42</v>
      </c>
      <c r="I49" s="52">
        <v>6283.7000000000007</v>
      </c>
      <c r="J49" s="52" t="s">
        <v>42</v>
      </c>
      <c r="K49" s="52" t="s">
        <v>42</v>
      </c>
      <c r="L49" s="52">
        <f t="shared" si="5"/>
        <v>215482.6</v>
      </c>
      <c r="M49" s="52">
        <v>76125.5</v>
      </c>
      <c r="N49" s="52">
        <v>9334.5</v>
      </c>
      <c r="O49" s="52">
        <f t="shared" si="8"/>
        <v>130022.6</v>
      </c>
      <c r="P49" s="52"/>
      <c r="Q49" s="52">
        <v>9111.2000000000007</v>
      </c>
      <c r="R49" s="52">
        <v>217278.00000000003</v>
      </c>
      <c r="S49" s="52">
        <v>106.1</v>
      </c>
      <c r="T49" s="52">
        <f t="shared" si="9"/>
        <v>226495.30000000005</v>
      </c>
      <c r="U49" s="52"/>
      <c r="V49" s="52">
        <f t="shared" si="10"/>
        <v>356517.9</v>
      </c>
      <c r="W49" s="52">
        <f t="shared" ref="W49:W117" si="11">SUM(E49,V49)</f>
        <v>500792.10000000003</v>
      </c>
    </row>
    <row r="50" spans="1:23" s="71" customFormat="1" hidden="1" x14ac:dyDescent="0.2">
      <c r="A50" s="36" t="s">
        <v>66</v>
      </c>
      <c r="B50" s="52">
        <v>60403.499999999942</v>
      </c>
      <c r="C50" s="52">
        <v>88180.9</v>
      </c>
      <c r="D50" s="52" t="s">
        <v>42</v>
      </c>
      <c r="E50" s="52">
        <f t="shared" si="4"/>
        <v>148584.39999999994</v>
      </c>
      <c r="F50" s="52">
        <v>173616.9</v>
      </c>
      <c r="G50" s="52">
        <v>45326.400000000001</v>
      </c>
      <c r="H50" s="52" t="s">
        <v>42</v>
      </c>
      <c r="I50" s="52">
        <v>6220.2999999999993</v>
      </c>
      <c r="J50" s="52" t="s">
        <v>42</v>
      </c>
      <c r="K50" s="52" t="s">
        <v>42</v>
      </c>
      <c r="L50" s="52">
        <f t="shared" si="5"/>
        <v>225163.59999999998</v>
      </c>
      <c r="M50" s="52">
        <v>80768</v>
      </c>
      <c r="N50" s="52">
        <v>11101.600000000002</v>
      </c>
      <c r="O50" s="52">
        <f t="shared" si="8"/>
        <v>133293.99999999997</v>
      </c>
      <c r="P50" s="52"/>
      <c r="Q50" s="52">
        <v>9802.6999999999989</v>
      </c>
      <c r="R50" s="52">
        <v>220978.30000000005</v>
      </c>
      <c r="S50" s="52">
        <v>105.1</v>
      </c>
      <c r="T50" s="52">
        <f t="shared" si="9"/>
        <v>230886.10000000006</v>
      </c>
      <c r="U50" s="52"/>
      <c r="V50" s="52">
        <f t="shared" si="10"/>
        <v>364180.10000000003</v>
      </c>
      <c r="W50" s="52">
        <f t="shared" si="11"/>
        <v>512764.5</v>
      </c>
    </row>
    <row r="51" spans="1:23" s="71" customFormat="1" hidden="1" x14ac:dyDescent="0.2">
      <c r="A51" s="36" t="s">
        <v>67</v>
      </c>
      <c r="B51" s="52">
        <v>65629.399999999994</v>
      </c>
      <c r="C51" s="52">
        <v>84707.599999999977</v>
      </c>
      <c r="D51" s="52" t="s">
        <v>42</v>
      </c>
      <c r="E51" s="52">
        <f t="shared" si="4"/>
        <v>150336.99999999997</v>
      </c>
      <c r="F51" s="52">
        <v>179672.1</v>
      </c>
      <c r="G51" s="52">
        <v>44626.400000000001</v>
      </c>
      <c r="H51" s="52" t="s">
        <v>42</v>
      </c>
      <c r="I51" s="52">
        <v>8569.1</v>
      </c>
      <c r="J51" s="52" t="s">
        <v>42</v>
      </c>
      <c r="K51" s="52" t="s">
        <v>42</v>
      </c>
      <c r="L51" s="52">
        <f t="shared" si="5"/>
        <v>232867.6</v>
      </c>
      <c r="M51" s="52">
        <v>91380.599999999991</v>
      </c>
      <c r="N51" s="52">
        <v>11534.699999999999</v>
      </c>
      <c r="O51" s="52">
        <f t="shared" si="8"/>
        <v>129952.3</v>
      </c>
      <c r="P51" s="52"/>
      <c r="Q51" s="52">
        <v>9230.9999999999982</v>
      </c>
      <c r="R51" s="52">
        <v>223510</v>
      </c>
      <c r="S51" s="52">
        <v>104.3</v>
      </c>
      <c r="T51" s="52">
        <f t="shared" si="9"/>
        <v>232845.3</v>
      </c>
      <c r="U51" s="52"/>
      <c r="V51" s="52">
        <f t="shared" si="10"/>
        <v>362797.6</v>
      </c>
      <c r="W51" s="52">
        <f t="shared" si="11"/>
        <v>513134.6</v>
      </c>
    </row>
    <row r="52" spans="1:23" s="71" customFormat="1" hidden="1" x14ac:dyDescent="0.2">
      <c r="A52" s="36" t="s">
        <v>68</v>
      </c>
      <c r="B52" s="52">
        <v>61488</v>
      </c>
      <c r="C52" s="52">
        <v>79298.499999999985</v>
      </c>
      <c r="D52" s="52" t="s">
        <v>42</v>
      </c>
      <c r="E52" s="52">
        <f t="shared" si="4"/>
        <v>140786.5</v>
      </c>
      <c r="F52" s="52">
        <v>182582.3</v>
      </c>
      <c r="G52" s="52">
        <v>40822.200000000004</v>
      </c>
      <c r="H52" s="52" t="s">
        <v>42</v>
      </c>
      <c r="I52" s="52">
        <v>5414</v>
      </c>
      <c r="J52" s="52" t="s">
        <v>42</v>
      </c>
      <c r="K52" s="52" t="s">
        <v>42</v>
      </c>
      <c r="L52" s="52">
        <f t="shared" si="5"/>
        <v>228818.5</v>
      </c>
      <c r="M52" s="52">
        <v>89184.723000000013</v>
      </c>
      <c r="N52" s="52">
        <v>10026.699999999999</v>
      </c>
      <c r="O52" s="52">
        <f t="shared" si="8"/>
        <v>129607.077</v>
      </c>
      <c r="P52" s="52"/>
      <c r="Q52" s="52">
        <v>9642.4</v>
      </c>
      <c r="R52" s="52">
        <v>225959.4</v>
      </c>
      <c r="S52" s="52">
        <v>104.4</v>
      </c>
      <c r="T52" s="52">
        <f t="shared" si="9"/>
        <v>235706.19999999998</v>
      </c>
      <c r="U52" s="52"/>
      <c r="V52" s="52">
        <f t="shared" si="10"/>
        <v>365313.277</v>
      </c>
      <c r="W52" s="52">
        <f t="shared" si="11"/>
        <v>506099.777</v>
      </c>
    </row>
    <row r="53" spans="1:23" s="71" customFormat="1" hidden="1" x14ac:dyDescent="0.2">
      <c r="A53" s="36" t="s">
        <v>55</v>
      </c>
      <c r="B53" s="52">
        <v>56309.5</v>
      </c>
      <c r="C53" s="52">
        <v>82636.399999999994</v>
      </c>
      <c r="D53" s="52" t="s">
        <v>42</v>
      </c>
      <c r="E53" s="52">
        <f t="shared" si="4"/>
        <v>138945.9</v>
      </c>
      <c r="F53" s="52">
        <v>185113.8</v>
      </c>
      <c r="G53" s="52">
        <v>41022.200000000004</v>
      </c>
      <c r="H53" s="52" t="s">
        <v>42</v>
      </c>
      <c r="I53" s="52">
        <v>8052.4</v>
      </c>
      <c r="J53" s="52" t="s">
        <v>42</v>
      </c>
      <c r="K53" s="52" t="s">
        <v>42</v>
      </c>
      <c r="L53" s="52">
        <f t="shared" si="5"/>
        <v>234188.4</v>
      </c>
      <c r="M53" s="52">
        <v>82103</v>
      </c>
      <c r="N53" s="52">
        <v>10096.199999999999</v>
      </c>
      <c r="O53" s="52">
        <f t="shared" si="8"/>
        <v>141989.19999999998</v>
      </c>
      <c r="P53" s="52"/>
      <c r="Q53" s="52">
        <v>12850.8</v>
      </c>
      <c r="R53" s="52">
        <v>237857.6</v>
      </c>
      <c r="S53" s="52">
        <v>101.8</v>
      </c>
      <c r="T53" s="52">
        <f t="shared" si="9"/>
        <v>250810.19999999998</v>
      </c>
      <c r="U53" s="52"/>
      <c r="V53" s="52">
        <f t="shared" si="10"/>
        <v>392799.39999999997</v>
      </c>
      <c r="W53" s="52">
        <f t="shared" si="11"/>
        <v>531745.29999999993</v>
      </c>
    </row>
    <row r="54" spans="1:23" s="71" customFormat="1" hidden="1" x14ac:dyDescent="0.2">
      <c r="A54" s="36" t="s">
        <v>69</v>
      </c>
      <c r="B54" s="52">
        <v>70144.199999999953</v>
      </c>
      <c r="C54" s="52">
        <v>74558.799999999988</v>
      </c>
      <c r="D54" s="52" t="s">
        <v>42</v>
      </c>
      <c r="E54" s="52">
        <f t="shared" si="4"/>
        <v>144702.99999999994</v>
      </c>
      <c r="F54" s="52">
        <v>177924.3</v>
      </c>
      <c r="G54" s="52">
        <v>36154.800000000003</v>
      </c>
      <c r="H54" s="52" t="s">
        <v>42</v>
      </c>
      <c r="I54" s="52">
        <v>7102.2999999999993</v>
      </c>
      <c r="J54" s="52" t="s">
        <v>42</v>
      </c>
      <c r="K54" s="52" t="s">
        <v>42</v>
      </c>
      <c r="L54" s="52">
        <f t="shared" si="5"/>
        <v>221181.39999999997</v>
      </c>
      <c r="M54" s="52">
        <v>79078.900000000009</v>
      </c>
      <c r="N54" s="52">
        <v>9264.6999999999989</v>
      </c>
      <c r="O54" s="52">
        <f t="shared" si="8"/>
        <v>132837.79999999993</v>
      </c>
      <c r="P54" s="52"/>
      <c r="Q54" s="52">
        <v>23911.999999999996</v>
      </c>
      <c r="R54" s="52">
        <v>245655.30000000002</v>
      </c>
      <c r="S54" s="52">
        <v>102.39999999999999</v>
      </c>
      <c r="T54" s="52">
        <f t="shared" si="9"/>
        <v>269669.7</v>
      </c>
      <c r="U54" s="52"/>
      <c r="V54" s="52">
        <f t="shared" si="10"/>
        <v>402507.49999999994</v>
      </c>
      <c r="W54" s="52">
        <f t="shared" si="11"/>
        <v>547210.49999999988</v>
      </c>
    </row>
    <row r="55" spans="1:23" s="71" customFormat="1" hidden="1" x14ac:dyDescent="0.2">
      <c r="A55" s="36" t="s">
        <v>70</v>
      </c>
      <c r="B55" s="52">
        <v>79117.500000000029</v>
      </c>
      <c r="C55" s="52">
        <v>86599.4</v>
      </c>
      <c r="D55" s="52" t="s">
        <v>42</v>
      </c>
      <c r="E55" s="52">
        <f t="shared" si="4"/>
        <v>165716.90000000002</v>
      </c>
      <c r="F55" s="52">
        <v>181494.5</v>
      </c>
      <c r="G55" s="52">
        <v>35951.5</v>
      </c>
      <c r="H55" s="52" t="s">
        <v>42</v>
      </c>
      <c r="I55" s="52">
        <v>6763.1</v>
      </c>
      <c r="J55" s="52" t="s">
        <v>42</v>
      </c>
      <c r="K55" s="52" t="s">
        <v>42</v>
      </c>
      <c r="L55" s="52">
        <f t="shared" si="5"/>
        <v>224209.1</v>
      </c>
      <c r="M55" s="52">
        <v>100261.9</v>
      </c>
      <c r="N55" s="52">
        <v>9613.6999999999989</v>
      </c>
      <c r="O55" s="52">
        <f t="shared" si="8"/>
        <v>114333.50000000001</v>
      </c>
      <c r="P55" s="52"/>
      <c r="Q55" s="52">
        <v>30283.5</v>
      </c>
      <c r="R55" s="52">
        <v>249193.1</v>
      </c>
      <c r="S55" s="52">
        <v>90.899999999999991</v>
      </c>
      <c r="T55" s="52">
        <f t="shared" si="9"/>
        <v>279567.5</v>
      </c>
      <c r="U55" s="52"/>
      <c r="V55" s="52">
        <f t="shared" si="10"/>
        <v>393901</v>
      </c>
      <c r="W55" s="52">
        <f t="shared" si="11"/>
        <v>559617.9</v>
      </c>
    </row>
    <row r="56" spans="1:23" s="71" customFormat="1" hidden="1" x14ac:dyDescent="0.2">
      <c r="A56" s="36" t="s">
        <v>56</v>
      </c>
      <c r="B56" s="52">
        <v>75833.299999999959</v>
      </c>
      <c r="C56" s="52">
        <v>106593.50000000003</v>
      </c>
      <c r="D56" s="52" t="s">
        <v>42</v>
      </c>
      <c r="E56" s="52">
        <f t="shared" si="4"/>
        <v>182426.8</v>
      </c>
      <c r="F56" s="52">
        <v>167686.39999999999</v>
      </c>
      <c r="G56" s="52">
        <v>44061</v>
      </c>
      <c r="H56" s="52" t="s">
        <v>42</v>
      </c>
      <c r="I56" s="52">
        <v>7787.3</v>
      </c>
      <c r="J56" s="52" t="s">
        <v>42</v>
      </c>
      <c r="K56" s="52" t="s">
        <v>42</v>
      </c>
      <c r="L56" s="52">
        <f t="shared" si="5"/>
        <v>219534.69999999998</v>
      </c>
      <c r="M56" s="52">
        <v>100053.9</v>
      </c>
      <c r="N56" s="52">
        <v>9456.2000000000007</v>
      </c>
      <c r="O56" s="52">
        <f t="shared" si="8"/>
        <v>110024.59999999999</v>
      </c>
      <c r="P56" s="52"/>
      <c r="Q56" s="52">
        <v>31552.799999999999</v>
      </c>
      <c r="R56" s="52">
        <v>254099.09999999998</v>
      </c>
      <c r="S56" s="52">
        <v>93</v>
      </c>
      <c r="T56" s="52">
        <f t="shared" si="9"/>
        <v>285744.89999999997</v>
      </c>
      <c r="U56" s="52"/>
      <c r="V56" s="52">
        <f t="shared" si="10"/>
        <v>395769.49999999994</v>
      </c>
      <c r="W56" s="52">
        <f t="shared" si="11"/>
        <v>578196.29999999993</v>
      </c>
    </row>
    <row r="57" spans="1:23" s="71" customFormat="1" hidden="1" x14ac:dyDescent="0.2">
      <c r="A57" s="36" t="s">
        <v>71</v>
      </c>
      <c r="B57" s="52">
        <v>95303.6</v>
      </c>
      <c r="C57" s="52">
        <v>96499.799999999988</v>
      </c>
      <c r="D57" s="52" t="s">
        <v>42</v>
      </c>
      <c r="E57" s="52">
        <f t="shared" si="4"/>
        <v>191803.4</v>
      </c>
      <c r="F57" s="52">
        <v>161646.39999999999</v>
      </c>
      <c r="G57" s="52">
        <v>43061</v>
      </c>
      <c r="H57" s="52" t="s">
        <v>42</v>
      </c>
      <c r="I57" s="52">
        <v>7537.4000000000005</v>
      </c>
      <c r="J57" s="52" t="s">
        <v>42</v>
      </c>
      <c r="K57" s="52" t="s">
        <v>42</v>
      </c>
      <c r="L57" s="52">
        <f t="shared" si="5"/>
        <v>212244.8</v>
      </c>
      <c r="M57" s="52">
        <v>101928.7</v>
      </c>
      <c r="N57" s="52">
        <v>11011.5</v>
      </c>
      <c r="O57" s="52">
        <f t="shared" si="8"/>
        <v>99304.599999999991</v>
      </c>
      <c r="P57" s="52"/>
      <c r="Q57" s="52">
        <v>27717.1</v>
      </c>
      <c r="R57" s="52">
        <v>268878.59999999998</v>
      </c>
      <c r="S57" s="52">
        <v>129.9</v>
      </c>
      <c r="T57" s="52">
        <f t="shared" si="9"/>
        <v>296725.59999999998</v>
      </c>
      <c r="U57" s="52"/>
      <c r="V57" s="52">
        <f t="shared" si="10"/>
        <v>396030.19999999995</v>
      </c>
      <c r="W57" s="52">
        <f t="shared" si="11"/>
        <v>587833.59999999998</v>
      </c>
    </row>
    <row r="58" spans="1:23" s="71" customFormat="1" hidden="1" x14ac:dyDescent="0.2">
      <c r="A58" s="36" t="s">
        <v>72</v>
      </c>
      <c r="B58" s="52">
        <v>107336.39999999994</v>
      </c>
      <c r="C58" s="52">
        <v>99747.400000000023</v>
      </c>
      <c r="D58" s="52" t="s">
        <v>42</v>
      </c>
      <c r="E58" s="52">
        <f t="shared" si="4"/>
        <v>207083.79999999996</v>
      </c>
      <c r="F58" s="52">
        <v>146839.90000000002</v>
      </c>
      <c r="G58" s="52">
        <v>49561</v>
      </c>
      <c r="H58" s="52" t="s">
        <v>42</v>
      </c>
      <c r="I58" s="52">
        <v>7407</v>
      </c>
      <c r="J58" s="52" t="s">
        <v>42</v>
      </c>
      <c r="K58" s="52" t="s">
        <v>42</v>
      </c>
      <c r="L58" s="52">
        <f t="shared" si="5"/>
        <v>203807.90000000002</v>
      </c>
      <c r="M58" s="52">
        <v>100314.5</v>
      </c>
      <c r="N58" s="52">
        <v>9960.7000000000007</v>
      </c>
      <c r="O58" s="52">
        <f t="shared" si="8"/>
        <v>93532.700000000026</v>
      </c>
      <c r="P58" s="52"/>
      <c r="Q58" s="52">
        <v>24662.6</v>
      </c>
      <c r="R58" s="52">
        <v>267453.30000000005</v>
      </c>
      <c r="S58" s="52">
        <v>126.60000000000001</v>
      </c>
      <c r="T58" s="52">
        <f t="shared" si="9"/>
        <v>292242.5</v>
      </c>
      <c r="U58" s="52"/>
      <c r="V58" s="52">
        <f t="shared" si="10"/>
        <v>385775.2</v>
      </c>
      <c r="W58" s="52">
        <f t="shared" si="11"/>
        <v>592859</v>
      </c>
    </row>
    <row r="59" spans="1:23" s="71" customFormat="1" hidden="1" x14ac:dyDescent="0.2">
      <c r="A59" s="36" t="s">
        <v>57</v>
      </c>
      <c r="B59" s="52">
        <v>159092.20000000007</v>
      </c>
      <c r="C59" s="52">
        <v>95759.5</v>
      </c>
      <c r="D59" s="52" t="s">
        <v>42</v>
      </c>
      <c r="E59" s="52">
        <f t="shared" si="4"/>
        <v>254851.70000000007</v>
      </c>
      <c r="F59" s="52">
        <v>170798.9</v>
      </c>
      <c r="G59" s="52">
        <v>58561</v>
      </c>
      <c r="H59" s="52" t="s">
        <v>42</v>
      </c>
      <c r="I59" s="52">
        <v>9544.5</v>
      </c>
      <c r="J59" s="52" t="s">
        <v>42</v>
      </c>
      <c r="K59" s="52" t="s">
        <v>42</v>
      </c>
      <c r="L59" s="52">
        <f t="shared" si="5"/>
        <v>238904.4</v>
      </c>
      <c r="M59" s="52">
        <v>125831.59999999999</v>
      </c>
      <c r="N59" s="52">
        <v>11736.2</v>
      </c>
      <c r="O59" s="52">
        <f t="shared" si="8"/>
        <v>101336.6</v>
      </c>
      <c r="P59" s="52"/>
      <c r="Q59" s="52">
        <v>21927.199999999997</v>
      </c>
      <c r="R59" s="52">
        <v>261749.50000000003</v>
      </c>
      <c r="S59" s="52">
        <v>120.8</v>
      </c>
      <c r="T59" s="52">
        <f t="shared" si="9"/>
        <v>283797.5</v>
      </c>
      <c r="U59" s="52"/>
      <c r="V59" s="52">
        <f t="shared" si="10"/>
        <v>385134.1</v>
      </c>
      <c r="W59" s="52">
        <f t="shared" si="11"/>
        <v>639985.80000000005</v>
      </c>
    </row>
    <row r="60" spans="1:23" s="71" customFormat="1" hidden="1" x14ac:dyDescent="0.2">
      <c r="A60" s="8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</row>
    <row r="61" spans="1:23" s="71" customFormat="1" hidden="1" x14ac:dyDescent="0.2">
      <c r="A61" s="36" t="s">
        <v>73</v>
      </c>
      <c r="B61" s="52">
        <v>141369.9</v>
      </c>
      <c r="C61" s="52">
        <v>88477.799999999988</v>
      </c>
      <c r="D61" s="52" t="s">
        <v>42</v>
      </c>
      <c r="E61" s="52">
        <f t="shared" si="4"/>
        <v>229847.69999999998</v>
      </c>
      <c r="F61" s="52">
        <v>148190.5</v>
      </c>
      <c r="G61" s="52">
        <v>55061</v>
      </c>
      <c r="H61" s="52" t="s">
        <v>42</v>
      </c>
      <c r="I61" s="52">
        <v>7472.2</v>
      </c>
      <c r="J61" s="52" t="s">
        <v>42</v>
      </c>
      <c r="K61" s="52" t="s">
        <v>42</v>
      </c>
      <c r="L61" s="52">
        <f t="shared" si="5"/>
        <v>210723.7</v>
      </c>
      <c r="M61" s="52">
        <v>107241.29999999999</v>
      </c>
      <c r="N61" s="52">
        <v>11146.4</v>
      </c>
      <c r="O61" s="52">
        <f t="shared" si="8"/>
        <v>92336.000000000029</v>
      </c>
      <c r="P61" s="52"/>
      <c r="Q61" s="52">
        <v>19781.399999999998</v>
      </c>
      <c r="R61" s="52">
        <v>262133.40000000002</v>
      </c>
      <c r="S61" s="52">
        <v>116.7</v>
      </c>
      <c r="T61" s="52">
        <f t="shared" si="9"/>
        <v>282031.50000000006</v>
      </c>
      <c r="U61" s="52"/>
      <c r="V61" s="52">
        <f t="shared" si="10"/>
        <v>374367.50000000012</v>
      </c>
      <c r="W61" s="52">
        <f t="shared" si="11"/>
        <v>604215.20000000007</v>
      </c>
    </row>
    <row r="62" spans="1:23" s="71" customFormat="1" hidden="1" x14ac:dyDescent="0.2">
      <c r="A62" s="36" t="s">
        <v>65</v>
      </c>
      <c r="B62" s="52">
        <v>125265.90000000002</v>
      </c>
      <c r="C62" s="52">
        <v>89948.099999999977</v>
      </c>
      <c r="D62" s="52" t="s">
        <v>42</v>
      </c>
      <c r="E62" s="52">
        <f t="shared" si="4"/>
        <v>215214</v>
      </c>
      <c r="F62" s="52">
        <v>154147.90000000002</v>
      </c>
      <c r="G62" s="52">
        <v>62061</v>
      </c>
      <c r="H62" s="52" t="s">
        <v>42</v>
      </c>
      <c r="I62" s="52">
        <v>7189.7</v>
      </c>
      <c r="J62" s="52" t="s">
        <v>42</v>
      </c>
      <c r="K62" s="52" t="s">
        <v>42</v>
      </c>
      <c r="L62" s="52">
        <f t="shared" si="5"/>
        <v>223398.60000000003</v>
      </c>
      <c r="M62" s="52">
        <v>104477.63200000001</v>
      </c>
      <c r="N62" s="52">
        <v>13227.599999999999</v>
      </c>
      <c r="O62" s="52">
        <f t="shared" si="8"/>
        <v>105693.36800000002</v>
      </c>
      <c r="P62" s="52"/>
      <c r="Q62" s="52">
        <v>15991.599999999999</v>
      </c>
      <c r="R62" s="52">
        <v>265166.90000000002</v>
      </c>
      <c r="S62" s="52">
        <v>130.70000000000002</v>
      </c>
      <c r="T62" s="52">
        <f t="shared" si="9"/>
        <v>281289.2</v>
      </c>
      <c r="U62" s="52"/>
      <c r="V62" s="52">
        <f t="shared" si="10"/>
        <v>386982.56800000003</v>
      </c>
      <c r="W62" s="52">
        <f t="shared" si="11"/>
        <v>602196.56799999997</v>
      </c>
    </row>
    <row r="63" spans="1:23" s="71" customFormat="1" hidden="1" x14ac:dyDescent="0.2">
      <c r="A63" s="36" t="s">
        <v>66</v>
      </c>
      <c r="B63" s="52">
        <v>105784.50000000003</v>
      </c>
      <c r="C63" s="52">
        <v>92328.9</v>
      </c>
      <c r="D63" s="52" t="s">
        <v>42</v>
      </c>
      <c r="E63" s="52">
        <f t="shared" si="4"/>
        <v>198113.40000000002</v>
      </c>
      <c r="F63" s="52">
        <v>157525.1</v>
      </c>
      <c r="G63" s="52">
        <v>66253.7</v>
      </c>
      <c r="H63" s="52" t="s">
        <v>42</v>
      </c>
      <c r="I63" s="52">
        <v>6953.7</v>
      </c>
      <c r="J63" s="52" t="s">
        <v>42</v>
      </c>
      <c r="K63" s="52" t="s">
        <v>42</v>
      </c>
      <c r="L63" s="52">
        <f t="shared" si="5"/>
        <v>230732.5</v>
      </c>
      <c r="M63" s="52">
        <v>101779.5</v>
      </c>
      <c r="N63" s="52">
        <v>10745.9</v>
      </c>
      <c r="O63" s="52">
        <f t="shared" si="8"/>
        <v>118207.1</v>
      </c>
      <c r="P63" s="52"/>
      <c r="Q63" s="52">
        <v>12695.3</v>
      </c>
      <c r="R63" s="52">
        <v>273015.60000000003</v>
      </c>
      <c r="S63" s="52">
        <v>126.7</v>
      </c>
      <c r="T63" s="52">
        <f t="shared" si="9"/>
        <v>285837.60000000003</v>
      </c>
      <c r="U63" s="52"/>
      <c r="V63" s="52">
        <f t="shared" si="10"/>
        <v>404044.70000000007</v>
      </c>
      <c r="W63" s="52">
        <f t="shared" si="11"/>
        <v>602158.10000000009</v>
      </c>
    </row>
    <row r="64" spans="1:23" s="71" customFormat="1" hidden="1" x14ac:dyDescent="0.2">
      <c r="A64" s="36" t="s">
        <v>67</v>
      </c>
      <c r="B64" s="52">
        <v>90877.500000000029</v>
      </c>
      <c r="C64" s="52">
        <v>89777.400000000023</v>
      </c>
      <c r="D64" s="52" t="s">
        <v>42</v>
      </c>
      <c r="E64" s="52">
        <f t="shared" si="4"/>
        <v>180654.90000000005</v>
      </c>
      <c r="F64" s="52">
        <v>163693.70000000001</v>
      </c>
      <c r="G64" s="52">
        <v>66353.7</v>
      </c>
      <c r="H64" s="52" t="s">
        <v>42</v>
      </c>
      <c r="I64" s="52">
        <v>9039.1</v>
      </c>
      <c r="J64" s="52" t="s">
        <v>42</v>
      </c>
      <c r="K64" s="52" t="s">
        <v>42</v>
      </c>
      <c r="L64" s="52">
        <f t="shared" si="5"/>
        <v>239086.50000000003</v>
      </c>
      <c r="M64" s="52">
        <v>93895.6</v>
      </c>
      <c r="N64" s="52">
        <v>11639.400000000003</v>
      </c>
      <c r="O64" s="52">
        <f t="shared" si="8"/>
        <v>133551.50000000003</v>
      </c>
      <c r="P64" s="52"/>
      <c r="Q64" s="52">
        <v>11258.4</v>
      </c>
      <c r="R64" s="52">
        <v>275860</v>
      </c>
      <c r="S64" s="52">
        <v>152.1</v>
      </c>
      <c r="T64" s="52">
        <f t="shared" si="9"/>
        <v>287270.5</v>
      </c>
      <c r="U64" s="52"/>
      <c r="V64" s="52">
        <f t="shared" si="10"/>
        <v>420822</v>
      </c>
      <c r="W64" s="52">
        <f t="shared" si="11"/>
        <v>601476.9</v>
      </c>
    </row>
    <row r="65" spans="1:23" s="71" customFormat="1" hidden="1" x14ac:dyDescent="0.2">
      <c r="A65" s="36" t="s">
        <v>68</v>
      </c>
      <c r="B65" s="52">
        <v>154336.40000000008</v>
      </c>
      <c r="C65" s="52">
        <v>89065.299999999988</v>
      </c>
      <c r="D65" s="52" t="s">
        <v>42</v>
      </c>
      <c r="E65" s="52">
        <f t="shared" si="4"/>
        <v>243401.70000000007</v>
      </c>
      <c r="F65" s="52">
        <v>131037.20000000001</v>
      </c>
      <c r="G65" s="52">
        <v>103194.9</v>
      </c>
      <c r="H65" s="52" t="s">
        <v>42</v>
      </c>
      <c r="I65" s="52">
        <v>6620.5999999999995</v>
      </c>
      <c r="J65" s="52" t="s">
        <v>42</v>
      </c>
      <c r="K65" s="52" t="s">
        <v>42</v>
      </c>
      <c r="L65" s="52">
        <f t="shared" si="5"/>
        <v>240852.7</v>
      </c>
      <c r="M65" s="52">
        <v>127178.00000000001</v>
      </c>
      <c r="N65" s="52">
        <v>10597.9</v>
      </c>
      <c r="O65" s="52">
        <f t="shared" si="8"/>
        <v>103076.8</v>
      </c>
      <c r="P65" s="52"/>
      <c r="Q65" s="52">
        <v>10002.6</v>
      </c>
      <c r="R65" s="52">
        <v>280752.8</v>
      </c>
      <c r="S65" s="52">
        <v>146.30000000000001</v>
      </c>
      <c r="T65" s="52">
        <f t="shared" si="9"/>
        <v>290901.69999999995</v>
      </c>
      <c r="U65" s="52"/>
      <c r="V65" s="52">
        <f t="shared" si="10"/>
        <v>393978.49999999994</v>
      </c>
      <c r="W65" s="52">
        <f t="shared" si="11"/>
        <v>637380.19999999995</v>
      </c>
    </row>
    <row r="66" spans="1:23" s="71" customFormat="1" hidden="1" x14ac:dyDescent="0.2">
      <c r="A66" s="36" t="s">
        <v>55</v>
      </c>
      <c r="B66" s="52">
        <v>148241.89999999997</v>
      </c>
      <c r="C66" s="52">
        <v>88724.5</v>
      </c>
      <c r="D66" s="52" t="s">
        <v>42</v>
      </c>
      <c r="E66" s="52">
        <f t="shared" si="4"/>
        <v>236966.39999999997</v>
      </c>
      <c r="F66" s="52">
        <v>153145.30000000002</v>
      </c>
      <c r="G66" s="52">
        <v>100670</v>
      </c>
      <c r="H66" s="52" t="s">
        <v>42</v>
      </c>
      <c r="I66" s="52">
        <v>9624.6</v>
      </c>
      <c r="J66" s="52" t="s">
        <v>42</v>
      </c>
      <c r="K66" s="52" t="s">
        <v>42</v>
      </c>
      <c r="L66" s="52">
        <f t="shared" si="5"/>
        <v>263439.90000000002</v>
      </c>
      <c r="M66" s="52">
        <v>125026.4</v>
      </c>
      <c r="N66" s="52">
        <v>13685.099999999999</v>
      </c>
      <c r="O66" s="52">
        <f t="shared" si="8"/>
        <v>124728.40000000002</v>
      </c>
      <c r="P66" s="52"/>
      <c r="Q66" s="52">
        <v>10443.4</v>
      </c>
      <c r="R66" s="52">
        <v>285914.39999999997</v>
      </c>
      <c r="S66" s="52">
        <v>142.10000000000002</v>
      </c>
      <c r="T66" s="52">
        <f t="shared" si="9"/>
        <v>296499.89999999997</v>
      </c>
      <c r="U66" s="52"/>
      <c r="V66" s="52">
        <f t="shared" si="10"/>
        <v>421228.3</v>
      </c>
      <c r="W66" s="52">
        <f t="shared" si="11"/>
        <v>658194.69999999995</v>
      </c>
    </row>
    <row r="67" spans="1:23" s="71" customFormat="1" hidden="1" x14ac:dyDescent="0.2">
      <c r="A67" s="36" t="s">
        <v>69</v>
      </c>
      <c r="B67" s="52">
        <v>132152.60000000003</v>
      </c>
      <c r="C67" s="52">
        <v>87512.499999999985</v>
      </c>
      <c r="D67" s="52" t="s">
        <v>42</v>
      </c>
      <c r="E67" s="52">
        <f t="shared" si="4"/>
        <v>219665.10000000003</v>
      </c>
      <c r="F67" s="52">
        <v>147058</v>
      </c>
      <c r="G67" s="52">
        <v>106002.2</v>
      </c>
      <c r="H67" s="52" t="s">
        <v>42</v>
      </c>
      <c r="I67" s="52">
        <v>6644.5</v>
      </c>
      <c r="J67" s="52" t="s">
        <v>42</v>
      </c>
      <c r="K67" s="52" t="s">
        <v>42</v>
      </c>
      <c r="L67" s="52">
        <f t="shared" si="5"/>
        <v>259704.7</v>
      </c>
      <c r="M67" s="52">
        <v>115641</v>
      </c>
      <c r="N67" s="52">
        <v>12756.2</v>
      </c>
      <c r="O67" s="52">
        <f t="shared" si="8"/>
        <v>131307.5</v>
      </c>
      <c r="P67" s="52"/>
      <c r="Q67" s="52">
        <v>14183.899999999998</v>
      </c>
      <c r="R67" s="52">
        <v>290106.40000000002</v>
      </c>
      <c r="S67" s="52">
        <v>429.20000000000005</v>
      </c>
      <c r="T67" s="52">
        <f t="shared" si="9"/>
        <v>304719.50000000006</v>
      </c>
      <c r="U67" s="52"/>
      <c r="V67" s="52">
        <f t="shared" si="10"/>
        <v>436027.00000000006</v>
      </c>
      <c r="W67" s="52">
        <f t="shared" si="11"/>
        <v>655692.10000000009</v>
      </c>
    </row>
    <row r="68" spans="1:23" s="71" customFormat="1" hidden="1" x14ac:dyDescent="0.2">
      <c r="A68" s="36" t="s">
        <v>70</v>
      </c>
      <c r="B68" s="52">
        <v>115750.00000000003</v>
      </c>
      <c r="C68" s="52">
        <v>92033.199999999983</v>
      </c>
      <c r="D68" s="52" t="s">
        <v>42</v>
      </c>
      <c r="E68" s="52">
        <f t="shared" si="4"/>
        <v>207783.2</v>
      </c>
      <c r="F68" s="52">
        <v>156341.6</v>
      </c>
      <c r="G68" s="52">
        <v>105584.9</v>
      </c>
      <c r="H68" s="52" t="s">
        <v>42</v>
      </c>
      <c r="I68" s="52">
        <v>6352.8</v>
      </c>
      <c r="J68" s="52" t="s">
        <v>42</v>
      </c>
      <c r="K68" s="52" t="s">
        <v>42</v>
      </c>
      <c r="L68" s="52">
        <f t="shared" si="5"/>
        <v>268279.3</v>
      </c>
      <c r="M68" s="52">
        <v>110373.8</v>
      </c>
      <c r="N68" s="52">
        <v>11905</v>
      </c>
      <c r="O68" s="52">
        <f t="shared" si="8"/>
        <v>146000.5</v>
      </c>
      <c r="P68" s="52"/>
      <c r="Q68" s="52">
        <v>16355.099999999999</v>
      </c>
      <c r="R68" s="52">
        <v>291438.90000000002</v>
      </c>
      <c r="S68" s="52">
        <v>405.20000000000005</v>
      </c>
      <c r="T68" s="52">
        <f t="shared" si="9"/>
        <v>308199.2</v>
      </c>
      <c r="U68" s="52"/>
      <c r="V68" s="52">
        <f t="shared" si="10"/>
        <v>454199.7</v>
      </c>
      <c r="W68" s="52">
        <f t="shared" si="11"/>
        <v>661982.9</v>
      </c>
    </row>
    <row r="69" spans="1:23" s="71" customFormat="1" hidden="1" x14ac:dyDescent="0.2">
      <c r="A69" s="36" t="s">
        <v>56</v>
      </c>
      <c r="B69" s="52">
        <v>133943.70000000004</v>
      </c>
      <c r="C69" s="52">
        <v>88222.400000000009</v>
      </c>
      <c r="D69" s="52" t="s">
        <v>42</v>
      </c>
      <c r="E69" s="52">
        <f t="shared" si="4"/>
        <v>222166.10000000003</v>
      </c>
      <c r="F69" s="52">
        <v>138074.1</v>
      </c>
      <c r="G69" s="52">
        <v>111702.90000000001</v>
      </c>
      <c r="H69" s="52" t="s">
        <v>42</v>
      </c>
      <c r="I69" s="52">
        <v>6331.8</v>
      </c>
      <c r="J69" s="52" t="s">
        <v>42</v>
      </c>
      <c r="K69" s="52" t="s">
        <v>42</v>
      </c>
      <c r="L69" s="52">
        <f t="shared" si="5"/>
        <v>256108.79999999999</v>
      </c>
      <c r="M69" s="52">
        <v>103935.40000000001</v>
      </c>
      <c r="N69" s="52">
        <v>13697.7</v>
      </c>
      <c r="O69" s="52">
        <f t="shared" si="8"/>
        <v>138475.69999999995</v>
      </c>
      <c r="P69" s="52"/>
      <c r="Q69" s="52">
        <v>13712.800000000001</v>
      </c>
      <c r="R69" s="52">
        <v>303197.90000000002</v>
      </c>
      <c r="S69" s="52">
        <v>396.70000000000005</v>
      </c>
      <c r="T69" s="52">
        <f t="shared" si="9"/>
        <v>317307.40000000002</v>
      </c>
      <c r="U69" s="52"/>
      <c r="V69" s="52">
        <f t="shared" si="10"/>
        <v>455783.1</v>
      </c>
      <c r="W69" s="52">
        <f t="shared" si="11"/>
        <v>677949.2</v>
      </c>
    </row>
    <row r="70" spans="1:23" s="71" customFormat="1" hidden="1" x14ac:dyDescent="0.2">
      <c r="A70" s="36" t="s">
        <v>71</v>
      </c>
      <c r="B70" s="52">
        <v>129014.59999999998</v>
      </c>
      <c r="C70" s="52">
        <v>87002.4</v>
      </c>
      <c r="D70" s="52" t="s">
        <v>42</v>
      </c>
      <c r="E70" s="52">
        <f t="shared" si="4"/>
        <v>216016.99999999997</v>
      </c>
      <c r="F70" s="52">
        <v>148531</v>
      </c>
      <c r="G70" s="52">
        <v>113360.5</v>
      </c>
      <c r="H70" s="52" t="s">
        <v>42</v>
      </c>
      <c r="I70" s="52">
        <v>6576.2</v>
      </c>
      <c r="J70" s="52" t="s">
        <v>42</v>
      </c>
      <c r="K70" s="52" t="s">
        <v>42</v>
      </c>
      <c r="L70" s="52">
        <f t="shared" si="5"/>
        <v>268467.7</v>
      </c>
      <c r="M70" s="52">
        <v>104063.5</v>
      </c>
      <c r="N70" s="52">
        <v>15167.399999999998</v>
      </c>
      <c r="O70" s="52">
        <f t="shared" si="8"/>
        <v>149236.80000000002</v>
      </c>
      <c r="P70" s="52"/>
      <c r="Q70" s="52">
        <v>12242.300000000001</v>
      </c>
      <c r="R70" s="52">
        <v>310656.40000000008</v>
      </c>
      <c r="S70" s="52">
        <v>295.3</v>
      </c>
      <c r="T70" s="52">
        <f t="shared" si="9"/>
        <v>323194.00000000006</v>
      </c>
      <c r="U70" s="52"/>
      <c r="V70" s="52">
        <f t="shared" si="10"/>
        <v>472430.80000000005</v>
      </c>
      <c r="W70" s="52">
        <f t="shared" si="11"/>
        <v>688447.8</v>
      </c>
    </row>
    <row r="71" spans="1:23" s="71" customFormat="1" hidden="1" x14ac:dyDescent="0.2">
      <c r="A71" s="36" t="s">
        <v>72</v>
      </c>
      <c r="B71" s="52">
        <v>120358.70000000001</v>
      </c>
      <c r="C71" s="52">
        <v>92642.1</v>
      </c>
      <c r="D71" s="52" t="s">
        <v>42</v>
      </c>
      <c r="E71" s="52">
        <f t="shared" si="4"/>
        <v>213000.80000000002</v>
      </c>
      <c r="F71" s="52">
        <v>174575.8</v>
      </c>
      <c r="G71" s="52">
        <v>101650.3</v>
      </c>
      <c r="H71" s="52" t="s">
        <v>42</v>
      </c>
      <c r="I71" s="52">
        <v>6466</v>
      </c>
      <c r="J71" s="52" t="s">
        <v>42</v>
      </c>
      <c r="K71" s="52" t="s">
        <v>42</v>
      </c>
      <c r="L71" s="52">
        <f t="shared" si="5"/>
        <v>282692.09999999998</v>
      </c>
      <c r="M71" s="52">
        <v>123845.3</v>
      </c>
      <c r="N71" s="52">
        <v>15123.200000000003</v>
      </c>
      <c r="O71" s="52">
        <f t="shared" si="8"/>
        <v>143723.59999999998</v>
      </c>
      <c r="P71" s="52"/>
      <c r="Q71" s="52">
        <v>9760.8999999999978</v>
      </c>
      <c r="R71" s="52">
        <v>323284.70000000007</v>
      </c>
      <c r="S71" s="52">
        <v>277</v>
      </c>
      <c r="T71" s="52">
        <f t="shared" si="9"/>
        <v>333322.60000000009</v>
      </c>
      <c r="U71" s="52"/>
      <c r="V71" s="52">
        <f t="shared" si="10"/>
        <v>477046.20000000007</v>
      </c>
      <c r="W71" s="52">
        <f t="shared" si="11"/>
        <v>690047.00000000012</v>
      </c>
    </row>
    <row r="72" spans="1:23" s="71" customFormat="1" hidden="1" x14ac:dyDescent="0.2">
      <c r="A72" s="36" t="s">
        <v>57</v>
      </c>
      <c r="B72" s="52">
        <v>144966.20000000007</v>
      </c>
      <c r="C72" s="52">
        <v>119531.40000000002</v>
      </c>
      <c r="D72" s="52" t="s">
        <v>42</v>
      </c>
      <c r="E72" s="52">
        <f t="shared" si="4"/>
        <v>264497.60000000009</v>
      </c>
      <c r="F72" s="52">
        <v>215622.30000000002</v>
      </c>
      <c r="G72" s="52">
        <v>100072.8</v>
      </c>
      <c r="H72" s="52" t="s">
        <v>42</v>
      </c>
      <c r="I72" s="52">
        <v>11255.3</v>
      </c>
      <c r="J72" s="52" t="s">
        <v>42</v>
      </c>
      <c r="K72" s="52" t="s">
        <v>42</v>
      </c>
      <c r="L72" s="52">
        <f t="shared" si="5"/>
        <v>326950.40000000002</v>
      </c>
      <c r="M72" s="52">
        <v>133925.09999999998</v>
      </c>
      <c r="N72" s="52">
        <v>14842.5</v>
      </c>
      <c r="O72" s="52">
        <f t="shared" si="8"/>
        <v>178182.80000000005</v>
      </c>
      <c r="P72" s="52"/>
      <c r="Q72" s="52">
        <v>8440.7000000000007</v>
      </c>
      <c r="R72" s="52">
        <v>321233.5</v>
      </c>
      <c r="S72" s="52">
        <v>497.1</v>
      </c>
      <c r="T72" s="52">
        <f t="shared" si="9"/>
        <v>330171.3</v>
      </c>
      <c r="U72" s="52"/>
      <c r="V72" s="52">
        <f t="shared" si="10"/>
        <v>508354.10000000003</v>
      </c>
      <c r="W72" s="52">
        <f t="shared" si="11"/>
        <v>772851.70000000019</v>
      </c>
    </row>
    <row r="73" spans="1:23" s="71" customFormat="1" hidden="1" x14ac:dyDescent="0.2">
      <c r="A73" s="36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</row>
    <row r="74" spans="1:23" s="71" customFormat="1" hidden="1" x14ac:dyDescent="0.2">
      <c r="A74" s="36" t="s">
        <v>74</v>
      </c>
      <c r="B74" s="52">
        <v>153042.50000000006</v>
      </c>
      <c r="C74" s="52">
        <v>117804.09999999999</v>
      </c>
      <c r="D74" s="52" t="s">
        <v>42</v>
      </c>
      <c r="E74" s="52">
        <f t="shared" si="4"/>
        <v>270846.60000000003</v>
      </c>
      <c r="F74" s="52">
        <v>161824.1</v>
      </c>
      <c r="G74" s="52">
        <v>99123.8</v>
      </c>
      <c r="H74" s="52" t="s">
        <v>42</v>
      </c>
      <c r="I74" s="52">
        <v>9359.6999999999989</v>
      </c>
      <c r="J74" s="52">
        <v>6525</v>
      </c>
      <c r="K74" s="52" t="s">
        <v>42</v>
      </c>
      <c r="L74" s="52">
        <f t="shared" si="5"/>
        <v>276832.60000000003</v>
      </c>
      <c r="M74" s="52">
        <v>135087.70000000001</v>
      </c>
      <c r="N74" s="52">
        <v>12646.6</v>
      </c>
      <c r="O74" s="52">
        <f t="shared" si="8"/>
        <v>129098.30000000002</v>
      </c>
      <c r="P74" s="52"/>
      <c r="Q74" s="52">
        <v>6768.0999999999995</v>
      </c>
      <c r="R74" s="52">
        <v>323617.89999999997</v>
      </c>
      <c r="S74" s="52">
        <v>363.6</v>
      </c>
      <c r="T74" s="52">
        <f t="shared" si="9"/>
        <v>330749.59999999992</v>
      </c>
      <c r="U74" s="52"/>
      <c r="V74" s="52">
        <f t="shared" si="10"/>
        <v>459847.89999999991</v>
      </c>
      <c r="W74" s="52">
        <f t="shared" si="11"/>
        <v>730694.5</v>
      </c>
    </row>
    <row r="75" spans="1:23" s="71" customFormat="1" hidden="1" x14ac:dyDescent="0.2">
      <c r="A75" s="36" t="s">
        <v>65</v>
      </c>
      <c r="B75" s="52">
        <v>150227.50000000003</v>
      </c>
      <c r="C75" s="52">
        <v>122034.5</v>
      </c>
      <c r="D75" s="52" t="s">
        <v>42</v>
      </c>
      <c r="E75" s="52">
        <f t="shared" si="4"/>
        <v>272262</v>
      </c>
      <c r="F75" s="52">
        <v>171434.6</v>
      </c>
      <c r="G75" s="52">
        <v>99350.599999999991</v>
      </c>
      <c r="H75" s="52" t="s">
        <v>42</v>
      </c>
      <c r="I75" s="52">
        <v>9111</v>
      </c>
      <c r="J75" s="52">
        <v>6525</v>
      </c>
      <c r="K75" s="52" t="s">
        <v>42</v>
      </c>
      <c r="L75" s="52">
        <f t="shared" si="5"/>
        <v>286421.2</v>
      </c>
      <c r="M75" s="52">
        <v>145525.6</v>
      </c>
      <c r="N75" s="52">
        <v>14153.599999999999</v>
      </c>
      <c r="O75" s="52">
        <f t="shared" si="8"/>
        <v>126742</v>
      </c>
      <c r="P75" s="52"/>
      <c r="Q75" s="52">
        <v>6538.1</v>
      </c>
      <c r="R75" s="52">
        <v>334217.7</v>
      </c>
      <c r="S75" s="52">
        <v>457.29999999999995</v>
      </c>
      <c r="T75" s="52">
        <f t="shared" si="9"/>
        <v>341213.1</v>
      </c>
      <c r="U75" s="52"/>
      <c r="V75" s="52">
        <f t="shared" si="10"/>
        <v>467955.1</v>
      </c>
      <c r="W75" s="52">
        <f t="shared" si="11"/>
        <v>740217.1</v>
      </c>
    </row>
    <row r="76" spans="1:23" s="71" customFormat="1" hidden="1" x14ac:dyDescent="0.2">
      <c r="A76" s="36" t="s">
        <v>66</v>
      </c>
      <c r="B76" s="52">
        <v>136213.69999999992</v>
      </c>
      <c r="C76" s="52">
        <v>122176.10000000003</v>
      </c>
      <c r="D76" s="52" t="s">
        <v>42</v>
      </c>
      <c r="E76" s="52">
        <f t="shared" si="4"/>
        <v>258389.79999999996</v>
      </c>
      <c r="F76" s="52">
        <v>154941.59999999998</v>
      </c>
      <c r="G76" s="52">
        <v>114821.4</v>
      </c>
      <c r="H76" s="52" t="s">
        <v>42</v>
      </c>
      <c r="I76" s="52">
        <v>8598.3000000000011</v>
      </c>
      <c r="J76" s="52">
        <v>18525</v>
      </c>
      <c r="K76" s="52" t="s">
        <v>42</v>
      </c>
      <c r="L76" s="52">
        <f t="shared" si="5"/>
        <v>296886.3</v>
      </c>
      <c r="M76" s="52">
        <v>137174.40000000002</v>
      </c>
      <c r="N76" s="52">
        <v>15411</v>
      </c>
      <c r="O76" s="52">
        <f t="shared" si="8"/>
        <v>144300.89999999997</v>
      </c>
      <c r="P76" s="52"/>
      <c r="Q76" s="52">
        <v>6418.5000000000009</v>
      </c>
      <c r="R76" s="52">
        <v>342239.60000000003</v>
      </c>
      <c r="S76" s="52">
        <v>462.8</v>
      </c>
      <c r="T76" s="52">
        <f t="shared" si="9"/>
        <v>349120.9</v>
      </c>
      <c r="U76" s="52"/>
      <c r="V76" s="52">
        <f t="shared" si="10"/>
        <v>493421.8</v>
      </c>
      <c r="W76" s="52">
        <f t="shared" si="11"/>
        <v>751811.6</v>
      </c>
    </row>
    <row r="77" spans="1:23" s="71" customFormat="1" hidden="1" x14ac:dyDescent="0.2">
      <c r="A77" s="36" t="s">
        <v>67</v>
      </c>
      <c r="B77" s="52">
        <v>124940.20000000007</v>
      </c>
      <c r="C77" s="52">
        <v>108840.40000000002</v>
      </c>
      <c r="D77" s="52" t="s">
        <v>42</v>
      </c>
      <c r="E77" s="52">
        <f t="shared" si="4"/>
        <v>233780.60000000009</v>
      </c>
      <c r="F77" s="52">
        <v>45521.4</v>
      </c>
      <c r="G77" s="52">
        <v>73152.899999999994</v>
      </c>
      <c r="H77" s="52" t="s">
        <v>42</v>
      </c>
      <c r="I77" s="52">
        <v>8719.1</v>
      </c>
      <c r="J77" s="52">
        <v>18525</v>
      </c>
      <c r="K77" s="52">
        <v>147596</v>
      </c>
      <c r="L77" s="52">
        <f t="shared" si="5"/>
        <v>293514.40000000002</v>
      </c>
      <c r="M77" s="52">
        <v>121214.40000000002</v>
      </c>
      <c r="N77" s="52">
        <v>15187.500000000004</v>
      </c>
      <c r="O77" s="52">
        <f t="shared" si="8"/>
        <v>157112.5</v>
      </c>
      <c r="P77" s="52"/>
      <c r="Q77" s="52">
        <v>6268.5</v>
      </c>
      <c r="R77" s="52">
        <v>349366.80000000005</v>
      </c>
      <c r="S77" s="52">
        <v>429.1</v>
      </c>
      <c r="T77" s="52">
        <f t="shared" si="9"/>
        <v>356064.4</v>
      </c>
      <c r="U77" s="52"/>
      <c r="V77" s="52">
        <f t="shared" si="10"/>
        <v>513176.9</v>
      </c>
      <c r="W77" s="52">
        <f t="shared" si="11"/>
        <v>746957.50000000012</v>
      </c>
    </row>
    <row r="78" spans="1:23" s="71" customFormat="1" hidden="1" x14ac:dyDescent="0.2">
      <c r="A78" s="36" t="s">
        <v>68</v>
      </c>
      <c r="B78" s="52">
        <v>110538.00000000006</v>
      </c>
      <c r="C78" s="52">
        <v>100611.79999999999</v>
      </c>
      <c r="D78" s="52" t="s">
        <v>42</v>
      </c>
      <c r="E78" s="52">
        <f t="shared" si="4"/>
        <v>211149.80000000005</v>
      </c>
      <c r="F78" s="52">
        <v>24665.8</v>
      </c>
      <c r="G78" s="52">
        <v>86658.5</v>
      </c>
      <c r="H78" s="52" t="s">
        <v>42</v>
      </c>
      <c r="I78" s="52">
        <v>7955.0999999999995</v>
      </c>
      <c r="J78" s="52">
        <v>18525</v>
      </c>
      <c r="K78" s="52">
        <v>147287.9</v>
      </c>
      <c r="L78" s="52">
        <f t="shared" si="5"/>
        <v>285092.30000000005</v>
      </c>
      <c r="M78" s="52">
        <v>109438.09999999999</v>
      </c>
      <c r="N78" s="52">
        <v>14048.7</v>
      </c>
      <c r="O78" s="52">
        <f t="shared" si="8"/>
        <v>161605.50000000006</v>
      </c>
      <c r="P78" s="52"/>
      <c r="Q78" s="52">
        <v>8259.9</v>
      </c>
      <c r="R78" s="52">
        <v>354485.49999999994</v>
      </c>
      <c r="S78" s="52">
        <v>595.79999999999995</v>
      </c>
      <c r="T78" s="52">
        <f t="shared" si="9"/>
        <v>363341.19999999995</v>
      </c>
      <c r="U78" s="52"/>
      <c r="V78" s="52">
        <f t="shared" si="10"/>
        <v>524946.69999999995</v>
      </c>
      <c r="W78" s="52">
        <f t="shared" si="11"/>
        <v>736096.5</v>
      </c>
    </row>
    <row r="79" spans="1:23" s="71" customFormat="1" hidden="1" x14ac:dyDescent="0.2">
      <c r="A79" s="36" t="s">
        <v>55</v>
      </c>
      <c r="B79" s="52">
        <v>94137.999999999971</v>
      </c>
      <c r="C79" s="52">
        <v>102210.99999999997</v>
      </c>
      <c r="D79" s="52" t="s">
        <v>42</v>
      </c>
      <c r="E79" s="52">
        <f t="shared" si="4"/>
        <v>196348.99999999994</v>
      </c>
      <c r="F79" s="52">
        <v>33331.199999999997</v>
      </c>
      <c r="G79" s="52">
        <v>79001.5</v>
      </c>
      <c r="H79" s="52" t="s">
        <v>42</v>
      </c>
      <c r="I79" s="52">
        <v>9787.6999999999989</v>
      </c>
      <c r="J79" s="52">
        <v>40525</v>
      </c>
      <c r="K79" s="52">
        <v>146979.70000000001</v>
      </c>
      <c r="L79" s="52">
        <f t="shared" si="5"/>
        <v>309625.09999999998</v>
      </c>
      <c r="M79" s="52">
        <v>114248.4</v>
      </c>
      <c r="N79" s="52">
        <v>15094.000000000002</v>
      </c>
      <c r="O79" s="52">
        <f t="shared" si="8"/>
        <v>180282.69999999998</v>
      </c>
      <c r="P79" s="52"/>
      <c r="Q79" s="52">
        <v>9789</v>
      </c>
      <c r="R79" s="52">
        <v>378377.39999999997</v>
      </c>
      <c r="S79" s="52">
        <v>512.09999999999991</v>
      </c>
      <c r="T79" s="52">
        <f t="shared" si="9"/>
        <v>388678.49999999994</v>
      </c>
      <c r="U79" s="52"/>
      <c r="V79" s="52">
        <f t="shared" si="10"/>
        <v>568961.19999999995</v>
      </c>
      <c r="W79" s="52">
        <f t="shared" si="11"/>
        <v>765310.2</v>
      </c>
    </row>
    <row r="80" spans="1:23" s="71" customFormat="1" hidden="1" x14ac:dyDescent="0.2">
      <c r="A80" s="36" t="s">
        <v>69</v>
      </c>
      <c r="B80" s="52">
        <v>91739.900000000023</v>
      </c>
      <c r="C80" s="52">
        <v>109495.9</v>
      </c>
      <c r="D80" s="52" t="s">
        <v>42</v>
      </c>
      <c r="E80" s="52">
        <f t="shared" si="4"/>
        <v>201235.80000000002</v>
      </c>
      <c r="F80" s="52">
        <v>30261.7</v>
      </c>
      <c r="G80" s="52">
        <v>76878.5</v>
      </c>
      <c r="H80" s="52" t="s">
        <v>42</v>
      </c>
      <c r="I80" s="52">
        <v>11007.6</v>
      </c>
      <c r="J80" s="52">
        <v>50525</v>
      </c>
      <c r="K80" s="52">
        <v>146671.6</v>
      </c>
      <c r="L80" s="52">
        <f t="shared" si="5"/>
        <v>315344.40000000002</v>
      </c>
      <c r="M80" s="52">
        <v>104308.1</v>
      </c>
      <c r="N80" s="52">
        <v>17832.2</v>
      </c>
      <c r="O80" s="52">
        <f t="shared" si="8"/>
        <v>193204.1</v>
      </c>
      <c r="P80" s="52"/>
      <c r="Q80" s="52">
        <v>24237.7</v>
      </c>
      <c r="R80" s="52">
        <v>380861.39999999997</v>
      </c>
      <c r="S80" s="52">
        <v>677.2</v>
      </c>
      <c r="T80" s="52">
        <f t="shared" si="9"/>
        <v>405776.3</v>
      </c>
      <c r="U80" s="52"/>
      <c r="V80" s="52">
        <f t="shared" si="10"/>
        <v>598980.4</v>
      </c>
      <c r="W80" s="52">
        <f t="shared" si="11"/>
        <v>800216.20000000007</v>
      </c>
    </row>
    <row r="81" spans="1:23" s="71" customFormat="1" hidden="1" x14ac:dyDescent="0.2">
      <c r="A81" s="36" t="s">
        <v>70</v>
      </c>
      <c r="B81" s="52">
        <v>83653</v>
      </c>
      <c r="C81" s="52">
        <v>101473.7</v>
      </c>
      <c r="D81" s="52" t="s">
        <v>42</v>
      </c>
      <c r="E81" s="52">
        <f t="shared" si="4"/>
        <v>185126.7</v>
      </c>
      <c r="F81" s="52">
        <v>37841.9</v>
      </c>
      <c r="G81" s="52">
        <v>87243</v>
      </c>
      <c r="H81" s="52" t="s">
        <v>42</v>
      </c>
      <c r="I81" s="52">
        <v>10351.299999999999</v>
      </c>
      <c r="J81" s="52">
        <v>50525</v>
      </c>
      <c r="K81" s="52">
        <v>146363.5</v>
      </c>
      <c r="L81" s="52">
        <f t="shared" si="5"/>
        <v>332324.69999999995</v>
      </c>
      <c r="M81" s="52">
        <v>116344.12</v>
      </c>
      <c r="N81" s="52">
        <v>14284.900000000001</v>
      </c>
      <c r="O81" s="52">
        <f t="shared" si="8"/>
        <v>201695.67999999996</v>
      </c>
      <c r="P81" s="52"/>
      <c r="Q81" s="52">
        <v>24172.199999999997</v>
      </c>
      <c r="R81" s="52">
        <v>392829.59999999992</v>
      </c>
      <c r="S81" s="52">
        <v>678.59999999999991</v>
      </c>
      <c r="T81" s="52">
        <f t="shared" si="9"/>
        <v>417680.39999999991</v>
      </c>
      <c r="U81" s="52"/>
      <c r="V81" s="52">
        <f t="shared" si="10"/>
        <v>619376.07999999984</v>
      </c>
      <c r="W81" s="52">
        <f t="shared" si="11"/>
        <v>804502.7799999998</v>
      </c>
    </row>
    <row r="82" spans="1:23" s="71" customFormat="1" hidden="1" x14ac:dyDescent="0.2">
      <c r="A82" s="36" t="s">
        <v>56</v>
      </c>
      <c r="B82" s="52">
        <v>69547.100000000035</v>
      </c>
      <c r="C82" s="52">
        <v>98149.299999999988</v>
      </c>
      <c r="D82" s="52" t="s">
        <v>42</v>
      </c>
      <c r="E82" s="52">
        <f t="shared" si="4"/>
        <v>167696.40000000002</v>
      </c>
      <c r="F82" s="52">
        <v>37014.199999999997</v>
      </c>
      <c r="G82" s="52">
        <v>97609.1</v>
      </c>
      <c r="H82" s="52" t="s">
        <v>42</v>
      </c>
      <c r="I82" s="52">
        <v>9655.2999999999993</v>
      </c>
      <c r="J82" s="52">
        <v>50525</v>
      </c>
      <c r="K82" s="52">
        <v>146055.29999999999</v>
      </c>
      <c r="L82" s="52">
        <f t="shared" si="5"/>
        <v>340858.89999999997</v>
      </c>
      <c r="M82" s="52">
        <v>108989</v>
      </c>
      <c r="N82" s="52">
        <v>13247.7</v>
      </c>
      <c r="O82" s="52">
        <f t="shared" si="8"/>
        <v>218622.19999999995</v>
      </c>
      <c r="P82" s="52"/>
      <c r="Q82" s="52">
        <v>21154.600000000002</v>
      </c>
      <c r="R82" s="52">
        <v>401374.89999999997</v>
      </c>
      <c r="S82" s="52">
        <v>647.79999999999995</v>
      </c>
      <c r="T82" s="52">
        <f t="shared" si="9"/>
        <v>423177.29999999993</v>
      </c>
      <c r="U82" s="52"/>
      <c r="V82" s="52">
        <f t="shared" si="10"/>
        <v>641799.49999999988</v>
      </c>
      <c r="W82" s="52">
        <f t="shared" si="11"/>
        <v>809495.89999999991</v>
      </c>
    </row>
    <row r="83" spans="1:23" s="71" customFormat="1" hidden="1" x14ac:dyDescent="0.2">
      <c r="A83" s="36" t="s">
        <v>71</v>
      </c>
      <c r="B83" s="52">
        <v>66483.800000000047</v>
      </c>
      <c r="C83" s="52">
        <v>108069.90000000001</v>
      </c>
      <c r="D83" s="52" t="s">
        <v>42</v>
      </c>
      <c r="E83" s="52">
        <f t="shared" si="4"/>
        <v>174553.70000000007</v>
      </c>
      <c r="F83" s="52">
        <v>25932</v>
      </c>
      <c r="G83" s="52">
        <v>108265.2</v>
      </c>
      <c r="H83" s="52" t="s">
        <v>42</v>
      </c>
      <c r="I83" s="52">
        <v>9619.8000000000011</v>
      </c>
      <c r="J83" s="52">
        <v>50525</v>
      </c>
      <c r="K83" s="52">
        <v>145747.20000000001</v>
      </c>
      <c r="L83" s="52">
        <f t="shared" si="5"/>
        <v>340089.2</v>
      </c>
      <c r="M83" s="52">
        <v>122944.1</v>
      </c>
      <c r="N83" s="52">
        <v>12589.2</v>
      </c>
      <c r="O83" s="52">
        <f t="shared" si="8"/>
        <v>204555.9</v>
      </c>
      <c r="P83" s="52"/>
      <c r="Q83" s="52">
        <v>17146</v>
      </c>
      <c r="R83" s="52">
        <v>410459.6</v>
      </c>
      <c r="S83" s="52">
        <v>656.2</v>
      </c>
      <c r="T83" s="52">
        <f t="shared" si="9"/>
        <v>428261.8</v>
      </c>
      <c r="U83" s="52"/>
      <c r="V83" s="52">
        <f t="shared" si="10"/>
        <v>632817.69999999995</v>
      </c>
      <c r="W83" s="52">
        <f t="shared" si="11"/>
        <v>807371.4</v>
      </c>
    </row>
    <row r="84" spans="1:23" s="71" customFormat="1" hidden="1" x14ac:dyDescent="0.2">
      <c r="A84" s="36" t="s">
        <v>72</v>
      </c>
      <c r="B84" s="52">
        <v>74650.300000000047</v>
      </c>
      <c r="C84" s="52">
        <v>103346.49999999997</v>
      </c>
      <c r="D84" s="52" t="s">
        <v>42</v>
      </c>
      <c r="E84" s="52">
        <f t="shared" si="4"/>
        <v>177996.80000000002</v>
      </c>
      <c r="F84" s="52">
        <v>35424.1</v>
      </c>
      <c r="G84" s="52">
        <v>107157.2</v>
      </c>
      <c r="H84" s="52" t="s">
        <v>42</v>
      </c>
      <c r="I84" s="52">
        <v>10363.699999999999</v>
      </c>
      <c r="J84" s="52">
        <v>50525</v>
      </c>
      <c r="K84" s="52">
        <v>145439.1</v>
      </c>
      <c r="L84" s="52">
        <f t="shared" si="5"/>
        <v>348909.1</v>
      </c>
      <c r="M84" s="52">
        <v>112932.1</v>
      </c>
      <c r="N84" s="52">
        <v>12494.599999999999</v>
      </c>
      <c r="O84" s="52">
        <f t="shared" si="8"/>
        <v>223482.39999999997</v>
      </c>
      <c r="P84" s="52"/>
      <c r="Q84" s="52">
        <v>12787.9</v>
      </c>
      <c r="R84" s="52">
        <v>412702.2</v>
      </c>
      <c r="S84" s="52">
        <v>620.79999999999995</v>
      </c>
      <c r="T84" s="52">
        <f t="shared" si="9"/>
        <v>426110.9</v>
      </c>
      <c r="U84" s="52"/>
      <c r="V84" s="52">
        <f t="shared" si="10"/>
        <v>649593.30000000005</v>
      </c>
      <c r="W84" s="52">
        <f t="shared" si="11"/>
        <v>827590.10000000009</v>
      </c>
    </row>
    <row r="85" spans="1:23" s="71" customFormat="1" hidden="1" x14ac:dyDescent="0.2">
      <c r="A85" s="83" t="s">
        <v>57</v>
      </c>
      <c r="B85" s="52">
        <v>141613.59999999998</v>
      </c>
      <c r="C85" s="52">
        <v>112437.40000000001</v>
      </c>
      <c r="D85" s="52">
        <v>0</v>
      </c>
      <c r="E85" s="52">
        <f>+SUM(B85:D85)</f>
        <v>254051</v>
      </c>
      <c r="F85" s="52">
        <v>19134.2</v>
      </c>
      <c r="G85" s="52">
        <v>109104.5</v>
      </c>
      <c r="H85" s="52" t="s">
        <v>42</v>
      </c>
      <c r="I85" s="52">
        <v>14177.3</v>
      </c>
      <c r="J85" s="52">
        <v>88925</v>
      </c>
      <c r="K85" s="52">
        <v>145130.9</v>
      </c>
      <c r="L85" s="52">
        <f t="shared" si="5"/>
        <v>376471.9</v>
      </c>
      <c r="M85" s="52">
        <v>154397</v>
      </c>
      <c r="N85" s="52">
        <v>11748.2</v>
      </c>
      <c r="O85" s="52">
        <f t="shared" si="8"/>
        <v>210326.7</v>
      </c>
      <c r="P85" s="52"/>
      <c r="Q85" s="52">
        <v>8682.2000000000007</v>
      </c>
      <c r="R85" s="52">
        <v>456484.39999999997</v>
      </c>
      <c r="S85" s="52">
        <v>599.4</v>
      </c>
      <c r="T85" s="52">
        <f t="shared" si="9"/>
        <v>465766</v>
      </c>
      <c r="U85" s="52"/>
      <c r="V85" s="52">
        <f t="shared" si="10"/>
        <v>676092.7</v>
      </c>
      <c r="W85" s="52">
        <f t="shared" si="11"/>
        <v>930143.7</v>
      </c>
    </row>
    <row r="86" spans="1:23" s="71" customFormat="1" hidden="1" x14ac:dyDescent="0.2">
      <c r="A86" s="83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</row>
    <row r="87" spans="1:23" s="71" customFormat="1" hidden="1" x14ac:dyDescent="0.2">
      <c r="A87" s="36" t="s">
        <v>75</v>
      </c>
      <c r="B87" s="52">
        <v>131446.90000000002</v>
      </c>
      <c r="C87" s="52">
        <v>108031.50000000003</v>
      </c>
      <c r="D87" s="52">
        <v>0</v>
      </c>
      <c r="E87" s="52">
        <f t="shared" ref="E87:E148" si="12">+SUM(B87:D87)</f>
        <v>239478.40000000005</v>
      </c>
      <c r="F87" s="52" t="s">
        <v>42</v>
      </c>
      <c r="G87" s="52">
        <v>120122</v>
      </c>
      <c r="H87" s="52" t="s">
        <v>42</v>
      </c>
      <c r="I87" s="52">
        <v>11301.6</v>
      </c>
      <c r="J87" s="52">
        <v>88925</v>
      </c>
      <c r="K87" s="52">
        <v>144822.79999999999</v>
      </c>
      <c r="L87" s="52">
        <f t="shared" si="5"/>
        <v>365171.4</v>
      </c>
      <c r="M87" s="52">
        <v>178153.28333333333</v>
      </c>
      <c r="N87" s="52">
        <v>9081.1</v>
      </c>
      <c r="O87" s="52">
        <f t="shared" si="8"/>
        <v>177937.01666666669</v>
      </c>
      <c r="P87" s="52"/>
      <c r="Q87" s="52">
        <v>7606.4000000000005</v>
      </c>
      <c r="R87" s="52">
        <v>463058.3333333332</v>
      </c>
      <c r="S87" s="52">
        <v>588.79999999999995</v>
      </c>
      <c r="T87" s="52">
        <f t="shared" si="9"/>
        <v>471253.53333333321</v>
      </c>
      <c r="U87" s="52"/>
      <c r="V87" s="52">
        <f t="shared" si="10"/>
        <v>649190.54999999993</v>
      </c>
      <c r="W87" s="52">
        <f t="shared" si="11"/>
        <v>888668.95</v>
      </c>
    </row>
    <row r="88" spans="1:23" s="71" customFormat="1" hidden="1" x14ac:dyDescent="0.2">
      <c r="A88" s="36" t="s">
        <v>65</v>
      </c>
      <c r="B88" s="52">
        <v>156264.40000000002</v>
      </c>
      <c r="C88" s="52">
        <v>100573.6</v>
      </c>
      <c r="D88" s="52">
        <v>0</v>
      </c>
      <c r="E88" s="52">
        <f t="shared" si="12"/>
        <v>256838.00000000003</v>
      </c>
      <c r="F88" s="52" t="s">
        <v>42</v>
      </c>
      <c r="G88" s="52">
        <v>130026.7</v>
      </c>
      <c r="H88" s="52" t="s">
        <v>42</v>
      </c>
      <c r="I88" s="52">
        <v>10764.699999999999</v>
      </c>
      <c r="J88" s="52">
        <v>88925</v>
      </c>
      <c r="K88" s="52">
        <v>144514.70000000001</v>
      </c>
      <c r="L88" s="52">
        <f t="shared" si="5"/>
        <v>374231.1</v>
      </c>
      <c r="M88" s="52">
        <v>211531.76666666666</v>
      </c>
      <c r="N88" s="52">
        <v>11244.5</v>
      </c>
      <c r="O88" s="52">
        <f t="shared" si="8"/>
        <v>151454.83333333331</v>
      </c>
      <c r="P88" s="52"/>
      <c r="Q88" s="52">
        <v>7244.9000000000005</v>
      </c>
      <c r="R88" s="52">
        <v>479156.66666666669</v>
      </c>
      <c r="S88" s="52">
        <v>508.4</v>
      </c>
      <c r="T88" s="52">
        <f t="shared" si="9"/>
        <v>486909.96666666673</v>
      </c>
      <c r="U88" s="52"/>
      <c r="V88" s="52">
        <f t="shared" si="10"/>
        <v>638364.80000000005</v>
      </c>
      <c r="W88" s="52">
        <f t="shared" si="11"/>
        <v>895202.8</v>
      </c>
    </row>
    <row r="89" spans="1:23" s="71" customFormat="1" hidden="1" x14ac:dyDescent="0.2">
      <c r="A89" s="36" t="s">
        <v>66</v>
      </c>
      <c r="B89" s="52">
        <v>143339.09999999998</v>
      </c>
      <c r="C89" s="52">
        <v>104483.19999999995</v>
      </c>
      <c r="D89" s="52">
        <v>0</v>
      </c>
      <c r="E89" s="52">
        <f t="shared" si="12"/>
        <v>247822.29999999993</v>
      </c>
      <c r="F89" s="52">
        <v>2480.5</v>
      </c>
      <c r="G89" s="52">
        <v>119566.29999999999</v>
      </c>
      <c r="H89" s="52" t="s">
        <v>42</v>
      </c>
      <c r="I89" s="52">
        <v>12695.1</v>
      </c>
      <c r="J89" s="52">
        <v>74325</v>
      </c>
      <c r="K89" s="52">
        <v>144206.6</v>
      </c>
      <c r="L89" s="52">
        <f t="shared" ref="L89:L149" si="13">+SUM(F89:K89)</f>
        <v>353273.5</v>
      </c>
      <c r="M89" s="52">
        <v>167979.15</v>
      </c>
      <c r="N89" s="52">
        <v>9395.7999999999993</v>
      </c>
      <c r="O89" s="52">
        <f t="shared" si="8"/>
        <v>175898.55000000002</v>
      </c>
      <c r="P89" s="52"/>
      <c r="Q89" s="52">
        <v>6471.0000000000009</v>
      </c>
      <c r="R89" s="52">
        <v>488951.1</v>
      </c>
      <c r="S89" s="52">
        <v>599</v>
      </c>
      <c r="T89" s="52">
        <f t="shared" si="9"/>
        <v>496021.1</v>
      </c>
      <c r="U89" s="52"/>
      <c r="V89" s="52">
        <f t="shared" si="10"/>
        <v>671919.65</v>
      </c>
      <c r="W89" s="52">
        <f t="shared" si="11"/>
        <v>919741.95</v>
      </c>
    </row>
    <row r="90" spans="1:23" s="71" customFormat="1" hidden="1" x14ac:dyDescent="0.2">
      <c r="A90" s="36" t="s">
        <v>67</v>
      </c>
      <c r="B90" s="52">
        <v>151581.59999999998</v>
      </c>
      <c r="C90" s="52">
        <v>98502.399999999994</v>
      </c>
      <c r="D90" s="52">
        <v>0</v>
      </c>
      <c r="E90" s="52">
        <f t="shared" si="12"/>
        <v>250083.99999999997</v>
      </c>
      <c r="F90" s="52" t="s">
        <v>42</v>
      </c>
      <c r="G90" s="52">
        <v>121966.1</v>
      </c>
      <c r="H90" s="52" t="s">
        <v>42</v>
      </c>
      <c r="I90" s="52">
        <v>15459.300000000001</v>
      </c>
      <c r="J90" s="52">
        <v>74325</v>
      </c>
      <c r="K90" s="52">
        <v>143898.4</v>
      </c>
      <c r="L90" s="52">
        <f t="shared" si="13"/>
        <v>355648.8</v>
      </c>
      <c r="M90" s="52">
        <v>173129.73333333334</v>
      </c>
      <c r="N90" s="52">
        <v>11236.499999999998</v>
      </c>
      <c r="O90" s="52">
        <f t="shared" si="8"/>
        <v>171282.56666666665</v>
      </c>
      <c r="P90" s="52"/>
      <c r="Q90" s="52">
        <v>5060.1000000000013</v>
      </c>
      <c r="R90" s="52">
        <v>497515.73333333322</v>
      </c>
      <c r="S90" s="52">
        <v>583.6</v>
      </c>
      <c r="T90" s="52">
        <f t="shared" si="9"/>
        <v>503159.43333333317</v>
      </c>
      <c r="U90" s="52"/>
      <c r="V90" s="52">
        <f t="shared" si="10"/>
        <v>674441.99999999977</v>
      </c>
      <c r="W90" s="52">
        <f t="shared" si="11"/>
        <v>924525.99999999977</v>
      </c>
    </row>
    <row r="91" spans="1:23" s="71" customFormat="1" hidden="1" x14ac:dyDescent="0.2">
      <c r="A91" s="36" t="s">
        <v>68</v>
      </c>
      <c r="B91" s="52">
        <v>145435.50000000006</v>
      </c>
      <c r="C91" s="52">
        <v>94834.900000000038</v>
      </c>
      <c r="D91" s="52">
        <v>0</v>
      </c>
      <c r="E91" s="52">
        <f t="shared" si="12"/>
        <v>240270.40000000008</v>
      </c>
      <c r="F91" s="52">
        <v>12986.3</v>
      </c>
      <c r="G91" s="52">
        <v>124240.19999999998</v>
      </c>
      <c r="H91" s="52" t="s">
        <v>42</v>
      </c>
      <c r="I91" s="52">
        <v>19313.400000000001</v>
      </c>
      <c r="J91" s="52">
        <v>74325</v>
      </c>
      <c r="K91" s="52">
        <v>143590.29999999999</v>
      </c>
      <c r="L91" s="52">
        <f t="shared" si="13"/>
        <v>374455.19999999995</v>
      </c>
      <c r="M91" s="52">
        <v>190744.81666666665</v>
      </c>
      <c r="N91" s="52">
        <v>10405.5</v>
      </c>
      <c r="O91" s="52">
        <f t="shared" si="8"/>
        <v>173304.8833333333</v>
      </c>
      <c r="P91" s="52"/>
      <c r="Q91" s="52">
        <v>4973.6000000000013</v>
      </c>
      <c r="R91" s="52">
        <v>517565.46666666662</v>
      </c>
      <c r="S91" s="52">
        <v>631.5</v>
      </c>
      <c r="T91" s="52">
        <f t="shared" si="9"/>
        <v>523170.56666666659</v>
      </c>
      <c r="U91" s="52"/>
      <c r="V91" s="52">
        <f t="shared" si="10"/>
        <v>696475.45</v>
      </c>
      <c r="W91" s="52">
        <f t="shared" si="11"/>
        <v>936745.85000000009</v>
      </c>
    </row>
    <row r="92" spans="1:23" s="71" customFormat="1" hidden="1" x14ac:dyDescent="0.2">
      <c r="A92" s="36" t="s">
        <v>55</v>
      </c>
      <c r="B92" s="52">
        <v>133383.10000000003</v>
      </c>
      <c r="C92" s="52">
        <v>90655.799999999988</v>
      </c>
      <c r="D92" s="52">
        <v>0</v>
      </c>
      <c r="E92" s="52">
        <f t="shared" si="12"/>
        <v>224038.90000000002</v>
      </c>
      <c r="F92" s="52">
        <v>24462.799999999999</v>
      </c>
      <c r="G92" s="52">
        <v>117440.9</v>
      </c>
      <c r="H92" s="52" t="s">
        <v>42</v>
      </c>
      <c r="I92" s="52">
        <v>17897.8</v>
      </c>
      <c r="J92" s="52">
        <v>74325</v>
      </c>
      <c r="K92" s="52">
        <v>143282.1</v>
      </c>
      <c r="L92" s="52">
        <f t="shared" si="13"/>
        <v>377408.6</v>
      </c>
      <c r="M92" s="52">
        <v>178127</v>
      </c>
      <c r="N92" s="52">
        <v>12941</v>
      </c>
      <c r="O92" s="52">
        <f t="shared" si="8"/>
        <v>186340.59999999998</v>
      </c>
      <c r="P92" s="52"/>
      <c r="Q92" s="52">
        <v>5148.5000000000009</v>
      </c>
      <c r="R92" s="52">
        <v>547974.69999999995</v>
      </c>
      <c r="S92" s="52">
        <v>597.5</v>
      </c>
      <c r="T92" s="52">
        <f t="shared" si="9"/>
        <v>553720.69999999995</v>
      </c>
      <c r="U92" s="52"/>
      <c r="V92" s="52">
        <f t="shared" si="10"/>
        <v>740061.29999999993</v>
      </c>
      <c r="W92" s="52">
        <f t="shared" si="11"/>
        <v>964100.2</v>
      </c>
    </row>
    <row r="93" spans="1:23" s="71" customFormat="1" hidden="1" x14ac:dyDescent="0.2">
      <c r="A93" s="36" t="s">
        <v>69</v>
      </c>
      <c r="B93" s="52">
        <v>119995.09999999998</v>
      </c>
      <c r="C93" s="52">
        <v>94244.900000000023</v>
      </c>
      <c r="D93" s="52">
        <v>0</v>
      </c>
      <c r="E93" s="52">
        <f t="shared" si="12"/>
        <v>214240</v>
      </c>
      <c r="F93" s="52">
        <v>31447.8</v>
      </c>
      <c r="G93" s="52">
        <v>119540.9</v>
      </c>
      <c r="H93" s="52" t="s">
        <v>42</v>
      </c>
      <c r="I93" s="52">
        <v>16240.1</v>
      </c>
      <c r="J93" s="52">
        <v>74325</v>
      </c>
      <c r="K93" s="52">
        <v>142974</v>
      </c>
      <c r="L93" s="52">
        <f t="shared" si="13"/>
        <v>384527.8</v>
      </c>
      <c r="M93" s="52">
        <v>159204.91666666666</v>
      </c>
      <c r="N93" s="52">
        <v>12144.3</v>
      </c>
      <c r="O93" s="52">
        <f t="shared" si="8"/>
        <v>213178.58333333334</v>
      </c>
      <c r="P93" s="52"/>
      <c r="Q93" s="52">
        <v>8163.5</v>
      </c>
      <c r="R93" s="52">
        <v>563519.18333333335</v>
      </c>
      <c r="S93" s="52">
        <v>600</v>
      </c>
      <c r="T93" s="52">
        <f t="shared" si="9"/>
        <v>572282.68333333335</v>
      </c>
      <c r="U93" s="52"/>
      <c r="V93" s="52">
        <f t="shared" si="10"/>
        <v>785461.26666666672</v>
      </c>
      <c r="W93" s="52">
        <f t="shared" si="11"/>
        <v>999701.26666666672</v>
      </c>
    </row>
    <row r="94" spans="1:23" s="71" customFormat="1" hidden="1" x14ac:dyDescent="0.2">
      <c r="A94" s="36" t="s">
        <v>70</v>
      </c>
      <c r="B94" s="52">
        <v>101092.90000000002</v>
      </c>
      <c r="C94" s="52">
        <v>95644.100000000035</v>
      </c>
      <c r="D94" s="52">
        <v>0</v>
      </c>
      <c r="E94" s="52">
        <f t="shared" si="12"/>
        <v>196737.00000000006</v>
      </c>
      <c r="F94" s="52">
        <v>35035.800000000003</v>
      </c>
      <c r="G94" s="52">
        <v>104184.4</v>
      </c>
      <c r="H94" s="52" t="s">
        <v>42</v>
      </c>
      <c r="I94" s="52">
        <v>13778.1</v>
      </c>
      <c r="J94" s="52">
        <v>74325</v>
      </c>
      <c r="K94" s="52">
        <v>142665.9</v>
      </c>
      <c r="L94" s="52">
        <f t="shared" si="13"/>
        <v>369989.2</v>
      </c>
      <c r="M94" s="52">
        <v>157174.83333333334</v>
      </c>
      <c r="N94" s="52">
        <v>13843.4</v>
      </c>
      <c r="O94" s="52">
        <f t="shared" si="8"/>
        <v>198970.96666666667</v>
      </c>
      <c r="P94" s="52"/>
      <c r="Q94" s="52">
        <v>10457.799999999999</v>
      </c>
      <c r="R94" s="52">
        <v>580828.16666666663</v>
      </c>
      <c r="S94" s="52">
        <v>573.40000000000009</v>
      </c>
      <c r="T94" s="52">
        <f t="shared" si="9"/>
        <v>591859.3666666667</v>
      </c>
      <c r="U94" s="52"/>
      <c r="V94" s="52">
        <f t="shared" si="10"/>
        <v>790830.33333333337</v>
      </c>
      <c r="W94" s="52">
        <f t="shared" si="11"/>
        <v>987567.33333333349</v>
      </c>
    </row>
    <row r="95" spans="1:23" s="71" customFormat="1" hidden="1" x14ac:dyDescent="0.2">
      <c r="A95" s="36" t="s">
        <v>56</v>
      </c>
      <c r="B95" s="52">
        <v>81241.400000000023</v>
      </c>
      <c r="C95" s="52">
        <v>88234.400000000023</v>
      </c>
      <c r="D95" s="52">
        <v>0</v>
      </c>
      <c r="E95" s="52">
        <f t="shared" si="12"/>
        <v>169475.80000000005</v>
      </c>
      <c r="F95" s="52">
        <v>29256.3</v>
      </c>
      <c r="G95" s="52">
        <v>106984.4</v>
      </c>
      <c r="H95" s="52" t="s">
        <v>42</v>
      </c>
      <c r="I95" s="52">
        <v>12911.2</v>
      </c>
      <c r="J95" s="52">
        <v>74325</v>
      </c>
      <c r="K95" s="52">
        <v>142357.70000000001</v>
      </c>
      <c r="L95" s="52">
        <f t="shared" si="13"/>
        <v>365834.6</v>
      </c>
      <c r="M95" s="52">
        <v>152786.75</v>
      </c>
      <c r="N95" s="52">
        <v>13503.9</v>
      </c>
      <c r="O95" s="52">
        <f t="shared" si="8"/>
        <v>199543.94999999998</v>
      </c>
      <c r="P95" s="52"/>
      <c r="Q95" s="52">
        <v>8482.0999999999985</v>
      </c>
      <c r="R95" s="52">
        <v>588610.34999999986</v>
      </c>
      <c r="S95" s="52">
        <v>1019.5999999999999</v>
      </c>
      <c r="T95" s="52">
        <f t="shared" si="9"/>
        <v>598112.04999999981</v>
      </c>
      <c r="U95" s="52"/>
      <c r="V95" s="52">
        <f t="shared" si="10"/>
        <v>797655.99999999977</v>
      </c>
      <c r="W95" s="52">
        <f t="shared" si="11"/>
        <v>967131.79999999981</v>
      </c>
    </row>
    <row r="96" spans="1:23" s="71" customFormat="1" hidden="1" x14ac:dyDescent="0.2">
      <c r="A96" s="36" t="s">
        <v>71</v>
      </c>
      <c r="B96" s="52">
        <v>61605.000000000058</v>
      </c>
      <c r="C96" s="52">
        <v>91985.2</v>
      </c>
      <c r="D96" s="52">
        <v>0</v>
      </c>
      <c r="E96" s="52">
        <f t="shared" si="12"/>
        <v>153590.20000000007</v>
      </c>
      <c r="F96" s="52">
        <v>29858.9</v>
      </c>
      <c r="G96" s="52">
        <v>105384.4</v>
      </c>
      <c r="H96" s="52" t="s">
        <v>42</v>
      </c>
      <c r="I96" s="52">
        <v>13872.2</v>
      </c>
      <c r="J96" s="52">
        <v>94325</v>
      </c>
      <c r="K96" s="52">
        <v>142049.60000000001</v>
      </c>
      <c r="L96" s="52">
        <f t="shared" si="13"/>
        <v>385490.1</v>
      </c>
      <c r="M96" s="52">
        <v>161121.86666666667</v>
      </c>
      <c r="N96" s="52">
        <v>14274.7</v>
      </c>
      <c r="O96" s="52">
        <f t="shared" si="8"/>
        <v>210093.5333333333</v>
      </c>
      <c r="P96" s="52"/>
      <c r="Q96" s="52">
        <v>4975.6000000000013</v>
      </c>
      <c r="R96" s="52">
        <v>608710.93333333323</v>
      </c>
      <c r="S96" s="52">
        <v>994.09999999999991</v>
      </c>
      <c r="T96" s="52">
        <f t="shared" si="9"/>
        <v>614680.63333333319</v>
      </c>
      <c r="U96" s="52"/>
      <c r="V96" s="52">
        <f t="shared" si="10"/>
        <v>824774.16666666651</v>
      </c>
      <c r="W96" s="52">
        <f t="shared" si="11"/>
        <v>978364.36666666658</v>
      </c>
    </row>
    <row r="97" spans="1:23" s="71" customFormat="1" hidden="1" x14ac:dyDescent="0.2">
      <c r="A97" s="36" t="s">
        <v>72</v>
      </c>
      <c r="B97" s="52">
        <v>59710.299999999988</v>
      </c>
      <c r="C97" s="52">
        <v>101477.99999999999</v>
      </c>
      <c r="D97" s="52">
        <v>0</v>
      </c>
      <c r="E97" s="52">
        <f t="shared" si="12"/>
        <v>161188.29999999999</v>
      </c>
      <c r="F97" s="52">
        <v>13631.5</v>
      </c>
      <c r="G97" s="52">
        <v>94884.4</v>
      </c>
      <c r="H97" s="52" t="s">
        <v>42</v>
      </c>
      <c r="I97" s="52">
        <v>14068.5</v>
      </c>
      <c r="J97" s="52">
        <v>94325</v>
      </c>
      <c r="K97" s="52">
        <v>142049.60000000001</v>
      </c>
      <c r="L97" s="52">
        <f t="shared" si="13"/>
        <v>358959</v>
      </c>
      <c r="M97" s="52">
        <v>164046.3833333333</v>
      </c>
      <c r="N97" s="52">
        <v>14823.400000000001</v>
      </c>
      <c r="O97" s="52">
        <f t="shared" si="8"/>
        <v>180089.2166666667</v>
      </c>
      <c r="P97" s="52"/>
      <c r="Q97" s="52">
        <v>6924.0000000000009</v>
      </c>
      <c r="R97" s="52">
        <v>616510.1166666667</v>
      </c>
      <c r="S97" s="52">
        <v>1003.0999999999999</v>
      </c>
      <c r="T97" s="52">
        <f t="shared" si="9"/>
        <v>624437.21666666667</v>
      </c>
      <c r="U97" s="52"/>
      <c r="V97" s="52">
        <f t="shared" si="10"/>
        <v>804526.43333333335</v>
      </c>
      <c r="W97" s="52">
        <f t="shared" si="11"/>
        <v>965714.7333333334</v>
      </c>
    </row>
    <row r="98" spans="1:23" s="71" customFormat="1" hidden="1" x14ac:dyDescent="0.2">
      <c r="A98" s="36" t="s">
        <v>57</v>
      </c>
      <c r="B98" s="52">
        <v>82293.999999999942</v>
      </c>
      <c r="C98" s="52">
        <v>123231.6</v>
      </c>
      <c r="D98" s="52">
        <v>0</v>
      </c>
      <c r="E98" s="52">
        <f t="shared" si="12"/>
        <v>205525.59999999995</v>
      </c>
      <c r="F98" s="52">
        <v>86260.6</v>
      </c>
      <c r="G98" s="52">
        <v>84484.4</v>
      </c>
      <c r="H98" s="52" t="s">
        <v>42</v>
      </c>
      <c r="I98" s="52">
        <v>14746.9</v>
      </c>
      <c r="J98" s="52">
        <v>94325</v>
      </c>
      <c r="K98" s="52">
        <v>141433.29999999999</v>
      </c>
      <c r="L98" s="52">
        <f t="shared" si="13"/>
        <v>421250.2</v>
      </c>
      <c r="M98" s="52">
        <v>175688.5</v>
      </c>
      <c r="N98" s="52">
        <v>14154.1</v>
      </c>
      <c r="O98" s="52">
        <f t="shared" si="8"/>
        <v>231407.6</v>
      </c>
      <c r="P98" s="52"/>
      <c r="Q98" s="52">
        <v>4009.9000000000005</v>
      </c>
      <c r="R98" s="52">
        <v>608067.4</v>
      </c>
      <c r="S98" s="52">
        <v>1021.9000000000001</v>
      </c>
      <c r="T98" s="52">
        <f t="shared" si="9"/>
        <v>613099.20000000007</v>
      </c>
      <c r="U98" s="52"/>
      <c r="V98" s="52">
        <f t="shared" si="10"/>
        <v>844506.8</v>
      </c>
      <c r="W98" s="52">
        <f t="shared" si="11"/>
        <v>1050032.3999999999</v>
      </c>
    </row>
    <row r="99" spans="1:23" s="71" customFormat="1" hidden="1" x14ac:dyDescent="0.2">
      <c r="A99" s="36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</row>
    <row r="100" spans="1:23" s="71" customFormat="1" hidden="1" x14ac:dyDescent="0.2">
      <c r="A100" s="36" t="s">
        <v>76</v>
      </c>
      <c r="B100" s="52">
        <v>112890.80000000016</v>
      </c>
      <c r="C100" s="52">
        <v>125509.49999999997</v>
      </c>
      <c r="D100" s="52">
        <v>0</v>
      </c>
      <c r="E100" s="52">
        <f t="shared" si="12"/>
        <v>238400.30000000013</v>
      </c>
      <c r="F100" s="52">
        <v>23225.200000000001</v>
      </c>
      <c r="G100" s="52">
        <v>85407.4</v>
      </c>
      <c r="H100" s="52" t="s">
        <v>42</v>
      </c>
      <c r="I100" s="52">
        <v>15311.9</v>
      </c>
      <c r="J100" s="52">
        <v>94325</v>
      </c>
      <c r="K100" s="52">
        <v>141125.20000000001</v>
      </c>
      <c r="L100" s="52">
        <f t="shared" si="13"/>
        <v>359394.7</v>
      </c>
      <c r="M100" s="52">
        <v>187597.85000000003</v>
      </c>
      <c r="N100" s="52">
        <v>16320.800000000001</v>
      </c>
      <c r="O100" s="52">
        <f t="shared" si="8"/>
        <v>155476.04999999999</v>
      </c>
      <c r="P100" s="52"/>
      <c r="Q100" s="52">
        <v>5315.2</v>
      </c>
      <c r="R100" s="52">
        <v>611293.80000000005</v>
      </c>
      <c r="S100" s="52">
        <v>1011.8</v>
      </c>
      <c r="T100" s="52">
        <f t="shared" si="9"/>
        <v>617620.80000000005</v>
      </c>
      <c r="U100" s="52"/>
      <c r="V100" s="52">
        <f t="shared" si="10"/>
        <v>773096.85000000009</v>
      </c>
      <c r="W100" s="52">
        <f t="shared" si="11"/>
        <v>1011497.1500000003</v>
      </c>
    </row>
    <row r="101" spans="1:23" s="71" customFormat="1" hidden="1" x14ac:dyDescent="0.2">
      <c r="A101" s="36" t="s">
        <v>65</v>
      </c>
      <c r="B101" s="52">
        <v>98423.899999999965</v>
      </c>
      <c r="C101" s="52">
        <v>123068.90000000004</v>
      </c>
      <c r="D101" s="52">
        <v>0</v>
      </c>
      <c r="E101" s="52">
        <f t="shared" si="12"/>
        <v>221492.8</v>
      </c>
      <c r="F101" s="52">
        <v>19733.599999999999</v>
      </c>
      <c r="G101" s="52">
        <v>81551.099999999991</v>
      </c>
      <c r="H101" s="52" t="s">
        <v>42</v>
      </c>
      <c r="I101" s="52">
        <v>15168.9</v>
      </c>
      <c r="J101" s="52">
        <v>94325</v>
      </c>
      <c r="K101" s="52">
        <v>140817.1</v>
      </c>
      <c r="L101" s="52">
        <f t="shared" si="13"/>
        <v>351595.69999999995</v>
      </c>
      <c r="M101" s="52">
        <v>173406.5</v>
      </c>
      <c r="N101" s="52">
        <v>17114.3</v>
      </c>
      <c r="O101" s="52">
        <f t="shared" si="8"/>
        <v>161074.89999999997</v>
      </c>
      <c r="P101" s="52"/>
      <c r="Q101" s="52">
        <v>10997.099999999999</v>
      </c>
      <c r="R101" s="52">
        <v>612262.9</v>
      </c>
      <c r="S101" s="52">
        <v>953.59999999999991</v>
      </c>
      <c r="T101" s="52">
        <f t="shared" si="9"/>
        <v>624213.6</v>
      </c>
      <c r="U101" s="52"/>
      <c r="V101" s="52">
        <f t="shared" si="10"/>
        <v>785288.5</v>
      </c>
      <c r="W101" s="52">
        <f t="shared" si="11"/>
        <v>1006781.3</v>
      </c>
    </row>
    <row r="102" spans="1:23" s="71" customFormat="1" hidden="1" x14ac:dyDescent="0.2">
      <c r="A102" s="36" t="s">
        <v>66</v>
      </c>
      <c r="B102" s="52">
        <v>67729.100000000093</v>
      </c>
      <c r="C102" s="52">
        <v>118491.8</v>
      </c>
      <c r="D102" s="52">
        <v>0</v>
      </c>
      <c r="E102" s="52">
        <f t="shared" si="12"/>
        <v>186220.90000000008</v>
      </c>
      <c r="F102" s="52">
        <v>41361.199999999997</v>
      </c>
      <c r="G102" s="52">
        <v>72751.099999999991</v>
      </c>
      <c r="H102" s="52" t="s">
        <v>42</v>
      </c>
      <c r="I102" s="52">
        <v>16271.5</v>
      </c>
      <c r="J102" s="52">
        <v>94325</v>
      </c>
      <c r="K102" s="52">
        <v>140508.9</v>
      </c>
      <c r="L102" s="52">
        <f t="shared" si="13"/>
        <v>365217.69999999995</v>
      </c>
      <c r="M102" s="52">
        <v>189849.65</v>
      </c>
      <c r="N102" s="52">
        <v>16840.8</v>
      </c>
      <c r="O102" s="52">
        <f t="shared" si="8"/>
        <v>158527.24999999997</v>
      </c>
      <c r="P102" s="52"/>
      <c r="Q102" s="52">
        <v>11397</v>
      </c>
      <c r="R102" s="52">
        <v>620927.9</v>
      </c>
      <c r="S102" s="52">
        <v>943.4</v>
      </c>
      <c r="T102" s="52">
        <f t="shared" si="9"/>
        <v>633268.30000000005</v>
      </c>
      <c r="U102" s="52"/>
      <c r="V102" s="52">
        <f t="shared" si="10"/>
        <v>791795.55</v>
      </c>
      <c r="W102" s="52">
        <f t="shared" si="11"/>
        <v>978016.45000000019</v>
      </c>
    </row>
    <row r="103" spans="1:23" s="71" customFormat="1" hidden="1" x14ac:dyDescent="0.2">
      <c r="A103" s="36" t="s">
        <v>67</v>
      </c>
      <c r="B103" s="52">
        <v>57855.800000000047</v>
      </c>
      <c r="C103" s="52">
        <v>106035.70000000001</v>
      </c>
      <c r="D103" s="52">
        <v>0</v>
      </c>
      <c r="E103" s="52">
        <f t="shared" si="12"/>
        <v>163891.50000000006</v>
      </c>
      <c r="F103" s="52">
        <v>51796.5</v>
      </c>
      <c r="G103" s="52">
        <v>68244.899999999994</v>
      </c>
      <c r="H103" s="52" t="s">
        <v>42</v>
      </c>
      <c r="I103" s="52">
        <v>17528.8</v>
      </c>
      <c r="J103" s="52">
        <v>94325</v>
      </c>
      <c r="K103" s="52">
        <v>140200.79999999999</v>
      </c>
      <c r="L103" s="52">
        <f t="shared" si="13"/>
        <v>372096</v>
      </c>
      <c r="M103" s="52">
        <v>167741.5</v>
      </c>
      <c r="N103" s="52">
        <v>19564.399999999994</v>
      </c>
      <c r="O103" s="52">
        <f t="shared" si="8"/>
        <v>184790.1</v>
      </c>
      <c r="P103" s="52"/>
      <c r="Q103" s="52">
        <v>13397.199999999999</v>
      </c>
      <c r="R103" s="52">
        <v>626002.99999999988</v>
      </c>
      <c r="S103" s="52">
        <v>916.8</v>
      </c>
      <c r="T103" s="52">
        <f t="shared" si="9"/>
        <v>640316.99999999988</v>
      </c>
      <c r="U103" s="52"/>
      <c r="V103" s="52">
        <f t="shared" si="10"/>
        <v>825107.09999999986</v>
      </c>
      <c r="W103" s="52">
        <f t="shared" si="11"/>
        <v>988998.59999999986</v>
      </c>
    </row>
    <row r="104" spans="1:23" s="71" customFormat="1" hidden="1" x14ac:dyDescent="0.2">
      <c r="A104" s="36" t="s">
        <v>68</v>
      </c>
      <c r="B104" s="52">
        <v>60535.400000000081</v>
      </c>
      <c r="C104" s="52">
        <v>83366.000000000015</v>
      </c>
      <c r="D104" s="52">
        <v>0</v>
      </c>
      <c r="E104" s="52">
        <f t="shared" si="12"/>
        <v>143901.40000000008</v>
      </c>
      <c r="F104" s="52">
        <v>32561.9</v>
      </c>
      <c r="G104" s="52">
        <v>66801.100000000006</v>
      </c>
      <c r="H104" s="52" t="s">
        <v>42</v>
      </c>
      <c r="I104" s="52">
        <v>15899.2</v>
      </c>
      <c r="J104" s="52">
        <v>94325</v>
      </c>
      <c r="K104" s="52">
        <v>140200.79999999999</v>
      </c>
      <c r="L104" s="52">
        <f t="shared" si="13"/>
        <v>349788</v>
      </c>
      <c r="M104" s="52">
        <v>152726.55000000002</v>
      </c>
      <c r="N104" s="52">
        <v>13236.300000000001</v>
      </c>
      <c r="O104" s="52">
        <f t="shared" si="8"/>
        <v>183825.15</v>
      </c>
      <c r="P104" s="52"/>
      <c r="Q104" s="52">
        <v>14556.999999999998</v>
      </c>
      <c r="R104" s="52">
        <v>654501.29999999993</v>
      </c>
      <c r="S104" s="52">
        <v>992.09999999999991</v>
      </c>
      <c r="T104" s="52">
        <f t="shared" si="9"/>
        <v>670050.39999999991</v>
      </c>
      <c r="U104" s="52"/>
      <c r="V104" s="52">
        <f t="shared" si="10"/>
        <v>853875.54999999993</v>
      </c>
      <c r="W104" s="52">
        <f t="shared" si="11"/>
        <v>997776.95</v>
      </c>
    </row>
    <row r="105" spans="1:23" s="71" customFormat="1" hidden="1" x14ac:dyDescent="0.2">
      <c r="A105" s="36" t="s">
        <v>55</v>
      </c>
      <c r="B105" s="52">
        <v>49308</v>
      </c>
      <c r="C105" s="52">
        <v>78556.900000000023</v>
      </c>
      <c r="D105" s="52">
        <v>0</v>
      </c>
      <c r="E105" s="52">
        <f t="shared" si="12"/>
        <v>127864.90000000002</v>
      </c>
      <c r="F105" s="52">
        <v>49375</v>
      </c>
      <c r="G105" s="52">
        <v>63101.1</v>
      </c>
      <c r="H105" s="52" t="s">
        <v>42</v>
      </c>
      <c r="I105" s="52">
        <v>18502.399999999998</v>
      </c>
      <c r="J105" s="52">
        <v>94325</v>
      </c>
      <c r="K105" s="52">
        <v>139584.5</v>
      </c>
      <c r="L105" s="52">
        <f t="shared" si="13"/>
        <v>364888</v>
      </c>
      <c r="M105" s="52">
        <v>146758.90000000002</v>
      </c>
      <c r="N105" s="52">
        <v>13565.2</v>
      </c>
      <c r="O105" s="52">
        <f t="shared" si="8"/>
        <v>204563.89999999997</v>
      </c>
      <c r="P105" s="52"/>
      <c r="Q105" s="52">
        <v>16232.4</v>
      </c>
      <c r="R105" s="52">
        <v>675999.9</v>
      </c>
      <c r="S105" s="52">
        <v>1005.8</v>
      </c>
      <c r="T105" s="52">
        <f t="shared" si="9"/>
        <v>693238.10000000009</v>
      </c>
      <c r="U105" s="52"/>
      <c r="V105" s="52">
        <f t="shared" si="10"/>
        <v>897802</v>
      </c>
      <c r="W105" s="52">
        <f t="shared" si="11"/>
        <v>1025666.9</v>
      </c>
    </row>
    <row r="106" spans="1:23" s="71" customFormat="1" hidden="1" x14ac:dyDescent="0.2">
      <c r="A106" s="36" t="s">
        <v>69</v>
      </c>
      <c r="B106" s="52">
        <v>46872.800000000047</v>
      </c>
      <c r="C106" s="52">
        <v>98136.900000000023</v>
      </c>
      <c r="D106" s="52">
        <v>0</v>
      </c>
      <c r="E106" s="52">
        <f t="shared" si="12"/>
        <v>145009.70000000007</v>
      </c>
      <c r="F106" s="52">
        <v>53695.7</v>
      </c>
      <c r="G106" s="52">
        <v>52484.4</v>
      </c>
      <c r="H106" s="52" t="s">
        <v>42</v>
      </c>
      <c r="I106" s="52">
        <v>16648.133333333335</v>
      </c>
      <c r="J106" s="52">
        <v>108925</v>
      </c>
      <c r="K106" s="52">
        <v>139276.4</v>
      </c>
      <c r="L106" s="52">
        <f t="shared" si="13"/>
        <v>371029.6333333333</v>
      </c>
      <c r="M106" s="52">
        <v>143699.28333333333</v>
      </c>
      <c r="N106" s="52">
        <v>16513.699999999997</v>
      </c>
      <c r="O106" s="52">
        <f t="shared" si="8"/>
        <v>210816.64999999997</v>
      </c>
      <c r="P106" s="52"/>
      <c r="Q106" s="52">
        <v>17742.2</v>
      </c>
      <c r="R106" s="52">
        <v>677447.36666666658</v>
      </c>
      <c r="S106" s="52">
        <v>993.4</v>
      </c>
      <c r="T106" s="52">
        <f t="shared" si="9"/>
        <v>696182.96666666656</v>
      </c>
      <c r="U106" s="52"/>
      <c r="V106" s="52">
        <f t="shared" si="10"/>
        <v>906999.61666666646</v>
      </c>
      <c r="W106" s="52">
        <f t="shared" si="11"/>
        <v>1052009.3166666664</v>
      </c>
    </row>
    <row r="107" spans="1:23" s="71" customFormat="1" hidden="1" x14ac:dyDescent="0.2">
      <c r="A107" s="36" t="s">
        <v>70</v>
      </c>
      <c r="B107" s="52">
        <v>39580.200000000012</v>
      </c>
      <c r="C107" s="52">
        <v>102097.4</v>
      </c>
      <c r="D107" s="52">
        <v>0</v>
      </c>
      <c r="E107" s="52">
        <f t="shared" si="12"/>
        <v>141677.6</v>
      </c>
      <c r="F107" s="52">
        <v>65092</v>
      </c>
      <c r="G107" s="52">
        <v>44735.199999999997</v>
      </c>
      <c r="H107" s="52" t="s">
        <v>42</v>
      </c>
      <c r="I107" s="52">
        <v>14110.066666666666</v>
      </c>
      <c r="J107" s="52">
        <v>108925</v>
      </c>
      <c r="K107" s="52">
        <v>138968.29999999999</v>
      </c>
      <c r="L107" s="52">
        <f t="shared" si="13"/>
        <v>371830.56666666665</v>
      </c>
      <c r="M107" s="52">
        <v>131298.16666666669</v>
      </c>
      <c r="N107" s="52">
        <v>18916.900000000001</v>
      </c>
      <c r="O107" s="52">
        <f t="shared" si="8"/>
        <v>221615.49999999997</v>
      </c>
      <c r="P107" s="52"/>
      <c r="Q107" s="52">
        <v>26322.699999999997</v>
      </c>
      <c r="R107" s="52">
        <v>685943.7333333334</v>
      </c>
      <c r="S107" s="52">
        <v>1013</v>
      </c>
      <c r="T107" s="52">
        <f t="shared" si="9"/>
        <v>713279.43333333335</v>
      </c>
      <c r="U107" s="52"/>
      <c r="V107" s="52">
        <f t="shared" si="10"/>
        <v>934894.93333333335</v>
      </c>
      <c r="W107" s="52">
        <f t="shared" si="11"/>
        <v>1076572.5333333334</v>
      </c>
    </row>
    <row r="108" spans="1:23" s="71" customFormat="1" hidden="1" x14ac:dyDescent="0.2">
      <c r="A108" s="36" t="s">
        <v>56</v>
      </c>
      <c r="B108" s="52">
        <v>55414.5</v>
      </c>
      <c r="C108" s="52">
        <v>105595.80000000003</v>
      </c>
      <c r="D108" s="52">
        <v>0</v>
      </c>
      <c r="E108" s="52">
        <f t="shared" si="12"/>
        <v>161010.30000000005</v>
      </c>
      <c r="F108" s="52">
        <v>51763.199999999997</v>
      </c>
      <c r="G108" s="52">
        <v>38166.800000000003</v>
      </c>
      <c r="H108" s="52" t="s">
        <v>42</v>
      </c>
      <c r="I108" s="52">
        <v>13870.400000000001</v>
      </c>
      <c r="J108" s="52">
        <v>108925</v>
      </c>
      <c r="K108" s="52">
        <v>138968.29999999999</v>
      </c>
      <c r="L108" s="52">
        <f t="shared" si="13"/>
        <v>351693.69999999995</v>
      </c>
      <c r="M108" s="52">
        <v>133890.75</v>
      </c>
      <c r="N108" s="52">
        <v>15255.2</v>
      </c>
      <c r="O108" s="52">
        <f t="shared" si="8"/>
        <v>202547.74999999994</v>
      </c>
      <c r="P108" s="52"/>
      <c r="Q108" s="52">
        <v>24945.899999999998</v>
      </c>
      <c r="R108" s="52">
        <v>679978.2</v>
      </c>
      <c r="S108" s="52">
        <v>1059.5</v>
      </c>
      <c r="T108" s="52">
        <f t="shared" si="9"/>
        <v>705983.6</v>
      </c>
      <c r="U108" s="52"/>
      <c r="V108" s="52">
        <f t="shared" si="10"/>
        <v>908531.34999999986</v>
      </c>
      <c r="W108" s="52">
        <f t="shared" si="11"/>
        <v>1069541.6499999999</v>
      </c>
    </row>
    <row r="109" spans="1:23" s="71" customFormat="1" hidden="1" x14ac:dyDescent="0.2">
      <c r="A109" s="36" t="s">
        <v>71</v>
      </c>
      <c r="B109" s="52">
        <v>50733.300000000105</v>
      </c>
      <c r="C109" s="52">
        <v>99522.699999999968</v>
      </c>
      <c r="D109" s="52">
        <v>0</v>
      </c>
      <c r="E109" s="52">
        <f t="shared" si="12"/>
        <v>150256.00000000006</v>
      </c>
      <c r="F109" s="52">
        <v>78836.5</v>
      </c>
      <c r="G109" s="52">
        <v>34235.199999999997</v>
      </c>
      <c r="H109" s="52" t="s">
        <v>42</v>
      </c>
      <c r="I109" s="52">
        <v>14080.033333333335</v>
      </c>
      <c r="J109" s="52">
        <v>108925</v>
      </c>
      <c r="K109" s="52">
        <v>138352</v>
      </c>
      <c r="L109" s="52">
        <f t="shared" si="13"/>
        <v>374428.73333333334</v>
      </c>
      <c r="M109" s="52">
        <v>152653.53333333333</v>
      </c>
      <c r="N109" s="52">
        <v>14718.9</v>
      </c>
      <c r="O109" s="52">
        <f t="shared" si="8"/>
        <v>207056.30000000002</v>
      </c>
      <c r="P109" s="52"/>
      <c r="Q109" s="52">
        <v>23160.3</v>
      </c>
      <c r="R109" s="52">
        <v>691492.36666666658</v>
      </c>
      <c r="S109" s="52">
        <v>1087.2</v>
      </c>
      <c r="T109" s="52">
        <f t="shared" si="9"/>
        <v>715739.86666666658</v>
      </c>
      <c r="U109" s="52"/>
      <c r="V109" s="52">
        <f t="shared" si="10"/>
        <v>922796.16666666663</v>
      </c>
      <c r="W109" s="52">
        <f t="shared" si="11"/>
        <v>1073052.1666666667</v>
      </c>
    </row>
    <row r="110" spans="1:23" s="71" customFormat="1" hidden="1" x14ac:dyDescent="0.2">
      <c r="A110" s="36" t="s">
        <v>72</v>
      </c>
      <c r="B110" s="52">
        <v>50395</v>
      </c>
      <c r="C110" s="52">
        <v>107039.20000000001</v>
      </c>
      <c r="D110" s="52">
        <v>0</v>
      </c>
      <c r="E110" s="52">
        <f t="shared" si="12"/>
        <v>157434.20000000001</v>
      </c>
      <c r="F110" s="52">
        <v>104206.5</v>
      </c>
      <c r="G110" s="52">
        <v>35864.9</v>
      </c>
      <c r="H110" s="52"/>
      <c r="I110" s="52">
        <v>16169.066666666668</v>
      </c>
      <c r="J110" s="52">
        <v>108925</v>
      </c>
      <c r="K110" s="52">
        <v>138043.9</v>
      </c>
      <c r="L110" s="52">
        <f t="shared" si="13"/>
        <v>403209.3666666667</v>
      </c>
      <c r="M110" s="52">
        <v>154160.41666666669</v>
      </c>
      <c r="N110" s="52">
        <v>17782.100000000002</v>
      </c>
      <c r="O110" s="52">
        <f t="shared" si="8"/>
        <v>231266.85</v>
      </c>
      <c r="P110" s="52"/>
      <c r="Q110" s="52">
        <v>23395.500000000004</v>
      </c>
      <c r="R110" s="52">
        <v>694213.93333333347</v>
      </c>
      <c r="S110" s="52">
        <v>1050.5999999999999</v>
      </c>
      <c r="T110" s="52">
        <f t="shared" si="9"/>
        <v>718660.03333333344</v>
      </c>
      <c r="U110" s="52"/>
      <c r="V110" s="52">
        <f t="shared" si="10"/>
        <v>949926.88333333342</v>
      </c>
      <c r="W110" s="52">
        <f t="shared" si="11"/>
        <v>1107361.0833333335</v>
      </c>
    </row>
    <row r="111" spans="1:23" s="71" customFormat="1" hidden="1" x14ac:dyDescent="0.2">
      <c r="A111" s="36" t="s">
        <v>57</v>
      </c>
      <c r="B111" s="52">
        <v>66928.900000000023</v>
      </c>
      <c r="C111" s="52">
        <v>129708.8</v>
      </c>
      <c r="D111" s="52">
        <v>0</v>
      </c>
      <c r="E111" s="52">
        <f t="shared" si="12"/>
        <v>196637.7</v>
      </c>
      <c r="F111" s="52">
        <v>155251.9</v>
      </c>
      <c r="G111" s="52">
        <v>49024.3</v>
      </c>
      <c r="H111" s="52"/>
      <c r="I111" s="52">
        <v>17982.400000000001</v>
      </c>
      <c r="J111" s="52">
        <v>117037.4</v>
      </c>
      <c r="K111" s="52">
        <v>137735.70000000001</v>
      </c>
      <c r="L111" s="52">
        <f t="shared" si="13"/>
        <v>477031.7</v>
      </c>
      <c r="M111" s="52">
        <v>182671.3</v>
      </c>
      <c r="N111" s="52">
        <v>18296</v>
      </c>
      <c r="O111" s="52">
        <f t="shared" si="8"/>
        <v>276064.40000000002</v>
      </c>
      <c r="P111" s="52"/>
      <c r="Q111" s="52">
        <v>24157.200000000001</v>
      </c>
      <c r="R111" s="52">
        <v>678101.2</v>
      </c>
      <c r="S111" s="52">
        <v>1057.9000000000001</v>
      </c>
      <c r="T111" s="52">
        <f t="shared" si="9"/>
        <v>703316.29999999993</v>
      </c>
      <c r="U111" s="52"/>
      <c r="V111" s="52">
        <f t="shared" si="10"/>
        <v>979380.7</v>
      </c>
      <c r="W111" s="52">
        <f t="shared" si="11"/>
        <v>1176018.3999999999</v>
      </c>
    </row>
    <row r="112" spans="1:23" s="71" customFormat="1" hidden="1" x14ac:dyDescent="0.2">
      <c r="A112" s="36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</row>
    <row r="113" spans="1:23" s="71" customFormat="1" hidden="1" x14ac:dyDescent="0.2">
      <c r="A113" s="36" t="s">
        <v>77</v>
      </c>
      <c r="B113" s="52">
        <v>55782.700000000012</v>
      </c>
      <c r="C113" s="52">
        <v>140475.40000000002</v>
      </c>
      <c r="D113" s="52">
        <v>-8.1</v>
      </c>
      <c r="E113" s="52">
        <f t="shared" si="12"/>
        <v>196250.00000000003</v>
      </c>
      <c r="F113" s="52" t="s">
        <v>42</v>
      </c>
      <c r="G113" s="52">
        <v>53502.600000000006</v>
      </c>
      <c r="H113" s="52"/>
      <c r="I113" s="52">
        <v>14555.05</v>
      </c>
      <c r="J113" s="52">
        <v>115644.1</v>
      </c>
      <c r="K113" s="52">
        <v>292679.5</v>
      </c>
      <c r="L113" s="52">
        <f t="shared" si="13"/>
        <v>476381.25</v>
      </c>
      <c r="M113" s="52">
        <v>220682.1</v>
      </c>
      <c r="N113" s="52">
        <v>21555.599999999999</v>
      </c>
      <c r="O113" s="52">
        <f t="shared" si="8"/>
        <v>234143.55</v>
      </c>
      <c r="P113" s="52"/>
      <c r="Q113" s="52">
        <v>24524.300000000003</v>
      </c>
      <c r="R113" s="52">
        <v>702714.91666666674</v>
      </c>
      <c r="S113" s="52">
        <v>1099.5999999999999</v>
      </c>
      <c r="T113" s="52">
        <f t="shared" si="9"/>
        <v>728338.81666666677</v>
      </c>
      <c r="U113" s="52"/>
      <c r="V113" s="52">
        <f t="shared" si="10"/>
        <v>962482.3666666667</v>
      </c>
      <c r="W113" s="52">
        <f t="shared" si="11"/>
        <v>1158732.3666666667</v>
      </c>
    </row>
    <row r="114" spans="1:23" s="71" customFormat="1" hidden="1" x14ac:dyDescent="0.2">
      <c r="A114" s="36" t="s">
        <v>65</v>
      </c>
      <c r="B114" s="52">
        <v>97419.499999999884</v>
      </c>
      <c r="C114" s="52">
        <v>158351.6</v>
      </c>
      <c r="D114" s="52">
        <v>-16.2</v>
      </c>
      <c r="E114" s="52">
        <f t="shared" si="12"/>
        <v>255754.89999999988</v>
      </c>
      <c r="F114" s="52" t="s">
        <v>42</v>
      </c>
      <c r="G114" s="52">
        <v>50864</v>
      </c>
      <c r="H114" s="52"/>
      <c r="I114" s="52">
        <v>16131.9</v>
      </c>
      <c r="J114" s="52">
        <v>114250.8</v>
      </c>
      <c r="K114" s="52">
        <v>292371.40000000002</v>
      </c>
      <c r="L114" s="52">
        <f t="shared" si="13"/>
        <v>473618.10000000003</v>
      </c>
      <c r="M114" s="52">
        <v>241880.1</v>
      </c>
      <c r="N114" s="52">
        <v>22934.400000000001</v>
      </c>
      <c r="O114" s="52">
        <f t="shared" si="8"/>
        <v>208803.60000000003</v>
      </c>
      <c r="P114" s="52"/>
      <c r="Q114" s="52">
        <v>25342.800000000003</v>
      </c>
      <c r="R114" s="52">
        <v>706772.43333333347</v>
      </c>
      <c r="S114" s="52">
        <v>1413.7</v>
      </c>
      <c r="T114" s="52">
        <f t="shared" si="9"/>
        <v>733528.93333333347</v>
      </c>
      <c r="U114" s="52"/>
      <c r="V114" s="52">
        <f t="shared" si="10"/>
        <v>942332.53333333344</v>
      </c>
      <c r="W114" s="52">
        <f t="shared" si="11"/>
        <v>1198087.4333333333</v>
      </c>
    </row>
    <row r="115" spans="1:23" s="71" customFormat="1" hidden="1" x14ac:dyDescent="0.2">
      <c r="A115" s="36" t="s">
        <v>66</v>
      </c>
      <c r="B115" s="52">
        <v>48746.900000000081</v>
      </c>
      <c r="C115" s="52">
        <v>149107.00000000003</v>
      </c>
      <c r="D115" s="52">
        <v>-24.299999999999997</v>
      </c>
      <c r="E115" s="52">
        <f t="shared" si="12"/>
        <v>197829.60000000012</v>
      </c>
      <c r="F115" s="52" t="s">
        <v>42</v>
      </c>
      <c r="G115" s="52">
        <v>47334.399999999994</v>
      </c>
      <c r="H115" s="52"/>
      <c r="I115" s="52">
        <v>18914.55</v>
      </c>
      <c r="J115" s="52">
        <v>112857.5</v>
      </c>
      <c r="K115" s="52">
        <v>292063.09999999998</v>
      </c>
      <c r="L115" s="52">
        <f t="shared" si="13"/>
        <v>471169.55</v>
      </c>
      <c r="M115" s="52">
        <v>206918.90000000002</v>
      </c>
      <c r="N115" s="52">
        <v>23122.7</v>
      </c>
      <c r="O115" s="52">
        <f t="shared" si="8"/>
        <v>241127.94999999995</v>
      </c>
      <c r="P115" s="52"/>
      <c r="Q115" s="52">
        <v>27027.699999999997</v>
      </c>
      <c r="R115" s="52">
        <v>715323.45</v>
      </c>
      <c r="S115" s="52">
        <v>1398.1999999999998</v>
      </c>
      <c r="T115" s="52">
        <f t="shared" si="9"/>
        <v>743749.34999999986</v>
      </c>
      <c r="U115" s="52"/>
      <c r="V115" s="52">
        <f t="shared" si="10"/>
        <v>984877.29999999981</v>
      </c>
      <c r="W115" s="52">
        <f t="shared" si="11"/>
        <v>1182706.8999999999</v>
      </c>
    </row>
    <row r="116" spans="1:23" s="71" customFormat="1" hidden="1" x14ac:dyDescent="0.2">
      <c r="A116" s="36" t="s">
        <v>67</v>
      </c>
      <c r="B116" s="52">
        <v>44693.599999999977</v>
      </c>
      <c r="C116" s="52">
        <v>151956.90000000002</v>
      </c>
      <c r="D116" s="52">
        <v>-32.4</v>
      </c>
      <c r="E116" s="52">
        <f t="shared" si="12"/>
        <v>196618.1</v>
      </c>
      <c r="F116" s="52">
        <v>11186</v>
      </c>
      <c r="G116" s="52">
        <v>42558.399999999994</v>
      </c>
      <c r="H116" s="52"/>
      <c r="I116" s="52">
        <v>20646.3</v>
      </c>
      <c r="J116" s="52">
        <v>111464.2</v>
      </c>
      <c r="K116" s="52">
        <v>291755.09999999998</v>
      </c>
      <c r="L116" s="52">
        <f t="shared" si="13"/>
        <v>477610</v>
      </c>
      <c r="M116" s="52">
        <v>182188.40000000002</v>
      </c>
      <c r="N116" s="52">
        <v>21146.5</v>
      </c>
      <c r="O116" s="52">
        <f t="shared" si="8"/>
        <v>274275.09999999998</v>
      </c>
      <c r="P116" s="52"/>
      <c r="Q116" s="52">
        <v>27609.899999999998</v>
      </c>
      <c r="R116" s="52">
        <v>713045.46666666667</v>
      </c>
      <c r="S116" s="52">
        <v>1390.8</v>
      </c>
      <c r="T116" s="52">
        <f t="shared" si="9"/>
        <v>742046.16666666674</v>
      </c>
      <c r="U116" s="52"/>
      <c r="V116" s="52">
        <f t="shared" si="10"/>
        <v>1016321.2666666667</v>
      </c>
      <c r="W116" s="52">
        <f t="shared" si="11"/>
        <v>1212939.3666666667</v>
      </c>
    </row>
    <row r="117" spans="1:23" s="71" customFormat="1" hidden="1" x14ac:dyDescent="0.2">
      <c r="A117" s="36" t="s">
        <v>68</v>
      </c>
      <c r="B117" s="52">
        <v>64212.600000000035</v>
      </c>
      <c r="C117" s="52">
        <v>122148.50000000001</v>
      </c>
      <c r="D117" s="52">
        <v>-40.5</v>
      </c>
      <c r="E117" s="52">
        <f t="shared" si="12"/>
        <v>186320.60000000003</v>
      </c>
      <c r="F117" s="52" t="s">
        <v>42</v>
      </c>
      <c r="G117" s="52">
        <v>68342</v>
      </c>
      <c r="H117" s="52"/>
      <c r="I117" s="52">
        <v>16971.25</v>
      </c>
      <c r="J117" s="52">
        <v>110070.9</v>
      </c>
      <c r="K117" s="52">
        <v>291446.90000000002</v>
      </c>
      <c r="L117" s="52">
        <f t="shared" si="13"/>
        <v>486831.05000000005</v>
      </c>
      <c r="M117" s="52">
        <v>199067.09999999998</v>
      </c>
      <c r="N117" s="52">
        <v>19112.000000000004</v>
      </c>
      <c r="O117" s="52">
        <f t="shared" ref="O117:O126" si="14">+L117-M117-N117</f>
        <v>268651.95000000007</v>
      </c>
      <c r="P117" s="52"/>
      <c r="Q117" s="52">
        <v>28974.7</v>
      </c>
      <c r="R117" s="52">
        <v>717708.68333333335</v>
      </c>
      <c r="S117" s="52">
        <v>1390.6999999999998</v>
      </c>
      <c r="T117" s="52">
        <f t="shared" ref="T117:T126" si="15">SUM(Q117:S117)</f>
        <v>748074.08333333326</v>
      </c>
      <c r="U117" s="52"/>
      <c r="V117" s="52">
        <f t="shared" ref="V117:V150" si="16">SUM(O117,T117)</f>
        <v>1016726.0333333333</v>
      </c>
      <c r="W117" s="52">
        <f t="shared" si="11"/>
        <v>1203046.6333333333</v>
      </c>
    </row>
    <row r="118" spans="1:23" s="71" customFormat="1" hidden="1" x14ac:dyDescent="0.2">
      <c r="A118" s="36" t="s">
        <v>55</v>
      </c>
      <c r="B118" s="52">
        <v>56965.400000000081</v>
      </c>
      <c r="C118" s="52">
        <v>101928.40000000002</v>
      </c>
      <c r="D118" s="52">
        <v>-48.599999999999994</v>
      </c>
      <c r="E118" s="52">
        <f t="shared" si="12"/>
        <v>158845.2000000001</v>
      </c>
      <c r="F118" s="52" t="s">
        <v>42</v>
      </c>
      <c r="G118" s="52">
        <v>70934.600000000006</v>
      </c>
      <c r="H118" s="52"/>
      <c r="I118" s="52">
        <v>18757.3</v>
      </c>
      <c r="J118" s="52">
        <v>108677.6</v>
      </c>
      <c r="K118" s="52">
        <v>291138.8</v>
      </c>
      <c r="L118" s="52">
        <f t="shared" si="13"/>
        <v>489508.3</v>
      </c>
      <c r="M118" s="52">
        <v>190439.4</v>
      </c>
      <c r="N118" s="52">
        <v>15910.9</v>
      </c>
      <c r="O118" s="52">
        <f t="shared" si="14"/>
        <v>283158</v>
      </c>
      <c r="P118" s="52"/>
      <c r="Q118" s="52">
        <v>30429.199999999997</v>
      </c>
      <c r="R118" s="52">
        <v>721668.6</v>
      </c>
      <c r="S118" s="52">
        <v>1401.7</v>
      </c>
      <c r="T118" s="52">
        <f t="shared" si="15"/>
        <v>753499.49999999988</v>
      </c>
      <c r="U118" s="52"/>
      <c r="V118" s="52">
        <f t="shared" si="16"/>
        <v>1036657.4999999999</v>
      </c>
      <c r="W118" s="52">
        <f t="shared" ref="W118:W150" si="17">SUM(E118,V118)</f>
        <v>1195502.7</v>
      </c>
    </row>
    <row r="119" spans="1:23" s="71" customFormat="1" hidden="1" x14ac:dyDescent="0.2">
      <c r="A119" s="36" t="s">
        <v>69</v>
      </c>
      <c r="B119" s="52">
        <v>88260.70000000007</v>
      </c>
      <c r="C119" s="52">
        <v>97529.599999999977</v>
      </c>
      <c r="D119" s="52">
        <v>-56.699999999999996</v>
      </c>
      <c r="E119" s="52">
        <f t="shared" si="12"/>
        <v>185733.60000000003</v>
      </c>
      <c r="F119" s="52" t="s">
        <v>42</v>
      </c>
      <c r="G119" s="52">
        <v>100965.3</v>
      </c>
      <c r="H119" s="52"/>
      <c r="I119" s="52">
        <v>17433.3</v>
      </c>
      <c r="J119" s="52">
        <v>107284.3</v>
      </c>
      <c r="K119" s="52">
        <v>290830.7</v>
      </c>
      <c r="L119" s="52">
        <f t="shared" si="13"/>
        <v>516513.60000000003</v>
      </c>
      <c r="M119" s="52">
        <v>245419.98333333334</v>
      </c>
      <c r="N119" s="52">
        <v>18379.300000000003</v>
      </c>
      <c r="O119" s="52">
        <f t="shared" si="14"/>
        <v>252714.31666666671</v>
      </c>
      <c r="P119" s="52"/>
      <c r="Q119" s="52">
        <v>29921.149999999994</v>
      </c>
      <c r="R119" s="52">
        <v>742798.8666666667</v>
      </c>
      <c r="S119" s="52">
        <v>1754.2</v>
      </c>
      <c r="T119" s="52">
        <f t="shared" si="15"/>
        <v>774474.21666666667</v>
      </c>
      <c r="U119" s="52"/>
      <c r="V119" s="52">
        <f t="shared" si="16"/>
        <v>1027188.5333333334</v>
      </c>
      <c r="W119" s="52">
        <f t="shared" si="17"/>
        <v>1212922.1333333335</v>
      </c>
    </row>
    <row r="120" spans="1:23" s="71" customFormat="1" hidden="1" x14ac:dyDescent="0.2">
      <c r="A120" s="36" t="s">
        <v>70</v>
      </c>
      <c r="B120" s="52">
        <v>79468.299999999988</v>
      </c>
      <c r="C120" s="52">
        <v>88537.200000000012</v>
      </c>
      <c r="D120" s="52">
        <v>-64.8</v>
      </c>
      <c r="E120" s="52">
        <f t="shared" si="12"/>
        <v>167940.7</v>
      </c>
      <c r="F120" s="52" t="s">
        <v>42</v>
      </c>
      <c r="G120" s="52">
        <v>96477.700000000012</v>
      </c>
      <c r="H120" s="52"/>
      <c r="I120" s="52">
        <v>24620.9</v>
      </c>
      <c r="J120" s="52">
        <v>107284.3</v>
      </c>
      <c r="K120" s="52">
        <v>290830.7</v>
      </c>
      <c r="L120" s="52">
        <f t="shared" si="13"/>
        <v>519213.60000000003</v>
      </c>
      <c r="M120" s="52">
        <v>197340.66666666666</v>
      </c>
      <c r="N120" s="52">
        <v>19610.8</v>
      </c>
      <c r="O120" s="52">
        <f t="shared" si="14"/>
        <v>302262.13333333336</v>
      </c>
      <c r="P120" s="52"/>
      <c r="Q120" s="52">
        <v>31534.7</v>
      </c>
      <c r="R120" s="52">
        <v>745629.63333333342</v>
      </c>
      <c r="S120" s="52">
        <v>1758.2</v>
      </c>
      <c r="T120" s="52">
        <f t="shared" si="15"/>
        <v>778922.53333333333</v>
      </c>
      <c r="U120" s="52"/>
      <c r="V120" s="52">
        <f t="shared" si="16"/>
        <v>1081184.6666666667</v>
      </c>
      <c r="W120" s="52">
        <f t="shared" si="17"/>
        <v>1249125.3666666667</v>
      </c>
    </row>
    <row r="121" spans="1:23" s="71" customFormat="1" hidden="1" x14ac:dyDescent="0.2">
      <c r="A121" s="36" t="s">
        <v>56</v>
      </c>
      <c r="B121" s="52">
        <v>78410.799999999988</v>
      </c>
      <c r="C121" s="52">
        <v>86375.500000000015</v>
      </c>
      <c r="D121" s="52">
        <v>-72.899999999999991</v>
      </c>
      <c r="E121" s="52">
        <f t="shared" si="12"/>
        <v>164713.4</v>
      </c>
      <c r="F121" s="52" t="s">
        <v>42</v>
      </c>
      <c r="G121" s="52">
        <v>104499.4</v>
      </c>
      <c r="H121" s="52"/>
      <c r="I121" s="52">
        <v>22464.7</v>
      </c>
      <c r="J121" s="52">
        <v>107284.3</v>
      </c>
      <c r="K121" s="52">
        <v>290214.40000000002</v>
      </c>
      <c r="L121" s="52">
        <f t="shared" si="13"/>
        <v>524462.80000000005</v>
      </c>
      <c r="M121" s="52">
        <v>213171.85</v>
      </c>
      <c r="N121" s="52">
        <v>21460.2</v>
      </c>
      <c r="O121" s="52">
        <f t="shared" si="14"/>
        <v>289830.75000000006</v>
      </c>
      <c r="P121" s="52"/>
      <c r="Q121" s="52">
        <v>36136.950000000004</v>
      </c>
      <c r="R121" s="52">
        <v>754457.7</v>
      </c>
      <c r="S121" s="52">
        <v>2197.5</v>
      </c>
      <c r="T121" s="52">
        <f t="shared" si="15"/>
        <v>792792.14999999991</v>
      </c>
      <c r="U121" s="52"/>
      <c r="V121" s="52">
        <f t="shared" si="16"/>
        <v>1082622.8999999999</v>
      </c>
      <c r="W121" s="52">
        <f t="shared" si="17"/>
        <v>1247336.2999999998</v>
      </c>
    </row>
    <row r="122" spans="1:23" s="71" customFormat="1" hidden="1" x14ac:dyDescent="0.2">
      <c r="A122" s="36" t="s">
        <v>71</v>
      </c>
      <c r="B122" s="52">
        <v>98627.299999999988</v>
      </c>
      <c r="C122" s="52">
        <v>90134.000000000058</v>
      </c>
      <c r="D122" s="52">
        <v>-81</v>
      </c>
      <c r="E122" s="52">
        <f t="shared" si="12"/>
        <v>188680.30000000005</v>
      </c>
      <c r="F122" s="52">
        <v>6525.5</v>
      </c>
      <c r="G122" s="52">
        <v>108413.2</v>
      </c>
      <c r="H122" s="52"/>
      <c r="I122" s="52">
        <v>17531.800000000003</v>
      </c>
      <c r="J122" s="52">
        <v>107284.3</v>
      </c>
      <c r="K122" s="52">
        <v>289906.3</v>
      </c>
      <c r="L122" s="52">
        <f t="shared" si="13"/>
        <v>529661.1</v>
      </c>
      <c r="M122" s="52">
        <v>215282.63333333336</v>
      </c>
      <c r="N122" s="52">
        <v>21130.1</v>
      </c>
      <c r="O122" s="52">
        <f t="shared" si="14"/>
        <v>293248.36666666664</v>
      </c>
      <c r="P122" s="52"/>
      <c r="Q122" s="52">
        <v>35876.800000000003</v>
      </c>
      <c r="R122" s="52">
        <v>748411.56666666665</v>
      </c>
      <c r="S122" s="52">
        <v>2357.1999999999998</v>
      </c>
      <c r="T122" s="52">
        <f t="shared" si="15"/>
        <v>786645.56666666665</v>
      </c>
      <c r="U122" s="52"/>
      <c r="V122" s="52">
        <f t="shared" si="16"/>
        <v>1079893.9333333333</v>
      </c>
      <c r="W122" s="52">
        <f t="shared" si="17"/>
        <v>1268574.2333333334</v>
      </c>
    </row>
    <row r="123" spans="1:23" s="71" customFormat="1" hidden="1" x14ac:dyDescent="0.2">
      <c r="A123" s="36" t="s">
        <v>72</v>
      </c>
      <c r="B123" s="52">
        <v>81256.100000000093</v>
      </c>
      <c r="C123" s="52">
        <v>95735.2</v>
      </c>
      <c r="D123" s="52">
        <v>-89.1</v>
      </c>
      <c r="E123" s="52">
        <f t="shared" si="12"/>
        <v>176902.2000000001</v>
      </c>
      <c r="F123" s="52">
        <v>20947.400000000001</v>
      </c>
      <c r="G123" s="52">
        <v>107312.8</v>
      </c>
      <c r="H123" s="52"/>
      <c r="I123" s="52">
        <v>22148</v>
      </c>
      <c r="J123" s="52">
        <v>107284.3</v>
      </c>
      <c r="K123" s="52">
        <v>289906.3</v>
      </c>
      <c r="L123" s="52">
        <f t="shared" si="13"/>
        <v>547598.80000000005</v>
      </c>
      <c r="M123" s="52">
        <v>218734.31666666665</v>
      </c>
      <c r="N123" s="52">
        <v>24576.5</v>
      </c>
      <c r="O123" s="52">
        <f t="shared" si="14"/>
        <v>304287.9833333334</v>
      </c>
      <c r="P123" s="52"/>
      <c r="Q123" s="52">
        <v>35971.050000000003</v>
      </c>
      <c r="R123" s="52">
        <v>744753.83333333337</v>
      </c>
      <c r="S123" s="52">
        <v>2366.6</v>
      </c>
      <c r="T123" s="52">
        <f t="shared" si="15"/>
        <v>783091.4833333334</v>
      </c>
      <c r="U123" s="52"/>
      <c r="V123" s="52">
        <f t="shared" si="16"/>
        <v>1087379.4666666668</v>
      </c>
      <c r="W123" s="52">
        <f t="shared" si="17"/>
        <v>1264281.666666667</v>
      </c>
    </row>
    <row r="124" spans="1:23" s="71" customFormat="1" hidden="1" x14ac:dyDescent="0.2">
      <c r="A124" s="36" t="s">
        <v>57</v>
      </c>
      <c r="B124" s="52">
        <v>118133.79999999993</v>
      </c>
      <c r="C124" s="52">
        <v>111622.29999999997</v>
      </c>
      <c r="D124" s="52">
        <v>-97.2</v>
      </c>
      <c r="E124" s="52">
        <f t="shared" si="12"/>
        <v>229658.89999999991</v>
      </c>
      <c r="F124" s="52" t="s">
        <v>42</v>
      </c>
      <c r="G124" s="52">
        <v>109019.90000000001</v>
      </c>
      <c r="H124" s="52"/>
      <c r="I124" s="52">
        <v>18506.300000000003</v>
      </c>
      <c r="J124" s="52">
        <v>107284.3</v>
      </c>
      <c r="K124" s="52">
        <v>289290</v>
      </c>
      <c r="L124" s="52">
        <f t="shared" si="13"/>
        <v>524100.5</v>
      </c>
      <c r="M124" s="52">
        <v>226962.7</v>
      </c>
      <c r="N124" s="52">
        <v>23790.1</v>
      </c>
      <c r="O124" s="52">
        <f t="shared" si="14"/>
        <v>273347.7</v>
      </c>
      <c r="P124" s="52"/>
      <c r="Q124" s="52">
        <v>36129.5</v>
      </c>
      <c r="R124" s="52">
        <v>738305.70000000007</v>
      </c>
      <c r="S124" s="52">
        <v>2469.1999999999998</v>
      </c>
      <c r="T124" s="52">
        <f t="shared" si="15"/>
        <v>776904.4</v>
      </c>
      <c r="U124" s="52"/>
      <c r="V124" s="52">
        <f t="shared" si="16"/>
        <v>1050252.1000000001</v>
      </c>
      <c r="W124" s="52">
        <f t="shared" si="17"/>
        <v>1279911</v>
      </c>
    </row>
    <row r="125" spans="1:23" s="71" customFormat="1" hidden="1" x14ac:dyDescent="0.2">
      <c r="A125" s="8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</row>
    <row r="126" spans="1:23" s="71" customFormat="1" hidden="1" x14ac:dyDescent="0.2">
      <c r="A126" s="36" t="s">
        <v>78</v>
      </c>
      <c r="B126" s="52">
        <v>102196.30000000005</v>
      </c>
      <c r="C126" s="52">
        <v>112713.69999999998</v>
      </c>
      <c r="D126" s="52">
        <v>-97.183333333333337</v>
      </c>
      <c r="E126" s="52">
        <f t="shared" si="12"/>
        <v>214812.81666666671</v>
      </c>
      <c r="F126" s="52" t="s">
        <v>42</v>
      </c>
      <c r="G126" s="52">
        <v>108779.50000000001</v>
      </c>
      <c r="H126" s="52"/>
      <c r="I126" s="52">
        <v>15341.516666666666</v>
      </c>
      <c r="J126" s="52">
        <v>107284.3</v>
      </c>
      <c r="K126" s="52">
        <v>289290</v>
      </c>
      <c r="L126" s="52">
        <f t="shared" si="13"/>
        <v>520695.31666666665</v>
      </c>
      <c r="M126" s="52">
        <v>234350.94166666671</v>
      </c>
      <c r="N126" s="52">
        <v>23611.000000000004</v>
      </c>
      <c r="O126" s="52">
        <f t="shared" si="14"/>
        <v>262733.37499999994</v>
      </c>
      <c r="P126" s="52"/>
      <c r="Q126" s="52">
        <v>36088.483333333337</v>
      </c>
      <c r="R126" s="52">
        <v>745496.45833333326</v>
      </c>
      <c r="S126" s="52">
        <v>2774.6000000000004</v>
      </c>
      <c r="T126" s="52">
        <f t="shared" si="15"/>
        <v>784359.54166666663</v>
      </c>
      <c r="U126" s="52"/>
      <c r="V126" s="52">
        <f t="shared" si="16"/>
        <v>1047092.9166666665</v>
      </c>
      <c r="W126" s="52">
        <f t="shared" si="17"/>
        <v>1261905.7333333332</v>
      </c>
    </row>
    <row r="127" spans="1:23" s="71" customFormat="1" hidden="1" x14ac:dyDescent="0.2">
      <c r="A127" s="36" t="s">
        <v>65</v>
      </c>
      <c r="B127" s="52">
        <v>91139.900000000023</v>
      </c>
      <c r="C127" s="52">
        <v>138740.90000000002</v>
      </c>
      <c r="D127" s="52">
        <v>-97.166666666666671</v>
      </c>
      <c r="E127" s="52">
        <f t="shared" si="12"/>
        <v>229783.63333333339</v>
      </c>
      <c r="F127" s="52" t="s">
        <v>42</v>
      </c>
      <c r="G127" s="52">
        <v>112164</v>
      </c>
      <c r="H127" s="52"/>
      <c r="I127" s="52">
        <v>17033.433333333334</v>
      </c>
      <c r="J127" s="52">
        <v>107284.3</v>
      </c>
      <c r="K127" s="52">
        <v>288673.7</v>
      </c>
      <c r="L127" s="52">
        <f t="shared" si="13"/>
        <v>525155.43333333335</v>
      </c>
      <c r="M127" s="52">
        <v>242459.38333333333</v>
      </c>
      <c r="N127" s="52">
        <v>21791.600000000002</v>
      </c>
      <c r="O127" s="52">
        <f>+L127-M127-N127</f>
        <v>260904.45000000004</v>
      </c>
      <c r="P127" s="52"/>
      <c r="Q127" s="52">
        <v>36003.366666666669</v>
      </c>
      <c r="R127" s="52">
        <v>749725.41666666674</v>
      </c>
      <c r="S127" s="52">
        <v>3027.3</v>
      </c>
      <c r="T127" s="52">
        <f t="shared" ref="T127:T134" si="18">SUM(Q127:S127)</f>
        <v>788756.08333333349</v>
      </c>
      <c r="U127" s="52"/>
      <c r="V127" s="52">
        <f t="shared" si="16"/>
        <v>1049660.5333333334</v>
      </c>
      <c r="W127" s="52">
        <f t="shared" si="17"/>
        <v>1279444.1666666667</v>
      </c>
    </row>
    <row r="128" spans="1:23" s="71" customFormat="1" hidden="1" x14ac:dyDescent="0.2">
      <c r="A128" s="36" t="s">
        <v>66</v>
      </c>
      <c r="B128" s="52">
        <v>95018.600000000035</v>
      </c>
      <c r="C128" s="52">
        <v>115929.5</v>
      </c>
      <c r="D128" s="52">
        <v>-97.15</v>
      </c>
      <c r="E128" s="52">
        <f t="shared" si="12"/>
        <v>210850.95000000004</v>
      </c>
      <c r="F128" s="52">
        <v>8513</v>
      </c>
      <c r="G128" s="52">
        <v>108771.9</v>
      </c>
      <c r="H128" s="52"/>
      <c r="I128" s="52">
        <v>13377.35</v>
      </c>
      <c r="J128" s="52">
        <v>107284.3</v>
      </c>
      <c r="K128" s="52">
        <v>288673.7</v>
      </c>
      <c r="L128" s="52">
        <f t="shared" si="13"/>
        <v>526620.25</v>
      </c>
      <c r="M128" s="52">
        <v>226181.625</v>
      </c>
      <c r="N128" s="52">
        <v>17505.000000000004</v>
      </c>
      <c r="O128" s="52">
        <f t="shared" ref="O128:O150" si="19">+L128-M128-N128</f>
        <v>282933.625</v>
      </c>
      <c r="P128" s="52"/>
      <c r="Q128" s="52">
        <v>35670.550000000003</v>
      </c>
      <c r="R128" s="52">
        <v>737616.67500000005</v>
      </c>
      <c r="S128" s="52">
        <v>3128.7000000000003</v>
      </c>
      <c r="T128" s="52">
        <f t="shared" si="18"/>
        <v>776415.92500000005</v>
      </c>
      <c r="U128" s="52"/>
      <c r="V128" s="52">
        <f t="shared" si="16"/>
        <v>1059349.55</v>
      </c>
      <c r="W128" s="52">
        <f t="shared" si="17"/>
        <v>1270200.5</v>
      </c>
    </row>
    <row r="129" spans="1:23" s="71" customFormat="1" hidden="1" x14ac:dyDescent="0.2">
      <c r="A129" s="36" t="s">
        <v>67</v>
      </c>
      <c r="B129" s="52">
        <v>95155.499999999942</v>
      </c>
      <c r="C129" s="52">
        <v>119186.49999999999</v>
      </c>
      <c r="D129" s="52">
        <v>-97.133333333333326</v>
      </c>
      <c r="E129" s="52">
        <f t="shared" si="12"/>
        <v>214244.86666666661</v>
      </c>
      <c r="F129" s="52">
        <v>14256.4</v>
      </c>
      <c r="G129" s="52">
        <v>137931.09999999998</v>
      </c>
      <c r="H129" s="52"/>
      <c r="I129" s="52">
        <v>18221.366666666669</v>
      </c>
      <c r="J129" s="52">
        <v>107284.3</v>
      </c>
      <c r="K129" s="52">
        <v>288365.59999999998</v>
      </c>
      <c r="L129" s="52">
        <f t="shared" si="13"/>
        <v>566058.7666666666</v>
      </c>
      <c r="M129" s="52">
        <v>216902.76666666666</v>
      </c>
      <c r="N129" s="52">
        <v>16806.800000000003</v>
      </c>
      <c r="O129" s="52">
        <f t="shared" si="19"/>
        <v>332349.19999999995</v>
      </c>
      <c r="P129" s="52"/>
      <c r="Q129" s="52">
        <v>35870.433333333342</v>
      </c>
      <c r="R129" s="52">
        <v>740845.33333333326</v>
      </c>
      <c r="S129" s="52">
        <v>3057.1000000000004</v>
      </c>
      <c r="T129" s="52">
        <f t="shared" si="18"/>
        <v>779772.86666666658</v>
      </c>
      <c r="U129" s="52"/>
      <c r="V129" s="52">
        <f t="shared" si="16"/>
        <v>1112122.0666666664</v>
      </c>
      <c r="W129" s="52">
        <f t="shared" si="17"/>
        <v>1326366.9333333331</v>
      </c>
    </row>
    <row r="130" spans="1:23" s="71" customFormat="1" hidden="1" x14ac:dyDescent="0.2">
      <c r="A130" s="36" t="s">
        <v>68</v>
      </c>
      <c r="B130" s="52">
        <v>85924</v>
      </c>
      <c r="C130" s="52">
        <v>97861.60000000002</v>
      </c>
      <c r="D130" s="52">
        <v>-97.11666666666666</v>
      </c>
      <c r="E130" s="52">
        <f t="shared" si="12"/>
        <v>183688.48333333337</v>
      </c>
      <c r="F130" s="52">
        <v>16076.5</v>
      </c>
      <c r="G130" s="52">
        <v>131083.79999999999</v>
      </c>
      <c r="H130" s="52"/>
      <c r="I130" s="52">
        <v>15864.583333333334</v>
      </c>
      <c r="J130" s="52">
        <v>107284.3</v>
      </c>
      <c r="K130" s="52">
        <v>287749.3</v>
      </c>
      <c r="L130" s="52">
        <f t="shared" si="13"/>
        <v>558058.4833333334</v>
      </c>
      <c r="M130" s="52">
        <v>200283.40833333335</v>
      </c>
      <c r="N130" s="52">
        <v>12657.699999999999</v>
      </c>
      <c r="O130" s="52">
        <f t="shared" si="19"/>
        <v>345117.37500000006</v>
      </c>
      <c r="P130" s="52"/>
      <c r="Q130" s="52">
        <v>38343.216666666674</v>
      </c>
      <c r="R130" s="52">
        <v>743722.39166666672</v>
      </c>
      <c r="S130" s="52">
        <v>3066.6000000000004</v>
      </c>
      <c r="T130" s="52">
        <f t="shared" si="18"/>
        <v>785132.20833333337</v>
      </c>
      <c r="U130" s="52"/>
      <c r="V130" s="52">
        <f t="shared" si="16"/>
        <v>1130249.5833333335</v>
      </c>
      <c r="W130" s="52">
        <f t="shared" si="17"/>
        <v>1313938.0666666669</v>
      </c>
    </row>
    <row r="131" spans="1:23" s="71" customFormat="1" hidden="1" x14ac:dyDescent="0.2">
      <c r="A131" s="36" t="s">
        <v>55</v>
      </c>
      <c r="B131" s="52">
        <v>89071.500000000116</v>
      </c>
      <c r="C131" s="52">
        <v>95701.300000000032</v>
      </c>
      <c r="D131" s="52">
        <v>-97.1</v>
      </c>
      <c r="E131" s="52">
        <f t="shared" si="12"/>
        <v>184675.70000000016</v>
      </c>
      <c r="F131" s="52">
        <v>39309.599999999999</v>
      </c>
      <c r="G131" s="52">
        <v>134209.09999999998</v>
      </c>
      <c r="H131" s="52"/>
      <c r="I131" s="52">
        <v>19154.099999999999</v>
      </c>
      <c r="J131" s="52">
        <v>107284.3</v>
      </c>
      <c r="K131" s="52">
        <v>287441.19999999995</v>
      </c>
      <c r="L131" s="52">
        <f t="shared" si="13"/>
        <v>587398.29999999993</v>
      </c>
      <c r="M131" s="52">
        <v>210489.45</v>
      </c>
      <c r="N131" s="52">
        <v>17287.8</v>
      </c>
      <c r="O131" s="52">
        <f t="shared" si="19"/>
        <v>359621.04999999993</v>
      </c>
      <c r="P131" s="52"/>
      <c r="Q131" s="52">
        <v>41979.700000000004</v>
      </c>
      <c r="R131" s="52">
        <v>760632.55</v>
      </c>
      <c r="S131" s="52">
        <v>3154.2</v>
      </c>
      <c r="T131" s="52">
        <f t="shared" si="18"/>
        <v>805766.45</v>
      </c>
      <c r="U131" s="52"/>
      <c r="V131" s="52">
        <f t="shared" si="16"/>
        <v>1165387.5</v>
      </c>
      <c r="W131" s="52">
        <f t="shared" si="17"/>
        <v>1350063.2000000002</v>
      </c>
    </row>
    <row r="132" spans="1:23" s="71" customFormat="1" hidden="1" x14ac:dyDescent="0.2">
      <c r="A132" s="36" t="s">
        <v>69</v>
      </c>
      <c r="B132" s="52">
        <v>70600.399999999965</v>
      </c>
      <c r="C132" s="52">
        <v>121995.19999999998</v>
      </c>
      <c r="D132" s="52">
        <v>-89.016666666666666</v>
      </c>
      <c r="E132" s="52">
        <f t="shared" si="12"/>
        <v>192506.58333333328</v>
      </c>
      <c r="F132" s="52">
        <v>52779.8</v>
      </c>
      <c r="G132" s="52">
        <v>136756.6</v>
      </c>
      <c r="H132" s="52"/>
      <c r="I132" s="52">
        <v>22477.633333333335</v>
      </c>
      <c r="J132" s="52">
        <v>107284.3</v>
      </c>
      <c r="K132" s="52">
        <v>287441.19999999995</v>
      </c>
      <c r="L132" s="52">
        <f t="shared" si="13"/>
        <v>606739.53333333333</v>
      </c>
      <c r="M132" s="52">
        <v>202885.54166666663</v>
      </c>
      <c r="N132" s="52">
        <v>17393.5</v>
      </c>
      <c r="O132" s="52">
        <f t="shared" si="19"/>
        <v>386460.4916666667</v>
      </c>
      <c r="P132" s="52"/>
      <c r="Q132" s="52">
        <v>46379.933333333327</v>
      </c>
      <c r="R132" s="52">
        <v>767930.8916666666</v>
      </c>
      <c r="S132" s="52">
        <v>3132.7999999999997</v>
      </c>
      <c r="T132" s="52">
        <f t="shared" si="18"/>
        <v>817443.625</v>
      </c>
      <c r="U132" s="52"/>
      <c r="V132" s="52">
        <f t="shared" si="16"/>
        <v>1203904.1166666667</v>
      </c>
      <c r="W132" s="52">
        <f t="shared" si="17"/>
        <v>1396410.7</v>
      </c>
    </row>
    <row r="133" spans="1:23" s="71" customFormat="1" hidden="1" x14ac:dyDescent="0.2">
      <c r="A133" s="36" t="s">
        <v>70</v>
      </c>
      <c r="B133" s="52">
        <v>82609.899999999965</v>
      </c>
      <c r="C133" s="52">
        <v>68447.799999999974</v>
      </c>
      <c r="D133" s="52">
        <v>-80.933333333333337</v>
      </c>
      <c r="E133" s="52">
        <f t="shared" si="12"/>
        <v>150976.76666666663</v>
      </c>
      <c r="F133" s="52">
        <v>43358.6</v>
      </c>
      <c r="G133" s="52">
        <v>157164.6</v>
      </c>
      <c r="H133" s="52"/>
      <c r="I133" s="52">
        <v>22704.866666666669</v>
      </c>
      <c r="J133" s="52">
        <v>107284.3</v>
      </c>
      <c r="K133" s="52">
        <v>286825</v>
      </c>
      <c r="L133" s="52">
        <f t="shared" si="13"/>
        <v>617337.3666666667</v>
      </c>
      <c r="M133" s="52">
        <v>196933.77777777778</v>
      </c>
      <c r="N133" s="52">
        <v>19854.8</v>
      </c>
      <c r="O133" s="52">
        <f t="shared" si="19"/>
        <v>400548.78888888896</v>
      </c>
      <c r="P133" s="52"/>
      <c r="Q133" s="52">
        <v>46409.666666666664</v>
      </c>
      <c r="R133" s="52">
        <v>787352.73333333328</v>
      </c>
      <c r="S133" s="52">
        <v>3150.2999999999997</v>
      </c>
      <c r="T133" s="52">
        <f t="shared" si="18"/>
        <v>836912.7</v>
      </c>
      <c r="U133" s="52"/>
      <c r="V133" s="52">
        <f t="shared" si="16"/>
        <v>1237461.4888888889</v>
      </c>
      <c r="W133" s="52">
        <f t="shared" si="17"/>
        <v>1388438.2555555555</v>
      </c>
    </row>
    <row r="134" spans="1:23" s="71" customFormat="1" hidden="1" x14ac:dyDescent="0.2">
      <c r="A134" s="36" t="s">
        <v>56</v>
      </c>
      <c r="B134" s="52">
        <v>142837.30000000005</v>
      </c>
      <c r="C134" s="52">
        <v>70021.499999999971</v>
      </c>
      <c r="D134" s="52">
        <v>-72.849999999999994</v>
      </c>
      <c r="E134" s="52">
        <f t="shared" si="12"/>
        <v>212785.95</v>
      </c>
      <c r="F134" s="52">
        <v>27300.1</v>
      </c>
      <c r="G134" s="52">
        <v>151516.40000000002</v>
      </c>
      <c r="H134" s="52"/>
      <c r="I134" s="52">
        <v>22817.899999999998</v>
      </c>
      <c r="J134" s="52">
        <v>107284.3</v>
      </c>
      <c r="K134" s="52">
        <v>286825</v>
      </c>
      <c r="L134" s="52">
        <f t="shared" si="13"/>
        <v>595743.69999999995</v>
      </c>
      <c r="M134" s="52">
        <v>278294.0861111111</v>
      </c>
      <c r="N134" s="52">
        <v>25072.2</v>
      </c>
      <c r="O134" s="52">
        <f t="shared" si="19"/>
        <v>292377.41388888884</v>
      </c>
      <c r="P134" s="52"/>
      <c r="Q134" s="52">
        <v>44045.2</v>
      </c>
      <c r="R134" s="52">
        <v>779072.27499999991</v>
      </c>
      <c r="S134" s="52">
        <v>3642.8999999999996</v>
      </c>
      <c r="T134" s="52">
        <f t="shared" si="18"/>
        <v>826760.37499999988</v>
      </c>
      <c r="U134" s="52"/>
      <c r="V134" s="52">
        <f t="shared" si="16"/>
        <v>1119137.7888888887</v>
      </c>
      <c r="W134" s="52">
        <f t="shared" si="17"/>
        <v>1331923.7388888886</v>
      </c>
    </row>
    <row r="135" spans="1:23" s="71" customFormat="1" hidden="1" x14ac:dyDescent="0.2">
      <c r="A135" s="36" t="s">
        <v>71</v>
      </c>
      <c r="B135" s="52">
        <v>138959.60000000009</v>
      </c>
      <c r="C135" s="52">
        <v>64215.799999999974</v>
      </c>
      <c r="D135" s="52">
        <v>-64.766666666666666</v>
      </c>
      <c r="E135" s="52">
        <f t="shared" si="12"/>
        <v>203110.63333333342</v>
      </c>
      <c r="F135" s="52">
        <v>74347</v>
      </c>
      <c r="G135" s="52">
        <v>146788.6</v>
      </c>
      <c r="H135" s="52"/>
      <c r="I135" s="52">
        <v>22387.733333333334</v>
      </c>
      <c r="J135" s="52">
        <v>107284.3</v>
      </c>
      <c r="K135" s="52">
        <v>286516.8</v>
      </c>
      <c r="L135" s="52">
        <f t="shared" si="13"/>
        <v>637324.43333333335</v>
      </c>
      <c r="M135" s="52">
        <v>245628.60925925925</v>
      </c>
      <c r="N135" s="52">
        <v>29509.200000000001</v>
      </c>
      <c r="O135" s="52">
        <f t="shared" si="19"/>
        <v>362186.62407407409</v>
      </c>
      <c r="P135" s="52"/>
      <c r="Q135" s="52">
        <v>41628.933333333334</v>
      </c>
      <c r="R135" s="52">
        <v>784762.64999999991</v>
      </c>
      <c r="S135" s="52">
        <v>3691</v>
      </c>
      <c r="T135" s="52">
        <f t="shared" ref="T135:T146" si="20">SUM(Q135:S135)</f>
        <v>830082.58333333326</v>
      </c>
      <c r="U135" s="52"/>
      <c r="V135" s="52">
        <f t="shared" si="16"/>
        <v>1192269.2074074075</v>
      </c>
      <c r="W135" s="52">
        <f t="shared" si="17"/>
        <v>1395379.8407407408</v>
      </c>
    </row>
    <row r="136" spans="1:23" s="71" customFormat="1" hidden="1" x14ac:dyDescent="0.2">
      <c r="A136" s="36" t="s">
        <v>72</v>
      </c>
      <c r="B136" s="52">
        <v>134061.10000000009</v>
      </c>
      <c r="C136" s="52">
        <v>57822.8</v>
      </c>
      <c r="D136" s="52">
        <v>-56.683333333333337</v>
      </c>
      <c r="E136" s="52">
        <f t="shared" si="12"/>
        <v>191827.21666666676</v>
      </c>
      <c r="F136" s="52">
        <v>41502.5</v>
      </c>
      <c r="G136" s="52">
        <v>154082.5</v>
      </c>
      <c r="H136" s="52"/>
      <c r="I136" s="52">
        <v>18600.366666666665</v>
      </c>
      <c r="J136" s="52">
        <v>106976.2</v>
      </c>
      <c r="K136" s="52">
        <v>286208.59999999998</v>
      </c>
      <c r="L136" s="52">
        <f t="shared" si="13"/>
        <v>607370.16666666663</v>
      </c>
      <c r="M136" s="52">
        <v>245927.37561728398</v>
      </c>
      <c r="N136" s="52">
        <v>31987.8</v>
      </c>
      <c r="O136" s="52">
        <f t="shared" si="19"/>
        <v>329454.99104938266</v>
      </c>
      <c r="P136" s="52"/>
      <c r="Q136" s="52">
        <v>40555.466666666667</v>
      </c>
      <c r="R136" s="52">
        <v>794006.31388888892</v>
      </c>
      <c r="S136" s="52">
        <v>3607.1</v>
      </c>
      <c r="T136" s="52">
        <f t="shared" si="20"/>
        <v>838168.88055555557</v>
      </c>
      <c r="U136" s="52"/>
      <c r="V136" s="52">
        <f t="shared" si="16"/>
        <v>1167623.8716049383</v>
      </c>
      <c r="W136" s="52">
        <f t="shared" si="17"/>
        <v>1359451.0882716051</v>
      </c>
    </row>
    <row r="137" spans="1:23" s="71" customFormat="1" hidden="1" x14ac:dyDescent="0.2">
      <c r="A137" s="36" t="s">
        <v>57</v>
      </c>
      <c r="B137" s="52">
        <v>128675.89999999997</v>
      </c>
      <c r="C137" s="52">
        <v>51849.400000000023</v>
      </c>
      <c r="D137" s="52">
        <v>-48.6</v>
      </c>
      <c r="E137" s="52">
        <f t="shared" si="12"/>
        <v>180476.69999999998</v>
      </c>
      <c r="F137" s="52">
        <v>55186.9</v>
      </c>
      <c r="G137" s="52">
        <v>147702.70000000001</v>
      </c>
      <c r="H137" s="52"/>
      <c r="I137" s="52">
        <v>49269.8</v>
      </c>
      <c r="J137" s="52">
        <v>106976.2</v>
      </c>
      <c r="K137" s="52">
        <v>285900.5</v>
      </c>
      <c r="L137" s="52">
        <f t="shared" si="13"/>
        <v>645036.10000000009</v>
      </c>
      <c r="M137" s="52">
        <v>238599.69999999995</v>
      </c>
      <c r="N137" s="52">
        <v>23004.400000000001</v>
      </c>
      <c r="O137" s="52">
        <f t="shared" si="19"/>
        <v>383432.00000000012</v>
      </c>
      <c r="P137" s="52"/>
      <c r="Q137" s="52">
        <v>40818.700000000004</v>
      </c>
      <c r="R137" s="52">
        <v>808571.6</v>
      </c>
      <c r="S137" s="52">
        <v>3449.2999999999997</v>
      </c>
      <c r="T137" s="52">
        <f t="shared" si="20"/>
        <v>852839.6</v>
      </c>
      <c r="U137" s="52"/>
      <c r="V137" s="52">
        <f t="shared" si="16"/>
        <v>1236271.6000000001</v>
      </c>
      <c r="W137" s="52">
        <f t="shared" si="17"/>
        <v>1416748.3</v>
      </c>
    </row>
    <row r="138" spans="1:23" s="71" customFormat="1" hidden="1" x14ac:dyDescent="0.2">
      <c r="A138" s="36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</row>
    <row r="139" spans="1:23" s="71" customFormat="1" hidden="1" x14ac:dyDescent="0.2">
      <c r="A139" s="36" t="s">
        <v>79</v>
      </c>
      <c r="B139" s="52">
        <v>127066.10000000003</v>
      </c>
      <c r="C139" s="52">
        <v>48113.699999999983</v>
      </c>
      <c r="D139" s="52">
        <v>-40.5</v>
      </c>
      <c r="E139" s="52">
        <f t="shared" si="12"/>
        <v>175139.30000000002</v>
      </c>
      <c r="F139" s="52">
        <v>22472.2</v>
      </c>
      <c r="G139" s="52">
        <v>157245.1</v>
      </c>
      <c r="H139" s="52"/>
      <c r="I139" s="52">
        <v>50690.483333333337</v>
      </c>
      <c r="J139" s="52">
        <v>106976.2</v>
      </c>
      <c r="K139" s="52">
        <v>285900.5</v>
      </c>
      <c r="L139" s="52">
        <f t="shared" si="13"/>
        <v>623284.4833333334</v>
      </c>
      <c r="M139" s="52">
        <v>236594.86666666664</v>
      </c>
      <c r="N139" s="52">
        <v>23585.300000000003</v>
      </c>
      <c r="O139" s="52">
        <f t="shared" si="19"/>
        <v>363104.31666666677</v>
      </c>
      <c r="P139" s="52"/>
      <c r="Q139" s="52">
        <v>34865.033333333333</v>
      </c>
      <c r="R139" s="52">
        <v>808752.91666666674</v>
      </c>
      <c r="S139" s="52">
        <v>3291.2000000000003</v>
      </c>
      <c r="T139" s="52">
        <f t="shared" si="20"/>
        <v>846909.15</v>
      </c>
      <c r="U139" s="52"/>
      <c r="V139" s="52">
        <f t="shared" si="16"/>
        <v>1210013.4666666668</v>
      </c>
      <c r="W139" s="52">
        <f t="shared" si="17"/>
        <v>1385152.7666666668</v>
      </c>
    </row>
    <row r="140" spans="1:23" s="71" customFormat="1" hidden="1" x14ac:dyDescent="0.2">
      <c r="A140" s="36" t="s">
        <v>80</v>
      </c>
      <c r="B140" s="52">
        <v>122551.00000000006</v>
      </c>
      <c r="C140" s="52">
        <v>30084.300000000017</v>
      </c>
      <c r="D140" s="52">
        <v>-32.400000000000006</v>
      </c>
      <c r="E140" s="52">
        <f t="shared" si="12"/>
        <v>152602.90000000008</v>
      </c>
      <c r="F140" s="52">
        <v>72202.7</v>
      </c>
      <c r="G140" s="52">
        <v>140827.20000000001</v>
      </c>
      <c r="H140" s="52"/>
      <c r="I140" s="52">
        <v>53457.866666666669</v>
      </c>
      <c r="J140" s="52">
        <v>105891</v>
      </c>
      <c r="K140" s="52">
        <v>284644.40000000002</v>
      </c>
      <c r="L140" s="52">
        <f t="shared" si="13"/>
        <v>657023.16666666674</v>
      </c>
      <c r="M140" s="52">
        <v>234701.73333333334</v>
      </c>
      <c r="N140" s="52">
        <v>26721.800000000003</v>
      </c>
      <c r="O140" s="52">
        <f t="shared" si="19"/>
        <v>395599.63333333342</v>
      </c>
      <c r="P140" s="52"/>
      <c r="Q140" s="52">
        <v>27562.966666666667</v>
      </c>
      <c r="R140" s="52">
        <v>806600.53333333321</v>
      </c>
      <c r="S140" s="52">
        <v>3220</v>
      </c>
      <c r="T140" s="52">
        <f t="shared" si="20"/>
        <v>837383.49999999988</v>
      </c>
      <c r="U140" s="52"/>
      <c r="V140" s="52">
        <f t="shared" si="16"/>
        <v>1232983.1333333333</v>
      </c>
      <c r="W140" s="52">
        <f t="shared" si="17"/>
        <v>1385586.0333333334</v>
      </c>
    </row>
    <row r="141" spans="1:23" s="71" customFormat="1" hidden="1" x14ac:dyDescent="0.2">
      <c r="A141" s="36" t="s">
        <v>54</v>
      </c>
      <c r="B141" s="52">
        <v>115526.40000000002</v>
      </c>
      <c r="C141" s="52">
        <v>45364.599999999977</v>
      </c>
      <c r="D141" s="52">
        <v>-24.300000000000004</v>
      </c>
      <c r="E141" s="52">
        <f t="shared" si="12"/>
        <v>160866.70000000001</v>
      </c>
      <c r="F141" s="52">
        <v>23590.1</v>
      </c>
      <c r="G141" s="52">
        <v>156652.5</v>
      </c>
      <c r="H141" s="52"/>
      <c r="I141" s="52">
        <v>51790.149999999994</v>
      </c>
      <c r="J141" s="52">
        <v>104166</v>
      </c>
      <c r="K141" s="52">
        <v>284644.40000000002</v>
      </c>
      <c r="L141" s="52">
        <f t="shared" si="13"/>
        <v>620843.15</v>
      </c>
      <c r="M141" s="52">
        <v>247151.10000000003</v>
      </c>
      <c r="N141" s="52">
        <v>29000.600000000002</v>
      </c>
      <c r="O141" s="52">
        <f t="shared" si="19"/>
        <v>344691.45</v>
      </c>
      <c r="P141" s="52"/>
      <c r="Q141" s="52">
        <v>22882</v>
      </c>
      <c r="R141" s="52">
        <v>813741.85000000009</v>
      </c>
      <c r="S141" s="52">
        <v>3910.9</v>
      </c>
      <c r="T141" s="52">
        <f t="shared" si="20"/>
        <v>840534.75000000012</v>
      </c>
      <c r="U141" s="52"/>
      <c r="V141" s="52">
        <f t="shared" si="16"/>
        <v>1185226.2000000002</v>
      </c>
      <c r="W141" s="52">
        <f t="shared" si="17"/>
        <v>1346092.9000000001</v>
      </c>
    </row>
    <row r="142" spans="1:23" s="71" customFormat="1" hidden="1" x14ac:dyDescent="0.2">
      <c r="A142" s="36" t="s">
        <v>81</v>
      </c>
      <c r="B142" s="52">
        <v>93523.400000000081</v>
      </c>
      <c r="C142" s="52">
        <v>54537.899999999994</v>
      </c>
      <c r="D142" s="52">
        <v>-16.200000000000003</v>
      </c>
      <c r="E142" s="52">
        <f t="shared" si="12"/>
        <v>148045.10000000006</v>
      </c>
      <c r="F142" s="52">
        <v>54107.7</v>
      </c>
      <c r="G142" s="52">
        <v>152931.6</v>
      </c>
      <c r="H142" s="52"/>
      <c r="I142" s="52">
        <v>47693.23333333333</v>
      </c>
      <c r="J142" s="52">
        <v>102772.7</v>
      </c>
      <c r="K142" s="52">
        <v>284004.5</v>
      </c>
      <c r="L142" s="52">
        <f t="shared" si="13"/>
        <v>641509.7333333334</v>
      </c>
      <c r="M142" s="52">
        <v>234280.8666666667</v>
      </c>
      <c r="N142" s="52">
        <v>27853.399999999998</v>
      </c>
      <c r="O142" s="52">
        <f t="shared" si="19"/>
        <v>379375.46666666667</v>
      </c>
      <c r="P142" s="52"/>
      <c r="Q142" s="52">
        <v>20248.833333333332</v>
      </c>
      <c r="R142" s="52">
        <v>834094.56666666677</v>
      </c>
      <c r="S142" s="52">
        <v>3961.2999999999997</v>
      </c>
      <c r="T142" s="52">
        <f t="shared" si="20"/>
        <v>858304.70000000019</v>
      </c>
      <c r="U142" s="52"/>
      <c r="V142" s="52">
        <f t="shared" si="16"/>
        <v>1237680.166666667</v>
      </c>
      <c r="W142" s="52">
        <f t="shared" si="17"/>
        <v>1385725.2666666671</v>
      </c>
    </row>
    <row r="143" spans="1:23" s="71" customFormat="1" hidden="1" x14ac:dyDescent="0.2">
      <c r="A143" s="36" t="s">
        <v>82</v>
      </c>
      <c r="B143" s="52">
        <v>96969.099999999977</v>
      </c>
      <c r="C143" s="52">
        <v>41533.800000000047</v>
      </c>
      <c r="D143" s="52">
        <v>-8.1000000000000014</v>
      </c>
      <c r="E143" s="52">
        <f t="shared" si="12"/>
        <v>138494.80000000002</v>
      </c>
      <c r="F143" s="52">
        <v>79625</v>
      </c>
      <c r="G143" s="52">
        <v>172465.8</v>
      </c>
      <c r="H143" s="52"/>
      <c r="I143" s="52">
        <v>51466.116666666669</v>
      </c>
      <c r="J143" s="52">
        <v>101379.3</v>
      </c>
      <c r="K143" s="52">
        <v>283364.7</v>
      </c>
      <c r="L143" s="52">
        <f t="shared" si="13"/>
        <v>688300.91666666663</v>
      </c>
      <c r="M143" s="52">
        <v>237634.43333333329</v>
      </c>
      <c r="N143" s="52">
        <v>28395.399999999998</v>
      </c>
      <c r="O143" s="52">
        <f t="shared" si="19"/>
        <v>422271.08333333331</v>
      </c>
      <c r="P143" s="52"/>
      <c r="Q143" s="52">
        <v>16421.366666666665</v>
      </c>
      <c r="R143" s="52">
        <v>845276.98333333328</v>
      </c>
      <c r="S143" s="52">
        <v>4189.7</v>
      </c>
      <c r="T143" s="52">
        <f t="shared" si="20"/>
        <v>865888.04999999993</v>
      </c>
      <c r="U143" s="52"/>
      <c r="V143" s="52">
        <f t="shared" si="16"/>
        <v>1288159.1333333333</v>
      </c>
      <c r="W143" s="52">
        <f t="shared" si="17"/>
        <v>1426653.9333333333</v>
      </c>
    </row>
    <row r="144" spans="1:23" s="71" customFormat="1" hidden="1" x14ac:dyDescent="0.2">
      <c r="A144" s="36" t="s">
        <v>55</v>
      </c>
      <c r="B144" s="52">
        <v>11927.5</v>
      </c>
      <c r="C144" s="52">
        <v>53211.099999999977</v>
      </c>
      <c r="D144" s="52" t="s">
        <v>42</v>
      </c>
      <c r="E144" s="52">
        <f t="shared" si="12"/>
        <v>65138.599999999977</v>
      </c>
      <c r="F144" s="52">
        <v>121700.8</v>
      </c>
      <c r="G144" s="52">
        <v>166756.20000000001</v>
      </c>
      <c r="H144" s="52"/>
      <c r="I144" s="52">
        <v>48967.6</v>
      </c>
      <c r="J144" s="52">
        <v>100317.8</v>
      </c>
      <c r="K144" s="52">
        <v>282393.09999999998</v>
      </c>
      <c r="L144" s="52">
        <f t="shared" si="13"/>
        <v>720135.5</v>
      </c>
      <c r="M144" s="52">
        <v>229305.3</v>
      </c>
      <c r="N144" s="52">
        <v>26258.899999999998</v>
      </c>
      <c r="O144" s="52">
        <f t="shared" si="19"/>
        <v>464571.3</v>
      </c>
      <c r="P144" s="52"/>
      <c r="Q144" s="52">
        <v>9628.4</v>
      </c>
      <c r="R144" s="52">
        <v>851270.29999999981</v>
      </c>
      <c r="S144" s="52">
        <v>3822.2</v>
      </c>
      <c r="T144" s="52">
        <f t="shared" si="20"/>
        <v>864720.89999999979</v>
      </c>
      <c r="U144" s="52"/>
      <c r="V144" s="52">
        <f t="shared" si="16"/>
        <v>1329292.1999999997</v>
      </c>
      <c r="W144" s="52">
        <f t="shared" si="17"/>
        <v>1394430.7999999998</v>
      </c>
    </row>
    <row r="145" spans="1:23" s="71" customFormat="1" hidden="1" x14ac:dyDescent="0.2">
      <c r="A145" s="36" t="s">
        <v>83</v>
      </c>
      <c r="B145" s="52">
        <v>-2305.5999999999185</v>
      </c>
      <c r="C145" s="52">
        <v>32200.400000000023</v>
      </c>
      <c r="D145" s="52" t="s">
        <v>42</v>
      </c>
      <c r="E145" s="52">
        <f t="shared" si="12"/>
        <v>29894.800000000105</v>
      </c>
      <c r="F145" s="52">
        <v>124466.2</v>
      </c>
      <c r="G145" s="52">
        <v>170582</v>
      </c>
      <c r="H145" s="52"/>
      <c r="I145" s="52">
        <v>48266.8</v>
      </c>
      <c r="J145" s="52">
        <v>98924.5</v>
      </c>
      <c r="K145" s="52">
        <v>281753.2</v>
      </c>
      <c r="L145" s="52">
        <f t="shared" si="13"/>
        <v>723992.7</v>
      </c>
      <c r="M145" s="52">
        <v>203717.24999999997</v>
      </c>
      <c r="N145" s="52">
        <v>26401.600000000002</v>
      </c>
      <c r="O145" s="52">
        <f t="shared" si="19"/>
        <v>493873.85</v>
      </c>
      <c r="P145" s="52"/>
      <c r="Q145" s="52">
        <v>13310.2</v>
      </c>
      <c r="R145" s="52">
        <v>860258.56666666653</v>
      </c>
      <c r="S145" s="52">
        <v>3822.1</v>
      </c>
      <c r="T145" s="52">
        <f t="shared" si="20"/>
        <v>877390.86666666646</v>
      </c>
      <c r="U145" s="52"/>
      <c r="V145" s="52">
        <f t="shared" si="16"/>
        <v>1371264.7166666663</v>
      </c>
      <c r="W145" s="52">
        <f t="shared" si="17"/>
        <v>1401159.5166666664</v>
      </c>
    </row>
    <row r="146" spans="1:23" s="71" customFormat="1" hidden="1" x14ac:dyDescent="0.2">
      <c r="A146" s="36" t="s">
        <v>84</v>
      </c>
      <c r="B146" s="52">
        <v>-43032.299999999872</v>
      </c>
      <c r="C146" s="52">
        <v>46238.700000000012</v>
      </c>
      <c r="D146" s="52" t="s">
        <v>42</v>
      </c>
      <c r="E146" s="52">
        <f t="shared" si="12"/>
        <v>3206.4000000001397</v>
      </c>
      <c r="F146" s="52">
        <v>162684.9</v>
      </c>
      <c r="G146" s="52">
        <v>170888.3</v>
      </c>
      <c r="H146" s="52"/>
      <c r="I146" s="52">
        <v>47916.727777777778</v>
      </c>
      <c r="J146" s="52">
        <v>97531.199999999997</v>
      </c>
      <c r="K146" s="52">
        <v>281113.30000000005</v>
      </c>
      <c r="L146" s="52">
        <f t="shared" si="13"/>
        <v>760134.42777777778</v>
      </c>
      <c r="M146" s="52">
        <v>191862.12777777779</v>
      </c>
      <c r="N146" s="52">
        <v>34152.399999999994</v>
      </c>
      <c r="O146" s="52">
        <f t="shared" si="19"/>
        <v>534119.9</v>
      </c>
      <c r="P146" s="52"/>
      <c r="Q146" s="52">
        <v>13105</v>
      </c>
      <c r="R146" s="52">
        <v>861370.2666666666</v>
      </c>
      <c r="S146" s="52">
        <v>3846.9</v>
      </c>
      <c r="T146" s="52">
        <f t="shared" si="20"/>
        <v>878322.16666666663</v>
      </c>
      <c r="U146" s="52"/>
      <c r="V146" s="52">
        <f t="shared" si="16"/>
        <v>1412442.0666666667</v>
      </c>
      <c r="W146" s="52">
        <f t="shared" si="17"/>
        <v>1415648.4666666668</v>
      </c>
    </row>
    <row r="147" spans="1:23" s="71" customFormat="1" hidden="1" x14ac:dyDescent="0.2">
      <c r="A147" s="36" t="s">
        <v>56</v>
      </c>
      <c r="B147" s="52">
        <v>-77050.099999999977</v>
      </c>
      <c r="C147" s="52">
        <v>43805.499999999942</v>
      </c>
      <c r="D147" s="52" t="s">
        <v>42</v>
      </c>
      <c r="E147" s="52">
        <f t="shared" si="12"/>
        <v>-33244.600000000035</v>
      </c>
      <c r="F147" s="52">
        <v>201450.1</v>
      </c>
      <c r="G147" s="52">
        <v>177101.60000000003</v>
      </c>
      <c r="H147" s="52"/>
      <c r="I147" s="52">
        <v>50070.919444444444</v>
      </c>
      <c r="J147" s="52">
        <v>96137.9</v>
      </c>
      <c r="K147" s="52">
        <v>280473.5</v>
      </c>
      <c r="L147" s="52">
        <f t="shared" si="13"/>
        <v>805234.01944444457</v>
      </c>
      <c r="M147" s="52">
        <v>208556.71944444446</v>
      </c>
      <c r="N147" s="52">
        <v>29497.3</v>
      </c>
      <c r="O147" s="52">
        <f t="shared" si="19"/>
        <v>567180</v>
      </c>
      <c r="P147" s="52"/>
      <c r="Q147" s="52">
        <v>14965.4</v>
      </c>
      <c r="R147" s="52">
        <v>859248.7333333334</v>
      </c>
      <c r="S147" s="52">
        <v>3755.9</v>
      </c>
      <c r="T147" s="52">
        <f>SUM(Q147:S147)</f>
        <v>877970.03333333344</v>
      </c>
      <c r="U147" s="52"/>
      <c r="V147" s="52">
        <f t="shared" si="16"/>
        <v>1445150.0333333334</v>
      </c>
      <c r="W147" s="52">
        <f t="shared" si="17"/>
        <v>1411905.4333333333</v>
      </c>
    </row>
    <row r="148" spans="1:23" s="71" customFormat="1" hidden="1" x14ac:dyDescent="0.2">
      <c r="A148" s="36" t="s">
        <v>85</v>
      </c>
      <c r="B148" s="52">
        <v>-58413.900000000023</v>
      </c>
      <c r="C148" s="52">
        <v>34584.600000000035</v>
      </c>
      <c r="D148" s="52" t="s">
        <v>42</v>
      </c>
      <c r="E148" s="52">
        <f t="shared" si="12"/>
        <v>-23829.299999999988</v>
      </c>
      <c r="F148" s="52">
        <v>227827.20000000001</v>
      </c>
      <c r="G148" s="52">
        <v>194261.09999999998</v>
      </c>
      <c r="H148" s="52"/>
      <c r="I148" s="52">
        <v>54857.220370370371</v>
      </c>
      <c r="J148" s="52">
        <v>95660.7</v>
      </c>
      <c r="K148" s="52">
        <v>279193.7</v>
      </c>
      <c r="L148" s="52">
        <f t="shared" si="13"/>
        <v>851799.92037037038</v>
      </c>
      <c r="M148" s="52">
        <v>189984.48703703706</v>
      </c>
      <c r="N148" s="52">
        <v>33496</v>
      </c>
      <c r="O148" s="52">
        <f t="shared" si="19"/>
        <v>628319.43333333335</v>
      </c>
      <c r="P148" s="52"/>
      <c r="Q148" s="52">
        <v>10318.5</v>
      </c>
      <c r="R148" s="52">
        <v>855699.87777777773</v>
      </c>
      <c r="S148" s="52">
        <v>4663.1000000000004</v>
      </c>
      <c r="T148" s="52">
        <f>SUM(Q148:S148)</f>
        <v>870681.47777777771</v>
      </c>
      <c r="U148" s="52"/>
      <c r="V148" s="52">
        <f t="shared" si="16"/>
        <v>1499000.9111111111</v>
      </c>
      <c r="W148" s="52">
        <f t="shared" si="17"/>
        <v>1475171.611111111</v>
      </c>
    </row>
    <row r="149" spans="1:23" s="71" customFormat="1" hidden="1" x14ac:dyDescent="0.2">
      <c r="A149" s="36" t="s">
        <v>86</v>
      </c>
      <c r="B149" s="52">
        <v>-112837.10000000003</v>
      </c>
      <c r="C149" s="52">
        <v>28433.800000000017</v>
      </c>
      <c r="D149" s="52" t="s">
        <v>42</v>
      </c>
      <c r="E149" s="52">
        <f t="shared" ref="E149:E152" si="21">+SUM(B149:D149)</f>
        <v>-84403.300000000017</v>
      </c>
      <c r="F149" s="52">
        <v>236897.9</v>
      </c>
      <c r="G149" s="52">
        <v>222734.2</v>
      </c>
      <c r="H149" s="52"/>
      <c r="I149" s="52">
        <v>56412.460802469155</v>
      </c>
      <c r="J149" s="52">
        <v>94267.4</v>
      </c>
      <c r="K149" s="52">
        <v>278553.90000000002</v>
      </c>
      <c r="L149" s="52">
        <f t="shared" si="13"/>
        <v>888865.86080246919</v>
      </c>
      <c r="M149" s="52">
        <v>196856.8052469136</v>
      </c>
      <c r="N149" s="52">
        <v>34078.9</v>
      </c>
      <c r="O149" s="52">
        <f t="shared" si="19"/>
        <v>657930.1555555556</v>
      </c>
      <c r="P149" s="52"/>
      <c r="Q149" s="52">
        <v>10127.1</v>
      </c>
      <c r="R149" s="52">
        <v>840701.774074074</v>
      </c>
      <c r="S149" s="52">
        <v>8.3000000000000007</v>
      </c>
      <c r="T149" s="52">
        <f>SUM(Q149:S149)</f>
        <v>850837.17407407402</v>
      </c>
      <c r="U149" s="52"/>
      <c r="V149" s="52">
        <f t="shared" si="16"/>
        <v>1508767.3296296296</v>
      </c>
      <c r="W149" s="52">
        <f t="shared" si="17"/>
        <v>1424364.0296296296</v>
      </c>
    </row>
    <row r="150" spans="1:23" s="71" customFormat="1" hidden="1" x14ac:dyDescent="0.2">
      <c r="A150" s="36" t="s">
        <v>87</v>
      </c>
      <c r="B150" s="52">
        <v>-132985.60000000001</v>
      </c>
      <c r="C150" s="52">
        <v>57115.499999999971</v>
      </c>
      <c r="D150" s="52" t="s">
        <v>42</v>
      </c>
      <c r="E150" s="52">
        <f t="shared" si="21"/>
        <v>-75870.100000000035</v>
      </c>
      <c r="F150" s="52">
        <v>273246</v>
      </c>
      <c r="G150" s="52">
        <v>254809.2</v>
      </c>
      <c r="H150" s="52"/>
      <c r="I150" s="52">
        <v>50048.700000000004</v>
      </c>
      <c r="J150" s="52">
        <v>90564.7</v>
      </c>
      <c r="K150" s="52">
        <v>277913.90000000002</v>
      </c>
      <c r="L150" s="52">
        <f>+SUM(F150:K150)</f>
        <v>946582.49999999988</v>
      </c>
      <c r="M150" s="52">
        <v>233140.3</v>
      </c>
      <c r="N150" s="52">
        <v>26275.999999999996</v>
      </c>
      <c r="O150" s="52">
        <f t="shared" si="19"/>
        <v>687166.2</v>
      </c>
      <c r="P150" s="52"/>
      <c r="Q150" s="52">
        <v>6532.0999999999995</v>
      </c>
      <c r="R150" s="52">
        <v>822595.39999999991</v>
      </c>
      <c r="S150" s="52">
        <v>27.1</v>
      </c>
      <c r="T150" s="52">
        <f>SUM(Q150:S150)</f>
        <v>829154.59999999986</v>
      </c>
      <c r="U150" s="52"/>
      <c r="V150" s="52">
        <f t="shared" si="16"/>
        <v>1516320.7999999998</v>
      </c>
      <c r="W150" s="52">
        <f t="shared" si="17"/>
        <v>1440450.6999999997</v>
      </c>
    </row>
    <row r="151" spans="1:23" s="71" customFormat="1" hidden="1" x14ac:dyDescent="0.2">
      <c r="A151" s="81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</row>
    <row r="152" spans="1:23" s="71" customFormat="1" hidden="1" x14ac:dyDescent="0.2">
      <c r="A152" s="81" t="s">
        <v>88</v>
      </c>
      <c r="B152" s="52">
        <v>-135855.99999999997</v>
      </c>
      <c r="C152" s="52">
        <v>16621.999999999971</v>
      </c>
      <c r="D152" s="52" t="s">
        <v>42</v>
      </c>
      <c r="E152" s="52">
        <f t="shared" si="21"/>
        <v>-119234</v>
      </c>
      <c r="F152" s="52">
        <v>230233.5</v>
      </c>
      <c r="G152" s="52">
        <v>266534</v>
      </c>
      <c r="H152" s="52"/>
      <c r="I152" s="52">
        <v>49661.916666666672</v>
      </c>
      <c r="J152" s="52">
        <v>90564.7</v>
      </c>
      <c r="K152" s="52">
        <v>277913.90000000002</v>
      </c>
      <c r="L152" s="52">
        <f t="shared" ref="L152" si="22">+SUM(F152:K152)</f>
        <v>914908.0166666666</v>
      </c>
      <c r="M152" s="52">
        <v>193996.28333333335</v>
      </c>
      <c r="N152" s="52">
        <v>27271.8</v>
      </c>
      <c r="O152" s="52">
        <f t="shared" ref="O152:O163" si="23">+L152-M152-N152</f>
        <v>693639.93333333323</v>
      </c>
      <c r="P152" s="52"/>
      <c r="Q152" s="52">
        <v>2982.7</v>
      </c>
      <c r="R152" s="52">
        <v>839071.06666666665</v>
      </c>
      <c r="S152" s="52">
        <v>67.399999999999991</v>
      </c>
      <c r="T152" s="52">
        <f t="shared" ref="T152:T163" si="24">SUM(Q152:S152)</f>
        <v>842121.16666666663</v>
      </c>
      <c r="U152" s="52"/>
      <c r="V152" s="52">
        <f t="shared" ref="V152:V163" si="25">SUM(O152,T152)</f>
        <v>1535761.0999999999</v>
      </c>
      <c r="W152" s="52">
        <f t="shared" ref="W152:W163" si="26">SUM(E152,V152)</f>
        <v>1416527.0999999999</v>
      </c>
    </row>
    <row r="153" spans="1:23" s="71" customFormat="1" hidden="1" x14ac:dyDescent="0.2">
      <c r="A153" s="81" t="s">
        <v>89</v>
      </c>
      <c r="B153" s="52">
        <v>-166598.10000000003</v>
      </c>
      <c r="C153" s="52">
        <v>33809.399999999965</v>
      </c>
      <c r="D153" s="52" t="s">
        <v>42</v>
      </c>
      <c r="E153" s="52">
        <f t="shared" ref="E153:E165" si="27">+SUM(B153:D153)</f>
        <v>-132788.70000000007</v>
      </c>
      <c r="F153" s="73">
        <v>260394.9</v>
      </c>
      <c r="G153" s="73">
        <v>282730.90000000002</v>
      </c>
      <c r="H153" s="73"/>
      <c r="I153" s="73">
        <v>52974.533333333333</v>
      </c>
      <c r="J153" s="73">
        <v>89171.4</v>
      </c>
      <c r="K153" s="73">
        <v>277274.09999999998</v>
      </c>
      <c r="L153" s="75">
        <f t="shared" ref="L153:L178" si="28">+SUM(F153:K153)</f>
        <v>962545.83333333337</v>
      </c>
      <c r="M153" s="73">
        <v>199859.66666666666</v>
      </c>
      <c r="N153" s="52">
        <v>27229.1</v>
      </c>
      <c r="O153" s="75">
        <f t="shared" si="23"/>
        <v>735457.06666666677</v>
      </c>
      <c r="P153" s="77"/>
      <c r="Q153" s="78">
        <v>3467.3</v>
      </c>
      <c r="R153" s="75">
        <v>840682.93333333323</v>
      </c>
      <c r="S153" s="79">
        <v>24.400000000000002</v>
      </c>
      <c r="T153" s="52">
        <f t="shared" si="24"/>
        <v>844174.6333333333</v>
      </c>
      <c r="U153" s="80"/>
      <c r="V153" s="84">
        <f t="shared" si="25"/>
        <v>1579631.7000000002</v>
      </c>
      <c r="W153" s="52">
        <f t="shared" si="26"/>
        <v>1446843</v>
      </c>
    </row>
    <row r="154" spans="1:23" s="71" customFormat="1" hidden="1" x14ac:dyDescent="0.2">
      <c r="A154" s="81" t="s">
        <v>58</v>
      </c>
      <c r="B154" s="52">
        <v>-194954.00000000006</v>
      </c>
      <c r="C154" s="52">
        <v>33930.199999999953</v>
      </c>
      <c r="D154" s="52" t="s">
        <v>42</v>
      </c>
      <c r="E154" s="52">
        <f t="shared" si="27"/>
        <v>-161023.8000000001</v>
      </c>
      <c r="F154" s="73">
        <v>273246</v>
      </c>
      <c r="G154" s="73">
        <v>296894.8</v>
      </c>
      <c r="H154" s="73"/>
      <c r="I154" s="73">
        <v>49380.450000000004</v>
      </c>
      <c r="J154" s="73">
        <v>86384.8</v>
      </c>
      <c r="K154" s="73">
        <v>275994.3</v>
      </c>
      <c r="L154" s="75">
        <f t="shared" si="28"/>
        <v>981900.35000000009</v>
      </c>
      <c r="M154" s="73">
        <v>230971.85</v>
      </c>
      <c r="N154" s="52">
        <v>25784.100000000002</v>
      </c>
      <c r="O154" s="75">
        <f t="shared" si="23"/>
        <v>725144.40000000014</v>
      </c>
      <c r="P154" s="77"/>
      <c r="Q154" s="78">
        <v>2767.5</v>
      </c>
      <c r="R154" s="75">
        <v>840814.9</v>
      </c>
      <c r="S154" s="79">
        <v>22.2</v>
      </c>
      <c r="T154" s="52">
        <f t="shared" si="24"/>
        <v>843604.6</v>
      </c>
      <c r="U154" s="80"/>
      <c r="V154" s="84">
        <f t="shared" si="25"/>
        <v>1568749</v>
      </c>
      <c r="W154" s="52">
        <f t="shared" si="26"/>
        <v>1407725.2</v>
      </c>
    </row>
    <row r="155" spans="1:23" s="71" customFormat="1" x14ac:dyDescent="0.2">
      <c r="A155" s="81" t="s">
        <v>90</v>
      </c>
      <c r="B155" s="52">
        <v>-175516.19999999998</v>
      </c>
      <c r="C155" s="52">
        <v>6223.3999999999942</v>
      </c>
      <c r="D155" s="52" t="s">
        <v>42</v>
      </c>
      <c r="E155" s="52">
        <f t="shared" si="27"/>
        <v>-169292.79999999999</v>
      </c>
      <c r="F155" s="73">
        <v>4780.0999999999767</v>
      </c>
      <c r="G155" s="73">
        <v>319584.7</v>
      </c>
      <c r="H155" s="73"/>
      <c r="I155" s="73">
        <v>54936.366666666669</v>
      </c>
      <c r="J155" s="73">
        <v>86384.8</v>
      </c>
      <c r="K155" s="73">
        <v>549240.30000000005</v>
      </c>
      <c r="L155" s="75">
        <f t="shared" si="28"/>
        <v>1014926.2666666666</v>
      </c>
      <c r="M155" s="73">
        <v>213090.13333333336</v>
      </c>
      <c r="N155" s="52">
        <v>31710.300000000003</v>
      </c>
      <c r="O155" s="75">
        <f t="shared" si="23"/>
        <v>770125.83333333326</v>
      </c>
      <c r="P155" s="77"/>
      <c r="Q155" s="78">
        <v>6585.9</v>
      </c>
      <c r="R155" s="75">
        <v>833467.7666666666</v>
      </c>
      <c r="S155" s="79">
        <v>46.2</v>
      </c>
      <c r="T155" s="52">
        <f t="shared" si="24"/>
        <v>840099.86666666658</v>
      </c>
      <c r="U155" s="80"/>
      <c r="V155" s="84">
        <f t="shared" si="25"/>
        <v>1610225.6999999997</v>
      </c>
      <c r="W155" s="52">
        <f t="shared" si="26"/>
        <v>1440932.8999999997</v>
      </c>
    </row>
    <row r="156" spans="1:23" s="71" customFormat="1" x14ac:dyDescent="0.2">
      <c r="A156" s="81" t="s">
        <v>68</v>
      </c>
      <c r="B156" s="52">
        <v>-195743.39999999997</v>
      </c>
      <c r="C156" s="52">
        <v>454.5</v>
      </c>
      <c r="D156" s="52" t="s">
        <v>42</v>
      </c>
      <c r="E156" s="52">
        <f t="shared" si="27"/>
        <v>-195288.89999999997</v>
      </c>
      <c r="F156" s="73">
        <v>21652.299999999988</v>
      </c>
      <c r="G156" s="73">
        <v>322381.7</v>
      </c>
      <c r="H156" s="73"/>
      <c r="I156" s="73">
        <v>54329.683333333342</v>
      </c>
      <c r="J156" s="73">
        <v>84991.5</v>
      </c>
      <c r="K156" s="73">
        <v>548600.5</v>
      </c>
      <c r="L156" s="75">
        <f t="shared" si="28"/>
        <v>1031955.6833333333</v>
      </c>
      <c r="M156" s="73">
        <v>215314.11666666667</v>
      </c>
      <c r="N156" s="52">
        <v>33788.199999999997</v>
      </c>
      <c r="O156" s="75">
        <f t="shared" si="23"/>
        <v>782853.3666666667</v>
      </c>
      <c r="P156" s="77"/>
      <c r="Q156" s="78">
        <v>7303.9</v>
      </c>
      <c r="R156" s="75">
        <v>846892.33333333337</v>
      </c>
      <c r="S156" s="79">
        <v>56.4</v>
      </c>
      <c r="T156" s="52">
        <f t="shared" si="24"/>
        <v>854252.63333333342</v>
      </c>
      <c r="U156" s="80"/>
      <c r="V156" s="84">
        <f t="shared" si="25"/>
        <v>1637106</v>
      </c>
      <c r="W156" s="52">
        <f t="shared" si="26"/>
        <v>1441817.1</v>
      </c>
    </row>
    <row r="157" spans="1:23" s="71" customFormat="1" x14ac:dyDescent="0.2">
      <c r="A157" s="81" t="s">
        <v>55</v>
      </c>
      <c r="B157" s="52">
        <v>-186003.4</v>
      </c>
      <c r="C157" s="52">
        <v>20116.699999999953</v>
      </c>
      <c r="D157" s="52" t="s">
        <v>42</v>
      </c>
      <c r="E157" s="52">
        <f t="shared" si="27"/>
        <v>-165886.70000000004</v>
      </c>
      <c r="F157" s="73">
        <v>19504.700000000012</v>
      </c>
      <c r="G157" s="73">
        <v>348742.9</v>
      </c>
      <c r="H157" s="73"/>
      <c r="I157" s="73">
        <v>53053.399999999994</v>
      </c>
      <c r="J157" s="73">
        <v>83598.2</v>
      </c>
      <c r="K157" s="74">
        <v>547320.69999999995</v>
      </c>
      <c r="L157" s="75">
        <f t="shared" si="28"/>
        <v>1052219.8999999999</v>
      </c>
      <c r="M157" s="76">
        <v>221487</v>
      </c>
      <c r="N157" s="52">
        <v>41471.800000000003</v>
      </c>
      <c r="O157" s="75">
        <f t="shared" si="23"/>
        <v>789261.09999999986</v>
      </c>
      <c r="P157" s="77"/>
      <c r="Q157" s="78">
        <v>6427</v>
      </c>
      <c r="R157" s="75">
        <v>864550.89999999991</v>
      </c>
      <c r="S157" s="79">
        <v>59.2</v>
      </c>
      <c r="T157" s="52">
        <f t="shared" si="24"/>
        <v>871037.09999999986</v>
      </c>
      <c r="U157" s="80"/>
      <c r="V157" s="84">
        <f t="shared" si="25"/>
        <v>1660298.1999999997</v>
      </c>
      <c r="W157" s="52">
        <f t="shared" si="26"/>
        <v>1494411.4999999998</v>
      </c>
    </row>
    <row r="158" spans="1:23" s="71" customFormat="1" x14ac:dyDescent="0.2">
      <c r="A158" s="81" t="s">
        <v>91</v>
      </c>
      <c r="B158" s="52">
        <v>-186226.3</v>
      </c>
      <c r="C158" s="52">
        <v>-2306.100000000064</v>
      </c>
      <c r="D158" s="52" t="s">
        <v>42</v>
      </c>
      <c r="E158" s="52">
        <f t="shared" si="27"/>
        <v>-188532.40000000005</v>
      </c>
      <c r="F158" s="73">
        <v>17403.200000000012</v>
      </c>
      <c r="G158" s="73">
        <v>365969.8</v>
      </c>
      <c r="H158" s="73"/>
      <c r="I158" s="73">
        <v>54150.933333333334</v>
      </c>
      <c r="J158" s="73">
        <v>82204.899999999994</v>
      </c>
      <c r="K158" s="74">
        <v>546680.9</v>
      </c>
      <c r="L158" s="75">
        <f t="shared" si="28"/>
        <v>1066409.7333333334</v>
      </c>
      <c r="M158" s="76">
        <v>218043.80000000005</v>
      </c>
      <c r="N158" s="52">
        <v>39586.400000000009</v>
      </c>
      <c r="O158" s="75">
        <f t="shared" si="23"/>
        <v>808779.53333333333</v>
      </c>
      <c r="P158" s="77"/>
      <c r="Q158" s="78">
        <v>11339</v>
      </c>
      <c r="R158" s="75">
        <v>857085.85</v>
      </c>
      <c r="S158" s="79">
        <v>35.000000000000007</v>
      </c>
      <c r="T158" s="52">
        <f t="shared" si="24"/>
        <v>868459.85</v>
      </c>
      <c r="U158" s="80"/>
      <c r="V158" s="84">
        <f t="shared" si="25"/>
        <v>1677239.3833333333</v>
      </c>
      <c r="W158" s="52">
        <f t="shared" si="26"/>
        <v>1488706.9833333332</v>
      </c>
    </row>
    <row r="159" spans="1:23" s="71" customFormat="1" x14ac:dyDescent="0.2">
      <c r="A159" s="81" t="s">
        <v>70</v>
      </c>
      <c r="B159" s="52">
        <v>-192550.6</v>
      </c>
      <c r="C159" s="52">
        <v>-9672.7000000000262</v>
      </c>
      <c r="D159" s="52" t="s">
        <v>42</v>
      </c>
      <c r="E159" s="52">
        <f t="shared" si="27"/>
        <v>-202223.30000000005</v>
      </c>
      <c r="F159" s="73">
        <v>10113</v>
      </c>
      <c r="G159" s="73">
        <v>370225.1</v>
      </c>
      <c r="H159" s="73"/>
      <c r="I159" s="73">
        <v>47766.366666666661</v>
      </c>
      <c r="J159" s="73">
        <v>80811.600000000006</v>
      </c>
      <c r="K159" s="74">
        <v>546041</v>
      </c>
      <c r="L159" s="75">
        <f t="shared" si="28"/>
        <v>1054957.0666666667</v>
      </c>
      <c r="M159" s="76">
        <v>210848.40000000002</v>
      </c>
      <c r="N159" s="52">
        <v>29870.1</v>
      </c>
      <c r="O159" s="75">
        <f t="shared" si="23"/>
        <v>814238.56666666665</v>
      </c>
      <c r="P159" s="77"/>
      <c r="Q159" s="78">
        <v>10303.200000000001</v>
      </c>
      <c r="R159" s="75">
        <v>884370.89999999991</v>
      </c>
      <c r="S159" s="79">
        <v>26.900000000000002</v>
      </c>
      <c r="T159" s="52">
        <f t="shared" si="24"/>
        <v>894700.99999999988</v>
      </c>
      <c r="U159" s="80"/>
      <c r="V159" s="84">
        <f t="shared" si="25"/>
        <v>1708939.5666666664</v>
      </c>
      <c r="W159" s="52">
        <f t="shared" si="26"/>
        <v>1506716.2666666664</v>
      </c>
    </row>
    <row r="160" spans="1:23" s="71" customFormat="1" x14ac:dyDescent="0.2">
      <c r="A160" s="81" t="s">
        <v>56</v>
      </c>
      <c r="B160" s="52">
        <v>-181601</v>
      </c>
      <c r="C160" s="52">
        <v>-10844.799999999959</v>
      </c>
      <c r="D160" s="52" t="s">
        <v>42</v>
      </c>
      <c r="E160" s="52">
        <f t="shared" si="27"/>
        <v>-192445.79999999996</v>
      </c>
      <c r="F160" s="73">
        <v>18972.7</v>
      </c>
      <c r="G160" s="73">
        <v>390238.4</v>
      </c>
      <c r="H160" s="73"/>
      <c r="I160" s="73">
        <v>46820.399999999994</v>
      </c>
      <c r="J160" s="73">
        <v>79418.3</v>
      </c>
      <c r="K160" s="74">
        <v>546041</v>
      </c>
      <c r="L160" s="75">
        <f t="shared" si="28"/>
        <v>1081490.8</v>
      </c>
      <c r="M160" s="76">
        <v>219202.59999999998</v>
      </c>
      <c r="N160" s="52">
        <v>34600.5</v>
      </c>
      <c r="O160" s="75">
        <f t="shared" si="23"/>
        <v>827687.70000000007</v>
      </c>
      <c r="P160" s="77"/>
      <c r="Q160" s="78">
        <v>11245.4</v>
      </c>
      <c r="R160" s="75">
        <v>878654.15</v>
      </c>
      <c r="S160" s="79">
        <v>15.5</v>
      </c>
      <c r="T160" s="52">
        <f t="shared" si="24"/>
        <v>889915.05</v>
      </c>
      <c r="U160" s="80"/>
      <c r="V160" s="77">
        <f t="shared" si="25"/>
        <v>1717602.75</v>
      </c>
      <c r="W160" s="52">
        <f t="shared" si="26"/>
        <v>1525156.95</v>
      </c>
    </row>
    <row r="161" spans="1:27" s="71" customFormat="1" x14ac:dyDescent="0.2">
      <c r="A161" s="81" t="s">
        <v>71</v>
      </c>
      <c r="B161" s="52">
        <v>-181634.80000000002</v>
      </c>
      <c r="C161" s="52">
        <v>-14712.400000000023</v>
      </c>
      <c r="D161" s="52" t="s">
        <v>42</v>
      </c>
      <c r="E161" s="52">
        <f t="shared" si="27"/>
        <v>-196347.20000000004</v>
      </c>
      <c r="F161" s="73">
        <v>37280.9</v>
      </c>
      <c r="G161" s="73">
        <v>391147.4</v>
      </c>
      <c r="H161" s="73"/>
      <c r="I161" s="73">
        <v>51252.2</v>
      </c>
      <c r="J161" s="73">
        <v>78024.899999999994</v>
      </c>
      <c r="K161" s="74">
        <v>545401.19999999995</v>
      </c>
      <c r="L161" s="75">
        <f t="shared" si="28"/>
        <v>1103106.6000000001</v>
      </c>
      <c r="M161" s="76">
        <v>222976.03333333333</v>
      </c>
      <c r="N161" s="52">
        <v>29570.199999999997</v>
      </c>
      <c r="O161" s="75">
        <f t="shared" si="23"/>
        <v>850560.36666666681</v>
      </c>
      <c r="P161" s="77"/>
      <c r="Q161" s="78">
        <v>9115.2999999999993</v>
      </c>
      <c r="R161" s="75">
        <v>876694.7666666666</v>
      </c>
      <c r="S161" s="79">
        <v>21</v>
      </c>
      <c r="T161" s="52">
        <f t="shared" si="24"/>
        <v>885831.06666666665</v>
      </c>
      <c r="U161" s="80"/>
      <c r="V161" s="77">
        <f t="shared" si="25"/>
        <v>1736391.4333333336</v>
      </c>
      <c r="W161" s="52">
        <f t="shared" si="26"/>
        <v>1540044.2333333336</v>
      </c>
    </row>
    <row r="162" spans="1:27" s="71" customFormat="1" x14ac:dyDescent="0.2">
      <c r="A162" s="81" t="s">
        <v>72</v>
      </c>
      <c r="B162" s="52">
        <v>-174078</v>
      </c>
      <c r="C162" s="52">
        <v>-6939.5000000000291</v>
      </c>
      <c r="D162" s="52" t="s">
        <v>42</v>
      </c>
      <c r="E162" s="52">
        <f t="shared" si="27"/>
        <v>-181017.50000000003</v>
      </c>
      <c r="F162" s="73">
        <v>69788.2</v>
      </c>
      <c r="G162" s="73">
        <v>404323.99999999988</v>
      </c>
      <c r="H162" s="73"/>
      <c r="I162" s="73">
        <v>53085.599999999999</v>
      </c>
      <c r="J162" s="73">
        <v>75238.3</v>
      </c>
      <c r="K162" s="74">
        <v>544121.5</v>
      </c>
      <c r="L162" s="75">
        <f t="shared" si="28"/>
        <v>1146557.6000000001</v>
      </c>
      <c r="M162" s="76">
        <v>232230.35555555561</v>
      </c>
      <c r="N162" s="52">
        <v>29497.7</v>
      </c>
      <c r="O162" s="75">
        <f t="shared" si="23"/>
        <v>884829.54444444459</v>
      </c>
      <c r="P162" s="77"/>
      <c r="Q162" s="78">
        <v>6989.2999999999993</v>
      </c>
      <c r="R162" s="75">
        <v>869556.27222222218</v>
      </c>
      <c r="S162" s="79">
        <v>13.3</v>
      </c>
      <c r="T162" s="52">
        <f t="shared" si="24"/>
        <v>876558.87222222227</v>
      </c>
      <c r="U162" s="80"/>
      <c r="V162" s="77">
        <f t="shared" si="25"/>
        <v>1761388.416666667</v>
      </c>
      <c r="W162" s="52">
        <f t="shared" si="26"/>
        <v>1580370.916666667</v>
      </c>
    </row>
    <row r="163" spans="1:27" s="71" customFormat="1" x14ac:dyDescent="0.2">
      <c r="A163" s="81" t="s">
        <v>57</v>
      </c>
      <c r="B163" s="52">
        <v>-162073.80000000002</v>
      </c>
      <c r="C163" s="52">
        <v>-14449.299999999974</v>
      </c>
      <c r="D163" s="52" t="s">
        <v>42</v>
      </c>
      <c r="E163" s="52">
        <f t="shared" si="27"/>
        <v>-176523.09999999998</v>
      </c>
      <c r="F163" s="73">
        <v>134973.1</v>
      </c>
      <c r="G163" s="73">
        <v>438079.6</v>
      </c>
      <c r="H163" s="73"/>
      <c r="I163" s="73">
        <v>37099.5</v>
      </c>
      <c r="J163" s="73">
        <v>73845.100000000006</v>
      </c>
      <c r="K163" s="74">
        <v>543481.59999999998</v>
      </c>
      <c r="L163" s="75">
        <f t="shared" si="28"/>
        <v>1227478.8999999999</v>
      </c>
      <c r="M163" s="76">
        <v>290598</v>
      </c>
      <c r="N163" s="52">
        <v>30394.800000000003</v>
      </c>
      <c r="O163" s="75">
        <f t="shared" si="23"/>
        <v>906486.09999999986</v>
      </c>
      <c r="P163" s="77"/>
      <c r="Q163" s="78">
        <v>7173.4000000000005</v>
      </c>
      <c r="R163" s="75">
        <v>859893.09999999986</v>
      </c>
      <c r="S163" s="79">
        <v>57.6</v>
      </c>
      <c r="T163" s="52">
        <f t="shared" si="24"/>
        <v>867124.09999999986</v>
      </c>
      <c r="U163" s="80"/>
      <c r="V163" s="77">
        <f t="shared" si="25"/>
        <v>1773610.1999999997</v>
      </c>
      <c r="W163" s="52">
        <f t="shared" si="26"/>
        <v>1597087.0999999996</v>
      </c>
    </row>
    <row r="164" spans="1:27" s="71" customFormat="1" x14ac:dyDescent="0.2">
      <c r="A164" s="81"/>
      <c r="B164" s="52"/>
      <c r="C164" s="52"/>
      <c r="D164" s="52"/>
      <c r="E164" s="52"/>
      <c r="F164" s="73"/>
      <c r="G164" s="73"/>
      <c r="H164" s="73"/>
      <c r="I164" s="73"/>
      <c r="J164" s="73"/>
      <c r="K164" s="74"/>
      <c r="L164" s="75"/>
      <c r="M164" s="76"/>
      <c r="N164" s="52"/>
      <c r="O164" s="75"/>
      <c r="P164" s="77"/>
      <c r="Q164" s="78"/>
      <c r="R164" s="75"/>
      <c r="S164" s="79"/>
      <c r="T164" s="52"/>
      <c r="U164" s="80"/>
      <c r="V164" s="77"/>
      <c r="W164" s="52"/>
    </row>
    <row r="165" spans="1:27" s="71" customFormat="1" x14ac:dyDescent="0.2">
      <c r="A165" s="81" t="s">
        <v>92</v>
      </c>
      <c r="B165" s="52">
        <v>-140840.69999999998</v>
      </c>
      <c r="C165" s="52">
        <v>-26017.300000000003</v>
      </c>
      <c r="D165" s="52" t="s">
        <v>42</v>
      </c>
      <c r="E165" s="52">
        <f t="shared" si="27"/>
        <v>-166858</v>
      </c>
      <c r="F165" s="73">
        <v>91642.3</v>
      </c>
      <c r="G165" s="73">
        <v>434826.99999999988</v>
      </c>
      <c r="H165" s="73"/>
      <c r="I165" s="73">
        <v>36954.1</v>
      </c>
      <c r="J165" s="73">
        <v>73845</v>
      </c>
      <c r="K165" s="74">
        <v>543481.59999999998</v>
      </c>
      <c r="L165" s="75">
        <f t="shared" si="28"/>
        <v>1180750</v>
      </c>
      <c r="M165" s="76">
        <v>228649.53333333301</v>
      </c>
      <c r="N165" s="52">
        <v>35154.5</v>
      </c>
      <c r="O165" s="75">
        <f>+L165-M165-N165</f>
        <v>916945.96666666702</v>
      </c>
      <c r="P165" s="77"/>
      <c r="Q165" s="78">
        <v>5315</v>
      </c>
      <c r="R165" s="75">
        <v>856520.3666666667</v>
      </c>
      <c r="S165" s="79">
        <v>38.9</v>
      </c>
      <c r="T165" s="52">
        <f t="shared" ref="T165" si="29">SUM(Q165:S165)</f>
        <v>861874.26666666672</v>
      </c>
      <c r="U165" s="80"/>
      <c r="V165" s="77">
        <f t="shared" ref="V165:V178" si="30">SUM(O165,T165)</f>
        <v>1778820.2333333339</v>
      </c>
      <c r="W165" s="52">
        <f t="shared" ref="W165:W178" si="31">SUM(E165,V165)</f>
        <v>1611962.2333333339</v>
      </c>
    </row>
    <row r="166" spans="1:27" s="71" customFormat="1" x14ac:dyDescent="0.2">
      <c r="A166" s="81" t="s">
        <v>93</v>
      </c>
      <c r="B166" s="52">
        <v>-116167</v>
      </c>
      <c r="C166" s="52">
        <v>-30275.099999999977</v>
      </c>
      <c r="D166" s="52" t="s">
        <v>42</v>
      </c>
      <c r="E166" s="52">
        <f>+SUM(B166:D166)</f>
        <v>-146442.09999999998</v>
      </c>
      <c r="F166" s="73">
        <v>107598.6</v>
      </c>
      <c r="G166" s="73">
        <v>463337.09999999992</v>
      </c>
      <c r="H166" s="73"/>
      <c r="I166" s="73">
        <v>38555.300000000003</v>
      </c>
      <c r="J166" s="73">
        <v>71058.399999999994</v>
      </c>
      <c r="K166" s="74">
        <v>542201.9</v>
      </c>
      <c r="L166" s="75">
        <f t="shared" si="28"/>
        <v>1222751.3</v>
      </c>
      <c r="M166" s="76">
        <v>261105.566666667</v>
      </c>
      <c r="N166" s="52">
        <v>31124.2</v>
      </c>
      <c r="O166" s="75">
        <f t="shared" ref="O166:O176" si="32">+L166-M166-N166</f>
        <v>930521.53333333309</v>
      </c>
      <c r="P166" s="77"/>
      <c r="Q166" s="78">
        <v>4372</v>
      </c>
      <c r="R166" s="75">
        <v>819450.03333333344</v>
      </c>
      <c r="S166" s="79">
        <v>63.3</v>
      </c>
      <c r="T166" s="52">
        <f t="shared" ref="T166:T167" si="33">SUM(Q166:S166)</f>
        <v>823885.33333333349</v>
      </c>
      <c r="U166" s="80"/>
      <c r="V166" s="77">
        <f t="shared" si="30"/>
        <v>1754406.8666666667</v>
      </c>
      <c r="W166" s="52">
        <f t="shared" si="31"/>
        <v>1607964.7666666666</v>
      </c>
    </row>
    <row r="167" spans="1:27" s="71" customFormat="1" x14ac:dyDescent="0.2">
      <c r="A167" s="81" t="s">
        <v>66</v>
      </c>
      <c r="B167" s="52">
        <v>-133135.90000000002</v>
      </c>
      <c r="C167" s="52">
        <v>-31494.300000000003</v>
      </c>
      <c r="D167" s="52" t="s">
        <v>42</v>
      </c>
      <c r="E167" s="52">
        <f>+SUM(B167:D167)</f>
        <v>-164630.20000000001</v>
      </c>
      <c r="F167" s="73">
        <v>130042.5</v>
      </c>
      <c r="G167" s="73">
        <v>474831.29999999993</v>
      </c>
      <c r="H167" s="73"/>
      <c r="I167" s="73">
        <v>48574.1</v>
      </c>
      <c r="J167" s="73">
        <v>69665.100000000006</v>
      </c>
      <c r="K167" s="74">
        <v>541562</v>
      </c>
      <c r="L167" s="75">
        <f t="shared" si="28"/>
        <v>1264675</v>
      </c>
      <c r="M167" s="76">
        <v>246340.4</v>
      </c>
      <c r="N167" s="52">
        <v>31886.899999999998</v>
      </c>
      <c r="O167" s="75">
        <f t="shared" si="32"/>
        <v>986447.7</v>
      </c>
      <c r="P167" s="77"/>
      <c r="Q167" s="78">
        <v>6812.0999999999995</v>
      </c>
      <c r="R167" s="75">
        <v>809886.1</v>
      </c>
      <c r="S167" s="79">
        <v>58.6</v>
      </c>
      <c r="T167" s="52">
        <f t="shared" si="33"/>
        <v>816756.79999999993</v>
      </c>
      <c r="U167" s="80"/>
      <c r="V167" s="77">
        <f t="shared" si="30"/>
        <v>1803204.5</v>
      </c>
      <c r="W167" s="52">
        <f t="shared" si="31"/>
        <v>1638574.3</v>
      </c>
    </row>
    <row r="168" spans="1:27" s="71" customFormat="1" x14ac:dyDescent="0.2">
      <c r="A168" s="81" t="s">
        <v>67</v>
      </c>
      <c r="B168" s="52">
        <v>-140187.20000000004</v>
      </c>
      <c r="C168" s="52">
        <v>-22900.300000000017</v>
      </c>
      <c r="D168" s="52" t="s">
        <v>42</v>
      </c>
      <c r="E168" s="52">
        <f>+SUM(B168:D168)</f>
        <v>-163087.50000000006</v>
      </c>
      <c r="F168" s="73">
        <v>122074.2</v>
      </c>
      <c r="G168" s="73">
        <f>404380.6+88658.2</f>
        <v>493038.8</v>
      </c>
      <c r="H168" s="73"/>
      <c r="I168" s="73">
        <v>44701.8</v>
      </c>
      <c r="J168" s="73">
        <v>69665.100000000006</v>
      </c>
      <c r="K168" s="74">
        <v>541562</v>
      </c>
      <c r="L168" s="75">
        <f t="shared" si="28"/>
        <v>1271041.8999999999</v>
      </c>
      <c r="M168" s="76">
        <v>231919.33333333299</v>
      </c>
      <c r="N168" s="52">
        <v>38837.9</v>
      </c>
      <c r="O168" s="75">
        <f t="shared" si="32"/>
        <v>1000284.6666666669</v>
      </c>
      <c r="P168" s="77"/>
      <c r="Q168" s="78">
        <f>5549.9+129.8</f>
        <v>5679.7</v>
      </c>
      <c r="R168" s="75">
        <v>805727.13333333342</v>
      </c>
      <c r="S168" s="79">
        <v>45.9</v>
      </c>
      <c r="T168" s="52">
        <f t="shared" ref="T168:T174" si="34">SUM(Q168:S168)</f>
        <v>811452.7333333334</v>
      </c>
      <c r="U168" s="80"/>
      <c r="V168" s="77">
        <f t="shared" si="30"/>
        <v>1811737.4000000004</v>
      </c>
      <c r="W168" s="52">
        <f t="shared" si="31"/>
        <v>1648649.9000000004</v>
      </c>
    </row>
    <row r="169" spans="1:27" s="71" customFormat="1" x14ac:dyDescent="0.2">
      <c r="A169" s="81" t="s">
        <v>68</v>
      </c>
      <c r="B169" s="52">
        <v>-104424.50000000006</v>
      </c>
      <c r="C169" s="52">
        <v>-8989.1999999999825</v>
      </c>
      <c r="D169" s="52" t="s">
        <v>42</v>
      </c>
      <c r="E169" s="52">
        <f>+SUM(B169:D169)</f>
        <v>-113413.70000000004</v>
      </c>
      <c r="F169" s="73">
        <v>139502.5</v>
      </c>
      <c r="G169" s="73">
        <f>413725.4+97970.4</f>
        <v>511695.80000000005</v>
      </c>
      <c r="H169" s="73"/>
      <c r="I169" s="73">
        <v>46075</v>
      </c>
      <c r="J169" s="73">
        <v>68271.8</v>
      </c>
      <c r="K169" s="74">
        <v>540922.1</v>
      </c>
      <c r="L169" s="75">
        <f t="shared" si="28"/>
        <v>1306467.2000000002</v>
      </c>
      <c r="M169" s="76">
        <v>280449.96666666702</v>
      </c>
      <c r="N169" s="52">
        <v>46467.700000000004</v>
      </c>
      <c r="O169" s="75">
        <f t="shared" si="32"/>
        <v>979549.53333333321</v>
      </c>
      <c r="P169" s="77"/>
      <c r="Q169" s="78">
        <f>7460.5+129.8</f>
        <v>7590.3</v>
      </c>
      <c r="R169" s="75">
        <v>820635.96666666656</v>
      </c>
      <c r="S169" s="79">
        <v>19.5</v>
      </c>
      <c r="T169" s="52">
        <f t="shared" si="34"/>
        <v>828245.7666666666</v>
      </c>
      <c r="U169" s="80"/>
      <c r="V169" s="77">
        <f t="shared" si="30"/>
        <v>1807795.2999999998</v>
      </c>
      <c r="W169" s="52">
        <f t="shared" si="31"/>
        <v>1694381.5999999999</v>
      </c>
    </row>
    <row r="170" spans="1:27" s="71" customFormat="1" x14ac:dyDescent="0.2">
      <c r="A170" s="81" t="s">
        <v>55</v>
      </c>
      <c r="B170" s="52">
        <v>-140476.99999999994</v>
      </c>
      <c r="C170" s="52">
        <v>-12640.399999999994</v>
      </c>
      <c r="D170" s="52" t="s">
        <v>42</v>
      </c>
      <c r="E170" s="52">
        <f t="shared" ref="E170:E174" si="35">+SUM(B170:D170)</f>
        <v>-153117.39999999994</v>
      </c>
      <c r="F170" s="73">
        <v>141652.79999999999</v>
      </c>
      <c r="G170" s="73">
        <f>399492.8+121468.7</f>
        <v>520961.5</v>
      </c>
      <c r="H170" s="73"/>
      <c r="I170" s="73">
        <v>41002.699999999997</v>
      </c>
      <c r="J170" s="73">
        <v>66878.5</v>
      </c>
      <c r="K170" s="74">
        <v>540282.30000000005</v>
      </c>
      <c r="L170" s="75">
        <f t="shared" si="28"/>
        <v>1310777.8</v>
      </c>
      <c r="M170" s="76">
        <v>244206.4</v>
      </c>
      <c r="N170" s="52">
        <v>54196.200000000004</v>
      </c>
      <c r="O170" s="75">
        <f t="shared" si="32"/>
        <v>1012375.2000000002</v>
      </c>
      <c r="P170" s="77"/>
      <c r="Q170" s="78">
        <f>13450.9+129.8</f>
        <v>13580.699999999999</v>
      </c>
      <c r="R170" s="75">
        <v>868483.8</v>
      </c>
      <c r="S170" s="79">
        <v>33.299999999999997</v>
      </c>
      <c r="T170" s="52">
        <f t="shared" si="34"/>
        <v>882097.8</v>
      </c>
      <c r="U170" s="80"/>
      <c r="V170" s="77">
        <f t="shared" si="30"/>
        <v>1894473.0000000002</v>
      </c>
      <c r="W170" s="52">
        <f t="shared" si="31"/>
        <v>1741355.6000000003</v>
      </c>
    </row>
    <row r="171" spans="1:27" s="71" customFormat="1" ht="19.5" x14ac:dyDescent="0.35">
      <c r="A171" s="81" t="s">
        <v>91</v>
      </c>
      <c r="B171" s="52">
        <v>-165541.40000000002</v>
      </c>
      <c r="C171" s="52">
        <v>10518.300000000017</v>
      </c>
      <c r="D171" s="52" t="s">
        <v>42</v>
      </c>
      <c r="E171" s="52">
        <f t="shared" si="35"/>
        <v>-155023.1</v>
      </c>
      <c r="F171" s="73">
        <v>126976.7</v>
      </c>
      <c r="G171" s="73">
        <f>376491.4+140609.7</f>
        <v>517101.10000000003</v>
      </c>
      <c r="H171" s="73"/>
      <c r="I171" s="73">
        <v>40919.199999999997</v>
      </c>
      <c r="J171" s="73">
        <v>65485.2</v>
      </c>
      <c r="K171" s="74">
        <v>539642.4</v>
      </c>
      <c r="L171" s="75">
        <f t="shared" si="28"/>
        <v>1290124.6000000001</v>
      </c>
      <c r="M171" s="76">
        <v>246985.41666666701</v>
      </c>
      <c r="N171" s="52">
        <v>45772.9</v>
      </c>
      <c r="O171" s="75">
        <f t="shared" si="32"/>
        <v>997366.28333333309</v>
      </c>
      <c r="P171" s="77"/>
      <c r="Q171" s="78">
        <v>14083.899999999998</v>
      </c>
      <c r="R171" s="75">
        <v>888915.3833333333</v>
      </c>
      <c r="S171" s="79">
        <v>41.9</v>
      </c>
      <c r="T171" s="52">
        <f t="shared" si="34"/>
        <v>903041.18333333335</v>
      </c>
      <c r="U171" s="80"/>
      <c r="V171" s="77">
        <f t="shared" si="30"/>
        <v>1900407.4666666663</v>
      </c>
      <c r="W171" s="52">
        <f t="shared" si="31"/>
        <v>1745384.3666666662</v>
      </c>
      <c r="X171" s="85"/>
      <c r="AA171" s="86"/>
    </row>
    <row r="172" spans="1:27" s="71" customFormat="1" x14ac:dyDescent="0.2">
      <c r="A172" s="81" t="s">
        <v>70</v>
      </c>
      <c r="B172" s="52">
        <v>-141377.29999999999</v>
      </c>
      <c r="C172" s="52">
        <v>-36521.700000000012</v>
      </c>
      <c r="D172" s="52" t="s">
        <v>42</v>
      </c>
      <c r="E172" s="52">
        <f t="shared" si="35"/>
        <v>-177899</v>
      </c>
      <c r="F172" s="73">
        <v>129280.9</v>
      </c>
      <c r="G172" s="73">
        <f>374084.6+160072.2</f>
        <v>534156.80000000005</v>
      </c>
      <c r="H172" s="73"/>
      <c r="I172" s="73">
        <v>44365.399999999994</v>
      </c>
      <c r="J172" s="73">
        <v>62698.6</v>
      </c>
      <c r="K172" s="74">
        <v>538362.6</v>
      </c>
      <c r="L172" s="75">
        <f t="shared" si="28"/>
        <v>1308864.3</v>
      </c>
      <c r="M172" s="76">
        <v>239607.53333333301</v>
      </c>
      <c r="N172" s="52">
        <v>36993.599999999999</v>
      </c>
      <c r="O172" s="75">
        <f t="shared" si="32"/>
        <v>1032263.1666666671</v>
      </c>
      <c r="P172" s="77"/>
      <c r="Q172" s="78">
        <v>19603.199999999997</v>
      </c>
      <c r="R172" s="75">
        <v>897286.96666666679</v>
      </c>
      <c r="S172" s="79">
        <v>39.299999999999997</v>
      </c>
      <c r="T172" s="52">
        <f t="shared" si="34"/>
        <v>916929.46666666679</v>
      </c>
      <c r="U172" s="80"/>
      <c r="V172" s="77">
        <f t="shared" si="30"/>
        <v>1949192.6333333338</v>
      </c>
      <c r="W172" s="52">
        <f t="shared" si="31"/>
        <v>1771293.6333333338</v>
      </c>
    </row>
    <row r="173" spans="1:27" s="71" customFormat="1" x14ac:dyDescent="0.2">
      <c r="A173" s="81" t="s">
        <v>56</v>
      </c>
      <c r="B173" s="52">
        <v>-134023.79999999999</v>
      </c>
      <c r="C173" s="52">
        <v>-42355.7</v>
      </c>
      <c r="D173" s="52" t="s">
        <v>42</v>
      </c>
      <c r="E173" s="52">
        <f t="shared" si="35"/>
        <v>-176379.5</v>
      </c>
      <c r="F173" s="73">
        <v>112382.3</v>
      </c>
      <c r="G173" s="73">
        <f>369923.1+180815.7</f>
        <v>550738.80000000005</v>
      </c>
      <c r="H173" s="73"/>
      <c r="I173" s="73">
        <v>43981.899999999994</v>
      </c>
      <c r="J173" s="73">
        <v>62698.6</v>
      </c>
      <c r="K173" s="74">
        <v>538362.6</v>
      </c>
      <c r="L173" s="75">
        <f t="shared" si="28"/>
        <v>1308164.2000000002</v>
      </c>
      <c r="M173" s="76">
        <v>233335.65</v>
      </c>
      <c r="N173" s="52">
        <v>36826.199999999997</v>
      </c>
      <c r="O173" s="75">
        <f t="shared" si="32"/>
        <v>1038002.3500000003</v>
      </c>
      <c r="P173" s="77"/>
      <c r="Q173" s="78">
        <v>28033</v>
      </c>
      <c r="R173" s="75">
        <v>902900.45</v>
      </c>
      <c r="S173" s="79">
        <v>56.1</v>
      </c>
      <c r="T173" s="52">
        <f t="shared" si="34"/>
        <v>930989.54999999993</v>
      </c>
      <c r="U173" s="80"/>
      <c r="V173" s="77">
        <f t="shared" si="30"/>
        <v>1968991.9000000004</v>
      </c>
      <c r="W173" s="52">
        <f t="shared" si="31"/>
        <v>1792612.4000000004</v>
      </c>
    </row>
    <row r="174" spans="1:27" s="71" customFormat="1" x14ac:dyDescent="0.2">
      <c r="A174" s="81" t="s">
        <v>71</v>
      </c>
      <c r="B174" s="52">
        <f>212522.3-338942.9</f>
        <v>-126420.60000000003</v>
      </c>
      <c r="C174" s="52">
        <f>177748.7-165526.4</f>
        <v>12222.300000000017</v>
      </c>
      <c r="D174" s="52" t="s">
        <v>42</v>
      </c>
      <c r="E174" s="52">
        <f t="shared" si="35"/>
        <v>-114198.30000000002</v>
      </c>
      <c r="F174" s="73">
        <v>144881.70000000001</v>
      </c>
      <c r="G174" s="73">
        <f>387614.4+163077.1</f>
        <v>550691.5</v>
      </c>
      <c r="H174" s="73"/>
      <c r="I174" s="73">
        <v>39774.46666666666</v>
      </c>
      <c r="J174" s="73">
        <v>59912</v>
      </c>
      <c r="K174" s="74">
        <v>537082.9</v>
      </c>
      <c r="L174" s="75">
        <f t="shared" si="28"/>
        <v>1332342.5666666667</v>
      </c>
      <c r="M174" s="76">
        <v>299789.2</v>
      </c>
      <c r="N174" s="52">
        <v>36557</v>
      </c>
      <c r="O174" s="75">
        <f t="shared" si="32"/>
        <v>995996.3666666667</v>
      </c>
      <c r="P174" s="77"/>
      <c r="Q174" s="78">
        <f>29662.7+129.8</f>
        <v>29792.5</v>
      </c>
      <c r="R174" s="75">
        <v>913771.46666666656</v>
      </c>
      <c r="S174" s="79">
        <v>47.7</v>
      </c>
      <c r="T174" s="52">
        <f t="shared" si="34"/>
        <v>943611.66666666651</v>
      </c>
      <c r="U174" s="80"/>
      <c r="V174" s="77">
        <f t="shared" si="30"/>
        <v>1939608.0333333332</v>
      </c>
      <c r="W174" s="52">
        <f t="shared" si="31"/>
        <v>1825409.7333333332</v>
      </c>
    </row>
    <row r="175" spans="1:27" s="71" customFormat="1" x14ac:dyDescent="0.2">
      <c r="A175" s="81" t="s">
        <v>72</v>
      </c>
      <c r="B175" s="52">
        <f>191321.1-336478.4</f>
        <v>-145157.30000000002</v>
      </c>
      <c r="C175" s="52">
        <f>160268.7-159454.7</f>
        <v>814</v>
      </c>
      <c r="D175" s="52" t="s">
        <v>42</v>
      </c>
      <c r="E175" s="52">
        <f t="shared" ref="E175:E180" si="36">+SUM(B175:D175)</f>
        <v>-144343.30000000002</v>
      </c>
      <c r="F175" s="73">
        <v>150659</v>
      </c>
      <c r="G175" s="73">
        <f>393437.6+178743.5</f>
        <v>572181.1</v>
      </c>
      <c r="H175" s="73"/>
      <c r="I175" s="73">
        <v>32571.833333333332</v>
      </c>
      <c r="J175" s="73">
        <v>59912</v>
      </c>
      <c r="K175" s="74">
        <v>536443</v>
      </c>
      <c r="L175" s="75">
        <f t="shared" si="28"/>
        <v>1351766.9333333333</v>
      </c>
      <c r="M175" s="76">
        <v>267637.15000000002</v>
      </c>
      <c r="N175" s="52">
        <v>44760.4</v>
      </c>
      <c r="O175" s="75">
        <f t="shared" si="32"/>
        <v>1039369.3833333332</v>
      </c>
      <c r="P175" s="77"/>
      <c r="Q175" s="78">
        <f>33694+129.8</f>
        <v>33823.800000000003</v>
      </c>
      <c r="R175" s="75">
        <v>916383.8833333333</v>
      </c>
      <c r="S175" s="79">
        <v>4522.3</v>
      </c>
      <c r="T175" s="52">
        <f>SUM(Q175:S175)</f>
        <v>954729.9833333334</v>
      </c>
      <c r="U175" s="80"/>
      <c r="V175" s="77">
        <f t="shared" si="30"/>
        <v>1994099.3666666667</v>
      </c>
      <c r="W175" s="52">
        <f t="shared" si="31"/>
        <v>1849756.0666666667</v>
      </c>
    </row>
    <row r="176" spans="1:27" s="71" customFormat="1" x14ac:dyDescent="0.2">
      <c r="A176" s="81" t="s">
        <v>57</v>
      </c>
      <c r="B176" s="52">
        <f>199389.8-338555.6</f>
        <v>-139165.79999999999</v>
      </c>
      <c r="C176" s="52">
        <f>146133-156052.6</f>
        <v>-9919.6000000000058</v>
      </c>
      <c r="D176" s="52" t="s">
        <v>42</v>
      </c>
      <c r="E176" s="52">
        <f t="shared" si="36"/>
        <v>-149085.4</v>
      </c>
      <c r="F176" s="73">
        <v>194279.5</v>
      </c>
      <c r="G176" s="73">
        <f>459750.2+183740.4</f>
        <v>643490.6</v>
      </c>
      <c r="H176" s="73"/>
      <c r="I176" s="73">
        <v>30909.1</v>
      </c>
      <c r="J176" s="73">
        <v>57125.4</v>
      </c>
      <c r="K176" s="74">
        <v>535803.19999999995</v>
      </c>
      <c r="L176" s="75">
        <f t="shared" si="28"/>
        <v>1461607.7999999998</v>
      </c>
      <c r="M176" s="76">
        <v>297362</v>
      </c>
      <c r="N176" s="52">
        <v>49354.6</v>
      </c>
      <c r="O176" s="75">
        <f t="shared" si="32"/>
        <v>1114891.1999999997</v>
      </c>
      <c r="P176" s="77"/>
      <c r="Q176" s="78">
        <f>28633.1+129.8</f>
        <v>28762.899999999998</v>
      </c>
      <c r="R176" s="75">
        <v>871645.09999999986</v>
      </c>
      <c r="S176" s="79">
        <v>4937.3999999999996</v>
      </c>
      <c r="T176" s="52">
        <f>SUM(Q176:S176)</f>
        <v>905345.39999999991</v>
      </c>
      <c r="U176" s="80"/>
      <c r="V176" s="77">
        <f t="shared" si="30"/>
        <v>2020236.5999999996</v>
      </c>
      <c r="W176" s="52">
        <f t="shared" si="31"/>
        <v>1871151.1999999997</v>
      </c>
    </row>
    <row r="177" spans="1:27" s="71" customFormat="1" ht="19.5" x14ac:dyDescent="0.35">
      <c r="A177" s="81"/>
      <c r="B177" s="52"/>
      <c r="C177" s="52"/>
      <c r="D177" s="52"/>
      <c r="E177" s="52"/>
      <c r="F177" s="73"/>
      <c r="G177" s="73"/>
      <c r="H177" s="73"/>
      <c r="I177" s="73"/>
      <c r="J177" s="73"/>
      <c r="K177" s="74"/>
      <c r="L177" s="75"/>
      <c r="N177" s="52"/>
      <c r="O177" s="75"/>
      <c r="P177" s="77"/>
      <c r="Q177" s="78"/>
      <c r="R177" s="75"/>
      <c r="S177" s="79"/>
      <c r="T177" s="52"/>
      <c r="U177" s="80"/>
      <c r="V177" s="77"/>
      <c r="W177" s="52"/>
      <c r="X177" s="85"/>
      <c r="AA177" s="86"/>
    </row>
    <row r="178" spans="1:27" s="71" customFormat="1" ht="15.75" x14ac:dyDescent="0.2">
      <c r="A178" s="81" t="s">
        <v>94</v>
      </c>
      <c r="B178" s="52">
        <f>175550.7-340558</f>
        <v>-165007.29999999999</v>
      </c>
      <c r="C178" s="52">
        <f>141128.9-153626.6</f>
        <v>-12497.700000000012</v>
      </c>
      <c r="D178" s="52" t="s">
        <v>42</v>
      </c>
      <c r="E178" s="52">
        <f t="shared" si="36"/>
        <v>-177505</v>
      </c>
      <c r="F178" s="73">
        <v>154611.4</v>
      </c>
      <c r="G178" s="73">
        <f>221097+441080.9</f>
        <v>662177.9</v>
      </c>
      <c r="H178" s="73"/>
      <c r="I178" s="73">
        <f>15743.4+15165.5</f>
        <v>30908.9</v>
      </c>
      <c r="J178" s="73">
        <v>55732.1</v>
      </c>
      <c r="K178" s="74">
        <v>535163.30000000005</v>
      </c>
      <c r="L178" s="75">
        <f t="shared" si="28"/>
        <v>1438593.6</v>
      </c>
      <c r="M178" s="76">
        <v>272366.59999999998</v>
      </c>
      <c r="N178" s="52">
        <v>53988.5</v>
      </c>
      <c r="O178" s="75">
        <f>+L178-M178-N178</f>
        <v>1112238.5</v>
      </c>
      <c r="P178" s="77"/>
      <c r="Q178" s="78">
        <f>25295.4+129.8</f>
        <v>25425.200000000001</v>
      </c>
      <c r="R178" s="75">
        <v>874841.39999999991</v>
      </c>
      <c r="S178" s="79">
        <v>4778.2</v>
      </c>
      <c r="T178" s="52">
        <f t="shared" ref="T178:T179" si="37">SUM(Q178:S178)</f>
        <v>905044.79999999981</v>
      </c>
      <c r="U178" s="80"/>
      <c r="V178" s="77">
        <f t="shared" si="30"/>
        <v>2017283.2999999998</v>
      </c>
      <c r="W178" s="52">
        <f t="shared" si="31"/>
        <v>1839778.2999999998</v>
      </c>
    </row>
    <row r="179" spans="1:27" s="71" customFormat="1" ht="15.75" x14ac:dyDescent="0.2">
      <c r="A179" s="81" t="s">
        <v>95</v>
      </c>
      <c r="B179" s="52">
        <f>203089-338999.5</f>
        <v>-135910.5</v>
      </c>
      <c r="C179" s="52">
        <f>163882-155919.8</f>
        <v>7962.2000000000116</v>
      </c>
      <c r="D179" s="52" t="s">
        <v>42</v>
      </c>
      <c r="E179" s="52">
        <f t="shared" si="36"/>
        <v>-127948.29999999999</v>
      </c>
      <c r="F179" s="73">
        <v>156799.4</v>
      </c>
      <c r="G179" s="73">
        <f>261769.9+427499.9</f>
        <v>689269.8</v>
      </c>
      <c r="H179" s="73"/>
      <c r="I179" s="73">
        <f>15743.4+13692.2</f>
        <v>29435.599999999999</v>
      </c>
      <c r="J179" s="73">
        <v>54338.8</v>
      </c>
      <c r="K179" s="74">
        <v>534523.4</v>
      </c>
      <c r="L179" s="75">
        <f>+SUM(F179:K179)</f>
        <v>1464367</v>
      </c>
      <c r="M179" s="76">
        <v>273558.90000000002</v>
      </c>
      <c r="N179" s="52">
        <v>54895</v>
      </c>
      <c r="O179" s="75">
        <f>+L179-M179-N179</f>
        <v>1135913.1000000001</v>
      </c>
      <c r="P179" s="77"/>
      <c r="Q179" s="78">
        <v>17299.900000000001</v>
      </c>
      <c r="R179" s="75">
        <v>904822.00000000012</v>
      </c>
      <c r="S179" s="79">
        <v>4731.8</v>
      </c>
      <c r="T179" s="52">
        <f t="shared" si="37"/>
        <v>926853.70000000019</v>
      </c>
      <c r="U179" s="80"/>
      <c r="V179" s="77">
        <f>SUM(O179,T179)</f>
        <v>2062766.8000000003</v>
      </c>
      <c r="W179" s="52">
        <f>SUM(E179,V179)</f>
        <v>1934818.5000000002</v>
      </c>
    </row>
    <row r="180" spans="1:27" s="71" customFormat="1" ht="15.75" x14ac:dyDescent="0.2">
      <c r="A180" s="81" t="s">
        <v>96</v>
      </c>
      <c r="B180" s="52">
        <f>153639.2-334143.8</f>
        <v>-180504.59999999998</v>
      </c>
      <c r="C180" s="52">
        <f>169526.8-158712.3</f>
        <v>10814.5</v>
      </c>
      <c r="D180" s="52" t="s">
        <v>42</v>
      </c>
      <c r="E180" s="52">
        <f t="shared" si="36"/>
        <v>-169690.09999999998</v>
      </c>
      <c r="F180" s="73">
        <v>151279.29999999999</v>
      </c>
      <c r="G180" s="73">
        <f>190476.2+525581.2</f>
        <v>716057.39999999991</v>
      </c>
      <c r="H180" s="73"/>
      <c r="I180" s="73">
        <f>15743.4+13628.1</f>
        <v>29371.5</v>
      </c>
      <c r="J180" s="73">
        <v>52945.5</v>
      </c>
      <c r="K180" s="74">
        <v>533314.30000000005</v>
      </c>
      <c r="L180" s="75">
        <f>+SUM(F180:K180)</f>
        <v>1482968</v>
      </c>
      <c r="M180" s="76">
        <v>288644.90000000002</v>
      </c>
      <c r="N180" s="52">
        <v>56551.9</v>
      </c>
      <c r="O180" s="75">
        <f>+L180-M180-N180</f>
        <v>1137771.2000000002</v>
      </c>
      <c r="P180" s="77"/>
      <c r="Q180" s="78">
        <f>15902.8+129.8</f>
        <v>16032.599999999999</v>
      </c>
      <c r="R180" s="75">
        <f>829884.8+8446.2+58517.2</f>
        <v>896848.2</v>
      </c>
      <c r="S180" s="79">
        <v>5422.5</v>
      </c>
      <c r="T180" s="52">
        <f t="shared" ref="T180" si="38">SUM(Q180:S180)</f>
        <v>918303.29999999993</v>
      </c>
      <c r="U180" s="80"/>
      <c r="V180" s="77">
        <f>SUM(O180,T180)</f>
        <v>2056074.5</v>
      </c>
      <c r="W180" s="52">
        <f>SUM(E180,V180)</f>
        <v>1886384.4</v>
      </c>
    </row>
    <row r="181" spans="1:27" s="71" customFormat="1" x14ac:dyDescent="0.2">
      <c r="A181" s="81" t="s">
        <v>97</v>
      </c>
      <c r="B181" s="52">
        <v>-152352.10000000003</v>
      </c>
      <c r="C181" s="52">
        <v>-4773.4999999999709</v>
      </c>
      <c r="D181" s="52" t="s">
        <v>42</v>
      </c>
      <c r="E181" s="52">
        <v>-157125.6</v>
      </c>
      <c r="F181" s="73">
        <v>130576.4</v>
      </c>
      <c r="G181" s="73">
        <v>744753.10000000009</v>
      </c>
      <c r="H181" s="73"/>
      <c r="I181" s="73">
        <v>29970.3</v>
      </c>
      <c r="J181" s="73">
        <v>52945.5</v>
      </c>
      <c r="K181" s="74">
        <v>532175.69999999995</v>
      </c>
      <c r="L181" s="75">
        <v>1490421</v>
      </c>
      <c r="M181" s="76">
        <v>289196.79999999999</v>
      </c>
      <c r="N181" s="52">
        <v>59990</v>
      </c>
      <c r="O181" s="75">
        <v>1141234.2</v>
      </c>
      <c r="P181" s="77"/>
      <c r="Q181" s="78">
        <v>14505.4</v>
      </c>
      <c r="R181" s="75">
        <v>900895.29999999993</v>
      </c>
      <c r="S181" s="79">
        <v>4964</v>
      </c>
      <c r="T181" s="52">
        <v>920364.7</v>
      </c>
      <c r="U181" s="80"/>
      <c r="V181" s="77">
        <v>2061598.9</v>
      </c>
      <c r="W181" s="52">
        <v>1904473.2999999998</v>
      </c>
    </row>
    <row r="182" spans="1:27" x14ac:dyDescent="0.2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</row>
    <row r="183" spans="1:27" x14ac:dyDescent="0.2">
      <c r="A183" s="1"/>
      <c r="B183" s="87"/>
      <c r="C183" s="87"/>
      <c r="D183" s="87"/>
      <c r="E183" s="87"/>
      <c r="F183" s="87"/>
      <c r="G183" s="87"/>
      <c r="H183" s="87"/>
      <c r="I183" s="88"/>
      <c r="J183" s="87"/>
      <c r="K183" s="87"/>
      <c r="L183" s="87"/>
      <c r="M183" s="87"/>
      <c r="N183" s="87"/>
      <c r="O183" s="87"/>
      <c r="P183" s="87"/>
      <c r="Q183" s="87"/>
      <c r="R183" s="87"/>
      <c r="S183" s="89"/>
      <c r="T183" s="87"/>
      <c r="U183" s="87"/>
      <c r="V183" s="87"/>
      <c r="W183" s="90"/>
    </row>
    <row r="184" spans="1:27" hidden="1" x14ac:dyDescent="0.2">
      <c r="A184" s="91" t="s">
        <v>98</v>
      </c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3"/>
      <c r="T184" s="92"/>
      <c r="U184" s="92"/>
      <c r="V184" s="92"/>
      <c r="W184" s="94"/>
    </row>
    <row r="185" spans="1:27" x14ac:dyDescent="0.2">
      <c r="A185" s="95" t="s">
        <v>99</v>
      </c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7"/>
      <c r="T185" s="96"/>
      <c r="U185" s="96"/>
      <c r="V185" s="96"/>
      <c r="W185" s="98"/>
    </row>
    <row r="186" spans="1:27" x14ac:dyDescent="0.2">
      <c r="A186" s="95" t="s">
        <v>100</v>
      </c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7"/>
      <c r="T186" s="96"/>
      <c r="U186" s="96"/>
      <c r="V186" s="96"/>
      <c r="W186" s="98"/>
    </row>
    <row r="187" spans="1:27" x14ac:dyDescent="0.2">
      <c r="A187" s="91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99"/>
      <c r="T187" s="64"/>
      <c r="U187" s="64"/>
      <c r="V187" s="64"/>
      <c r="W187" s="68"/>
    </row>
  </sheetData>
  <mergeCells count="6">
    <mergeCell ref="C2:V2"/>
    <mergeCell ref="C3:V3"/>
    <mergeCell ref="B6:E6"/>
    <mergeCell ref="F6:V6"/>
    <mergeCell ref="F8:P8"/>
    <mergeCell ref="Q8:T8"/>
  </mergeCells>
  <pageMargins left="0.70866141732283472" right="0.70866141732283472" top="0.74803149606299213" bottom="0.74803149606299213" header="0.31496062992125984" footer="0.31496062992125984"/>
  <pageSetup paperSize="9" scale="53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II_5_1 Assets MS</vt:lpstr>
      <vt:lpstr>'II_5_1 Assets MS'!Print_Area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Eliane NKENGURUTSE</dc:creator>
  <cp:lastModifiedBy>Eliane NKENGURUTSE</cp:lastModifiedBy>
  <dcterms:created xsi:type="dcterms:W3CDTF">2018-07-17T06:32:42Z</dcterms:created>
  <dcterms:modified xsi:type="dcterms:W3CDTF">2018-07-17T06:33:05Z</dcterms:modified>
</cp:coreProperties>
</file>