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35" windowHeight="6495" activeTab="0"/>
  </bookViews>
  <sheets>
    <sheet name="crédits par secteur" sheetId="1" r:id="rId1"/>
  </sheets>
  <definedNames>
    <definedName name="_xlnm.Print_Area" localSheetId="0">'crédits par secteur'!$A$1:$K$220</definedName>
  </definedNames>
  <calcPr fullCalcOnLoad="1"/>
</workbook>
</file>

<file path=xl/sharedStrings.xml><?xml version="1.0" encoding="utf-8"?>
<sst xmlns="http://schemas.openxmlformats.org/spreadsheetml/2006/main" count="212" uniqueCount="181">
  <si>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</si>
  <si>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</si>
  <si>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</si>
  <si>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</si>
  <si>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</si>
  <si>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</si>
  <si>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</si>
  <si>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</si>
  <si>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</si>
  <si>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</si>
  <si>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</si>
  <si>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</si>
  <si>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</si>
  <si>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</si>
  <si>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</si>
  <si>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</si>
  <si>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</si>
  <si>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</si>
  <si>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</si>
  <si>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</si>
  <si>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</si>
  <si>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</si>
  <si>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</si>
  <si>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</si>
  <si>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</si>
  <si>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</si>
  <si>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</si>
  <si>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</si>
  <si>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</si>
  <si>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</si>
  <si>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</si>
  <si>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</si>
  <si>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</si>
  <si>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</si>
  <si>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</si>
  <si>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</si>
  <si>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</si>
  <si>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</si>
  <si>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</si>
  <si>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</si>
  <si>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</si>
  <si>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</si>
  <si>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</si>
  <si>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</si>
  <si>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</si>
  <si>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</si>
  <si>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</si>
  <si>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</si>
  <si>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</si>
  <si>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</si>
  <si>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</si>
  <si>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</si>
  <si>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</si>
  <si>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</si>
  <si>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</si>
  <si>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</si>
  <si>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</si>
  <si>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</si>
  <si>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</si>
  <si>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</si>
  <si>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</si>
  <si>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</si>
  <si>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</si>
  <si>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</si>
  <si>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</si>
  <si>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</si>
  <si>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</si>
  <si>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</si>
  <si>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</si>
  <si>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</si>
  <si>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</si>
  <si>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</si>
  <si>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</si>
  <si>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</si>
  <si>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</si>
  <si>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</si>
  <si>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</si>
  <si>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</si>
  <si>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</si>
  <si>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</si>
  <si>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</si>
  <si>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</si>
  <si>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</si>
  <si>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</si>
  <si>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</si>
  <si>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</si>
  <si>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</si>
  <si>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</si>
  <si>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</si>
  <si>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Juillet</t>
  </si>
  <si>
    <t>2014 Janvier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</si>
  <si>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</si>
  <si>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</si>
  <si>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</si>
  <si>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</si>
  <si>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</si>
  <si>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</si>
  <si>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</si>
  <si>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</si>
  <si>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</si>
  <si>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</si>
  <si>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</si>
  <si>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</si>
  <si>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</si>
  <si>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</si>
  <si>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</si>
  <si>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</si>
  <si>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</si>
  <si>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</si>
  <si>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</si>
  <si>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</si>
  <si>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</si>
  <si>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</si>
  <si>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</si>
  <si>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</si>
  <si>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</si>
  <si>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</si>
  <si>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</si>
  <si>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</si>
  <si>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2015 Février  </t>
  </si>
  <si>
    <t>2017 Mars</t>
  </si>
  <si>
    <t>II.13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</si>
  <si>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</si>
  <si>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</si>
  <si>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</si>
  <si>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</si>
  <si>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</si>
  <si>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</si>
  <si>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</si>
  <si>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</si>
  <si>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</si>
  <si>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</si>
  <si>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2016 Février  </t>
  </si>
  <si>
    <t>2018 Mars</t>
  </si>
  <si>
    <t xml:space="preserve">          Mars</t>
  </si>
  <si>
    <t xml:space="preserve">          Avril</t>
  </si>
  <si>
    <t>2016 Avril</t>
  </si>
  <si>
    <t xml:space="preserve">          Mai</t>
  </si>
  <si>
    <t>2016 Mai</t>
  </si>
  <si>
    <t xml:space="preserve">          Juin</t>
  </si>
  <si>
    <t>2016 Juin</t>
  </si>
  <si>
    <t xml:space="preserve">          Juillet</t>
  </si>
  <si>
    <t>2016 Juillet</t>
  </si>
  <si>
    <t xml:space="preserve">          Août</t>
  </si>
  <si>
    <t>2016  Août</t>
  </si>
  <si>
    <t xml:space="preserve">          Septembre</t>
  </si>
  <si>
    <t>2016 Septembre</t>
  </si>
  <si>
    <t xml:space="preserve">          Octobre</t>
  </si>
  <si>
    <t>2016  Octobre</t>
  </si>
  <si>
    <t xml:space="preserve">          Novembre</t>
  </si>
  <si>
    <t>2016 Novembre</t>
  </si>
  <si>
    <t xml:space="preserve">          Décembre</t>
  </si>
  <si>
    <t>2016 Décembre</t>
  </si>
  <si>
    <t>2018</t>
  </si>
  <si>
    <t>2017  Février</t>
  </si>
  <si>
    <t>2019 Mars</t>
  </si>
  <si>
    <t>2017 Avril</t>
  </si>
  <si>
    <t>2017 Mai</t>
  </si>
  <si>
    <t xml:space="preserve"> 2017 Juin</t>
  </si>
  <si>
    <t>2017 Juillet</t>
  </si>
  <si>
    <t>2017 Août</t>
  </si>
  <si>
    <t>2017 Septembre</t>
  </si>
  <si>
    <t xml:space="preserve"> 2017 Octobre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</si>
  <si>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</si>
  <si>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</si>
  <si>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</si>
  <si>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</si>
  <si>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</si>
  <si>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</si>
  <si>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</si>
  <si>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</si>
  <si>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</si>
  <si>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</si>
  <si>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>2017  Novembre</t>
  </si>
  <si>
    <t xml:space="preserve">            Décembre</t>
  </si>
  <si>
    <t>2019</t>
  </si>
  <si>
    <t xml:space="preserve"> 2017 Décembre</t>
  </si>
  <si>
    <t>2020   Janvier</t>
  </si>
  <si>
    <t xml:space="preserve">           Février</t>
  </si>
  <si>
    <t>2019   Janvier</t>
  </si>
  <si>
    <t>2018  Février</t>
  </si>
</sst>
</file>

<file path=xl/styles.xml><?xml version="1.0" encoding="utf-8"?>
<styleSheet xmlns="http://schemas.openxmlformats.org/spreadsheetml/2006/main">
  <numFmts count="40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_-* #,##0.0\ _F_-;\-* #,##0.0\ _F_-;_-* &quot;-&quot;??\ _F_-;_-@_-"/>
    <numFmt numFmtId="189" formatCode="_-* #,##0\ _F_-;\-* #,##0\ _F_-;_-* &quot;-&quot;??\ _F_-;_-@_-"/>
    <numFmt numFmtId="190" formatCode="#,##0.0"/>
    <numFmt numFmtId="191" formatCode="#&quot; &quot;###&quot; &quot;###&quot; &quot;###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#\ ###\ ###\ ###"/>
  </numFmts>
  <fonts count="40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18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Border="0" applyProtection="0">
      <alignment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90" fontId="1" fillId="0" borderId="11" xfId="0" applyNumberFormat="1" applyFont="1" applyBorder="1" applyAlignment="1">
      <alignment horizontal="center"/>
    </xf>
    <xf numFmtId="190" fontId="2" fillId="0" borderId="12" xfId="0" applyNumberFormat="1" applyFont="1" applyBorder="1" applyAlignment="1">
      <alignment horizontal="center"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90" fontId="2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19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0" fontId="1" fillId="0" borderId="16" xfId="0" applyNumberFormat="1" applyFont="1" applyBorder="1" applyAlignment="1">
      <alignment horizontal="center"/>
    </xf>
    <xf numFmtId="190" fontId="1" fillId="0" borderId="17" xfId="0" applyNumberFormat="1" applyFont="1" applyBorder="1" applyAlignment="1">
      <alignment horizontal="center"/>
    </xf>
    <xf numFmtId="190" fontId="3" fillId="0" borderId="18" xfId="62" applyNumberFormat="1" applyFont="1" applyBorder="1" applyAlignment="1">
      <alignment horizontal="center"/>
    </xf>
    <xf numFmtId="190" fontId="3" fillId="0" borderId="0" xfId="62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90" fontId="3" fillId="0" borderId="19" xfId="62" applyNumberFormat="1" applyFont="1" applyBorder="1" applyAlignment="1">
      <alignment horizontal="center"/>
    </xf>
    <xf numFmtId="190" fontId="3" fillId="0" borderId="16" xfId="62" applyNumberFormat="1" applyFont="1" applyBorder="1" applyAlignment="1">
      <alignment horizontal="center"/>
    </xf>
    <xf numFmtId="190" fontId="3" fillId="0" borderId="17" xfId="62" applyNumberFormat="1" applyFont="1" applyBorder="1" applyAlignment="1">
      <alignment horizontal="center"/>
    </xf>
    <xf numFmtId="190" fontId="3" fillId="0" borderId="14" xfId="62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90" fontId="1" fillId="0" borderId="18" xfId="0" applyNumberFormat="1" applyFont="1" applyFill="1" applyBorder="1" applyAlignment="1">
      <alignment horizontal="right"/>
    </xf>
    <xf numFmtId="190" fontId="1" fillId="0" borderId="0" xfId="0" applyNumberFormat="1" applyFont="1" applyFill="1" applyBorder="1" applyAlignment="1">
      <alignment horizontal="right"/>
    </xf>
    <xf numFmtId="190" fontId="1" fillId="0" borderId="14" xfId="0" applyNumberFormat="1" applyFont="1" applyFill="1" applyBorder="1" applyAlignment="1">
      <alignment horizontal="right"/>
    </xf>
    <xf numFmtId="19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0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190" fontId="2" fillId="0" borderId="10" xfId="0" applyNumberFormat="1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0" fontId="2" fillId="0" borderId="15" xfId="0" applyNumberFormat="1" applyFont="1" applyBorder="1" applyAlignment="1">
      <alignment/>
    </xf>
    <xf numFmtId="190" fontId="1" fillId="0" borderId="16" xfId="0" applyNumberFormat="1" applyFont="1" applyBorder="1" applyAlignment="1">
      <alignment/>
    </xf>
    <xf numFmtId="190" fontId="1" fillId="0" borderId="17" xfId="0" applyNumberFormat="1" applyFont="1" applyBorder="1" applyAlignment="1">
      <alignment/>
    </xf>
    <xf numFmtId="190" fontId="1" fillId="0" borderId="14" xfId="56" applyNumberFormat="1" applyFont="1" applyFill="1" applyBorder="1" applyAlignment="1">
      <alignment horizontal="right"/>
      <protection/>
    </xf>
    <xf numFmtId="190" fontId="2" fillId="0" borderId="13" xfId="0" applyNumberFormat="1" applyFon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190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rmal 2" xfId="56"/>
    <cellStyle name="Normal 2 2 10" xfId="57"/>
    <cellStyle name="Normal 2 2 10 2" xfId="58"/>
    <cellStyle name="Normal 3" xfId="59"/>
    <cellStyle name="Note" xfId="60"/>
    <cellStyle name="Output" xfId="61"/>
    <cellStyle name="Percent" xfId="62"/>
    <cellStyle name="Pourcentage 2" xfId="63"/>
    <cellStyle name="Pourcentage 2 2" xfId="64"/>
    <cellStyle name="Pourcentage 3" xfId="65"/>
    <cellStyle name="Pourcentage 3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66675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showGridLines="0" tabSelected="1" view="pageBreakPreview" zoomScale="90" zoomScaleSheetLayoutView="90" zoomScalePageLayoutView="0" workbookViewId="0" topLeftCell="A1">
      <pane xSplit="1" ySplit="9" topLeftCell="B20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14" sqref="B214:K214"/>
    </sheetView>
  </sheetViews>
  <sheetFormatPr defaultColWidth="11.421875" defaultRowHeight="12.75"/>
  <cols>
    <col min="1" max="1" width="25.7109375" style="5" customWidth="1"/>
    <col min="2" max="2" width="12.57421875" style="4" bestFit="1" customWidth="1"/>
    <col min="3" max="3" width="19.7109375" style="4" bestFit="1" customWidth="1"/>
    <col min="4" max="4" width="14.28125" style="4" bestFit="1" customWidth="1"/>
    <col min="5" max="5" width="17.00390625" style="4" bestFit="1" customWidth="1"/>
    <col min="6" max="6" width="19.00390625" style="4" bestFit="1" customWidth="1"/>
    <col min="7" max="7" width="16.57421875" style="4" bestFit="1" customWidth="1"/>
    <col min="8" max="8" width="14.57421875" style="4" bestFit="1" customWidth="1"/>
    <col min="9" max="9" width="12.57421875" style="4" customWidth="1"/>
    <col min="10" max="10" width="12.421875" style="4" bestFit="1" customWidth="1"/>
    <col min="11" max="11" width="11.421875" style="4" bestFit="1" customWidth="1"/>
    <col min="12" max="12" width="18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11.421875" style="5" customWidth="1"/>
  </cols>
  <sheetData>
    <row r="1" spans="1:11" ht="12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" t="s">
        <v>121</v>
      </c>
    </row>
    <row r="2" spans="1:11" ht="12.75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2.75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2.75" hidden="1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2.75" hidden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 hidden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8.75" customHeight="1">
      <c r="A8" s="6" t="s">
        <v>115</v>
      </c>
      <c r="B8" s="14" t="s">
        <v>0</v>
      </c>
      <c r="C8" s="15" t="s">
        <v>7</v>
      </c>
      <c r="D8" s="14" t="s">
        <v>1</v>
      </c>
      <c r="E8" s="15" t="s">
        <v>70</v>
      </c>
      <c r="F8" s="14" t="s">
        <v>20</v>
      </c>
      <c r="G8" s="15" t="s">
        <v>3</v>
      </c>
      <c r="H8" s="14" t="s">
        <v>4</v>
      </c>
      <c r="I8" s="14" t="s">
        <v>5</v>
      </c>
      <c r="J8" s="14" t="s">
        <v>7</v>
      </c>
      <c r="K8" s="7" t="s">
        <v>6</v>
      </c>
    </row>
    <row r="9" spans="1:11" ht="18.75" customHeight="1">
      <c r="A9" s="16" t="s">
        <v>114</v>
      </c>
      <c r="B9" s="17"/>
      <c r="C9" s="18" t="s">
        <v>8</v>
      </c>
      <c r="D9" s="17"/>
      <c r="E9" s="18"/>
      <c r="F9" s="17" t="s">
        <v>2</v>
      </c>
      <c r="G9" s="18"/>
      <c r="H9" s="17"/>
      <c r="I9" s="17"/>
      <c r="J9" s="19"/>
      <c r="K9" s="13"/>
    </row>
    <row r="10" spans="1:11" ht="12.75">
      <c r="A10" s="8"/>
      <c r="B10" s="14"/>
      <c r="C10" s="15"/>
      <c r="D10" s="14"/>
      <c r="E10" s="15"/>
      <c r="F10" s="14"/>
      <c r="G10" s="15"/>
      <c r="H10" s="14"/>
      <c r="I10" s="14"/>
      <c r="J10" s="20"/>
      <c r="K10" s="21"/>
    </row>
    <row r="11" spans="1:16" s="27" customFormat="1" ht="12.75" hidden="1">
      <c r="A11" s="22">
        <v>2009</v>
      </c>
      <c r="B11" s="23">
        <v>28132</v>
      </c>
      <c r="C11" s="24">
        <v>2356</v>
      </c>
      <c r="D11" s="23">
        <v>20850</v>
      </c>
      <c r="E11" s="24">
        <v>178108</v>
      </c>
      <c r="F11" s="23">
        <v>3762.3</v>
      </c>
      <c r="G11" s="24">
        <v>3607.4</v>
      </c>
      <c r="H11" s="23">
        <v>2.7</v>
      </c>
      <c r="I11" s="23">
        <v>2769.5</v>
      </c>
      <c r="J11" s="25"/>
      <c r="K11" s="25">
        <f>SUM(B11:I11)</f>
        <v>239587.9</v>
      </c>
      <c r="L11" s="26"/>
      <c r="M11" s="26"/>
      <c r="N11" s="26"/>
      <c r="O11" s="26"/>
      <c r="P11" s="26"/>
    </row>
    <row r="12" spans="1:16" s="27" customFormat="1" ht="12.75" hidden="1">
      <c r="A12" s="22">
        <v>2010</v>
      </c>
      <c r="B12" s="23">
        <v>38356.8</v>
      </c>
      <c r="C12" s="24">
        <v>2920.9</v>
      </c>
      <c r="D12" s="23">
        <v>19650.6</v>
      </c>
      <c r="E12" s="24">
        <v>230209.1</v>
      </c>
      <c r="F12" s="23">
        <v>6985.2</v>
      </c>
      <c r="G12" s="24">
        <v>2554.8</v>
      </c>
      <c r="H12" s="23">
        <v>2.7</v>
      </c>
      <c r="I12" s="23">
        <v>11102.2</v>
      </c>
      <c r="J12" s="25">
        <v>121456.1</v>
      </c>
      <c r="K12" s="25">
        <f>SUM(B12:J12)</f>
        <v>433238.4</v>
      </c>
      <c r="L12" s="24"/>
      <c r="M12" s="28"/>
      <c r="N12" s="26"/>
      <c r="O12" s="26"/>
      <c r="P12" s="26"/>
    </row>
    <row r="13" spans="1:16" s="27" customFormat="1" ht="12.75" hidden="1">
      <c r="A13" s="22">
        <v>2011</v>
      </c>
      <c r="B13" s="23">
        <v>47956</v>
      </c>
      <c r="C13" s="24">
        <v>2321.8</v>
      </c>
      <c r="D13" s="23">
        <v>23974.1</v>
      </c>
      <c r="E13" s="24">
        <v>322362.2</v>
      </c>
      <c r="F13" s="23">
        <v>11349.1</v>
      </c>
      <c r="G13" s="24">
        <v>1999.1</v>
      </c>
      <c r="H13" s="23">
        <v>2.7</v>
      </c>
      <c r="I13" s="23">
        <v>14769.5</v>
      </c>
      <c r="J13" s="25">
        <v>150570.1</v>
      </c>
      <c r="K13" s="25">
        <f aca="true" t="shared" si="0" ref="K13:K100">SUM(B13:J13)</f>
        <v>575304.6</v>
      </c>
      <c r="L13" s="24"/>
      <c r="M13" s="28"/>
      <c r="N13" s="26"/>
      <c r="O13" s="26"/>
      <c r="P13" s="26"/>
    </row>
    <row r="14" spans="1:16" s="27" customFormat="1" ht="12.75" hidden="1">
      <c r="A14" s="29" t="s">
        <v>65</v>
      </c>
      <c r="B14" s="23">
        <v>52420</v>
      </c>
      <c r="C14" s="24">
        <v>2288</v>
      </c>
      <c r="D14" s="23">
        <v>32871.4</v>
      </c>
      <c r="E14" s="24">
        <v>361388.1</v>
      </c>
      <c r="F14" s="23">
        <v>20206.7</v>
      </c>
      <c r="G14" s="24">
        <v>2416.1</v>
      </c>
      <c r="H14" s="23">
        <v>2.7</v>
      </c>
      <c r="I14" s="23">
        <v>10386.6</v>
      </c>
      <c r="J14" s="25">
        <v>169781.09999999998</v>
      </c>
      <c r="K14" s="25">
        <f t="shared" si="0"/>
        <v>651760.7</v>
      </c>
      <c r="L14" s="24"/>
      <c r="M14" s="28"/>
      <c r="N14" s="26"/>
      <c r="O14" s="26"/>
      <c r="P14" s="26"/>
    </row>
    <row r="15" spans="1:16" s="27" customFormat="1" ht="12.75" hidden="1">
      <c r="A15" s="29" t="s">
        <v>64</v>
      </c>
      <c r="B15" s="23">
        <v>47944.1</v>
      </c>
      <c r="C15" s="24">
        <v>3995.1</v>
      </c>
      <c r="D15" s="23">
        <v>42262.7</v>
      </c>
      <c r="E15" s="24">
        <v>364183.3</v>
      </c>
      <c r="F15" s="23">
        <v>25710.4</v>
      </c>
      <c r="G15" s="24">
        <v>2888</v>
      </c>
      <c r="H15" s="23" t="s">
        <v>60</v>
      </c>
      <c r="I15" s="23">
        <v>6959.1</v>
      </c>
      <c r="J15" s="25">
        <v>206356.8</v>
      </c>
      <c r="K15" s="25">
        <f t="shared" si="0"/>
        <v>700299.5</v>
      </c>
      <c r="L15" s="24"/>
      <c r="M15" s="28"/>
      <c r="N15" s="26"/>
      <c r="O15" s="26"/>
      <c r="P15" s="26"/>
    </row>
    <row r="16" spans="1:16" s="27" customFormat="1" ht="12.75" hidden="1">
      <c r="A16" s="29" t="s">
        <v>82</v>
      </c>
      <c r="B16" s="23">
        <v>71856.2</v>
      </c>
      <c r="C16" s="24">
        <v>8211.1</v>
      </c>
      <c r="D16" s="23">
        <v>58262.9</v>
      </c>
      <c r="E16" s="24">
        <v>361452.6</v>
      </c>
      <c r="F16" s="23">
        <v>20276.5</v>
      </c>
      <c r="G16" s="24">
        <v>4398.7</v>
      </c>
      <c r="H16" s="23">
        <v>576.2</v>
      </c>
      <c r="I16" s="23">
        <v>2209.2</v>
      </c>
      <c r="J16" s="25">
        <v>291304.39999999997</v>
      </c>
      <c r="K16" s="25">
        <f t="shared" si="0"/>
        <v>818547.7999999998</v>
      </c>
      <c r="L16" s="24"/>
      <c r="M16" s="28"/>
      <c r="N16" s="26"/>
      <c r="O16" s="26"/>
      <c r="P16" s="26"/>
    </row>
    <row r="17" spans="1:16" s="27" customFormat="1" ht="12.75">
      <c r="A17" s="29" t="s">
        <v>102</v>
      </c>
      <c r="B17" s="23">
        <v>78983.9</v>
      </c>
      <c r="C17" s="24">
        <v>37388.1</v>
      </c>
      <c r="D17" s="23">
        <v>119717.9</v>
      </c>
      <c r="E17" s="24">
        <v>236010.9</v>
      </c>
      <c r="F17" s="23">
        <f>30660.7+27246</f>
        <v>57906.7</v>
      </c>
      <c r="G17" s="24">
        <v>24451.7</v>
      </c>
      <c r="H17" s="23">
        <v>698.4</v>
      </c>
      <c r="I17" s="23">
        <v>20693</v>
      </c>
      <c r="J17" s="25">
        <v>225248.8</v>
      </c>
      <c r="K17" s="25">
        <f>SUM(B17:J17)</f>
        <v>801099.3999999999</v>
      </c>
      <c r="L17" s="26"/>
      <c r="M17" s="26"/>
      <c r="N17" s="26"/>
      <c r="O17" s="26"/>
      <c r="P17" s="26"/>
    </row>
    <row r="18" spans="1:16" s="27" customFormat="1" ht="12.75">
      <c r="A18" s="29" t="s">
        <v>116</v>
      </c>
      <c r="B18" s="23">
        <v>92849.1</v>
      </c>
      <c r="C18" s="23">
        <v>31920.9</v>
      </c>
      <c r="D18" s="23">
        <v>93114.2</v>
      </c>
      <c r="E18" s="23">
        <v>239834.2</v>
      </c>
      <c r="F18" s="23">
        <f>30036.4+28094.6</f>
        <v>58131</v>
      </c>
      <c r="G18" s="23">
        <v>25379.8</v>
      </c>
      <c r="H18" s="23">
        <v>510.6</v>
      </c>
      <c r="I18" s="23">
        <v>8714.2</v>
      </c>
      <c r="J18" s="23">
        <f>1586.8+66.4+36001.3+3203.8+7836.8+2371.7+210256.6</f>
        <v>261323.40000000002</v>
      </c>
      <c r="K18" s="25">
        <f>SUM(B18:J18)</f>
        <v>811777.4</v>
      </c>
      <c r="L18" s="26"/>
      <c r="M18" s="26"/>
      <c r="N18" s="26"/>
      <c r="O18" s="26"/>
      <c r="P18" s="26"/>
    </row>
    <row r="19" spans="1:16" s="27" customFormat="1" ht="12.75">
      <c r="A19" s="29" t="s">
        <v>129</v>
      </c>
      <c r="B19" s="23">
        <v>106612.4</v>
      </c>
      <c r="C19" s="23">
        <v>28299.2</v>
      </c>
      <c r="D19" s="23">
        <v>84716.4</v>
      </c>
      <c r="E19" s="23">
        <v>225064.2</v>
      </c>
      <c r="F19" s="23">
        <f>25177.8+22336.9</f>
        <v>47514.7</v>
      </c>
      <c r="G19" s="23">
        <v>18013.7</v>
      </c>
      <c r="H19" s="23">
        <v>863.6</v>
      </c>
      <c r="I19" s="23">
        <v>14984.5</v>
      </c>
      <c r="J19" s="23">
        <f>6555.5+494.5+36777.2+2551.5+7235.4+2591.9+215925.4</f>
        <v>272131.4</v>
      </c>
      <c r="K19" s="25">
        <f>SUM(B19:J19)</f>
        <v>798200.1</v>
      </c>
      <c r="L19" s="26"/>
      <c r="M19" s="26"/>
      <c r="N19" s="26"/>
      <c r="O19" s="26"/>
      <c r="P19" s="26"/>
    </row>
    <row r="20" spans="1:16" s="27" customFormat="1" ht="13.5" customHeight="1">
      <c r="A20" s="29" t="s">
        <v>153</v>
      </c>
      <c r="B20" s="23">
        <v>134157.9</v>
      </c>
      <c r="C20" s="23">
        <v>25683.1</v>
      </c>
      <c r="D20" s="23">
        <v>73101.9</v>
      </c>
      <c r="E20" s="23">
        <v>251994.5</v>
      </c>
      <c r="F20" s="23">
        <f>17495+21125.6</f>
        <v>38620.6</v>
      </c>
      <c r="G20" s="23">
        <v>17717.6</v>
      </c>
      <c r="H20" s="23">
        <v>1214.3</v>
      </c>
      <c r="I20" s="23">
        <v>42849.8</v>
      </c>
      <c r="J20" s="23">
        <f>12517.3+1732.7+40330.1+7431+8768.8+2344.2+285586</f>
        <v>358710.1</v>
      </c>
      <c r="K20" s="25">
        <f>SUM(B20:J20)</f>
        <v>944049.8</v>
      </c>
      <c r="L20" s="26"/>
      <c r="M20" s="26"/>
      <c r="N20" s="26"/>
      <c r="O20" s="26"/>
      <c r="P20" s="26"/>
    </row>
    <row r="21" spans="1:16" s="27" customFormat="1" ht="12.75">
      <c r="A21" s="29" t="s">
        <v>175</v>
      </c>
      <c r="B21" s="23">
        <v>168760.4</v>
      </c>
      <c r="C21" s="23">
        <v>35760.3</v>
      </c>
      <c r="D21" s="23">
        <v>48513.7</v>
      </c>
      <c r="E21" s="23">
        <v>373149.5</v>
      </c>
      <c r="F21" s="23">
        <f>14048.9+16469.2</f>
        <v>30518.1</v>
      </c>
      <c r="G21" s="23">
        <v>19960.3</v>
      </c>
      <c r="H21" s="23">
        <v>1022</v>
      </c>
      <c r="I21" s="23">
        <v>15443.6</v>
      </c>
      <c r="J21" s="23">
        <f>8149.9+1633.8+90598.3+7577.6+12631.7+2761.9+329461.4</f>
        <v>452814.60000000003</v>
      </c>
      <c r="K21" s="25">
        <f>SUM(B21:J21)</f>
        <v>1145942.5</v>
      </c>
      <c r="L21" s="26"/>
      <c r="M21" s="26"/>
      <c r="N21" s="26"/>
      <c r="O21" s="26"/>
      <c r="P21" s="26"/>
    </row>
    <row r="22" spans="1:16" s="27" customFormat="1" ht="12.75">
      <c r="A22" s="22"/>
      <c r="B22" s="23"/>
      <c r="C22" s="24"/>
      <c r="D22" s="23"/>
      <c r="E22" s="24"/>
      <c r="F22" s="23"/>
      <c r="G22" s="24"/>
      <c r="H22" s="23"/>
      <c r="I22" s="23"/>
      <c r="J22" s="25"/>
      <c r="K22" s="25"/>
      <c r="L22" s="26"/>
      <c r="M22" s="26"/>
      <c r="N22" s="26"/>
      <c r="O22" s="26"/>
      <c r="P22" s="26"/>
    </row>
    <row r="23" spans="1:16" s="27" customFormat="1" ht="12.75" hidden="1">
      <c r="A23" s="22" t="s">
        <v>100</v>
      </c>
      <c r="B23" s="23">
        <v>52420</v>
      </c>
      <c r="C23" s="24">
        <v>2288</v>
      </c>
      <c r="D23" s="23">
        <v>32871.4</v>
      </c>
      <c r="E23" s="24">
        <v>361388.1</v>
      </c>
      <c r="F23" s="23">
        <v>20206.7</v>
      </c>
      <c r="G23" s="24">
        <v>2416.1</v>
      </c>
      <c r="H23" s="23">
        <v>2.7</v>
      </c>
      <c r="I23" s="23">
        <v>10386.6</v>
      </c>
      <c r="J23" s="25">
        <v>169781.09999999998</v>
      </c>
      <c r="K23" s="25">
        <f t="shared" si="0"/>
        <v>651760.7</v>
      </c>
      <c r="L23" s="26"/>
      <c r="M23" s="26"/>
      <c r="N23" s="26"/>
      <c r="O23" s="26"/>
      <c r="P23" s="26"/>
    </row>
    <row r="24" spans="1:16" s="27" customFormat="1" ht="12.75" hidden="1">
      <c r="A24" s="22" t="s">
        <v>105</v>
      </c>
      <c r="B24" s="23">
        <v>54368</v>
      </c>
      <c r="C24" s="24">
        <v>2045.7</v>
      </c>
      <c r="D24" s="23">
        <v>38013.5</v>
      </c>
      <c r="E24" s="24">
        <v>384599.3</v>
      </c>
      <c r="F24" s="23">
        <v>21423.6</v>
      </c>
      <c r="G24" s="24">
        <v>2638.5</v>
      </c>
      <c r="H24" s="23">
        <v>2.2</v>
      </c>
      <c r="I24" s="23">
        <v>6420.5</v>
      </c>
      <c r="J24" s="25">
        <v>170946.4</v>
      </c>
      <c r="K24" s="25">
        <v>680457.7</v>
      </c>
      <c r="L24" s="26"/>
      <c r="M24" s="26"/>
      <c r="N24" s="26"/>
      <c r="O24" s="26"/>
      <c r="P24" s="26"/>
    </row>
    <row r="25" spans="1:16" s="27" customFormat="1" ht="12.75" hidden="1">
      <c r="A25" s="22" t="s">
        <v>109</v>
      </c>
      <c r="B25" s="23">
        <v>50739</v>
      </c>
      <c r="C25" s="24">
        <v>2911.2</v>
      </c>
      <c r="D25" s="23">
        <v>40810.7</v>
      </c>
      <c r="E25" s="24">
        <v>380962</v>
      </c>
      <c r="F25" s="23">
        <v>21768.2</v>
      </c>
      <c r="G25" s="24">
        <v>2815</v>
      </c>
      <c r="H25" s="23">
        <v>1.3</v>
      </c>
      <c r="I25" s="23">
        <v>2281.3</v>
      </c>
      <c r="J25" s="25">
        <v>185208.19999999998</v>
      </c>
      <c r="K25" s="25">
        <f t="shared" si="0"/>
        <v>687496.9</v>
      </c>
      <c r="L25" s="26"/>
      <c r="M25" s="26"/>
      <c r="N25" s="26"/>
      <c r="O25" s="26"/>
      <c r="P25" s="26"/>
    </row>
    <row r="26" spans="1:16" s="27" customFormat="1" ht="12.75" hidden="1">
      <c r="A26" s="22" t="s">
        <v>96</v>
      </c>
      <c r="B26" s="23">
        <v>51956.1</v>
      </c>
      <c r="C26" s="24">
        <v>3976.9</v>
      </c>
      <c r="D26" s="23">
        <v>38731.4</v>
      </c>
      <c r="E26" s="24">
        <v>374248.2</v>
      </c>
      <c r="F26" s="23">
        <v>29934</v>
      </c>
      <c r="G26" s="24">
        <v>4325.6</v>
      </c>
      <c r="H26" s="23" t="s">
        <v>60</v>
      </c>
      <c r="I26" s="23">
        <v>10040.6</v>
      </c>
      <c r="J26" s="25">
        <v>203455.2</v>
      </c>
      <c r="K26" s="25">
        <f t="shared" si="0"/>
        <v>716668</v>
      </c>
      <c r="L26" s="26"/>
      <c r="M26" s="26"/>
      <c r="N26" s="26"/>
      <c r="O26" s="26"/>
      <c r="P26" s="26"/>
    </row>
    <row r="27" spans="1:16" s="27" customFormat="1" ht="12.75" hidden="1">
      <c r="A27" s="22" t="s">
        <v>99</v>
      </c>
      <c r="B27" s="23">
        <v>47944.1</v>
      </c>
      <c r="C27" s="24">
        <v>3995.1</v>
      </c>
      <c r="D27" s="23">
        <v>42262.7</v>
      </c>
      <c r="E27" s="24">
        <v>364183.3</v>
      </c>
      <c r="F27" s="23">
        <v>25710.4</v>
      </c>
      <c r="G27" s="24">
        <v>2888</v>
      </c>
      <c r="H27" s="23" t="s">
        <v>60</v>
      </c>
      <c r="I27" s="23">
        <v>6959.1</v>
      </c>
      <c r="J27" s="25">
        <v>206356.8</v>
      </c>
      <c r="K27" s="25">
        <f t="shared" si="0"/>
        <v>700299.5</v>
      </c>
      <c r="L27" s="26"/>
      <c r="M27" s="26"/>
      <c r="N27" s="26"/>
      <c r="O27" s="26"/>
      <c r="P27" s="26"/>
    </row>
    <row r="28" spans="1:16" s="27" customFormat="1" ht="12.75" hidden="1">
      <c r="A28" s="22"/>
      <c r="B28" s="23"/>
      <c r="C28" s="24"/>
      <c r="D28" s="23"/>
      <c r="E28" s="24"/>
      <c r="F28" s="23"/>
      <c r="G28" s="24"/>
      <c r="H28" s="23"/>
      <c r="I28" s="23"/>
      <c r="J28" s="25"/>
      <c r="K28" s="25"/>
      <c r="L28" s="26"/>
      <c r="M28" s="26"/>
      <c r="N28" s="26"/>
      <c r="O28" s="26"/>
      <c r="P28" s="26"/>
    </row>
    <row r="29" spans="1:16" s="27" customFormat="1" ht="12.75" hidden="1">
      <c r="A29" s="22" t="s">
        <v>86</v>
      </c>
      <c r="B29" s="23">
        <v>48679.6</v>
      </c>
      <c r="C29" s="24">
        <v>4169.7</v>
      </c>
      <c r="D29" s="23">
        <v>51636.6</v>
      </c>
      <c r="E29" s="24">
        <v>351656</v>
      </c>
      <c r="F29" s="23">
        <v>33061.5</v>
      </c>
      <c r="G29" s="24">
        <v>3042.3</v>
      </c>
      <c r="H29" s="23">
        <v>789.2</v>
      </c>
      <c r="I29" s="23">
        <v>3429.6</v>
      </c>
      <c r="J29" s="25">
        <v>207755.1</v>
      </c>
      <c r="K29" s="25">
        <f t="shared" si="0"/>
        <v>704219.6</v>
      </c>
      <c r="L29" s="26"/>
      <c r="M29" s="26"/>
      <c r="N29" s="26"/>
      <c r="O29" s="26"/>
      <c r="P29" s="26"/>
    </row>
    <row r="30" spans="1:16" s="27" customFormat="1" ht="12.75" hidden="1">
      <c r="A30" s="22" t="s">
        <v>83</v>
      </c>
      <c r="B30" s="23">
        <v>50105.1</v>
      </c>
      <c r="C30" s="24">
        <v>5474.4</v>
      </c>
      <c r="D30" s="23">
        <v>54542.4</v>
      </c>
      <c r="E30" s="24">
        <v>350552</v>
      </c>
      <c r="F30" s="23">
        <v>32087.4</v>
      </c>
      <c r="G30" s="24">
        <v>2731.2</v>
      </c>
      <c r="H30" s="23">
        <v>712.6</v>
      </c>
      <c r="I30" s="23">
        <v>8897.7</v>
      </c>
      <c r="J30" s="25">
        <v>229217.6</v>
      </c>
      <c r="K30" s="25">
        <f t="shared" si="0"/>
        <v>734320.4</v>
      </c>
      <c r="L30" s="26"/>
      <c r="M30" s="26"/>
      <c r="N30" s="26"/>
      <c r="O30" s="26"/>
      <c r="P30" s="26"/>
    </row>
    <row r="31" spans="1:16" s="27" customFormat="1" ht="12.75" hidden="1">
      <c r="A31" s="22" t="s">
        <v>111</v>
      </c>
      <c r="B31" s="23">
        <v>64598.1</v>
      </c>
      <c r="C31" s="24">
        <v>5537.9</v>
      </c>
      <c r="D31" s="23">
        <v>58888.9</v>
      </c>
      <c r="E31" s="24">
        <v>333194.1</v>
      </c>
      <c r="F31" s="23">
        <v>32267.4</v>
      </c>
      <c r="G31" s="24">
        <v>4762.9</v>
      </c>
      <c r="H31" s="23">
        <v>684.4</v>
      </c>
      <c r="I31" s="23">
        <v>8632.2</v>
      </c>
      <c r="J31" s="25">
        <v>242373.3</v>
      </c>
      <c r="K31" s="25">
        <f t="shared" si="0"/>
        <v>750939.2000000001</v>
      </c>
      <c r="L31" s="26"/>
      <c r="M31" s="26"/>
      <c r="N31" s="26"/>
      <c r="O31" s="26"/>
      <c r="P31" s="26"/>
    </row>
    <row r="32" spans="1:16" s="27" customFormat="1" ht="12.75" hidden="1">
      <c r="A32" s="22" t="s">
        <v>117</v>
      </c>
      <c r="B32" s="23">
        <v>71856.2</v>
      </c>
      <c r="C32" s="24">
        <v>8211.1</v>
      </c>
      <c r="D32" s="23">
        <v>58262.9</v>
      </c>
      <c r="E32" s="24">
        <v>361452.6</v>
      </c>
      <c r="F32" s="23">
        <v>20276.5</v>
      </c>
      <c r="G32" s="24">
        <v>4398.7</v>
      </c>
      <c r="H32" s="23">
        <v>576.2</v>
      </c>
      <c r="I32" s="23">
        <v>2209.2</v>
      </c>
      <c r="J32" s="25">
        <v>291304.39999999997</v>
      </c>
      <c r="K32" s="25">
        <f t="shared" si="0"/>
        <v>818547.7999999998</v>
      </c>
      <c r="L32" s="26"/>
      <c r="M32" s="26"/>
      <c r="N32" s="26"/>
      <c r="O32" s="26"/>
      <c r="P32" s="26"/>
    </row>
    <row r="33" spans="1:16" s="27" customFormat="1" ht="12.75" hidden="1">
      <c r="A33" s="22"/>
      <c r="B33" s="23"/>
      <c r="C33" s="24"/>
      <c r="D33" s="23"/>
      <c r="E33" s="24"/>
      <c r="F33" s="23"/>
      <c r="G33" s="24"/>
      <c r="H33" s="23"/>
      <c r="I33" s="23"/>
      <c r="J33" s="25"/>
      <c r="K33" s="25"/>
      <c r="L33" s="26"/>
      <c r="M33" s="26"/>
      <c r="N33" s="26"/>
      <c r="O33" s="26"/>
      <c r="P33" s="26"/>
    </row>
    <row r="34" spans="1:16" s="27" customFormat="1" ht="12.75" hidden="1">
      <c r="A34" s="22"/>
      <c r="B34" s="23"/>
      <c r="C34" s="24"/>
      <c r="D34" s="23"/>
      <c r="E34" s="24"/>
      <c r="F34" s="23"/>
      <c r="G34" s="24"/>
      <c r="H34" s="23"/>
      <c r="I34" s="23"/>
      <c r="J34" s="25"/>
      <c r="K34" s="25"/>
      <c r="L34" s="26"/>
      <c r="M34" s="26"/>
      <c r="N34" s="26"/>
      <c r="O34" s="26"/>
      <c r="P34" s="26"/>
    </row>
    <row r="35" spans="1:16" s="27" customFormat="1" ht="12.75" hidden="1">
      <c r="A35" s="22" t="s">
        <v>87</v>
      </c>
      <c r="B35" s="23">
        <v>54705.5</v>
      </c>
      <c r="C35" s="24">
        <v>15163.6</v>
      </c>
      <c r="D35" s="23">
        <v>54642.7</v>
      </c>
      <c r="E35" s="24">
        <v>344841.8</v>
      </c>
      <c r="F35" s="23">
        <v>32063</v>
      </c>
      <c r="G35" s="24">
        <v>4383.1</v>
      </c>
      <c r="H35" s="23">
        <v>780.9</v>
      </c>
      <c r="I35" s="23">
        <v>5643.8</v>
      </c>
      <c r="J35" s="25">
        <v>290223.89999999997</v>
      </c>
      <c r="K35" s="25">
        <f>SUM(B35:J35)</f>
        <v>802448.2999999999</v>
      </c>
      <c r="L35" s="26"/>
      <c r="M35" s="26"/>
      <c r="N35" s="26"/>
      <c r="O35" s="26"/>
      <c r="P35" s="26"/>
    </row>
    <row r="36" spans="1:16" s="27" customFormat="1" ht="12.75" hidden="1">
      <c r="A36" s="22" t="s">
        <v>83</v>
      </c>
      <c r="B36" s="23">
        <v>53782.6</v>
      </c>
      <c r="C36" s="24">
        <v>15877</v>
      </c>
      <c r="D36" s="23">
        <v>49627</v>
      </c>
      <c r="E36" s="24">
        <v>345957.7</v>
      </c>
      <c r="F36" s="23">
        <v>36420.3</v>
      </c>
      <c r="G36" s="24">
        <v>3784.5</v>
      </c>
      <c r="H36" s="23">
        <v>894.1</v>
      </c>
      <c r="I36" s="23">
        <v>23943.4</v>
      </c>
      <c r="J36" s="25">
        <v>290072</v>
      </c>
      <c r="K36" s="25">
        <f t="shared" si="0"/>
        <v>820358.6</v>
      </c>
      <c r="L36" s="26"/>
      <c r="M36" s="26"/>
      <c r="N36" s="26"/>
      <c r="O36" s="26"/>
      <c r="P36" s="26"/>
    </row>
    <row r="37" spans="1:16" s="27" customFormat="1" ht="12.75" hidden="1">
      <c r="A37" s="22" t="s">
        <v>84</v>
      </c>
      <c r="B37" s="23">
        <v>56708.9</v>
      </c>
      <c r="C37" s="24">
        <v>17349.8</v>
      </c>
      <c r="D37" s="23">
        <v>51032.3</v>
      </c>
      <c r="E37" s="24">
        <v>341063</v>
      </c>
      <c r="F37" s="23">
        <v>37387.4</v>
      </c>
      <c r="G37" s="24">
        <v>4411.5</v>
      </c>
      <c r="H37" s="23">
        <v>797.3</v>
      </c>
      <c r="I37" s="23">
        <v>28488.8</v>
      </c>
      <c r="J37" s="25">
        <v>287657.8</v>
      </c>
      <c r="K37" s="25">
        <f t="shared" si="0"/>
        <v>824896.8</v>
      </c>
      <c r="L37" s="26"/>
      <c r="M37" s="26"/>
      <c r="N37" s="26"/>
      <c r="O37" s="26"/>
      <c r="P37" s="26"/>
    </row>
    <row r="38" spans="1:16" s="27" customFormat="1" ht="12.75" hidden="1">
      <c r="A38" s="22" t="s">
        <v>85</v>
      </c>
      <c r="B38" s="23">
        <v>78983.9</v>
      </c>
      <c r="C38" s="24">
        <v>37388.1</v>
      </c>
      <c r="D38" s="23">
        <v>119717.9</v>
      </c>
      <c r="E38" s="24">
        <v>236010.9</v>
      </c>
      <c r="F38" s="23">
        <f>30660.7+27246</f>
        <v>57906.7</v>
      </c>
      <c r="G38" s="24">
        <v>24451.7</v>
      </c>
      <c r="H38" s="23">
        <v>698.4</v>
      </c>
      <c r="I38" s="23">
        <v>20693</v>
      </c>
      <c r="J38" s="25">
        <v>225248.8</v>
      </c>
      <c r="K38" s="25">
        <f t="shared" si="0"/>
        <v>801099.3999999999</v>
      </c>
      <c r="L38" s="26"/>
      <c r="M38" s="26"/>
      <c r="N38" s="26"/>
      <c r="O38" s="26"/>
      <c r="P38" s="26"/>
    </row>
    <row r="39" spans="1:16" s="27" customFormat="1" ht="12.75" hidden="1">
      <c r="A39" s="22"/>
      <c r="B39" s="23"/>
      <c r="C39" s="24"/>
      <c r="D39" s="23"/>
      <c r="E39" s="24"/>
      <c r="F39" s="23"/>
      <c r="G39" s="24"/>
      <c r="H39" s="23"/>
      <c r="I39" s="23"/>
      <c r="J39" s="25"/>
      <c r="K39" s="25"/>
      <c r="L39" s="26"/>
      <c r="M39" s="26"/>
      <c r="N39" s="26"/>
      <c r="O39" s="26"/>
      <c r="P39" s="26"/>
    </row>
    <row r="40" spans="1:16" s="27" customFormat="1" ht="12.75" hidden="1">
      <c r="A40" s="22" t="s">
        <v>104</v>
      </c>
      <c r="B40" s="23">
        <v>78597</v>
      </c>
      <c r="C40" s="24">
        <v>35654.2</v>
      </c>
      <c r="D40" s="23">
        <v>99770.4</v>
      </c>
      <c r="E40" s="24">
        <v>242568.1</v>
      </c>
      <c r="F40" s="23">
        <f>30502+29923.3</f>
        <v>60425.3</v>
      </c>
      <c r="G40" s="24">
        <v>26700.2</v>
      </c>
      <c r="H40" s="23">
        <v>596.1</v>
      </c>
      <c r="I40" s="23">
        <v>11115.3</v>
      </c>
      <c r="J40" s="25">
        <f>69.1+8661.2+4078.5+10111.6+2.6+228834.9</f>
        <v>251757.9</v>
      </c>
      <c r="K40" s="25">
        <f>SUM(B40:J40)</f>
        <v>807184.5</v>
      </c>
      <c r="L40" s="26"/>
      <c r="M40" s="26"/>
      <c r="N40" s="26"/>
      <c r="O40" s="26"/>
      <c r="P40" s="26"/>
    </row>
    <row r="41" spans="1:16" s="27" customFormat="1" ht="12.75" hidden="1">
      <c r="A41" s="22" t="s">
        <v>83</v>
      </c>
      <c r="B41" s="23">
        <v>84182.3</v>
      </c>
      <c r="C41" s="23">
        <v>36462.4</v>
      </c>
      <c r="D41" s="23">
        <v>97862</v>
      </c>
      <c r="E41" s="23">
        <v>264456.2</v>
      </c>
      <c r="F41" s="23">
        <f>28919.3+30491.9</f>
        <v>59411.2</v>
      </c>
      <c r="G41" s="23">
        <v>26993.4</v>
      </c>
      <c r="H41" s="23">
        <v>492.1</v>
      </c>
      <c r="I41" s="23">
        <v>16862.1</v>
      </c>
      <c r="J41" s="23">
        <f>0.2+22.3+7318.2+3652.6+11215.1+2+220175.7</f>
        <v>242386.1</v>
      </c>
      <c r="K41" s="25">
        <f>SUM(B41:J41)</f>
        <v>829107.7999999999</v>
      </c>
      <c r="L41" s="26"/>
      <c r="M41" s="26"/>
      <c r="N41" s="26"/>
      <c r="O41" s="26"/>
      <c r="P41" s="26"/>
    </row>
    <row r="42" spans="1:16" s="27" customFormat="1" ht="12.75" hidden="1">
      <c r="A42" s="22" t="s">
        <v>84</v>
      </c>
      <c r="B42" s="23">
        <v>84814</v>
      </c>
      <c r="C42" s="23">
        <v>35757.9</v>
      </c>
      <c r="D42" s="23">
        <v>99398.2</v>
      </c>
      <c r="E42" s="23">
        <v>246817.3</v>
      </c>
      <c r="F42" s="23">
        <f>29972.7+31019.3</f>
        <v>60992</v>
      </c>
      <c r="G42" s="23">
        <v>26567.7</v>
      </c>
      <c r="H42" s="23">
        <v>536.3</v>
      </c>
      <c r="I42" s="23">
        <v>17032.9</v>
      </c>
      <c r="J42" s="23">
        <f>59.2+7379.6+3426+9149+2+247930.4</f>
        <v>267946.2</v>
      </c>
      <c r="K42" s="25">
        <f>SUM(B42:J42)</f>
        <v>839862.5</v>
      </c>
      <c r="L42" s="26"/>
      <c r="M42" s="26"/>
      <c r="N42" s="26"/>
      <c r="O42" s="26"/>
      <c r="P42" s="26"/>
    </row>
    <row r="43" spans="1:16" s="27" customFormat="1" ht="12.75" hidden="1">
      <c r="A43" s="22" t="s">
        <v>85</v>
      </c>
      <c r="B43" s="23">
        <v>92849.1</v>
      </c>
      <c r="C43" s="23">
        <v>31920.9</v>
      </c>
      <c r="D43" s="23">
        <v>93114.2</v>
      </c>
      <c r="E43" s="23">
        <v>239834.2</v>
      </c>
      <c r="F43" s="23">
        <f>30036.4+28094.6</f>
        <v>58131</v>
      </c>
      <c r="G43" s="23">
        <v>25379.8</v>
      </c>
      <c r="H43" s="23">
        <v>510.6</v>
      </c>
      <c r="I43" s="23">
        <v>8714.2</v>
      </c>
      <c r="J43" s="23">
        <f>1586.8+66.4+36001.3+3203.8+7836.8+2371.7+210256.6</f>
        <v>261323.40000000002</v>
      </c>
      <c r="K43" s="25">
        <f>SUM(B43:J43)</f>
        <v>811777.4</v>
      </c>
      <c r="L43" s="26"/>
      <c r="M43" s="26"/>
      <c r="N43" s="26"/>
      <c r="O43" s="26"/>
      <c r="P43" s="26"/>
    </row>
    <row r="44" spans="1:16" s="27" customFormat="1" ht="12.75">
      <c r="A44" s="22"/>
      <c r="B44" s="23"/>
      <c r="C44" s="24"/>
      <c r="D44" s="23"/>
      <c r="E44" s="24"/>
      <c r="F44" s="23"/>
      <c r="G44" s="24"/>
      <c r="H44" s="23"/>
      <c r="I44" s="23"/>
      <c r="J44" s="25"/>
      <c r="K44" s="25"/>
      <c r="L44" s="26"/>
      <c r="M44" s="26"/>
      <c r="N44" s="26"/>
      <c r="O44" s="26"/>
      <c r="P44" s="26"/>
    </row>
    <row r="45" spans="1:16" s="27" customFormat="1" ht="12.75">
      <c r="A45" s="22" t="s">
        <v>120</v>
      </c>
      <c r="B45" s="23">
        <v>94155.9</v>
      </c>
      <c r="C45" s="23">
        <v>27993.9</v>
      </c>
      <c r="D45" s="23">
        <v>93768.8</v>
      </c>
      <c r="E45" s="23">
        <v>219230.3</v>
      </c>
      <c r="F45" s="23">
        <f>22294.9+26507.2</f>
        <v>48802.100000000006</v>
      </c>
      <c r="G45" s="23">
        <v>19661.5</v>
      </c>
      <c r="H45" s="23">
        <v>591.9</v>
      </c>
      <c r="I45" s="23">
        <v>5743.6</v>
      </c>
      <c r="J45" s="23">
        <f>1537.8+0.4+33830.9+2864.9+7731.6+2288.3+192068.7</f>
        <v>240322.6</v>
      </c>
      <c r="K45" s="25">
        <f>SUM(B45:J45)</f>
        <v>750270.6</v>
      </c>
      <c r="L45" s="26"/>
      <c r="M45" s="26"/>
      <c r="N45" s="26"/>
      <c r="O45" s="26"/>
      <c r="P45" s="26"/>
    </row>
    <row r="46" spans="1:16" s="27" customFormat="1" ht="12.75">
      <c r="A46" s="22" t="s">
        <v>83</v>
      </c>
      <c r="B46" s="23">
        <v>100397.6</v>
      </c>
      <c r="C46" s="23">
        <v>26561.7</v>
      </c>
      <c r="D46" s="23">
        <v>90100.6</v>
      </c>
      <c r="E46" s="23">
        <v>224189.4</v>
      </c>
      <c r="F46" s="23">
        <f>26072.6+23982.5</f>
        <v>50055.1</v>
      </c>
      <c r="G46" s="23">
        <v>18483.4</v>
      </c>
      <c r="H46" s="23">
        <v>801.4</v>
      </c>
      <c r="I46" s="23">
        <v>19697</v>
      </c>
      <c r="J46" s="23">
        <f>6378+52.2+37022.8+3063.8+7723.8+3117.3+216443.9</f>
        <v>273801.8</v>
      </c>
      <c r="K46" s="25">
        <f>SUM(B46:J46)</f>
        <v>804088</v>
      </c>
      <c r="L46" s="26"/>
      <c r="M46" s="26"/>
      <c r="N46" s="26"/>
      <c r="O46" s="26"/>
      <c r="P46" s="26"/>
    </row>
    <row r="47" spans="1:16" s="27" customFormat="1" ht="12.75">
      <c r="A47" s="22" t="s">
        <v>84</v>
      </c>
      <c r="B47" s="23">
        <v>102759.5</v>
      </c>
      <c r="C47" s="23">
        <v>27801.9</v>
      </c>
      <c r="D47" s="23">
        <v>82506.1</v>
      </c>
      <c r="E47" s="23">
        <v>233092.7</v>
      </c>
      <c r="F47" s="23">
        <f>23828.6+32635.7</f>
        <v>56464.3</v>
      </c>
      <c r="G47" s="23">
        <v>18488.3</v>
      </c>
      <c r="H47" s="23">
        <v>851.2</v>
      </c>
      <c r="I47" s="23">
        <v>30636.3</v>
      </c>
      <c r="J47" s="23">
        <f>9373.7+66.6+35383.5+2743.3+6523+2549.9+227630.7</f>
        <v>284270.7</v>
      </c>
      <c r="K47" s="25">
        <f>SUM(B47:J47)</f>
        <v>836871</v>
      </c>
      <c r="L47" s="26"/>
      <c r="M47" s="26"/>
      <c r="N47" s="26"/>
      <c r="O47" s="26"/>
      <c r="P47" s="26"/>
    </row>
    <row r="48" spans="1:16" s="27" customFormat="1" ht="12.75">
      <c r="A48" s="22" t="s">
        <v>85</v>
      </c>
      <c r="B48" s="23">
        <v>106612.4</v>
      </c>
      <c r="C48" s="23">
        <v>28299.2</v>
      </c>
      <c r="D48" s="23">
        <v>84716.4</v>
      </c>
      <c r="E48" s="23">
        <v>225064.2</v>
      </c>
      <c r="F48" s="23">
        <f>25177.8+22336.9</f>
        <v>47514.7</v>
      </c>
      <c r="G48" s="23">
        <v>18013.7</v>
      </c>
      <c r="H48" s="23">
        <v>863.6</v>
      </c>
      <c r="I48" s="23">
        <v>14984.5</v>
      </c>
      <c r="J48" s="23">
        <f>6555.5+494.5+36777.2+2551.5+7235.4+2591.9+215925.4</f>
        <v>272131.4</v>
      </c>
      <c r="K48" s="25">
        <f>SUM(B48:J48)</f>
        <v>798200.1</v>
      </c>
      <c r="L48" s="26"/>
      <c r="M48" s="26"/>
      <c r="N48" s="26"/>
      <c r="O48" s="26"/>
      <c r="P48" s="26"/>
    </row>
    <row r="49" spans="1:16" s="27" customFormat="1" ht="12.75">
      <c r="A49" s="22"/>
      <c r="B49" s="23"/>
      <c r="C49" s="24"/>
      <c r="D49" s="23"/>
      <c r="E49" s="24"/>
      <c r="F49" s="23"/>
      <c r="G49" s="24"/>
      <c r="H49" s="23"/>
      <c r="I49" s="23"/>
      <c r="J49" s="25"/>
      <c r="K49" s="25"/>
      <c r="L49" s="26"/>
      <c r="M49" s="26"/>
      <c r="N49" s="26"/>
      <c r="O49" s="26"/>
      <c r="P49" s="26"/>
    </row>
    <row r="50" spans="1:16" s="27" customFormat="1" ht="12.75">
      <c r="A50" s="22" t="s">
        <v>133</v>
      </c>
      <c r="B50" s="23">
        <v>110501.8</v>
      </c>
      <c r="C50" s="23">
        <v>27478.9</v>
      </c>
      <c r="D50" s="23">
        <v>89842</v>
      </c>
      <c r="E50" s="23">
        <v>226345.3</v>
      </c>
      <c r="F50" s="23">
        <f>24551+19920.3</f>
        <v>44471.3</v>
      </c>
      <c r="G50" s="23">
        <v>17326.4</v>
      </c>
      <c r="H50" s="23">
        <v>889.9</v>
      </c>
      <c r="I50" s="23">
        <v>8184.9</v>
      </c>
      <c r="J50" s="23">
        <f>3609.9+1580.7+43286.3+2493.4+7390.6+2576.7+224778</f>
        <v>285715.6</v>
      </c>
      <c r="K50" s="25">
        <f>SUM(B50:J50)</f>
        <v>810756.1</v>
      </c>
      <c r="L50" s="26"/>
      <c r="M50" s="26"/>
      <c r="N50" s="26"/>
      <c r="O50" s="26"/>
      <c r="P50" s="26"/>
    </row>
    <row r="51" spans="1:16" s="27" customFormat="1" ht="12.75">
      <c r="A51" s="22" t="s">
        <v>83</v>
      </c>
      <c r="B51" s="23">
        <v>115278.3</v>
      </c>
      <c r="C51" s="23">
        <v>29187.6</v>
      </c>
      <c r="D51" s="23">
        <v>87595.7</v>
      </c>
      <c r="E51" s="23">
        <v>270578.9</v>
      </c>
      <c r="F51" s="23">
        <f>20286.9+22123.7</f>
        <v>42410.600000000006</v>
      </c>
      <c r="G51" s="23">
        <v>16873.8</v>
      </c>
      <c r="H51" s="23">
        <v>860.6</v>
      </c>
      <c r="I51" s="23">
        <v>25033.5</v>
      </c>
      <c r="J51" s="23">
        <f>7701.7+1350.6+46665.5+2365.2+6979.4+2613.7+236625.1</f>
        <v>304301.2</v>
      </c>
      <c r="K51" s="25">
        <f>SUM(B51:J51)</f>
        <v>892120.2</v>
      </c>
      <c r="L51" s="26"/>
      <c r="M51" s="26"/>
      <c r="N51" s="26"/>
      <c r="O51" s="26"/>
      <c r="P51" s="26"/>
    </row>
    <row r="52" spans="1:16" s="27" customFormat="1" ht="12.75">
      <c r="A52" s="22" t="s">
        <v>84</v>
      </c>
      <c r="B52" s="23">
        <v>128332.7</v>
      </c>
      <c r="C52" s="23">
        <v>23777.2</v>
      </c>
      <c r="D52" s="23">
        <v>87546.1</v>
      </c>
      <c r="E52" s="23">
        <v>257681.8</v>
      </c>
      <c r="F52" s="23">
        <f>19723+22539.7</f>
        <v>42262.7</v>
      </c>
      <c r="G52" s="23">
        <v>19408.8</v>
      </c>
      <c r="H52" s="23">
        <v>724.8</v>
      </c>
      <c r="I52" s="23">
        <v>32144.1</v>
      </c>
      <c r="J52" s="23">
        <f>9377.6+1388+46767.2+1785.9+7097.2+2472.4+280786.6</f>
        <v>349674.89999999997</v>
      </c>
      <c r="K52" s="25">
        <f>SUM(B52:J52)</f>
        <v>941553.1000000001</v>
      </c>
      <c r="L52" s="26"/>
      <c r="M52" s="26"/>
      <c r="N52" s="26"/>
      <c r="O52" s="26"/>
      <c r="P52" s="26"/>
    </row>
    <row r="53" spans="1:16" s="27" customFormat="1" ht="12.75">
      <c r="A53" s="22" t="s">
        <v>85</v>
      </c>
      <c r="B53" s="23">
        <v>134157.9</v>
      </c>
      <c r="C53" s="23">
        <v>25683.1</v>
      </c>
      <c r="D53" s="23">
        <v>73101.9</v>
      </c>
      <c r="E53" s="23">
        <v>251994.5</v>
      </c>
      <c r="F53" s="23">
        <f>17495+21125.6</f>
        <v>38620.6</v>
      </c>
      <c r="G53" s="23">
        <v>17717.6</v>
      </c>
      <c r="H53" s="23">
        <v>1214.3</v>
      </c>
      <c r="I53" s="23">
        <v>42849.8</v>
      </c>
      <c r="J53" s="23">
        <f>12517.3+1732.7+40330.1+7431+8768.8+2344.2+285586</f>
        <v>358710.1</v>
      </c>
      <c r="K53" s="25">
        <f>SUM(B53:J53)</f>
        <v>944049.8</v>
      </c>
      <c r="L53" s="26"/>
      <c r="M53" s="26"/>
      <c r="N53" s="26"/>
      <c r="O53" s="26"/>
      <c r="P53" s="26"/>
    </row>
    <row r="54" spans="1:16" s="27" customFormat="1" ht="12.75">
      <c r="A54" s="22"/>
      <c r="B54" s="23"/>
      <c r="C54" s="24"/>
      <c r="D54" s="23"/>
      <c r="E54" s="24"/>
      <c r="F54" s="23"/>
      <c r="G54" s="24"/>
      <c r="H54" s="23"/>
      <c r="I54" s="23"/>
      <c r="J54" s="25"/>
      <c r="K54" s="25"/>
      <c r="L54" s="26"/>
      <c r="M54" s="26"/>
      <c r="N54" s="26"/>
      <c r="O54" s="26"/>
      <c r="P54" s="26"/>
    </row>
    <row r="55" spans="1:16" s="27" customFormat="1" ht="12.75">
      <c r="A55" s="22" t="s">
        <v>155</v>
      </c>
      <c r="B55" s="23">
        <v>142987.6</v>
      </c>
      <c r="C55" s="23">
        <v>27913.9</v>
      </c>
      <c r="D55" s="23">
        <v>62744.8</v>
      </c>
      <c r="E55" s="23">
        <v>260288.5</v>
      </c>
      <c r="F55" s="23">
        <f>33962.6+14736.5</f>
        <v>48699.1</v>
      </c>
      <c r="G55" s="23">
        <v>19945.8</v>
      </c>
      <c r="H55" s="23">
        <v>666.6</v>
      </c>
      <c r="I55" s="23">
        <v>30359.1</v>
      </c>
      <c r="J55" s="23">
        <f>9990.7+1976.4+53333.3+7045.4+8730.2+2213.4+275803.4</f>
        <v>359092.80000000005</v>
      </c>
      <c r="K55" s="25">
        <f>SUM(B55:J55)</f>
        <v>952698.2000000001</v>
      </c>
      <c r="L55" s="26"/>
      <c r="M55" s="26"/>
      <c r="N55" s="26"/>
      <c r="O55" s="26"/>
      <c r="P55" s="26"/>
    </row>
    <row r="56" spans="1:16" s="27" customFormat="1" ht="12.75">
      <c r="A56" s="22" t="s">
        <v>139</v>
      </c>
      <c r="B56" s="23">
        <v>152785.5</v>
      </c>
      <c r="C56" s="23">
        <v>35765.9</v>
      </c>
      <c r="D56" s="23">
        <v>42446.1</v>
      </c>
      <c r="E56" s="23">
        <v>316636.2</v>
      </c>
      <c r="F56" s="23">
        <f>15013.2+19747.2</f>
        <v>34760.4</v>
      </c>
      <c r="G56" s="23">
        <v>19653.1</v>
      </c>
      <c r="H56" s="23">
        <v>817.1</v>
      </c>
      <c r="I56" s="23">
        <v>20693.7</v>
      </c>
      <c r="J56" s="23">
        <f>7544.8+1648.1+56832.5+9035.4+9077.6+2158.6+283191.5</f>
        <v>369488.5</v>
      </c>
      <c r="K56" s="25">
        <f>SUM(B56:J56)</f>
        <v>993046.4999999999</v>
      </c>
      <c r="L56" s="26"/>
      <c r="M56" s="26"/>
      <c r="N56" s="26"/>
      <c r="O56" s="26"/>
      <c r="P56" s="26"/>
    </row>
    <row r="57" spans="1:16" s="27" customFormat="1" ht="12.75">
      <c r="A57" s="22" t="s">
        <v>84</v>
      </c>
      <c r="B57" s="23">
        <v>157875.9</v>
      </c>
      <c r="C57" s="23">
        <v>28283.5</v>
      </c>
      <c r="D57" s="23">
        <v>45793.4</v>
      </c>
      <c r="E57" s="23">
        <v>336993.1</v>
      </c>
      <c r="F57" s="23">
        <f>17154.5+22638.6</f>
        <v>39793.1</v>
      </c>
      <c r="G57" s="23">
        <v>23276.1</v>
      </c>
      <c r="H57" s="23">
        <v>824.6</v>
      </c>
      <c r="I57" s="23">
        <v>26004.8</v>
      </c>
      <c r="J57" s="23">
        <f>9046.1+1120.3+54080.7+9549+9639.7+2065.5+311603.6</f>
        <v>397104.89999999997</v>
      </c>
      <c r="K57" s="25">
        <f>SUM(B57:J57)</f>
        <v>1055949.4</v>
      </c>
      <c r="L57" s="26"/>
      <c r="M57" s="26"/>
      <c r="N57" s="26"/>
      <c r="O57" s="26"/>
      <c r="P57" s="26"/>
    </row>
    <row r="58" spans="1:16" s="27" customFormat="1" ht="12.75">
      <c r="A58" s="22" t="s">
        <v>151</v>
      </c>
      <c r="B58" s="23">
        <v>168760.4</v>
      </c>
      <c r="C58" s="23">
        <v>35760.3</v>
      </c>
      <c r="D58" s="23">
        <v>48513.7</v>
      </c>
      <c r="E58" s="23">
        <v>373149.5</v>
      </c>
      <c r="F58" s="23">
        <f>14048.9+16469.2</f>
        <v>30518.1</v>
      </c>
      <c r="G58" s="23">
        <v>19960.3</v>
      </c>
      <c r="H58" s="23">
        <v>1022</v>
      </c>
      <c r="I58" s="23">
        <v>15443.6</v>
      </c>
      <c r="J58" s="23">
        <f>8149.9+1633.8+90598.3+7577.6+12631.7+2761.9+329461.4</f>
        <v>452814.60000000003</v>
      </c>
      <c r="K58" s="25">
        <f>SUM(B58:J58)</f>
        <v>1145942.5</v>
      </c>
      <c r="L58" s="26"/>
      <c r="M58" s="26"/>
      <c r="N58" s="26"/>
      <c r="O58" s="26"/>
      <c r="P58" s="26"/>
    </row>
    <row r="59" spans="1:16" s="27" customFormat="1" ht="12.75">
      <c r="A59" s="22"/>
      <c r="B59" s="23"/>
      <c r="C59" s="24"/>
      <c r="D59" s="23"/>
      <c r="E59" s="24"/>
      <c r="F59" s="23"/>
      <c r="G59" s="24"/>
      <c r="H59" s="23"/>
      <c r="I59" s="23"/>
      <c r="J59" s="25"/>
      <c r="K59" s="25"/>
      <c r="L59" s="26"/>
      <c r="M59" s="26"/>
      <c r="N59" s="26"/>
      <c r="O59" s="26"/>
      <c r="P59" s="26"/>
    </row>
    <row r="60" spans="1:16" s="27" customFormat="1" ht="12.75">
      <c r="A60" s="22"/>
      <c r="B60" s="23"/>
      <c r="C60" s="24"/>
      <c r="D60" s="23"/>
      <c r="E60" s="24"/>
      <c r="F60" s="23"/>
      <c r="G60" s="24"/>
      <c r="H60" s="23"/>
      <c r="I60" s="23"/>
      <c r="J60" s="25"/>
      <c r="K60" s="25"/>
      <c r="L60" s="26"/>
      <c r="M60" s="26"/>
      <c r="N60" s="26"/>
      <c r="O60" s="26"/>
      <c r="P60" s="26"/>
    </row>
    <row r="61" spans="1:16" s="27" customFormat="1" ht="12.75" hidden="1">
      <c r="A61" s="22" t="s">
        <v>13</v>
      </c>
      <c r="B61" s="23">
        <v>18739</v>
      </c>
      <c r="C61" s="24">
        <v>1791</v>
      </c>
      <c r="D61" s="23">
        <v>11514.8</v>
      </c>
      <c r="E61" s="24">
        <v>137414</v>
      </c>
      <c r="F61" s="23">
        <v>564.8</v>
      </c>
      <c r="G61" s="24">
        <v>1906.1</v>
      </c>
      <c r="H61" s="23">
        <v>9.6</v>
      </c>
      <c r="I61" s="23">
        <v>5395.1</v>
      </c>
      <c r="J61" s="25">
        <v>53859.9</v>
      </c>
      <c r="K61" s="25">
        <f t="shared" si="0"/>
        <v>231194.3</v>
      </c>
      <c r="L61" s="26"/>
      <c r="M61" s="26"/>
      <c r="N61" s="26"/>
      <c r="O61" s="26"/>
      <c r="P61" s="26"/>
    </row>
    <row r="62" spans="1:16" s="27" customFormat="1" ht="12.75" hidden="1">
      <c r="A62" s="22" t="s">
        <v>18</v>
      </c>
      <c r="B62" s="23">
        <v>19751.3</v>
      </c>
      <c r="C62" s="24">
        <v>1729.3</v>
      </c>
      <c r="D62" s="23">
        <v>11280.5</v>
      </c>
      <c r="E62" s="24">
        <v>138036.1</v>
      </c>
      <c r="F62" s="23">
        <v>615.4</v>
      </c>
      <c r="G62" s="24">
        <v>1739</v>
      </c>
      <c r="H62" s="23">
        <v>9.7</v>
      </c>
      <c r="I62" s="23">
        <v>2542.1</v>
      </c>
      <c r="J62" s="25">
        <v>53667.899999999994</v>
      </c>
      <c r="K62" s="25">
        <f t="shared" si="0"/>
        <v>229371.30000000002</v>
      </c>
      <c r="L62" s="26"/>
      <c r="M62" s="26"/>
      <c r="N62" s="26"/>
      <c r="O62" s="26"/>
      <c r="P62" s="26"/>
    </row>
    <row r="63" spans="1:16" s="27" customFormat="1" ht="12.75" hidden="1">
      <c r="A63" s="22" t="s">
        <v>14</v>
      </c>
      <c r="B63" s="23">
        <v>15993.4</v>
      </c>
      <c r="C63" s="24">
        <v>1798</v>
      </c>
      <c r="D63" s="23">
        <v>10604.8</v>
      </c>
      <c r="E63" s="24">
        <v>141402.3</v>
      </c>
      <c r="F63" s="23">
        <v>630.1</v>
      </c>
      <c r="G63" s="24">
        <v>2311</v>
      </c>
      <c r="H63" s="23">
        <v>9.6</v>
      </c>
      <c r="I63" s="23">
        <v>2197.2</v>
      </c>
      <c r="J63" s="25">
        <v>61296.700000000004</v>
      </c>
      <c r="K63" s="25">
        <f t="shared" si="0"/>
        <v>236243.10000000003</v>
      </c>
      <c r="L63" s="26"/>
      <c r="M63" s="26"/>
      <c r="N63" s="26"/>
      <c r="O63" s="26"/>
      <c r="P63" s="26"/>
    </row>
    <row r="64" spans="1:16" s="27" customFormat="1" ht="12.75" hidden="1">
      <c r="A64" s="22" t="s">
        <v>21</v>
      </c>
      <c r="B64" s="23">
        <v>15234.4</v>
      </c>
      <c r="C64" s="24">
        <v>1727</v>
      </c>
      <c r="D64" s="23">
        <v>10397.2</v>
      </c>
      <c r="E64" s="24">
        <v>143658.5</v>
      </c>
      <c r="F64" s="23">
        <v>692.5</v>
      </c>
      <c r="G64" s="24">
        <v>2741.4</v>
      </c>
      <c r="H64" s="23">
        <v>7.6</v>
      </c>
      <c r="I64" s="23">
        <v>1160.7</v>
      </c>
      <c r="J64" s="25">
        <v>63006.6</v>
      </c>
      <c r="K64" s="25">
        <f t="shared" si="0"/>
        <v>238625.90000000002</v>
      </c>
      <c r="L64" s="26"/>
      <c r="M64" s="26"/>
      <c r="N64" s="26"/>
      <c r="O64" s="26"/>
      <c r="P64" s="26"/>
    </row>
    <row r="65" spans="1:16" s="27" customFormat="1" ht="12.75" hidden="1">
      <c r="A65" s="22" t="s">
        <v>22</v>
      </c>
      <c r="B65" s="23">
        <v>16638.9</v>
      </c>
      <c r="C65" s="24">
        <v>1901.5</v>
      </c>
      <c r="D65" s="23">
        <v>10561.5</v>
      </c>
      <c r="E65" s="24">
        <v>145467.7</v>
      </c>
      <c r="F65" s="23">
        <v>685.4</v>
      </c>
      <c r="G65" s="24">
        <v>2248.7</v>
      </c>
      <c r="H65" s="23">
        <v>2.5</v>
      </c>
      <c r="I65" s="23">
        <v>767.4</v>
      </c>
      <c r="J65" s="25">
        <v>62969.600000000006</v>
      </c>
      <c r="K65" s="25">
        <f t="shared" si="0"/>
        <v>241243.2</v>
      </c>
      <c r="L65" s="26"/>
      <c r="M65" s="26"/>
      <c r="N65" s="26"/>
      <c r="O65" s="26"/>
      <c r="P65" s="26"/>
    </row>
    <row r="66" spans="1:16" s="27" customFormat="1" ht="12.75" hidden="1">
      <c r="A66" s="22" t="s">
        <v>23</v>
      </c>
      <c r="B66" s="23">
        <v>17302.3</v>
      </c>
      <c r="C66" s="24">
        <v>1903.5</v>
      </c>
      <c r="D66" s="23">
        <v>11885.4</v>
      </c>
      <c r="E66" s="24">
        <v>152081.6</v>
      </c>
      <c r="F66" s="23">
        <v>676.2</v>
      </c>
      <c r="G66" s="24">
        <v>2210.7</v>
      </c>
      <c r="H66" s="23">
        <v>2.5</v>
      </c>
      <c r="I66" s="23">
        <v>9031.7</v>
      </c>
      <c r="J66" s="25">
        <v>62384.4</v>
      </c>
      <c r="K66" s="25">
        <f t="shared" si="0"/>
        <v>257478.30000000002</v>
      </c>
      <c r="L66" s="26"/>
      <c r="M66" s="26"/>
      <c r="N66" s="26"/>
      <c r="O66" s="26"/>
      <c r="P66" s="26"/>
    </row>
    <row r="67" spans="1:16" s="27" customFormat="1" ht="12.75" hidden="1">
      <c r="A67" s="22" t="s">
        <v>24</v>
      </c>
      <c r="B67" s="23">
        <v>17908.1</v>
      </c>
      <c r="C67" s="24">
        <v>1953.5</v>
      </c>
      <c r="D67" s="23">
        <v>11736.8</v>
      </c>
      <c r="E67" s="24">
        <v>157821.9</v>
      </c>
      <c r="F67" s="23">
        <v>696.5</v>
      </c>
      <c r="G67" s="24">
        <v>2134.3</v>
      </c>
      <c r="H67" s="23">
        <v>2.5</v>
      </c>
      <c r="I67" s="23">
        <v>22540.7</v>
      </c>
      <c r="J67" s="25">
        <v>65063.4</v>
      </c>
      <c r="K67" s="25">
        <f t="shared" si="0"/>
        <v>279857.7</v>
      </c>
      <c r="L67" s="26"/>
      <c r="M67" s="26"/>
      <c r="N67" s="26"/>
      <c r="O67" s="26"/>
      <c r="P67" s="26"/>
    </row>
    <row r="68" spans="1:16" s="27" customFormat="1" ht="12.75" hidden="1">
      <c r="A68" s="22" t="s">
        <v>25</v>
      </c>
      <c r="B68" s="23">
        <v>17870.8</v>
      </c>
      <c r="C68" s="24">
        <v>1876.4</v>
      </c>
      <c r="D68" s="23">
        <v>13380.7</v>
      </c>
      <c r="E68" s="24">
        <v>152490.5</v>
      </c>
      <c r="F68" s="23">
        <v>666.8</v>
      </c>
      <c r="G68" s="24">
        <v>1364.3</v>
      </c>
      <c r="H68" s="23">
        <v>2.5</v>
      </c>
      <c r="I68" s="23">
        <v>33360.6</v>
      </c>
      <c r="J68" s="25">
        <v>65622.5</v>
      </c>
      <c r="K68" s="25">
        <f t="shared" si="0"/>
        <v>286635.1</v>
      </c>
      <c r="L68" s="26"/>
      <c r="M68" s="26"/>
      <c r="N68" s="26"/>
      <c r="O68" s="26"/>
      <c r="P68" s="26"/>
    </row>
    <row r="69" spans="1:16" s="27" customFormat="1" ht="12.75" hidden="1">
      <c r="A69" s="22" t="s">
        <v>26</v>
      </c>
      <c r="B69" s="23">
        <v>17954.6</v>
      </c>
      <c r="C69" s="24">
        <v>1828.5</v>
      </c>
      <c r="D69" s="23">
        <v>13234.3</v>
      </c>
      <c r="E69" s="24">
        <v>152672.8</v>
      </c>
      <c r="F69" s="23">
        <v>706.4</v>
      </c>
      <c r="G69" s="24">
        <v>1706.3</v>
      </c>
      <c r="H69" s="23">
        <v>2.5</v>
      </c>
      <c r="I69" s="23">
        <v>38480</v>
      </c>
      <c r="J69" s="25">
        <v>65632.7</v>
      </c>
      <c r="K69" s="25">
        <f t="shared" si="0"/>
        <v>292218.1</v>
      </c>
      <c r="L69" s="26"/>
      <c r="M69" s="26"/>
      <c r="N69" s="26"/>
      <c r="O69" s="26"/>
      <c r="P69" s="26"/>
    </row>
    <row r="70" spans="1:16" s="27" customFormat="1" ht="12.75" hidden="1">
      <c r="A70" s="22" t="s">
        <v>27</v>
      </c>
      <c r="B70" s="23">
        <v>19355.1</v>
      </c>
      <c r="C70" s="24">
        <v>1698.7</v>
      </c>
      <c r="D70" s="23">
        <v>15576.5</v>
      </c>
      <c r="E70" s="24">
        <v>163973.1</v>
      </c>
      <c r="F70" s="23">
        <v>691.7</v>
      </c>
      <c r="G70" s="24">
        <v>915.3</v>
      </c>
      <c r="H70" s="23">
        <v>2.5</v>
      </c>
      <c r="I70" s="23">
        <v>29098.9</v>
      </c>
      <c r="J70" s="25">
        <v>68230.1</v>
      </c>
      <c r="K70" s="25">
        <f t="shared" si="0"/>
        <v>299541.9</v>
      </c>
      <c r="L70" s="26"/>
      <c r="M70" s="26"/>
      <c r="N70" s="26"/>
      <c r="O70" s="26"/>
      <c r="P70" s="26"/>
    </row>
    <row r="71" spans="1:16" s="27" customFormat="1" ht="12.75" hidden="1">
      <c r="A71" s="22" t="s">
        <v>28</v>
      </c>
      <c r="B71" s="23">
        <v>19563.3</v>
      </c>
      <c r="C71" s="24">
        <v>1876.8</v>
      </c>
      <c r="D71" s="23">
        <v>15741.4</v>
      </c>
      <c r="E71" s="24">
        <v>156646.9</v>
      </c>
      <c r="F71" s="23">
        <v>724.8</v>
      </c>
      <c r="G71" s="24">
        <v>2233.1</v>
      </c>
      <c r="H71" s="23">
        <v>2.5</v>
      </c>
      <c r="I71" s="23">
        <v>27759.5</v>
      </c>
      <c r="J71" s="25">
        <v>71335.5</v>
      </c>
      <c r="K71" s="25">
        <f t="shared" si="0"/>
        <v>295883.8</v>
      </c>
      <c r="L71" s="26"/>
      <c r="M71" s="26"/>
      <c r="N71" s="26"/>
      <c r="O71" s="26"/>
      <c r="P71" s="26"/>
    </row>
    <row r="72" spans="1:16" s="27" customFormat="1" ht="12.75" hidden="1">
      <c r="A72" s="22" t="s">
        <v>29</v>
      </c>
      <c r="B72" s="23">
        <v>19333.6</v>
      </c>
      <c r="C72" s="24">
        <v>2014.6</v>
      </c>
      <c r="D72" s="23">
        <v>15772.3</v>
      </c>
      <c r="E72" s="24">
        <v>154809.4</v>
      </c>
      <c r="F72" s="23">
        <v>773.7</v>
      </c>
      <c r="G72" s="24">
        <v>2427.5</v>
      </c>
      <c r="H72" s="23">
        <v>2.5</v>
      </c>
      <c r="I72" s="23">
        <v>23459.7</v>
      </c>
      <c r="J72" s="25">
        <v>69341</v>
      </c>
      <c r="K72" s="25">
        <f t="shared" si="0"/>
        <v>287934.30000000005</v>
      </c>
      <c r="L72" s="26"/>
      <c r="M72" s="26"/>
      <c r="N72" s="26"/>
      <c r="O72" s="26"/>
      <c r="P72" s="26"/>
    </row>
    <row r="73" spans="1:16" s="27" customFormat="1" ht="12.75" hidden="1">
      <c r="A73" s="22"/>
      <c r="B73" s="23"/>
      <c r="C73" s="24"/>
      <c r="D73" s="23"/>
      <c r="E73" s="24"/>
      <c r="F73" s="23"/>
      <c r="G73" s="24"/>
      <c r="H73" s="23"/>
      <c r="I73" s="23"/>
      <c r="J73" s="25"/>
      <c r="K73" s="25"/>
      <c r="L73" s="26"/>
      <c r="M73" s="26"/>
      <c r="N73" s="26"/>
      <c r="O73" s="26"/>
      <c r="P73" s="26"/>
    </row>
    <row r="74" spans="1:16" s="27" customFormat="1" ht="12.75" hidden="1">
      <c r="A74" s="22" t="s">
        <v>15</v>
      </c>
      <c r="B74" s="23">
        <v>19592.7</v>
      </c>
      <c r="C74" s="24">
        <v>2569.4</v>
      </c>
      <c r="D74" s="23">
        <v>16123.4</v>
      </c>
      <c r="E74" s="24">
        <v>150869.6</v>
      </c>
      <c r="F74" s="23">
        <v>1526.5</v>
      </c>
      <c r="G74" s="24">
        <v>2883.7</v>
      </c>
      <c r="H74" s="23">
        <v>2.5</v>
      </c>
      <c r="I74" s="23">
        <v>20935.5</v>
      </c>
      <c r="J74" s="25">
        <v>68294.40000000001</v>
      </c>
      <c r="K74" s="25">
        <f t="shared" si="0"/>
        <v>282797.7</v>
      </c>
      <c r="L74" s="26"/>
      <c r="M74" s="26"/>
      <c r="N74" s="26"/>
      <c r="O74" s="26"/>
      <c r="P74" s="26"/>
    </row>
    <row r="75" spans="1:16" s="27" customFormat="1" ht="12.75" hidden="1">
      <c r="A75" s="22" t="s">
        <v>31</v>
      </c>
      <c r="B75" s="23">
        <v>20554.2</v>
      </c>
      <c r="C75" s="24">
        <v>2276.8</v>
      </c>
      <c r="D75" s="23">
        <v>16360.8</v>
      </c>
      <c r="E75" s="24">
        <v>156182</v>
      </c>
      <c r="F75" s="23">
        <v>1517.2</v>
      </c>
      <c r="G75" s="24">
        <v>2891.9</v>
      </c>
      <c r="H75" s="23">
        <v>2.5</v>
      </c>
      <c r="I75" s="23">
        <v>14418.7</v>
      </c>
      <c r="J75" s="25">
        <v>68440.09999999999</v>
      </c>
      <c r="K75" s="25">
        <f t="shared" si="0"/>
        <v>282644.2</v>
      </c>
      <c r="L75" s="26"/>
      <c r="M75" s="26"/>
      <c r="N75" s="26"/>
      <c r="O75" s="26"/>
      <c r="P75" s="26"/>
    </row>
    <row r="76" spans="1:16" s="27" customFormat="1" ht="12.75" hidden="1">
      <c r="A76" s="22" t="s">
        <v>16</v>
      </c>
      <c r="B76" s="23">
        <v>20950.1</v>
      </c>
      <c r="C76" s="24">
        <v>2327.9</v>
      </c>
      <c r="D76" s="23">
        <f>7355.7+8577.2</f>
        <v>15932.900000000001</v>
      </c>
      <c r="E76" s="24">
        <v>164834.2</v>
      </c>
      <c r="F76" s="23">
        <f>835.4+787.9</f>
        <v>1623.3</v>
      </c>
      <c r="G76" s="24">
        <v>3198</v>
      </c>
      <c r="H76" s="23">
        <v>2.5</v>
      </c>
      <c r="I76" s="23">
        <v>11276.9</v>
      </c>
      <c r="J76" s="25">
        <v>69193.8</v>
      </c>
      <c r="K76" s="25">
        <f t="shared" si="0"/>
        <v>289339.6</v>
      </c>
      <c r="L76" s="26"/>
      <c r="M76" s="26"/>
      <c r="N76" s="26"/>
      <c r="O76" s="26"/>
      <c r="P76" s="26"/>
    </row>
    <row r="77" spans="1:16" s="27" customFormat="1" ht="12.75" hidden="1">
      <c r="A77" s="22" t="s">
        <v>33</v>
      </c>
      <c r="B77" s="23">
        <v>21742.2</v>
      </c>
      <c r="C77" s="24">
        <v>2320.6</v>
      </c>
      <c r="D77" s="23">
        <v>17829</v>
      </c>
      <c r="E77" s="24">
        <v>164767.9</v>
      </c>
      <c r="F77" s="23">
        <v>2176.3</v>
      </c>
      <c r="G77" s="24">
        <v>2879.9</v>
      </c>
      <c r="H77" s="23">
        <v>2.5</v>
      </c>
      <c r="I77" s="23">
        <v>9649.5</v>
      </c>
      <c r="J77" s="25">
        <v>68728.09999999999</v>
      </c>
      <c r="K77" s="25">
        <f t="shared" si="0"/>
        <v>290096</v>
      </c>
      <c r="L77" s="26"/>
      <c r="M77" s="26"/>
      <c r="N77" s="26"/>
      <c r="O77" s="26"/>
      <c r="P77" s="26"/>
    </row>
    <row r="78" spans="1:16" s="27" customFormat="1" ht="12.75" hidden="1">
      <c r="A78" s="22" t="s">
        <v>34</v>
      </c>
      <c r="B78" s="23">
        <v>22258.1</v>
      </c>
      <c r="C78" s="24">
        <v>2509.6</v>
      </c>
      <c r="D78" s="23">
        <v>18060.6</v>
      </c>
      <c r="E78" s="24">
        <v>165767.8</v>
      </c>
      <c r="F78" s="23">
        <v>2790.7</v>
      </c>
      <c r="G78" s="24">
        <v>3421</v>
      </c>
      <c r="H78" s="23">
        <v>2.5</v>
      </c>
      <c r="I78" s="23">
        <v>3396.7</v>
      </c>
      <c r="J78" s="25">
        <v>76882.09999999999</v>
      </c>
      <c r="K78" s="25">
        <f t="shared" si="0"/>
        <v>295089.1</v>
      </c>
      <c r="L78" s="26"/>
      <c r="M78" s="26"/>
      <c r="N78" s="26"/>
      <c r="O78" s="26"/>
      <c r="P78" s="26"/>
    </row>
    <row r="79" spans="1:16" s="27" customFormat="1" ht="12.75" hidden="1">
      <c r="A79" s="22" t="s">
        <v>12</v>
      </c>
      <c r="B79" s="23">
        <v>22680.5</v>
      </c>
      <c r="C79" s="24">
        <v>2259.6</v>
      </c>
      <c r="D79" s="23">
        <v>19910.2</v>
      </c>
      <c r="E79" s="24">
        <v>169671.6</v>
      </c>
      <c r="F79" s="23">
        <v>2852.8</v>
      </c>
      <c r="G79" s="24">
        <v>4328.5</v>
      </c>
      <c r="H79" s="23">
        <v>2.5</v>
      </c>
      <c r="I79" s="23">
        <v>455</v>
      </c>
      <c r="J79" s="25">
        <v>79532.59999999999</v>
      </c>
      <c r="K79" s="25">
        <f t="shared" si="0"/>
        <v>301693.3</v>
      </c>
      <c r="L79" s="26"/>
      <c r="M79" s="26"/>
      <c r="N79" s="26"/>
      <c r="O79" s="26"/>
      <c r="P79" s="26"/>
    </row>
    <row r="80" spans="1:16" s="27" customFormat="1" ht="12.75" hidden="1">
      <c r="A80" s="22" t="s">
        <v>35</v>
      </c>
      <c r="B80" s="23">
        <v>23665.2</v>
      </c>
      <c r="C80" s="24">
        <v>2557.3</v>
      </c>
      <c r="D80" s="23">
        <v>18378.6</v>
      </c>
      <c r="E80" s="24">
        <v>170521.1</v>
      </c>
      <c r="F80" s="23">
        <v>2783.5</v>
      </c>
      <c r="G80" s="24">
        <v>4796.6</v>
      </c>
      <c r="H80" s="23">
        <v>2.5</v>
      </c>
      <c r="I80" s="23">
        <v>4525</v>
      </c>
      <c r="J80" s="25">
        <v>82155.79999999999</v>
      </c>
      <c r="K80" s="25">
        <f t="shared" si="0"/>
        <v>309385.6</v>
      </c>
      <c r="L80" s="26"/>
      <c r="M80" s="26"/>
      <c r="N80" s="26"/>
      <c r="O80" s="26"/>
      <c r="P80" s="26"/>
    </row>
    <row r="81" spans="1:16" s="27" customFormat="1" ht="12.75" hidden="1">
      <c r="A81" s="22" t="s">
        <v>36</v>
      </c>
      <c r="B81" s="23">
        <v>24831.2</v>
      </c>
      <c r="C81" s="24">
        <v>2552.4</v>
      </c>
      <c r="D81" s="23">
        <v>18711.5</v>
      </c>
      <c r="E81" s="24">
        <v>167858.9</v>
      </c>
      <c r="F81" s="23">
        <v>3120.9</v>
      </c>
      <c r="G81" s="24">
        <v>3879.3</v>
      </c>
      <c r="H81" s="23">
        <v>5.9</v>
      </c>
      <c r="I81" s="23">
        <v>8133.5</v>
      </c>
      <c r="J81" s="25">
        <v>85563.8</v>
      </c>
      <c r="K81" s="25">
        <f t="shared" si="0"/>
        <v>314657.39999999997</v>
      </c>
      <c r="L81" s="26"/>
      <c r="M81" s="26"/>
      <c r="N81" s="26"/>
      <c r="O81" s="26"/>
      <c r="P81" s="26"/>
    </row>
    <row r="82" spans="1:16" s="27" customFormat="1" ht="12.75" hidden="1">
      <c r="A82" s="22" t="s">
        <v>37</v>
      </c>
      <c r="B82" s="23">
        <v>25897</v>
      </c>
      <c r="C82" s="24">
        <v>2187.1</v>
      </c>
      <c r="D82" s="23">
        <v>18377.1</v>
      </c>
      <c r="E82" s="24">
        <v>177444.1</v>
      </c>
      <c r="F82" s="23">
        <v>3142.4</v>
      </c>
      <c r="G82" s="24">
        <v>4057.4</v>
      </c>
      <c r="H82" s="23">
        <v>2.7</v>
      </c>
      <c r="I82" s="23">
        <v>6408.4</v>
      </c>
      <c r="J82" s="25">
        <v>84653</v>
      </c>
      <c r="K82" s="25">
        <f t="shared" si="0"/>
        <v>322169.19999999995</v>
      </c>
      <c r="L82" s="26"/>
      <c r="M82" s="26"/>
      <c r="N82" s="26"/>
      <c r="O82" s="26"/>
      <c r="P82" s="26"/>
    </row>
    <row r="83" spans="1:16" s="27" customFormat="1" ht="12.75" hidden="1">
      <c r="A83" s="22" t="s">
        <v>38</v>
      </c>
      <c r="B83" s="23">
        <v>26936.1</v>
      </c>
      <c r="C83" s="24">
        <v>2368</v>
      </c>
      <c r="D83" s="23">
        <v>18536.6</v>
      </c>
      <c r="E83" s="24">
        <v>180331.5</v>
      </c>
      <c r="F83" s="23">
        <v>3242.7</v>
      </c>
      <c r="G83" s="24">
        <v>5002.1</v>
      </c>
      <c r="H83" s="23">
        <v>2.7</v>
      </c>
      <c r="I83" s="23">
        <v>5688.1</v>
      </c>
      <c r="J83" s="25">
        <v>87583</v>
      </c>
      <c r="K83" s="25">
        <f t="shared" si="0"/>
        <v>329690.80000000005</v>
      </c>
      <c r="L83" s="26"/>
      <c r="M83" s="26"/>
      <c r="N83" s="26"/>
      <c r="O83" s="26"/>
      <c r="P83" s="26"/>
    </row>
    <row r="84" spans="1:16" s="27" customFormat="1" ht="12.75" hidden="1">
      <c r="A84" s="22" t="s">
        <v>39</v>
      </c>
      <c r="B84" s="23">
        <v>27229.2</v>
      </c>
      <c r="C84" s="24">
        <v>2627.7</v>
      </c>
      <c r="D84" s="23">
        <v>18677.9</v>
      </c>
      <c r="E84" s="24">
        <v>182766</v>
      </c>
      <c r="F84" s="23">
        <v>3538.7</v>
      </c>
      <c r="G84" s="24">
        <v>3898.3</v>
      </c>
      <c r="H84" s="23">
        <v>2.7</v>
      </c>
      <c r="I84" s="23">
        <v>4448.1</v>
      </c>
      <c r="J84" s="25">
        <v>93502.09999999999</v>
      </c>
      <c r="K84" s="25">
        <f t="shared" si="0"/>
        <v>336690.7</v>
      </c>
      <c r="L84" s="26"/>
      <c r="M84" s="26"/>
      <c r="N84" s="26"/>
      <c r="O84" s="26"/>
      <c r="P84" s="26"/>
    </row>
    <row r="85" spans="1:16" s="27" customFormat="1" ht="12.75" hidden="1">
      <c r="A85" s="22" t="s">
        <v>40</v>
      </c>
      <c r="B85" s="23">
        <v>28132</v>
      </c>
      <c r="C85" s="24">
        <v>2356</v>
      </c>
      <c r="D85" s="23">
        <v>20850</v>
      </c>
      <c r="E85" s="24">
        <v>178108</v>
      </c>
      <c r="F85" s="23">
        <v>3762.3</v>
      </c>
      <c r="G85" s="24">
        <v>3607.4</v>
      </c>
      <c r="H85" s="23">
        <v>2.7</v>
      </c>
      <c r="I85" s="23">
        <v>2769.5</v>
      </c>
      <c r="J85" s="25">
        <v>94766.7</v>
      </c>
      <c r="K85" s="25">
        <f t="shared" si="0"/>
        <v>334354.6</v>
      </c>
      <c r="L85" s="26"/>
      <c r="M85" s="26"/>
      <c r="N85" s="26"/>
      <c r="O85" s="26"/>
      <c r="P85" s="26"/>
    </row>
    <row r="86" spans="1:16" s="27" customFormat="1" ht="12.75" hidden="1">
      <c r="A86" s="22"/>
      <c r="B86" s="23"/>
      <c r="C86" s="24"/>
      <c r="D86" s="23"/>
      <c r="E86" s="24"/>
      <c r="F86" s="23"/>
      <c r="G86" s="24"/>
      <c r="H86" s="23"/>
      <c r="I86" s="23"/>
      <c r="J86" s="25"/>
      <c r="K86" s="25"/>
      <c r="L86" s="26"/>
      <c r="M86" s="26"/>
      <c r="N86" s="26"/>
      <c r="O86" s="26"/>
      <c r="P86" s="26"/>
    </row>
    <row r="87" spans="1:16" s="27" customFormat="1" ht="12.75" hidden="1">
      <c r="A87" s="22" t="s">
        <v>17</v>
      </c>
      <c r="B87" s="23">
        <v>28995.9</v>
      </c>
      <c r="C87" s="24">
        <v>2776.6</v>
      </c>
      <c r="D87" s="23">
        <v>21287.8</v>
      </c>
      <c r="E87" s="24">
        <v>177011.5</v>
      </c>
      <c r="F87" s="23">
        <v>3971.6</v>
      </c>
      <c r="G87" s="24">
        <v>3121.4</v>
      </c>
      <c r="H87" s="23">
        <v>2.7</v>
      </c>
      <c r="I87" s="23">
        <v>1062.9</v>
      </c>
      <c r="J87" s="25">
        <v>91890.8</v>
      </c>
      <c r="K87" s="25">
        <f t="shared" si="0"/>
        <v>330121.2</v>
      </c>
      <c r="L87" s="26"/>
      <c r="M87" s="26"/>
      <c r="N87" s="26"/>
      <c r="O87" s="26"/>
      <c r="P87" s="26"/>
    </row>
    <row r="88" spans="1:16" s="27" customFormat="1" ht="12.75" hidden="1">
      <c r="A88" s="22" t="s">
        <v>42</v>
      </c>
      <c r="B88" s="23">
        <v>30630.3</v>
      </c>
      <c r="C88" s="24">
        <v>2767.9</v>
      </c>
      <c r="D88" s="23">
        <v>20039.3</v>
      </c>
      <c r="E88" s="24">
        <v>183998.8</v>
      </c>
      <c r="F88" s="23">
        <v>4858.6</v>
      </c>
      <c r="G88" s="24">
        <v>3422.5</v>
      </c>
      <c r="H88" s="23">
        <v>2.7</v>
      </c>
      <c r="I88" s="23">
        <v>690.3</v>
      </c>
      <c r="J88" s="25">
        <v>94277.20000000001</v>
      </c>
      <c r="K88" s="25">
        <f t="shared" si="0"/>
        <v>340687.6</v>
      </c>
      <c r="L88" s="26"/>
      <c r="M88" s="26"/>
      <c r="N88" s="26"/>
      <c r="O88" s="26"/>
      <c r="P88" s="26"/>
    </row>
    <row r="89" spans="1:16" s="27" customFormat="1" ht="12.75" hidden="1">
      <c r="A89" s="22" t="s">
        <v>19</v>
      </c>
      <c r="B89" s="23">
        <v>30852.7</v>
      </c>
      <c r="C89" s="24">
        <v>2871.2</v>
      </c>
      <c r="D89" s="23">
        <v>19953.8</v>
      </c>
      <c r="E89" s="24">
        <v>194828.6</v>
      </c>
      <c r="F89" s="23">
        <v>5340.6</v>
      </c>
      <c r="G89" s="24">
        <v>3321</v>
      </c>
      <c r="H89" s="23">
        <v>2.7</v>
      </c>
      <c r="I89" s="23">
        <v>449</v>
      </c>
      <c r="J89" s="25">
        <v>93654.59999999999</v>
      </c>
      <c r="K89" s="25">
        <f t="shared" si="0"/>
        <v>351274.2</v>
      </c>
      <c r="L89" s="26"/>
      <c r="M89" s="26"/>
      <c r="N89" s="26"/>
      <c r="O89" s="26"/>
      <c r="P89" s="26"/>
    </row>
    <row r="90" spans="1:16" s="27" customFormat="1" ht="12.75" hidden="1">
      <c r="A90" s="22" t="s">
        <v>43</v>
      </c>
      <c r="B90" s="23">
        <v>31450.5</v>
      </c>
      <c r="C90" s="24">
        <v>2803.2</v>
      </c>
      <c r="D90" s="23">
        <v>20179</v>
      </c>
      <c r="E90" s="24">
        <v>197699.2</v>
      </c>
      <c r="F90" s="23">
        <v>5446.8</v>
      </c>
      <c r="G90" s="24">
        <v>3484.5</v>
      </c>
      <c r="H90" s="23">
        <v>2.7</v>
      </c>
      <c r="I90" s="23">
        <v>21</v>
      </c>
      <c r="J90" s="25">
        <v>98254.8</v>
      </c>
      <c r="K90" s="25">
        <f t="shared" si="0"/>
        <v>359341.7</v>
      </c>
      <c r="L90" s="26"/>
      <c r="M90" s="26"/>
      <c r="N90" s="26"/>
      <c r="O90" s="26"/>
      <c r="P90" s="26"/>
    </row>
    <row r="91" spans="1:16" s="27" customFormat="1" ht="12.75" hidden="1">
      <c r="A91" s="22" t="s">
        <v>44</v>
      </c>
      <c r="B91" s="23">
        <v>31505.5</v>
      </c>
      <c r="C91" s="24">
        <v>3082.3</v>
      </c>
      <c r="D91" s="23">
        <v>19739.4</v>
      </c>
      <c r="E91" s="24">
        <v>202078.8</v>
      </c>
      <c r="F91" s="23">
        <v>5495.4</v>
      </c>
      <c r="G91" s="24">
        <v>5220.2</v>
      </c>
      <c r="H91" s="23">
        <v>2.7</v>
      </c>
      <c r="I91" s="23">
        <v>68.7</v>
      </c>
      <c r="J91" s="25">
        <v>99270.1</v>
      </c>
      <c r="K91" s="25">
        <f t="shared" si="0"/>
        <v>366463.1</v>
      </c>
      <c r="L91" s="26"/>
      <c r="M91" s="26"/>
      <c r="N91" s="26"/>
      <c r="O91" s="26"/>
      <c r="P91" s="26"/>
    </row>
    <row r="92" spans="1:16" s="27" customFormat="1" ht="12.75" hidden="1">
      <c r="A92" s="22" t="s">
        <v>45</v>
      </c>
      <c r="B92" s="23">
        <v>33308.8</v>
      </c>
      <c r="C92" s="24">
        <v>3076.9</v>
      </c>
      <c r="D92" s="23">
        <v>19868</v>
      </c>
      <c r="E92" s="24">
        <v>216800.4</v>
      </c>
      <c r="F92" s="23">
        <v>5845.5</v>
      </c>
      <c r="G92" s="24">
        <v>4288.1</v>
      </c>
      <c r="H92" s="23">
        <v>2.7</v>
      </c>
      <c r="I92" s="23">
        <v>4411.9</v>
      </c>
      <c r="J92" s="25">
        <v>104035.50000000001</v>
      </c>
      <c r="K92" s="25">
        <f t="shared" si="0"/>
        <v>391637.8</v>
      </c>
      <c r="L92" s="26"/>
      <c r="M92" s="26"/>
      <c r="N92" s="26"/>
      <c r="O92" s="26"/>
      <c r="P92" s="26"/>
    </row>
    <row r="93" spans="1:16" s="27" customFormat="1" ht="12.75" hidden="1">
      <c r="A93" s="22" t="s">
        <v>46</v>
      </c>
      <c r="B93" s="23">
        <v>33620.3</v>
      </c>
      <c r="C93" s="24">
        <v>3180.1</v>
      </c>
      <c r="D93" s="23">
        <v>18805.4</v>
      </c>
      <c r="E93" s="24">
        <v>209825.1</v>
      </c>
      <c r="F93" s="23">
        <v>6220.3</v>
      </c>
      <c r="G93" s="24">
        <v>4877.4</v>
      </c>
      <c r="H93" s="23">
        <v>2.7</v>
      </c>
      <c r="I93" s="23">
        <v>26876.8</v>
      </c>
      <c r="J93" s="25">
        <v>105697.40000000001</v>
      </c>
      <c r="K93" s="25">
        <f t="shared" si="0"/>
        <v>409105.50000000006</v>
      </c>
      <c r="L93" s="26"/>
      <c r="M93" s="26"/>
      <c r="N93" s="26"/>
      <c r="O93" s="26"/>
      <c r="P93" s="26"/>
    </row>
    <row r="94" spans="1:16" s="27" customFormat="1" ht="12.75" hidden="1">
      <c r="A94" s="22" t="s">
        <v>47</v>
      </c>
      <c r="B94" s="23">
        <v>34834</v>
      </c>
      <c r="C94" s="24">
        <v>4237.2</v>
      </c>
      <c r="D94" s="23">
        <v>17461.5</v>
      </c>
      <c r="E94" s="24">
        <v>211687.6</v>
      </c>
      <c r="F94" s="23">
        <v>6387.5</v>
      </c>
      <c r="G94" s="24">
        <v>3245.5</v>
      </c>
      <c r="H94" s="23">
        <v>2.7</v>
      </c>
      <c r="I94" s="23">
        <v>30367.6</v>
      </c>
      <c r="J94" s="25">
        <v>114345.90000000001</v>
      </c>
      <c r="K94" s="25">
        <f t="shared" si="0"/>
        <v>422569.5</v>
      </c>
      <c r="L94" s="26"/>
      <c r="M94" s="26"/>
      <c r="N94" s="26"/>
      <c r="O94" s="26"/>
      <c r="P94" s="26"/>
    </row>
    <row r="95" spans="1:16" s="27" customFormat="1" ht="12.75" hidden="1">
      <c r="A95" s="22" t="s">
        <v>48</v>
      </c>
      <c r="B95" s="23">
        <v>34959.2</v>
      </c>
      <c r="C95" s="24">
        <v>3369.3</v>
      </c>
      <c r="D95" s="23">
        <v>18076.8</v>
      </c>
      <c r="E95" s="24">
        <v>220493.5</v>
      </c>
      <c r="F95" s="23">
        <v>6515.7</v>
      </c>
      <c r="G95" s="24">
        <v>4815.9</v>
      </c>
      <c r="H95" s="23">
        <v>2.7</v>
      </c>
      <c r="I95" s="23">
        <v>26427.6</v>
      </c>
      <c r="J95" s="25">
        <v>115313.3</v>
      </c>
      <c r="K95" s="25">
        <f t="shared" si="0"/>
        <v>429974</v>
      </c>
      <c r="L95" s="26"/>
      <c r="M95" s="26"/>
      <c r="N95" s="26"/>
      <c r="O95" s="26"/>
      <c r="P95" s="26"/>
    </row>
    <row r="96" spans="1:16" s="27" customFormat="1" ht="12.75" hidden="1">
      <c r="A96" s="22" t="s">
        <v>49</v>
      </c>
      <c r="B96" s="23">
        <v>36320.3</v>
      </c>
      <c r="C96" s="24">
        <v>3126.1</v>
      </c>
      <c r="D96" s="23">
        <v>18837</v>
      </c>
      <c r="E96" s="24">
        <v>224278.2</v>
      </c>
      <c r="F96" s="23">
        <v>6651.5</v>
      </c>
      <c r="G96" s="24">
        <v>3435.7</v>
      </c>
      <c r="H96" s="23">
        <v>2.6</v>
      </c>
      <c r="I96" s="23">
        <v>22407.4</v>
      </c>
      <c r="J96" s="25">
        <v>119061.40000000001</v>
      </c>
      <c r="K96" s="25">
        <f t="shared" si="0"/>
        <v>434120.20000000007</v>
      </c>
      <c r="L96" s="26"/>
      <c r="M96" s="26"/>
      <c r="N96" s="26"/>
      <c r="O96" s="26"/>
      <c r="P96" s="26"/>
    </row>
    <row r="97" spans="1:16" s="27" customFormat="1" ht="12.75" hidden="1">
      <c r="A97" s="22" t="s">
        <v>50</v>
      </c>
      <c r="B97" s="23">
        <v>36812.7</v>
      </c>
      <c r="C97" s="24">
        <v>3445.9</v>
      </c>
      <c r="D97" s="23">
        <v>19545.6</v>
      </c>
      <c r="E97" s="24">
        <v>224784.6</v>
      </c>
      <c r="F97" s="23">
        <v>6850</v>
      </c>
      <c r="G97" s="24">
        <v>3459.5</v>
      </c>
      <c r="H97" s="23">
        <v>2.7</v>
      </c>
      <c r="I97" s="23">
        <v>19030.2</v>
      </c>
      <c r="J97" s="25">
        <v>118623.8</v>
      </c>
      <c r="K97" s="25">
        <f t="shared" si="0"/>
        <v>432555</v>
      </c>
      <c r="L97" s="26"/>
      <c r="M97" s="26"/>
      <c r="N97" s="26"/>
      <c r="O97" s="26"/>
      <c r="P97" s="26"/>
    </row>
    <row r="98" spans="1:16" s="27" customFormat="1" ht="12.75" hidden="1">
      <c r="A98" s="22" t="s">
        <v>51</v>
      </c>
      <c r="B98" s="23">
        <v>38356.8</v>
      </c>
      <c r="C98" s="24">
        <v>2920.9</v>
      </c>
      <c r="D98" s="23">
        <v>19650.6</v>
      </c>
      <c r="E98" s="24">
        <v>230209.1</v>
      </c>
      <c r="F98" s="23">
        <v>6985.2</v>
      </c>
      <c r="G98" s="24">
        <v>2554.8</v>
      </c>
      <c r="H98" s="23">
        <v>2.7</v>
      </c>
      <c r="I98" s="23">
        <v>11102.2</v>
      </c>
      <c r="J98" s="25">
        <v>121456.1</v>
      </c>
      <c r="K98" s="25">
        <f t="shared" si="0"/>
        <v>433238.4</v>
      </c>
      <c r="L98" s="26"/>
      <c r="M98" s="26"/>
      <c r="N98" s="26"/>
      <c r="O98" s="26"/>
      <c r="P98" s="26"/>
    </row>
    <row r="99" spans="1:16" s="27" customFormat="1" ht="12.75" hidden="1">
      <c r="A99" s="22"/>
      <c r="B99" s="23"/>
      <c r="C99" s="24"/>
      <c r="D99" s="23"/>
      <c r="E99" s="24"/>
      <c r="F99" s="23"/>
      <c r="G99" s="24"/>
      <c r="H99" s="23"/>
      <c r="I99" s="23"/>
      <c r="J99" s="25"/>
      <c r="K99" s="25"/>
      <c r="L99" s="26"/>
      <c r="M99" s="26"/>
      <c r="N99" s="26"/>
      <c r="O99" s="26"/>
      <c r="P99" s="26"/>
    </row>
    <row r="100" spans="1:16" s="27" customFormat="1" ht="12.75" hidden="1">
      <c r="A100" s="22" t="s">
        <v>30</v>
      </c>
      <c r="B100" s="23">
        <v>39509.9</v>
      </c>
      <c r="C100" s="24">
        <v>2841.6</v>
      </c>
      <c r="D100" s="23">
        <v>19071.2</v>
      </c>
      <c r="E100" s="24">
        <v>235097</v>
      </c>
      <c r="F100" s="23">
        <v>7666.6</v>
      </c>
      <c r="G100" s="24">
        <v>2646.2</v>
      </c>
      <c r="H100" s="23">
        <v>2.7</v>
      </c>
      <c r="I100" s="23">
        <v>9884.1</v>
      </c>
      <c r="J100" s="25">
        <v>118175</v>
      </c>
      <c r="K100" s="25">
        <f t="shared" si="0"/>
        <v>434894.3</v>
      </c>
      <c r="L100" s="26"/>
      <c r="M100" s="26"/>
      <c r="N100" s="26"/>
      <c r="O100" s="26"/>
      <c r="P100" s="26"/>
    </row>
    <row r="101" spans="1:16" s="27" customFormat="1" ht="12.75" hidden="1">
      <c r="A101" s="22" t="s">
        <v>53</v>
      </c>
      <c r="B101" s="23">
        <v>40283</v>
      </c>
      <c r="C101" s="24">
        <v>2714.2</v>
      </c>
      <c r="D101" s="23">
        <v>19787.3</v>
      </c>
      <c r="E101" s="24">
        <v>247366.6</v>
      </c>
      <c r="F101" s="23">
        <v>9481.6</v>
      </c>
      <c r="G101" s="24">
        <v>2467.8</v>
      </c>
      <c r="H101" s="23">
        <v>2.7</v>
      </c>
      <c r="I101" s="23">
        <v>7121.6</v>
      </c>
      <c r="J101" s="25">
        <v>118643.8</v>
      </c>
      <c r="K101" s="25">
        <f aca="true" t="shared" si="1" ref="K101:K162">SUM(B101:J101)</f>
        <v>447868.5999999999</v>
      </c>
      <c r="L101" s="26"/>
      <c r="M101" s="26"/>
      <c r="N101" s="26"/>
      <c r="O101" s="26"/>
      <c r="P101" s="26"/>
    </row>
    <row r="102" spans="1:16" s="27" customFormat="1" ht="12.75" hidden="1">
      <c r="A102" s="22" t="s">
        <v>32</v>
      </c>
      <c r="B102" s="23">
        <v>42038.2</v>
      </c>
      <c r="C102" s="24">
        <v>2878</v>
      </c>
      <c r="D102" s="23">
        <v>20717.1</v>
      </c>
      <c r="E102" s="24">
        <v>254750.5</v>
      </c>
      <c r="F102" s="23">
        <v>9330.3</v>
      </c>
      <c r="G102" s="24">
        <v>2358.3</v>
      </c>
      <c r="H102" s="23">
        <v>2.7</v>
      </c>
      <c r="I102" s="23">
        <v>4125.6</v>
      </c>
      <c r="J102" s="25">
        <v>126451.29999999999</v>
      </c>
      <c r="K102" s="25">
        <f t="shared" si="1"/>
        <v>462651.99999999994</v>
      </c>
      <c r="L102" s="26"/>
      <c r="M102" s="26"/>
      <c r="N102" s="26"/>
      <c r="O102" s="26"/>
      <c r="P102" s="26"/>
    </row>
    <row r="103" spans="1:16" s="27" customFormat="1" ht="12.75" hidden="1">
      <c r="A103" s="22" t="s">
        <v>54</v>
      </c>
      <c r="B103" s="23">
        <v>42292.6</v>
      </c>
      <c r="C103" s="24">
        <v>2799.9</v>
      </c>
      <c r="D103" s="23">
        <v>20537.3</v>
      </c>
      <c r="E103" s="24">
        <v>259837.8</v>
      </c>
      <c r="F103" s="23">
        <v>9361.9</v>
      </c>
      <c r="G103" s="24">
        <v>1791.3</v>
      </c>
      <c r="H103" s="23">
        <v>2.7</v>
      </c>
      <c r="I103" s="23">
        <v>4097.1</v>
      </c>
      <c r="J103" s="25">
        <v>129301.2</v>
      </c>
      <c r="K103" s="25">
        <f t="shared" si="1"/>
        <v>470021.8</v>
      </c>
      <c r="L103" s="26"/>
      <c r="M103" s="26"/>
      <c r="N103" s="26"/>
      <c r="O103" s="26"/>
      <c r="P103" s="26"/>
    </row>
    <row r="104" spans="1:16" s="27" customFormat="1" ht="12.75" hidden="1">
      <c r="A104" s="22" t="s">
        <v>55</v>
      </c>
      <c r="B104" s="23">
        <v>42651.4</v>
      </c>
      <c r="C104" s="24">
        <v>2354.3</v>
      </c>
      <c r="D104" s="23">
        <v>20617.9</v>
      </c>
      <c r="E104" s="24">
        <v>262582.2</v>
      </c>
      <c r="F104" s="23">
        <v>8628.7</v>
      </c>
      <c r="G104" s="24">
        <v>1833.6</v>
      </c>
      <c r="H104" s="23">
        <v>2.7</v>
      </c>
      <c r="I104" s="23">
        <v>3612.2</v>
      </c>
      <c r="J104" s="25">
        <v>149103.2</v>
      </c>
      <c r="K104" s="25">
        <f t="shared" si="1"/>
        <v>491386.20000000007</v>
      </c>
      <c r="L104" s="26"/>
      <c r="M104" s="26"/>
      <c r="N104" s="26"/>
      <c r="O104" s="26"/>
      <c r="P104" s="26"/>
    </row>
    <row r="105" spans="1:16" s="27" customFormat="1" ht="12.75" hidden="1">
      <c r="A105" s="22" t="s">
        <v>56</v>
      </c>
      <c r="B105" s="23">
        <v>44673.1</v>
      </c>
      <c r="C105" s="24">
        <v>2058.7</v>
      </c>
      <c r="D105" s="23">
        <v>25101.2</v>
      </c>
      <c r="E105" s="24">
        <v>274623.5</v>
      </c>
      <c r="F105" s="23">
        <v>9996.2</v>
      </c>
      <c r="G105" s="24">
        <v>1821.3</v>
      </c>
      <c r="H105" s="23">
        <v>2.7</v>
      </c>
      <c r="I105" s="23">
        <v>11213.1</v>
      </c>
      <c r="J105" s="25">
        <v>151359.2</v>
      </c>
      <c r="K105" s="25">
        <f t="shared" si="1"/>
        <v>520849</v>
      </c>
      <c r="L105" s="26"/>
      <c r="M105" s="26"/>
      <c r="N105" s="26"/>
      <c r="O105" s="26"/>
      <c r="P105" s="26"/>
    </row>
    <row r="106" spans="1:16" s="27" customFormat="1" ht="12.75" hidden="1">
      <c r="A106" s="22" t="s">
        <v>57</v>
      </c>
      <c r="B106" s="23">
        <v>46361</v>
      </c>
      <c r="C106" s="24">
        <v>2061</v>
      </c>
      <c r="D106" s="23">
        <v>21925.6</v>
      </c>
      <c r="E106" s="24">
        <v>283624.8</v>
      </c>
      <c r="F106" s="23">
        <v>10079.5</v>
      </c>
      <c r="G106" s="24">
        <v>1921.7</v>
      </c>
      <c r="H106" s="23">
        <v>2.7</v>
      </c>
      <c r="I106" s="23">
        <v>23780.1</v>
      </c>
      <c r="J106" s="25">
        <v>149039.2</v>
      </c>
      <c r="K106" s="25">
        <f t="shared" si="1"/>
        <v>538795.6000000001</v>
      </c>
      <c r="L106" s="26"/>
      <c r="M106" s="26"/>
      <c r="N106" s="26"/>
      <c r="O106" s="26"/>
      <c r="P106" s="26"/>
    </row>
    <row r="107" spans="1:16" s="27" customFormat="1" ht="12.75" hidden="1">
      <c r="A107" s="22" t="s">
        <v>58</v>
      </c>
      <c r="B107" s="23">
        <v>47165</v>
      </c>
      <c r="C107" s="24">
        <v>2213.1</v>
      </c>
      <c r="D107" s="23">
        <v>23078.9</v>
      </c>
      <c r="E107" s="24">
        <v>300275.6</v>
      </c>
      <c r="F107" s="23">
        <v>10089.7</v>
      </c>
      <c r="G107" s="24">
        <v>2050.5</v>
      </c>
      <c r="H107" s="23">
        <v>2.7</v>
      </c>
      <c r="I107" s="23">
        <v>29806.5</v>
      </c>
      <c r="J107" s="25">
        <v>141485.6</v>
      </c>
      <c r="K107" s="25">
        <f t="shared" si="1"/>
        <v>556167.6</v>
      </c>
      <c r="L107" s="26"/>
      <c r="M107" s="26"/>
      <c r="N107" s="26"/>
      <c r="O107" s="26"/>
      <c r="P107" s="26"/>
    </row>
    <row r="108" spans="1:16" s="27" customFormat="1" ht="12.75" hidden="1">
      <c r="A108" s="22" t="s">
        <v>59</v>
      </c>
      <c r="B108" s="23">
        <v>47606.3</v>
      </c>
      <c r="C108" s="24">
        <v>2351.8</v>
      </c>
      <c r="D108" s="23">
        <v>23238.1</v>
      </c>
      <c r="E108" s="24">
        <v>299125.8</v>
      </c>
      <c r="F108" s="23">
        <v>10794.5</v>
      </c>
      <c r="G108" s="24">
        <v>2039.5</v>
      </c>
      <c r="H108" s="23">
        <v>2.7</v>
      </c>
      <c r="I108" s="23">
        <v>27565.2</v>
      </c>
      <c r="J108" s="25">
        <v>151785.4</v>
      </c>
      <c r="K108" s="25">
        <f t="shared" si="1"/>
        <v>564509.3</v>
      </c>
      <c r="L108" s="26"/>
      <c r="M108" s="26"/>
      <c r="N108" s="26"/>
      <c r="O108" s="26"/>
      <c r="P108" s="26"/>
    </row>
    <row r="109" spans="1:16" s="27" customFormat="1" ht="12.75" hidden="1">
      <c r="A109" s="22" t="s">
        <v>61</v>
      </c>
      <c r="B109" s="23">
        <v>48524.6</v>
      </c>
      <c r="C109" s="24">
        <v>2315.3</v>
      </c>
      <c r="D109" s="23">
        <v>28042.1</v>
      </c>
      <c r="E109" s="24">
        <v>323707.8</v>
      </c>
      <c r="F109" s="23">
        <v>10955.3</v>
      </c>
      <c r="G109" s="24">
        <v>1988.6</v>
      </c>
      <c r="H109" s="23">
        <v>2.7</v>
      </c>
      <c r="I109" s="23">
        <v>22419.8</v>
      </c>
      <c r="J109" s="25">
        <v>141369.59999999998</v>
      </c>
      <c r="K109" s="25">
        <f t="shared" si="1"/>
        <v>579325.7999999999</v>
      </c>
      <c r="L109" s="26"/>
      <c r="M109" s="26"/>
      <c r="N109" s="26"/>
      <c r="O109" s="26"/>
      <c r="P109" s="26"/>
    </row>
    <row r="110" spans="1:16" s="27" customFormat="1" ht="12.75" hidden="1">
      <c r="A110" s="22" t="s">
        <v>62</v>
      </c>
      <c r="B110" s="23">
        <v>47862.2</v>
      </c>
      <c r="C110" s="24">
        <v>2377.4</v>
      </c>
      <c r="D110" s="23">
        <v>23338.1</v>
      </c>
      <c r="E110" s="24">
        <v>333887.3</v>
      </c>
      <c r="F110" s="23">
        <v>9967.3</v>
      </c>
      <c r="G110" s="24">
        <v>1987.9</v>
      </c>
      <c r="H110" s="23">
        <v>2.7</v>
      </c>
      <c r="I110" s="23">
        <v>18628.4</v>
      </c>
      <c r="J110" s="25">
        <v>148878.09999999998</v>
      </c>
      <c r="K110" s="25">
        <f t="shared" si="1"/>
        <v>586929.4</v>
      </c>
      <c r="L110" s="26"/>
      <c r="M110" s="26"/>
      <c r="N110" s="26"/>
      <c r="O110" s="26"/>
      <c r="P110" s="26"/>
    </row>
    <row r="111" spans="1:16" s="27" customFormat="1" ht="12.75" hidden="1">
      <c r="A111" s="22" t="s">
        <v>63</v>
      </c>
      <c r="B111" s="23">
        <v>47956</v>
      </c>
      <c r="C111" s="24">
        <v>2321.8</v>
      </c>
      <c r="D111" s="23">
        <v>23974.1</v>
      </c>
      <c r="E111" s="24">
        <v>322362.2</v>
      </c>
      <c r="F111" s="23">
        <v>11349.1</v>
      </c>
      <c r="G111" s="24">
        <v>1999.1</v>
      </c>
      <c r="H111" s="23">
        <v>2.7</v>
      </c>
      <c r="I111" s="23">
        <v>14769.5</v>
      </c>
      <c r="J111" s="25">
        <v>150570.1</v>
      </c>
      <c r="K111" s="25">
        <f t="shared" si="1"/>
        <v>575304.6</v>
      </c>
      <c r="L111" s="26"/>
      <c r="M111" s="26"/>
      <c r="N111" s="26"/>
      <c r="O111" s="26"/>
      <c r="P111" s="26"/>
    </row>
    <row r="112" spans="1:16" s="27" customFormat="1" ht="12.75" hidden="1">
      <c r="A112" s="22"/>
      <c r="B112" s="23"/>
      <c r="C112" s="24"/>
      <c r="D112" s="23"/>
      <c r="E112" s="24"/>
      <c r="F112" s="23"/>
      <c r="G112" s="24"/>
      <c r="H112" s="23"/>
      <c r="I112" s="23"/>
      <c r="J112" s="25"/>
      <c r="K112" s="25"/>
      <c r="L112" s="26"/>
      <c r="M112" s="26"/>
      <c r="N112" s="26"/>
      <c r="O112" s="26"/>
      <c r="P112" s="26"/>
    </row>
    <row r="113" spans="1:16" s="27" customFormat="1" ht="12.75" hidden="1">
      <c r="A113" s="22" t="s">
        <v>41</v>
      </c>
      <c r="B113" s="23">
        <v>48014.9</v>
      </c>
      <c r="C113" s="24">
        <v>2289.7</v>
      </c>
      <c r="D113" s="23">
        <v>24075.5</v>
      </c>
      <c r="E113" s="24">
        <v>329931</v>
      </c>
      <c r="F113" s="23">
        <v>11327.2</v>
      </c>
      <c r="G113" s="24">
        <v>2067.6</v>
      </c>
      <c r="H113" s="23">
        <v>2.7</v>
      </c>
      <c r="I113" s="23">
        <v>9051.9</v>
      </c>
      <c r="J113" s="25">
        <v>149423.1</v>
      </c>
      <c r="K113" s="25">
        <f t="shared" si="1"/>
        <v>576183.6</v>
      </c>
      <c r="L113" s="26"/>
      <c r="M113" s="26"/>
      <c r="N113" s="26"/>
      <c r="O113" s="26"/>
      <c r="P113" s="26"/>
    </row>
    <row r="114" spans="1:16" s="27" customFormat="1" ht="12.75" hidden="1">
      <c r="A114" s="22" t="s">
        <v>69</v>
      </c>
      <c r="B114" s="23">
        <v>47736.7</v>
      </c>
      <c r="C114" s="24">
        <v>2131.3</v>
      </c>
      <c r="D114" s="23">
        <v>27369.8</v>
      </c>
      <c r="E114" s="24">
        <v>326419.5</v>
      </c>
      <c r="F114" s="23">
        <v>11073.4</v>
      </c>
      <c r="G114" s="24">
        <v>2095.9</v>
      </c>
      <c r="H114" s="23">
        <v>2.7</v>
      </c>
      <c r="I114" s="23">
        <v>6469.9</v>
      </c>
      <c r="J114" s="25">
        <v>153709.69999999998</v>
      </c>
      <c r="K114" s="25">
        <f t="shared" si="1"/>
        <v>577008.9</v>
      </c>
      <c r="L114" s="26"/>
      <c r="M114" s="26"/>
      <c r="N114" s="26"/>
      <c r="O114" s="26"/>
      <c r="P114" s="26"/>
    </row>
    <row r="115" spans="1:16" s="27" customFormat="1" ht="12.75" hidden="1">
      <c r="A115" s="22" t="s">
        <v>66</v>
      </c>
      <c r="B115" s="23">
        <v>49099.9</v>
      </c>
      <c r="C115" s="24">
        <v>2143.4</v>
      </c>
      <c r="D115" s="23">
        <v>28474.5</v>
      </c>
      <c r="E115" s="24">
        <v>343742.5</v>
      </c>
      <c r="F115" s="23">
        <v>11264.6</v>
      </c>
      <c r="G115" s="24">
        <v>2208.6</v>
      </c>
      <c r="H115" s="23">
        <v>2.7</v>
      </c>
      <c r="I115" s="23">
        <v>4349.3</v>
      </c>
      <c r="J115" s="25">
        <v>151831.19999999998</v>
      </c>
      <c r="K115" s="25">
        <f t="shared" si="1"/>
        <v>593116.7</v>
      </c>
      <c r="L115" s="26"/>
      <c r="M115" s="26"/>
      <c r="N115" s="26"/>
      <c r="O115" s="26"/>
      <c r="P115" s="26"/>
    </row>
    <row r="116" spans="1:16" s="27" customFormat="1" ht="12.75" hidden="1">
      <c r="A116" s="22" t="s">
        <v>71</v>
      </c>
      <c r="B116" s="23">
        <v>49571.2</v>
      </c>
      <c r="C116" s="24">
        <v>2462.1</v>
      </c>
      <c r="D116" s="23">
        <v>29112.5</v>
      </c>
      <c r="E116" s="24">
        <v>346914.4</v>
      </c>
      <c r="F116" s="23">
        <v>8623.4</v>
      </c>
      <c r="G116" s="24">
        <v>2213.4</v>
      </c>
      <c r="H116" s="23">
        <v>2.4</v>
      </c>
      <c r="I116" s="23">
        <v>3583.8</v>
      </c>
      <c r="J116" s="25">
        <v>156268.7</v>
      </c>
      <c r="K116" s="25">
        <f t="shared" si="1"/>
        <v>598751.9000000001</v>
      </c>
      <c r="L116" s="26"/>
      <c r="M116" s="26"/>
      <c r="N116" s="26"/>
      <c r="O116" s="26"/>
      <c r="P116" s="26"/>
    </row>
    <row r="117" spans="1:16" s="27" customFormat="1" ht="12.75" hidden="1">
      <c r="A117" s="22" t="s">
        <v>72</v>
      </c>
      <c r="B117" s="23">
        <v>48764</v>
      </c>
      <c r="C117" s="24">
        <v>2563.6</v>
      </c>
      <c r="D117" s="23">
        <v>33272.8</v>
      </c>
      <c r="E117" s="24">
        <v>366235.4</v>
      </c>
      <c r="F117" s="23">
        <v>11770</v>
      </c>
      <c r="G117" s="24">
        <v>2196.1</v>
      </c>
      <c r="H117" s="23">
        <v>2.2</v>
      </c>
      <c r="I117" s="23">
        <v>7700.9</v>
      </c>
      <c r="J117" s="25">
        <v>157331.40000000002</v>
      </c>
      <c r="K117" s="25">
        <f t="shared" si="1"/>
        <v>629836.4000000001</v>
      </c>
      <c r="L117" s="26"/>
      <c r="M117" s="26"/>
      <c r="N117" s="26"/>
      <c r="O117" s="26"/>
      <c r="P117" s="26"/>
    </row>
    <row r="118" spans="1:16" s="27" customFormat="1" ht="12.75" hidden="1">
      <c r="A118" s="22" t="s">
        <v>73</v>
      </c>
      <c r="B118" s="23">
        <v>50248</v>
      </c>
      <c r="C118" s="24">
        <v>2884.8</v>
      </c>
      <c r="D118" s="23">
        <v>35829.8</v>
      </c>
      <c r="E118" s="24">
        <v>367475.5</v>
      </c>
      <c r="F118" s="23">
        <v>11962.7</v>
      </c>
      <c r="G118" s="24">
        <v>2235.1</v>
      </c>
      <c r="H118" s="23">
        <v>1.9</v>
      </c>
      <c r="I118" s="23">
        <v>13069.5</v>
      </c>
      <c r="J118" s="25">
        <v>162910.7</v>
      </c>
      <c r="K118" s="25">
        <f t="shared" si="1"/>
        <v>646618</v>
      </c>
      <c r="L118" s="26"/>
      <c r="M118" s="26"/>
      <c r="N118" s="26"/>
      <c r="O118" s="26"/>
      <c r="P118" s="26"/>
    </row>
    <row r="119" spans="1:16" s="27" customFormat="1" ht="12.75" hidden="1">
      <c r="A119" s="22" t="s">
        <v>74</v>
      </c>
      <c r="B119" s="23">
        <v>49861.6</v>
      </c>
      <c r="C119" s="24">
        <v>2865.8</v>
      </c>
      <c r="D119" s="23">
        <v>30662.8</v>
      </c>
      <c r="E119" s="24">
        <v>364752.8</v>
      </c>
      <c r="F119" s="23">
        <v>12009.1</v>
      </c>
      <c r="G119" s="24">
        <v>2260.5</v>
      </c>
      <c r="H119" s="23">
        <v>1.7</v>
      </c>
      <c r="I119" s="23">
        <v>18130.4</v>
      </c>
      <c r="J119" s="25">
        <v>167484.5</v>
      </c>
      <c r="K119" s="25">
        <f t="shared" si="1"/>
        <v>648029.2</v>
      </c>
      <c r="L119" s="26"/>
      <c r="M119" s="26"/>
      <c r="N119" s="26"/>
      <c r="O119" s="26"/>
      <c r="P119" s="26"/>
    </row>
    <row r="120" spans="1:16" s="27" customFormat="1" ht="12.75" hidden="1">
      <c r="A120" s="22" t="s">
        <v>75</v>
      </c>
      <c r="B120" s="23">
        <v>51387.2</v>
      </c>
      <c r="C120" s="24">
        <v>2747.8</v>
      </c>
      <c r="D120" s="23">
        <v>37304.4</v>
      </c>
      <c r="E120" s="24">
        <v>358044.4</v>
      </c>
      <c r="F120" s="23">
        <v>12244.5</v>
      </c>
      <c r="G120" s="24">
        <v>2737.5</v>
      </c>
      <c r="H120" s="23">
        <v>3.6</v>
      </c>
      <c r="I120" s="23">
        <v>29254.3</v>
      </c>
      <c r="J120" s="25">
        <v>171239.2</v>
      </c>
      <c r="K120" s="25">
        <f t="shared" si="1"/>
        <v>664962.9</v>
      </c>
      <c r="L120" s="26"/>
      <c r="M120" s="26"/>
      <c r="N120" s="26"/>
      <c r="O120" s="26"/>
      <c r="P120" s="26"/>
    </row>
    <row r="121" spans="1:16" s="27" customFormat="1" ht="12.75" hidden="1">
      <c r="A121" s="22" t="s">
        <v>76</v>
      </c>
      <c r="B121" s="23">
        <v>51978.6</v>
      </c>
      <c r="C121" s="24">
        <v>2383.1</v>
      </c>
      <c r="D121" s="23">
        <v>33285.4</v>
      </c>
      <c r="E121" s="24">
        <v>367523.1</v>
      </c>
      <c r="F121" s="23">
        <v>11677.2</v>
      </c>
      <c r="G121" s="24">
        <v>2781.4</v>
      </c>
      <c r="H121" s="23">
        <v>3.4</v>
      </c>
      <c r="I121" s="23">
        <v>25039.7</v>
      </c>
      <c r="J121" s="25">
        <v>163826.3</v>
      </c>
      <c r="K121" s="25">
        <f t="shared" si="1"/>
        <v>658498.2</v>
      </c>
      <c r="L121" s="26"/>
      <c r="M121" s="26"/>
      <c r="N121" s="26"/>
      <c r="O121" s="26"/>
      <c r="P121" s="26"/>
    </row>
    <row r="122" spans="1:16" s="27" customFormat="1" ht="12.75" hidden="1">
      <c r="A122" s="22" t="s">
        <v>78</v>
      </c>
      <c r="B122" s="23">
        <v>51823</v>
      </c>
      <c r="C122" s="24">
        <v>2392.4</v>
      </c>
      <c r="D122" s="23">
        <v>39892.8</v>
      </c>
      <c r="E122" s="24">
        <v>378130</v>
      </c>
      <c r="F122" s="23">
        <v>14008.3</v>
      </c>
      <c r="G122" s="24">
        <v>2847.6</v>
      </c>
      <c r="H122" s="23">
        <v>3.2</v>
      </c>
      <c r="I122" s="23">
        <v>16832.5</v>
      </c>
      <c r="J122" s="25">
        <v>161989.80000000002</v>
      </c>
      <c r="K122" s="25">
        <f t="shared" si="1"/>
        <v>667919.6</v>
      </c>
      <c r="L122" s="26"/>
      <c r="M122" s="26"/>
      <c r="N122" s="26"/>
      <c r="O122" s="26"/>
      <c r="P122" s="26"/>
    </row>
    <row r="123" spans="1:16" s="27" customFormat="1" ht="12.75" hidden="1">
      <c r="A123" s="22" t="s">
        <v>80</v>
      </c>
      <c r="B123" s="23">
        <v>52245.4</v>
      </c>
      <c r="C123" s="24">
        <v>2341.2</v>
      </c>
      <c r="D123" s="23">
        <v>41832.2</v>
      </c>
      <c r="E123" s="24">
        <v>370879.1</v>
      </c>
      <c r="F123" s="23">
        <v>14700.4</v>
      </c>
      <c r="G123" s="24">
        <v>2796</v>
      </c>
      <c r="H123" s="23">
        <v>2.9</v>
      </c>
      <c r="I123" s="23">
        <v>11872.9</v>
      </c>
      <c r="J123" s="25">
        <v>169605.8</v>
      </c>
      <c r="K123" s="25">
        <f t="shared" si="1"/>
        <v>666275.9</v>
      </c>
      <c r="L123" s="26"/>
      <c r="M123" s="26"/>
      <c r="N123" s="26"/>
      <c r="O123" s="26"/>
      <c r="P123" s="26"/>
    </row>
    <row r="124" spans="1:16" s="27" customFormat="1" ht="12.75" hidden="1">
      <c r="A124" s="22" t="s">
        <v>81</v>
      </c>
      <c r="B124" s="23">
        <v>52420</v>
      </c>
      <c r="C124" s="24">
        <v>2288</v>
      </c>
      <c r="D124" s="23">
        <v>32871.4</v>
      </c>
      <c r="E124" s="24">
        <v>361388.1</v>
      </c>
      <c r="F124" s="23">
        <v>20206.7</v>
      </c>
      <c r="G124" s="24">
        <v>2416.1</v>
      </c>
      <c r="H124" s="23">
        <v>2.7</v>
      </c>
      <c r="I124" s="23">
        <v>10386.6</v>
      </c>
      <c r="J124" s="25">
        <v>169781.09999999998</v>
      </c>
      <c r="K124" s="25">
        <f t="shared" si="1"/>
        <v>651760.7</v>
      </c>
      <c r="L124" s="26"/>
      <c r="M124" s="26"/>
      <c r="N124" s="26"/>
      <c r="O124" s="26"/>
      <c r="P124" s="26"/>
    </row>
    <row r="125" spans="1:16" s="27" customFormat="1" ht="12.75" hidden="1">
      <c r="A125" s="22"/>
      <c r="B125" s="23"/>
      <c r="C125" s="24"/>
      <c r="D125" s="23"/>
      <c r="E125" s="24"/>
      <c r="F125" s="23"/>
      <c r="G125" s="24"/>
      <c r="H125" s="23"/>
      <c r="I125" s="23"/>
      <c r="J125" s="25"/>
      <c r="K125" s="25"/>
      <c r="L125" s="26"/>
      <c r="M125" s="26"/>
      <c r="N125" s="26"/>
      <c r="O125" s="26"/>
      <c r="P125" s="26"/>
    </row>
    <row r="126" spans="1:16" s="27" customFormat="1" ht="12.75" hidden="1">
      <c r="A126" s="22" t="s">
        <v>52</v>
      </c>
      <c r="B126" s="23">
        <v>52498.5</v>
      </c>
      <c r="C126" s="24">
        <v>1963.1</v>
      </c>
      <c r="D126" s="23">
        <v>37982.8</v>
      </c>
      <c r="E126" s="24">
        <v>368378.7</v>
      </c>
      <c r="F126" s="23">
        <v>20664.1</v>
      </c>
      <c r="G126" s="24">
        <v>2768.3</v>
      </c>
      <c r="H126" s="23">
        <v>2.6</v>
      </c>
      <c r="I126" s="23">
        <v>7703.3</v>
      </c>
      <c r="J126" s="25">
        <v>168898.3</v>
      </c>
      <c r="K126" s="25">
        <f t="shared" si="1"/>
        <v>660859.7</v>
      </c>
      <c r="L126" s="26"/>
      <c r="M126" s="26"/>
      <c r="N126" s="26"/>
      <c r="O126" s="26"/>
      <c r="P126" s="26"/>
    </row>
    <row r="127" spans="1:16" s="27" customFormat="1" ht="12.75" hidden="1">
      <c r="A127" s="22" t="s">
        <v>68</v>
      </c>
      <c r="B127" s="23">
        <v>52538.5</v>
      </c>
      <c r="C127" s="24">
        <v>1931.2</v>
      </c>
      <c r="D127" s="23">
        <v>33531.7</v>
      </c>
      <c r="E127" s="24">
        <v>376662.2</v>
      </c>
      <c r="F127" s="23">
        <v>21165.1</v>
      </c>
      <c r="G127" s="24">
        <v>2624.8</v>
      </c>
      <c r="H127" s="23">
        <v>2.2</v>
      </c>
      <c r="I127" s="23">
        <v>6931.1</v>
      </c>
      <c r="J127" s="25">
        <v>169334.7</v>
      </c>
      <c r="K127" s="25">
        <f t="shared" si="1"/>
        <v>664721.5</v>
      </c>
      <c r="L127" s="26"/>
      <c r="M127" s="26"/>
      <c r="N127" s="26"/>
      <c r="O127" s="26"/>
      <c r="P127" s="26"/>
    </row>
    <row r="128" spans="1:16" s="27" customFormat="1" ht="12.75" hidden="1">
      <c r="A128" s="22" t="s">
        <v>67</v>
      </c>
      <c r="B128" s="23">
        <f>53368+1000</f>
        <v>54368</v>
      </c>
      <c r="C128" s="24">
        <v>2045.7</v>
      </c>
      <c r="D128" s="23">
        <f>35029.1+2984.4</f>
        <v>38013.5</v>
      </c>
      <c r="E128" s="24">
        <v>384599.3</v>
      </c>
      <c r="F128" s="23">
        <v>21423.6</v>
      </c>
      <c r="G128" s="24">
        <v>2638.5</v>
      </c>
      <c r="H128" s="23">
        <v>2.2</v>
      </c>
      <c r="I128" s="23">
        <v>6420.5</v>
      </c>
      <c r="J128" s="25">
        <v>170946.4</v>
      </c>
      <c r="K128" s="25">
        <f t="shared" si="1"/>
        <v>680457.7</v>
      </c>
      <c r="L128" s="26"/>
      <c r="M128" s="26"/>
      <c r="N128" s="26"/>
      <c r="O128" s="26"/>
      <c r="P128" s="26"/>
    </row>
    <row r="129" spans="1:16" s="27" customFormat="1" ht="12.75" hidden="1">
      <c r="A129" s="22" t="s">
        <v>88</v>
      </c>
      <c r="B129" s="23">
        <v>54865.6</v>
      </c>
      <c r="C129" s="24">
        <v>2439.2</v>
      </c>
      <c r="D129" s="23">
        <f>37278.6</f>
        <v>37278.6</v>
      </c>
      <c r="E129" s="24">
        <v>379287.9</v>
      </c>
      <c r="F129" s="23">
        <v>21372.9</v>
      </c>
      <c r="G129" s="24">
        <v>2767.3</v>
      </c>
      <c r="H129" s="23">
        <v>1.8</v>
      </c>
      <c r="I129" s="23">
        <v>4460.7</v>
      </c>
      <c r="J129" s="25">
        <v>174418.40000000002</v>
      </c>
      <c r="K129" s="25">
        <f t="shared" si="1"/>
        <v>676892.4000000001</v>
      </c>
      <c r="L129" s="26"/>
      <c r="M129" s="26"/>
      <c r="N129" s="26"/>
      <c r="O129" s="26"/>
      <c r="P129" s="26"/>
    </row>
    <row r="130" spans="1:16" s="27" customFormat="1" ht="12.75" hidden="1">
      <c r="A130" s="22" t="s">
        <v>92</v>
      </c>
      <c r="B130" s="23">
        <v>56354.4</v>
      </c>
      <c r="C130" s="24">
        <v>2246.4</v>
      </c>
      <c r="D130" s="23">
        <v>40168.7</v>
      </c>
      <c r="E130" s="24">
        <v>379812.9</v>
      </c>
      <c r="F130" s="23">
        <v>21383.5</v>
      </c>
      <c r="G130" s="24">
        <v>2791.9</v>
      </c>
      <c r="H130" s="23">
        <v>1.7</v>
      </c>
      <c r="I130" s="23">
        <v>2951.5</v>
      </c>
      <c r="J130" s="25">
        <v>175590.3</v>
      </c>
      <c r="K130" s="25">
        <f t="shared" si="1"/>
        <v>681301.3</v>
      </c>
      <c r="L130" s="26"/>
      <c r="M130" s="26"/>
      <c r="N130" s="26"/>
      <c r="O130" s="26"/>
      <c r="P130" s="26"/>
    </row>
    <row r="131" spans="1:16" s="27" customFormat="1" ht="12.75" hidden="1">
      <c r="A131" s="22" t="s">
        <v>93</v>
      </c>
      <c r="B131" s="23">
        <v>50739</v>
      </c>
      <c r="C131" s="24">
        <v>2911.2</v>
      </c>
      <c r="D131" s="23">
        <v>40810.7</v>
      </c>
      <c r="E131" s="24">
        <v>380962</v>
      </c>
      <c r="F131" s="23">
        <v>21768.2</v>
      </c>
      <c r="G131" s="24">
        <v>2815</v>
      </c>
      <c r="H131" s="23">
        <v>1.3</v>
      </c>
      <c r="I131" s="23">
        <v>2281.3</v>
      </c>
      <c r="J131" s="25">
        <v>185208.19999999998</v>
      </c>
      <c r="K131" s="25">
        <f t="shared" si="1"/>
        <v>687496.9</v>
      </c>
      <c r="L131" s="26"/>
      <c r="M131" s="26"/>
      <c r="N131" s="26"/>
      <c r="O131" s="26"/>
      <c r="P131" s="26"/>
    </row>
    <row r="132" spans="1:16" s="27" customFormat="1" ht="12.75" hidden="1">
      <c r="A132" s="22" t="s">
        <v>94</v>
      </c>
      <c r="B132" s="23">
        <v>50986</v>
      </c>
      <c r="C132" s="24">
        <v>4198.1</v>
      </c>
      <c r="D132" s="23">
        <v>33407.4</v>
      </c>
      <c r="E132" s="24">
        <v>387148.9</v>
      </c>
      <c r="F132" s="23">
        <v>22675.7</v>
      </c>
      <c r="G132" s="24">
        <v>3423.7</v>
      </c>
      <c r="H132" s="23">
        <v>1.4</v>
      </c>
      <c r="I132" s="23">
        <v>4965.3</v>
      </c>
      <c r="J132" s="25">
        <v>191141.1</v>
      </c>
      <c r="K132" s="25">
        <f t="shared" si="1"/>
        <v>697947.6000000001</v>
      </c>
      <c r="L132" s="26"/>
      <c r="M132" s="26"/>
      <c r="N132" s="26"/>
      <c r="O132" s="26"/>
      <c r="P132" s="26"/>
    </row>
    <row r="133" spans="1:16" s="27" customFormat="1" ht="12.75" hidden="1">
      <c r="A133" s="22" t="s">
        <v>95</v>
      </c>
      <c r="B133" s="23">
        <v>51063</v>
      </c>
      <c r="C133" s="24">
        <v>3197.1</v>
      </c>
      <c r="D133" s="23">
        <v>36577</v>
      </c>
      <c r="E133" s="24">
        <v>377807.5</v>
      </c>
      <c r="F133" s="23">
        <v>24541.1</v>
      </c>
      <c r="G133" s="24">
        <v>4279.8</v>
      </c>
      <c r="H133" s="23">
        <v>1.2</v>
      </c>
      <c r="I133" s="23">
        <v>7624.9</v>
      </c>
      <c r="J133" s="25">
        <v>194591.7</v>
      </c>
      <c r="K133" s="25">
        <f t="shared" si="1"/>
        <v>699683.3</v>
      </c>
      <c r="L133" s="26"/>
      <c r="M133" s="26"/>
      <c r="N133" s="26"/>
      <c r="O133" s="26"/>
      <c r="P133" s="26"/>
    </row>
    <row r="134" spans="1:16" s="27" customFormat="1" ht="12.75" hidden="1">
      <c r="A134" s="22" t="s">
        <v>96</v>
      </c>
      <c r="B134" s="23">
        <v>51956.1</v>
      </c>
      <c r="C134" s="24">
        <v>3976.9</v>
      </c>
      <c r="D134" s="23">
        <v>38731.4</v>
      </c>
      <c r="E134" s="24">
        <v>374248.2</v>
      </c>
      <c r="F134" s="23">
        <v>29934</v>
      </c>
      <c r="G134" s="24">
        <v>4325.6</v>
      </c>
      <c r="H134" s="23" t="s">
        <v>60</v>
      </c>
      <c r="I134" s="23">
        <v>10040.6</v>
      </c>
      <c r="J134" s="25">
        <v>203455.2</v>
      </c>
      <c r="K134" s="25">
        <f t="shared" si="1"/>
        <v>716668</v>
      </c>
      <c r="L134" s="26"/>
      <c r="M134" s="26"/>
      <c r="N134" s="26"/>
      <c r="O134" s="26"/>
      <c r="P134" s="26"/>
    </row>
    <row r="135" spans="1:16" s="27" customFormat="1" ht="12.75" hidden="1">
      <c r="A135" s="22" t="s">
        <v>97</v>
      </c>
      <c r="B135" s="23">
        <v>48653.4</v>
      </c>
      <c r="C135" s="24">
        <v>3800.7</v>
      </c>
      <c r="D135" s="23">
        <v>44262.9</v>
      </c>
      <c r="E135" s="24">
        <v>363908.8</v>
      </c>
      <c r="F135" s="23">
        <v>30169.2</v>
      </c>
      <c r="G135" s="24">
        <v>4534.8</v>
      </c>
      <c r="H135" s="23" t="s">
        <v>60</v>
      </c>
      <c r="I135" s="23">
        <v>8334</v>
      </c>
      <c r="J135" s="25">
        <v>206507.6</v>
      </c>
      <c r="K135" s="25">
        <f t="shared" si="1"/>
        <v>710171.4</v>
      </c>
      <c r="L135" s="26"/>
      <c r="M135" s="26"/>
      <c r="N135" s="26"/>
      <c r="O135" s="26"/>
      <c r="P135" s="26"/>
    </row>
    <row r="136" spans="1:16" s="27" customFormat="1" ht="12.75" hidden="1">
      <c r="A136" s="22" t="s">
        <v>98</v>
      </c>
      <c r="B136" s="23">
        <v>49303.9</v>
      </c>
      <c r="C136" s="24">
        <v>3867.7</v>
      </c>
      <c r="D136" s="23">
        <v>44975.6</v>
      </c>
      <c r="E136" s="24">
        <v>361374.4</v>
      </c>
      <c r="F136" s="23">
        <v>29922.1</v>
      </c>
      <c r="G136" s="24">
        <v>4476.4</v>
      </c>
      <c r="H136" s="23" t="s">
        <v>60</v>
      </c>
      <c r="I136" s="23">
        <v>8018.1</v>
      </c>
      <c r="J136" s="25">
        <v>207075.80000000002</v>
      </c>
      <c r="K136" s="25">
        <f t="shared" si="1"/>
        <v>709014</v>
      </c>
      <c r="L136" s="26"/>
      <c r="M136" s="26"/>
      <c r="N136" s="26"/>
      <c r="O136" s="26"/>
      <c r="P136" s="26"/>
    </row>
    <row r="137" spans="1:16" s="27" customFormat="1" ht="12.75" hidden="1">
      <c r="A137" s="22" t="s">
        <v>99</v>
      </c>
      <c r="B137" s="23">
        <v>47944.1</v>
      </c>
      <c r="C137" s="24">
        <v>3995.1</v>
      </c>
      <c r="D137" s="23">
        <v>42262.7</v>
      </c>
      <c r="E137" s="24">
        <v>364183.3</v>
      </c>
      <c r="F137" s="23">
        <v>25710.4</v>
      </c>
      <c r="G137" s="24">
        <v>2888</v>
      </c>
      <c r="H137" s="23" t="s">
        <v>60</v>
      </c>
      <c r="I137" s="23">
        <v>6959.1</v>
      </c>
      <c r="J137" s="25">
        <v>206356.8</v>
      </c>
      <c r="K137" s="25">
        <f t="shared" si="1"/>
        <v>700299.5</v>
      </c>
      <c r="L137" s="26"/>
      <c r="M137" s="26"/>
      <c r="N137" s="26"/>
      <c r="O137" s="26"/>
      <c r="P137" s="26"/>
    </row>
    <row r="138" spans="1:16" s="27" customFormat="1" ht="12.75" hidden="1">
      <c r="A138" s="22" t="s">
        <v>90</v>
      </c>
      <c r="B138" s="23">
        <v>48140.6</v>
      </c>
      <c r="C138" s="24">
        <v>4345.6</v>
      </c>
      <c r="D138" s="23">
        <v>50039.2</v>
      </c>
      <c r="E138" s="24">
        <v>357988.2</v>
      </c>
      <c r="F138" s="23">
        <v>27406.9</v>
      </c>
      <c r="G138" s="24">
        <v>3042.3</v>
      </c>
      <c r="H138" s="23" t="s">
        <v>60</v>
      </c>
      <c r="I138" s="23">
        <v>4917.4</v>
      </c>
      <c r="J138" s="25">
        <v>207824.30000000002</v>
      </c>
      <c r="K138" s="25">
        <f t="shared" si="1"/>
        <v>703704.5</v>
      </c>
      <c r="L138" s="26"/>
      <c r="M138" s="26"/>
      <c r="N138" s="26"/>
      <c r="O138" s="26"/>
      <c r="P138" s="26"/>
    </row>
    <row r="139" spans="1:16" s="27" customFormat="1" ht="12.75" hidden="1">
      <c r="A139" s="22" t="s">
        <v>103</v>
      </c>
      <c r="B139" s="23">
        <v>48485.6</v>
      </c>
      <c r="C139" s="24">
        <v>3989</v>
      </c>
      <c r="D139" s="23">
        <v>49936.6</v>
      </c>
      <c r="E139" s="24">
        <v>357416.6</v>
      </c>
      <c r="F139" s="23">
        <v>28073.5</v>
      </c>
      <c r="G139" s="24">
        <v>3070.7</v>
      </c>
      <c r="H139" s="23" t="s">
        <v>60</v>
      </c>
      <c r="I139" s="23">
        <v>4616.1</v>
      </c>
      <c r="J139" s="25">
        <v>209734</v>
      </c>
      <c r="K139" s="25">
        <f t="shared" si="1"/>
        <v>705322.1</v>
      </c>
      <c r="L139" s="26"/>
      <c r="M139" s="26"/>
      <c r="N139" s="26"/>
      <c r="O139" s="26"/>
      <c r="P139" s="26"/>
    </row>
    <row r="140" spans="1:16" s="27" customFormat="1" ht="12.75" hidden="1">
      <c r="A140" s="22" t="s">
        <v>86</v>
      </c>
      <c r="B140" s="23">
        <v>48679.6</v>
      </c>
      <c r="C140" s="24">
        <v>4169.7</v>
      </c>
      <c r="D140" s="23">
        <v>51636.6</v>
      </c>
      <c r="E140" s="24">
        <v>351656</v>
      </c>
      <c r="F140" s="23">
        <v>33061.5</v>
      </c>
      <c r="G140" s="24">
        <v>3042.3</v>
      </c>
      <c r="H140" s="23">
        <v>789.2</v>
      </c>
      <c r="I140" s="23">
        <v>3429.6</v>
      </c>
      <c r="J140" s="25">
        <v>207755.1</v>
      </c>
      <c r="K140" s="25">
        <f t="shared" si="1"/>
        <v>704219.6</v>
      </c>
      <c r="L140" s="26"/>
      <c r="M140" s="26"/>
      <c r="N140" s="26"/>
      <c r="O140" s="26"/>
      <c r="P140" s="26"/>
    </row>
    <row r="141" spans="1:16" s="27" customFormat="1" ht="12.75" hidden="1">
      <c r="A141" s="22" t="s">
        <v>106</v>
      </c>
      <c r="B141" s="23">
        <v>48446.8</v>
      </c>
      <c r="C141" s="24">
        <v>4641.8</v>
      </c>
      <c r="D141" s="23">
        <v>57114.5</v>
      </c>
      <c r="E141" s="24">
        <v>343050.6</v>
      </c>
      <c r="F141" s="23">
        <v>33614.6</v>
      </c>
      <c r="G141" s="24">
        <v>2881</v>
      </c>
      <c r="H141" s="23">
        <v>776.3</v>
      </c>
      <c r="I141" s="23">
        <v>3442.8</v>
      </c>
      <c r="J141" s="25">
        <v>212632.69999999998</v>
      </c>
      <c r="K141" s="25">
        <f t="shared" si="1"/>
        <v>706601.0999999999</v>
      </c>
      <c r="L141" s="26"/>
      <c r="M141" s="26"/>
      <c r="N141" s="26"/>
      <c r="O141" s="26"/>
      <c r="P141" s="26"/>
    </row>
    <row r="142" spans="1:16" s="27" customFormat="1" ht="12.75" hidden="1">
      <c r="A142" s="22" t="s">
        <v>107</v>
      </c>
      <c r="B142" s="23">
        <v>49503.7</v>
      </c>
      <c r="C142" s="24">
        <v>4941.3</v>
      </c>
      <c r="D142" s="23">
        <v>52051.1</v>
      </c>
      <c r="E142" s="24">
        <v>343776.2</v>
      </c>
      <c r="F142" s="23">
        <v>33701.7</v>
      </c>
      <c r="G142" s="24">
        <v>2805.8</v>
      </c>
      <c r="H142" s="23">
        <v>724.3</v>
      </c>
      <c r="I142" s="23">
        <v>6125.5</v>
      </c>
      <c r="J142" s="25">
        <v>215049.30000000002</v>
      </c>
      <c r="K142" s="25">
        <f t="shared" si="1"/>
        <v>708678.9</v>
      </c>
      <c r="L142" s="26"/>
      <c r="M142" s="26"/>
      <c r="N142" s="26"/>
      <c r="O142" s="26"/>
      <c r="P142" s="26"/>
    </row>
    <row r="143" spans="1:16" s="27" customFormat="1" ht="12.75" hidden="1">
      <c r="A143" s="22" t="s">
        <v>108</v>
      </c>
      <c r="B143" s="23">
        <v>50105.1</v>
      </c>
      <c r="C143" s="24">
        <v>5474.4</v>
      </c>
      <c r="D143" s="23">
        <v>54542.4</v>
      </c>
      <c r="E143" s="24">
        <v>350552</v>
      </c>
      <c r="F143" s="23">
        <v>32087.4</v>
      </c>
      <c r="G143" s="24">
        <v>2731.2</v>
      </c>
      <c r="H143" s="23">
        <v>712.6</v>
      </c>
      <c r="I143" s="23">
        <v>8897.7</v>
      </c>
      <c r="J143" s="25">
        <v>229217.6</v>
      </c>
      <c r="K143" s="25">
        <f t="shared" si="1"/>
        <v>734320.4</v>
      </c>
      <c r="L143" s="26"/>
      <c r="M143" s="26"/>
      <c r="N143" s="26"/>
      <c r="O143" s="26"/>
      <c r="P143" s="26"/>
    </row>
    <row r="144" spans="1:16" s="27" customFormat="1" ht="12.75" hidden="1">
      <c r="A144" s="29" t="s">
        <v>89</v>
      </c>
      <c r="B144" s="23">
        <v>50111</v>
      </c>
      <c r="C144" s="24">
        <v>8951.7</v>
      </c>
      <c r="D144" s="23">
        <v>56247.8</v>
      </c>
      <c r="E144" s="24">
        <v>333869.8</v>
      </c>
      <c r="F144" s="23">
        <v>33711.5</v>
      </c>
      <c r="G144" s="24">
        <v>3487.1</v>
      </c>
      <c r="H144" s="23">
        <v>711.6</v>
      </c>
      <c r="I144" s="23">
        <v>17144.1</v>
      </c>
      <c r="J144" s="25">
        <v>242365.9</v>
      </c>
      <c r="K144" s="25">
        <f t="shared" si="1"/>
        <v>746600.4999999999</v>
      </c>
      <c r="L144" s="26"/>
      <c r="M144" s="26"/>
      <c r="N144" s="26"/>
      <c r="O144" s="26"/>
      <c r="P144" s="26"/>
    </row>
    <row r="145" spans="1:16" s="27" customFormat="1" ht="12.75" hidden="1">
      <c r="A145" s="22" t="s">
        <v>110</v>
      </c>
      <c r="B145" s="23">
        <v>50761</v>
      </c>
      <c r="C145" s="24">
        <v>8169.8</v>
      </c>
      <c r="D145" s="23">
        <v>58042.7</v>
      </c>
      <c r="E145" s="24">
        <v>352666.9</v>
      </c>
      <c r="F145" s="23">
        <v>32305.8</v>
      </c>
      <c r="G145" s="24">
        <v>4361.6</v>
      </c>
      <c r="H145" s="23">
        <v>682.8</v>
      </c>
      <c r="I145" s="23">
        <v>15339</v>
      </c>
      <c r="J145" s="25">
        <v>238271.1</v>
      </c>
      <c r="K145" s="25">
        <f t="shared" si="1"/>
        <v>760600.7</v>
      </c>
      <c r="L145" s="26"/>
      <c r="M145" s="26"/>
      <c r="N145" s="26"/>
      <c r="O145" s="26"/>
      <c r="P145" s="26"/>
    </row>
    <row r="146" spans="1:16" s="27" customFormat="1" ht="12.75" hidden="1">
      <c r="A146" s="22" t="s">
        <v>111</v>
      </c>
      <c r="B146" s="23">
        <v>64598.1</v>
      </c>
      <c r="C146" s="24">
        <v>5537.9</v>
      </c>
      <c r="D146" s="23">
        <v>58888.9</v>
      </c>
      <c r="E146" s="24">
        <v>333194.1</v>
      </c>
      <c r="F146" s="23">
        <v>32267.4</v>
      </c>
      <c r="G146" s="24">
        <v>4762.9</v>
      </c>
      <c r="H146" s="23">
        <v>684.4</v>
      </c>
      <c r="I146" s="23">
        <v>8632.2</v>
      </c>
      <c r="J146" s="25">
        <v>242373.3</v>
      </c>
      <c r="K146" s="25">
        <f t="shared" si="1"/>
        <v>750939.2000000001</v>
      </c>
      <c r="L146" s="26"/>
      <c r="M146" s="26"/>
      <c r="N146" s="26"/>
      <c r="O146" s="26"/>
      <c r="P146" s="26"/>
    </row>
    <row r="147" spans="1:16" s="27" customFormat="1" ht="12.75" hidden="1">
      <c r="A147" s="22" t="s">
        <v>112</v>
      </c>
      <c r="B147" s="23">
        <v>67106.8</v>
      </c>
      <c r="C147" s="24">
        <v>6504.2</v>
      </c>
      <c r="D147" s="23">
        <v>59021.7</v>
      </c>
      <c r="E147" s="24">
        <v>348138</v>
      </c>
      <c r="F147" s="23">
        <v>20101.3</v>
      </c>
      <c r="G147" s="24">
        <v>4782.9</v>
      </c>
      <c r="H147" s="23">
        <v>675.4</v>
      </c>
      <c r="I147" s="23">
        <v>6265.2</v>
      </c>
      <c r="J147" s="25">
        <v>241041.4</v>
      </c>
      <c r="K147" s="25">
        <f t="shared" si="1"/>
        <v>753636.9</v>
      </c>
      <c r="L147" s="26"/>
      <c r="M147" s="26"/>
      <c r="N147" s="26"/>
      <c r="O147" s="26"/>
      <c r="P147" s="26"/>
    </row>
    <row r="148" spans="1:16" s="27" customFormat="1" ht="12.75" hidden="1">
      <c r="A148" s="22" t="s">
        <v>113</v>
      </c>
      <c r="B148" s="23">
        <v>66905.5</v>
      </c>
      <c r="C148" s="24">
        <v>6615.2</v>
      </c>
      <c r="D148" s="23">
        <v>60025.6</v>
      </c>
      <c r="E148" s="24">
        <v>360327.4</v>
      </c>
      <c r="F148" s="23">
        <v>20113.8</v>
      </c>
      <c r="G148" s="24">
        <v>4775.1</v>
      </c>
      <c r="H148" s="23">
        <v>621.4</v>
      </c>
      <c r="I148" s="23">
        <v>2797.4</v>
      </c>
      <c r="J148" s="25">
        <v>244749.7</v>
      </c>
      <c r="K148" s="25">
        <f t="shared" si="1"/>
        <v>766931.1000000001</v>
      </c>
      <c r="L148" s="26"/>
      <c r="M148" s="26"/>
      <c r="N148" s="26"/>
      <c r="O148" s="26"/>
      <c r="P148" s="26"/>
    </row>
    <row r="149" spans="1:16" s="27" customFormat="1" ht="12.75" hidden="1">
      <c r="A149" s="22" t="s">
        <v>117</v>
      </c>
      <c r="B149" s="23">
        <v>71856.2</v>
      </c>
      <c r="C149" s="24">
        <v>8211.1</v>
      </c>
      <c r="D149" s="23">
        <v>58262.9</v>
      </c>
      <c r="E149" s="24">
        <v>361452.6</v>
      </c>
      <c r="F149" s="23">
        <v>20276.5</v>
      </c>
      <c r="G149" s="24">
        <v>4398.7</v>
      </c>
      <c r="H149" s="23">
        <v>576.2</v>
      </c>
      <c r="I149" s="23">
        <v>2209.2</v>
      </c>
      <c r="J149" s="25">
        <v>291304.39999999997</v>
      </c>
      <c r="K149" s="25">
        <f t="shared" si="1"/>
        <v>818547.7999999998</v>
      </c>
      <c r="L149" s="26"/>
      <c r="M149" s="26"/>
      <c r="N149" s="26"/>
      <c r="O149" s="26"/>
      <c r="P149" s="26"/>
    </row>
    <row r="150" spans="1:16" s="27" customFormat="1" ht="12.75" hidden="1">
      <c r="A150" s="22"/>
      <c r="B150" s="23"/>
      <c r="C150" s="24"/>
      <c r="D150" s="23"/>
      <c r="E150" s="24"/>
      <c r="F150" s="23"/>
      <c r="G150" s="24"/>
      <c r="H150" s="23"/>
      <c r="I150" s="23"/>
      <c r="J150" s="25"/>
      <c r="K150" s="25"/>
      <c r="L150" s="26"/>
      <c r="M150" s="26"/>
      <c r="N150" s="26"/>
      <c r="O150" s="26"/>
      <c r="P150" s="26"/>
    </row>
    <row r="151" spans="1:16" s="27" customFormat="1" ht="12.75" hidden="1">
      <c r="A151" s="22" t="s">
        <v>91</v>
      </c>
      <c r="B151" s="23">
        <v>65916.2</v>
      </c>
      <c r="C151" s="24">
        <v>7161.9</v>
      </c>
      <c r="D151" s="23">
        <v>68308.1</v>
      </c>
      <c r="E151" s="24">
        <v>346133.7</v>
      </c>
      <c r="F151" s="23">
        <v>24547.1</v>
      </c>
      <c r="G151" s="24">
        <v>4481.3</v>
      </c>
      <c r="H151" s="23">
        <v>772.2</v>
      </c>
      <c r="I151" s="23">
        <v>1857.2</v>
      </c>
      <c r="J151" s="25">
        <v>275933.2</v>
      </c>
      <c r="K151" s="25">
        <f t="shared" si="1"/>
        <v>795110.9</v>
      </c>
      <c r="L151" s="26"/>
      <c r="M151" s="26"/>
      <c r="N151" s="26"/>
      <c r="O151" s="26"/>
      <c r="P151" s="26"/>
    </row>
    <row r="152" spans="1:16" s="27" customFormat="1" ht="12.75" hidden="1">
      <c r="A152" s="22" t="s">
        <v>119</v>
      </c>
      <c r="B152" s="23">
        <v>64719.4</v>
      </c>
      <c r="C152" s="24">
        <v>7636.9</v>
      </c>
      <c r="D152" s="23">
        <v>55943</v>
      </c>
      <c r="E152" s="24">
        <v>351783</v>
      </c>
      <c r="F152" s="23">
        <v>15975.6</v>
      </c>
      <c r="G152" s="24">
        <v>2671.7</v>
      </c>
      <c r="H152" s="23">
        <v>755.9</v>
      </c>
      <c r="I152" s="23">
        <v>2758.1</v>
      </c>
      <c r="J152" s="25">
        <v>287318.7</v>
      </c>
      <c r="K152" s="25">
        <f t="shared" si="1"/>
        <v>789562.3</v>
      </c>
      <c r="L152" s="26"/>
      <c r="M152" s="26"/>
      <c r="N152" s="26"/>
      <c r="O152" s="26"/>
      <c r="P152" s="26"/>
    </row>
    <row r="153" spans="1:16" s="27" customFormat="1" ht="12.75" hidden="1">
      <c r="A153" s="29" t="s">
        <v>87</v>
      </c>
      <c r="B153" s="23">
        <v>54705.5</v>
      </c>
      <c r="C153" s="24">
        <v>15163.6</v>
      </c>
      <c r="D153" s="23">
        <v>54642.7</v>
      </c>
      <c r="E153" s="24">
        <v>344841.8</v>
      </c>
      <c r="F153" s="23">
        <v>32063</v>
      </c>
      <c r="G153" s="24">
        <v>4383.1</v>
      </c>
      <c r="H153" s="23">
        <v>780.9</v>
      </c>
      <c r="I153" s="23">
        <v>5643.8</v>
      </c>
      <c r="J153" s="25">
        <v>290223.89999999997</v>
      </c>
      <c r="K153" s="25">
        <f t="shared" si="1"/>
        <v>802448.2999999999</v>
      </c>
      <c r="L153" s="26"/>
      <c r="M153" s="26"/>
      <c r="N153" s="26"/>
      <c r="O153" s="26"/>
      <c r="P153" s="26"/>
    </row>
    <row r="154" spans="1:16" s="27" customFormat="1" ht="12.75" hidden="1">
      <c r="A154" s="22" t="s">
        <v>122</v>
      </c>
      <c r="B154" s="23">
        <v>55246.8</v>
      </c>
      <c r="C154" s="24">
        <v>15967.7</v>
      </c>
      <c r="D154" s="23">
        <v>64441.3</v>
      </c>
      <c r="E154" s="24">
        <v>356527.4</v>
      </c>
      <c r="F154" s="23">
        <v>31193.5</v>
      </c>
      <c r="G154" s="24">
        <v>4096.7</v>
      </c>
      <c r="H154" s="23">
        <v>777.2</v>
      </c>
      <c r="I154" s="23">
        <v>11889.6</v>
      </c>
      <c r="J154" s="25">
        <v>296803.39999999997</v>
      </c>
      <c r="K154" s="25">
        <f t="shared" si="1"/>
        <v>836943.5999999999</v>
      </c>
      <c r="L154" s="26"/>
      <c r="M154" s="26"/>
      <c r="N154" s="26"/>
      <c r="O154" s="26"/>
      <c r="P154" s="26"/>
    </row>
    <row r="155" spans="1:16" s="27" customFormat="1" ht="12.75" hidden="1">
      <c r="A155" s="22" t="s">
        <v>123</v>
      </c>
      <c r="B155" s="23">
        <v>56695.1</v>
      </c>
      <c r="C155" s="24">
        <v>16691.2</v>
      </c>
      <c r="D155" s="23">
        <v>47955.3</v>
      </c>
      <c r="E155" s="24">
        <v>347263.4</v>
      </c>
      <c r="F155" s="23">
        <v>36334.1</v>
      </c>
      <c r="G155" s="24">
        <v>3689</v>
      </c>
      <c r="H155" s="23">
        <v>751.4</v>
      </c>
      <c r="I155" s="23">
        <v>18376.2</v>
      </c>
      <c r="J155" s="25">
        <v>296805.7</v>
      </c>
      <c r="K155" s="25">
        <f t="shared" si="1"/>
        <v>824561.3999999999</v>
      </c>
      <c r="L155" s="26"/>
      <c r="M155" s="26"/>
      <c r="N155" s="26"/>
      <c r="O155" s="26"/>
      <c r="P155" s="26"/>
    </row>
    <row r="156" spans="1:16" s="27" customFormat="1" ht="12.75" hidden="1">
      <c r="A156" s="22" t="s">
        <v>124</v>
      </c>
      <c r="B156" s="23">
        <v>53782.6</v>
      </c>
      <c r="C156" s="24">
        <v>15877</v>
      </c>
      <c r="D156" s="23">
        <v>49627</v>
      </c>
      <c r="E156" s="24">
        <v>345957.7</v>
      </c>
      <c r="F156" s="23">
        <v>36420.3</v>
      </c>
      <c r="G156" s="24">
        <v>3784.5</v>
      </c>
      <c r="H156" s="23">
        <v>894.1</v>
      </c>
      <c r="I156" s="23">
        <v>23943.4</v>
      </c>
      <c r="J156" s="25">
        <v>290072</v>
      </c>
      <c r="K156" s="25">
        <f t="shared" si="1"/>
        <v>820358.6</v>
      </c>
      <c r="L156" s="26"/>
      <c r="M156" s="26"/>
      <c r="N156" s="26"/>
      <c r="O156" s="26"/>
      <c r="P156" s="26"/>
    </row>
    <row r="157" spans="1:16" s="27" customFormat="1" ht="12.75" hidden="1">
      <c r="A157" s="22" t="s">
        <v>125</v>
      </c>
      <c r="B157" s="23">
        <v>55554.4</v>
      </c>
      <c r="C157" s="24">
        <v>15801.1</v>
      </c>
      <c r="D157" s="23">
        <v>50055.3</v>
      </c>
      <c r="E157" s="24">
        <v>338615.5</v>
      </c>
      <c r="F157" s="23">
        <v>36078.6</v>
      </c>
      <c r="G157" s="24">
        <v>4106.1</v>
      </c>
      <c r="H157" s="23">
        <v>2564.6</v>
      </c>
      <c r="I157" s="23">
        <v>29700.8</v>
      </c>
      <c r="J157" s="25">
        <v>292610.8</v>
      </c>
      <c r="K157" s="25">
        <f t="shared" si="1"/>
        <v>825087.2</v>
      </c>
      <c r="L157" s="26"/>
      <c r="M157" s="26"/>
      <c r="N157" s="26"/>
      <c r="O157" s="26"/>
      <c r="P157" s="26"/>
    </row>
    <row r="158" spans="1:16" s="27" customFormat="1" ht="12.75" hidden="1">
      <c r="A158" s="22" t="s">
        <v>126</v>
      </c>
      <c r="B158" s="23">
        <v>55943.3</v>
      </c>
      <c r="C158" s="24">
        <v>13466.5</v>
      </c>
      <c r="D158" s="23">
        <v>50160</v>
      </c>
      <c r="E158" s="24">
        <v>338353.7</v>
      </c>
      <c r="F158" s="23">
        <v>36612.9</v>
      </c>
      <c r="G158" s="24">
        <v>4741.3</v>
      </c>
      <c r="H158" s="23">
        <v>741.3</v>
      </c>
      <c r="I158" s="23">
        <v>29466</v>
      </c>
      <c r="J158" s="25">
        <v>293432.1</v>
      </c>
      <c r="K158" s="25">
        <f t="shared" si="1"/>
        <v>822917.1</v>
      </c>
      <c r="L158" s="26"/>
      <c r="M158" s="26"/>
      <c r="N158" s="26"/>
      <c r="O158" s="26"/>
      <c r="P158" s="26"/>
    </row>
    <row r="159" spans="1:16" s="27" customFormat="1" ht="12.75" hidden="1">
      <c r="A159" s="22" t="s">
        <v>84</v>
      </c>
      <c r="B159" s="23">
        <v>56708.9</v>
      </c>
      <c r="C159" s="24">
        <v>17349.8</v>
      </c>
      <c r="D159" s="23">
        <v>51032.3</v>
      </c>
      <c r="E159" s="24">
        <v>341063</v>
      </c>
      <c r="F159" s="23">
        <v>37387.4</v>
      </c>
      <c r="G159" s="24">
        <v>4411.5</v>
      </c>
      <c r="H159" s="23">
        <v>797.3</v>
      </c>
      <c r="I159" s="23">
        <v>28488.8</v>
      </c>
      <c r="J159" s="25">
        <v>287657.8</v>
      </c>
      <c r="K159" s="25">
        <f t="shared" si="1"/>
        <v>824896.8</v>
      </c>
      <c r="L159" s="26"/>
      <c r="M159" s="26"/>
      <c r="N159" s="26"/>
      <c r="O159" s="26"/>
      <c r="P159" s="26"/>
    </row>
    <row r="160" spans="1:16" s="27" customFormat="1" ht="12.75" hidden="1">
      <c r="A160" s="29" t="s">
        <v>127</v>
      </c>
      <c r="B160" s="23">
        <v>57360.1</v>
      </c>
      <c r="C160" s="24">
        <v>15378.6</v>
      </c>
      <c r="D160" s="23">
        <v>53334.4</v>
      </c>
      <c r="E160" s="24">
        <v>337093.7</v>
      </c>
      <c r="F160" s="23">
        <v>36691.3</v>
      </c>
      <c r="G160" s="24">
        <v>3792.6</v>
      </c>
      <c r="H160" s="23">
        <v>799</v>
      </c>
      <c r="I160" s="23">
        <v>25449.5</v>
      </c>
      <c r="J160" s="25">
        <v>290662.7</v>
      </c>
      <c r="K160" s="25">
        <f t="shared" si="1"/>
        <v>820561.8999999999</v>
      </c>
      <c r="L160" s="26"/>
      <c r="M160" s="26"/>
      <c r="N160" s="26"/>
      <c r="O160" s="26"/>
      <c r="P160" s="26"/>
    </row>
    <row r="161" spans="1:16" s="27" customFormat="1" ht="12.75" hidden="1">
      <c r="A161" s="22" t="s">
        <v>128</v>
      </c>
      <c r="B161" s="23">
        <v>79288.1</v>
      </c>
      <c r="C161" s="24">
        <v>40457.7</v>
      </c>
      <c r="D161" s="23">
        <v>120694.1</v>
      </c>
      <c r="E161" s="24">
        <v>263591.2</v>
      </c>
      <c r="F161" s="23">
        <f>30484.4+21567.9</f>
        <v>52052.3</v>
      </c>
      <c r="G161" s="24">
        <v>24801.2</v>
      </c>
      <c r="H161" s="23">
        <v>1002.7</v>
      </c>
      <c r="I161" s="23">
        <v>24268.9</v>
      </c>
      <c r="J161" s="25">
        <v>220554.9</v>
      </c>
      <c r="K161" s="25">
        <f t="shared" si="1"/>
        <v>826711.1</v>
      </c>
      <c r="L161" s="26"/>
      <c r="M161" s="26"/>
      <c r="N161" s="26"/>
      <c r="O161" s="26"/>
      <c r="P161" s="26"/>
    </row>
    <row r="162" spans="1:16" s="27" customFormat="1" ht="12.75" hidden="1">
      <c r="A162" s="22" t="s">
        <v>130</v>
      </c>
      <c r="B162" s="23">
        <v>78983.9</v>
      </c>
      <c r="C162" s="24">
        <v>37388.1</v>
      </c>
      <c r="D162" s="23">
        <v>119717.9</v>
      </c>
      <c r="E162" s="24">
        <v>236010.9</v>
      </c>
      <c r="F162" s="23">
        <f>30660.7+27246</f>
        <v>57906.7</v>
      </c>
      <c r="G162" s="24">
        <v>24451.7</v>
      </c>
      <c r="H162" s="23">
        <v>698.4</v>
      </c>
      <c r="I162" s="23">
        <v>20693</v>
      </c>
      <c r="J162" s="25">
        <v>225248.8</v>
      </c>
      <c r="K162" s="25">
        <f t="shared" si="1"/>
        <v>801099.3999999999</v>
      </c>
      <c r="L162" s="26"/>
      <c r="M162" s="26"/>
      <c r="N162" s="26"/>
      <c r="O162" s="26"/>
      <c r="P162" s="26"/>
    </row>
    <row r="163" spans="1:16" s="27" customFormat="1" ht="12.75" hidden="1">
      <c r="A163" s="22"/>
      <c r="B163" s="23"/>
      <c r="C163" s="24"/>
      <c r="D163" s="23"/>
      <c r="E163" s="24"/>
      <c r="F163" s="23"/>
      <c r="G163" s="24"/>
      <c r="H163" s="23"/>
      <c r="I163" s="23"/>
      <c r="J163" s="25"/>
      <c r="K163" s="25"/>
      <c r="L163" s="26"/>
      <c r="M163" s="26"/>
      <c r="N163" s="26"/>
      <c r="O163" s="26"/>
      <c r="P163" s="26"/>
    </row>
    <row r="164" spans="1:16" s="27" customFormat="1" ht="12.75" hidden="1">
      <c r="A164" s="22" t="s">
        <v>101</v>
      </c>
      <c r="B164" s="23">
        <v>76885.9</v>
      </c>
      <c r="C164" s="24">
        <v>38783.1</v>
      </c>
      <c r="D164" s="23">
        <v>101627.9</v>
      </c>
      <c r="E164" s="24">
        <v>259316.1</v>
      </c>
      <c r="F164" s="23">
        <f>29715.7+30354.7</f>
        <v>60070.4</v>
      </c>
      <c r="G164" s="24">
        <v>25181.5</v>
      </c>
      <c r="H164" s="23">
        <v>541.9</v>
      </c>
      <c r="I164" s="23">
        <v>17627.5</v>
      </c>
      <c r="J164" s="25">
        <f>12.6+11621.6+2116.1+10538.9+2+206071.3</f>
        <v>230362.5</v>
      </c>
      <c r="K164" s="25">
        <f aca="true" t="shared" si="2" ref="K164:K169">SUM(B164:J164)</f>
        <v>810396.8</v>
      </c>
      <c r="L164" s="26"/>
      <c r="M164" s="26"/>
      <c r="N164" s="26"/>
      <c r="O164" s="26"/>
      <c r="P164" s="26"/>
    </row>
    <row r="165" spans="1:16" s="27" customFormat="1" ht="12.75" hidden="1">
      <c r="A165" s="22" t="s">
        <v>132</v>
      </c>
      <c r="B165" s="23">
        <v>79767.9</v>
      </c>
      <c r="C165" s="24">
        <v>36154.2</v>
      </c>
      <c r="D165" s="23">
        <v>100941.5</v>
      </c>
      <c r="E165" s="24">
        <v>261894.1</v>
      </c>
      <c r="F165" s="23">
        <f>30403+29563.6</f>
        <v>59966.6</v>
      </c>
      <c r="G165" s="24">
        <v>25312.7</v>
      </c>
      <c r="H165" s="23">
        <v>635.9</v>
      </c>
      <c r="I165" s="23">
        <v>14795</v>
      </c>
      <c r="J165" s="25">
        <f>0.1+12.7+8866.2+1912.7+10332.1+2+205325.3</f>
        <v>226451.09999999998</v>
      </c>
      <c r="K165" s="25">
        <f t="shared" si="2"/>
        <v>805918.9999999999</v>
      </c>
      <c r="L165" s="26"/>
      <c r="M165" s="26"/>
      <c r="N165" s="26"/>
      <c r="O165" s="26"/>
      <c r="P165" s="26"/>
    </row>
    <row r="166" spans="1:16" s="27" customFormat="1" ht="12.75" hidden="1">
      <c r="A166" s="22" t="s">
        <v>104</v>
      </c>
      <c r="B166" s="23">
        <v>78597</v>
      </c>
      <c r="C166" s="24">
        <v>35654.2</v>
      </c>
      <c r="D166" s="23">
        <v>99770.4</v>
      </c>
      <c r="E166" s="24">
        <v>242568.1</v>
      </c>
      <c r="F166" s="23">
        <f>30502+29923.3</f>
        <v>60425.3</v>
      </c>
      <c r="G166" s="24">
        <v>26700.2</v>
      </c>
      <c r="H166" s="23">
        <v>596.1</v>
      </c>
      <c r="I166" s="23">
        <v>11115.3</v>
      </c>
      <c r="J166" s="25">
        <f>69.1+8661.2+4078.5+10111.6+2.6+228834.9</f>
        <v>251757.9</v>
      </c>
      <c r="K166" s="25">
        <f t="shared" si="2"/>
        <v>807184.5</v>
      </c>
      <c r="L166" s="26"/>
      <c r="M166" s="26"/>
      <c r="N166" s="26"/>
      <c r="O166" s="26"/>
      <c r="P166" s="26"/>
    </row>
    <row r="167" spans="1:16" s="27" customFormat="1" ht="12.75" hidden="1">
      <c r="A167" s="22" t="s">
        <v>136</v>
      </c>
      <c r="B167" s="23">
        <v>78524.7</v>
      </c>
      <c r="C167" s="24">
        <v>31879</v>
      </c>
      <c r="D167" s="23">
        <v>100899.4</v>
      </c>
      <c r="E167" s="24">
        <v>238342.1</v>
      </c>
      <c r="F167" s="23">
        <v>61231.4</v>
      </c>
      <c r="G167" s="24">
        <v>25617.6</v>
      </c>
      <c r="H167" s="23">
        <v>564.4</v>
      </c>
      <c r="I167" s="23">
        <v>10479.3</v>
      </c>
      <c r="J167" s="25">
        <v>258168.5</v>
      </c>
      <c r="K167" s="25">
        <f t="shared" si="2"/>
        <v>805706.4</v>
      </c>
      <c r="L167" s="26"/>
      <c r="M167" s="26"/>
      <c r="N167" s="26"/>
      <c r="O167" s="26"/>
      <c r="P167" s="26"/>
    </row>
    <row r="168" spans="1:16" s="27" customFormat="1" ht="12.75" hidden="1">
      <c r="A168" s="22" t="s">
        <v>138</v>
      </c>
      <c r="B168" s="23">
        <v>82241.9</v>
      </c>
      <c r="C168" s="24">
        <v>30155.1</v>
      </c>
      <c r="D168" s="23">
        <v>98541.2</v>
      </c>
      <c r="E168" s="24">
        <v>242462</v>
      </c>
      <c r="F168" s="23">
        <f>30827.5+29014.9</f>
        <v>59842.4</v>
      </c>
      <c r="G168" s="24">
        <v>26536.5</v>
      </c>
      <c r="H168" s="23">
        <v>581.5</v>
      </c>
      <c r="I168" s="23">
        <v>11895.4</v>
      </c>
      <c r="J168" s="25">
        <f>0.2+71.5+7800.3+3927.1+10523.7+2.4+236421.4</f>
        <v>258746.6</v>
      </c>
      <c r="K168" s="25">
        <f t="shared" si="2"/>
        <v>811002.6000000001</v>
      </c>
      <c r="L168" s="26"/>
      <c r="M168" s="26"/>
      <c r="N168" s="26"/>
      <c r="O168" s="26"/>
      <c r="P168" s="26"/>
    </row>
    <row r="169" spans="1:16" s="27" customFormat="1" ht="12.75" hidden="1">
      <c r="A169" s="22" t="s">
        <v>140</v>
      </c>
      <c r="B169" s="23">
        <v>84182.3</v>
      </c>
      <c r="C169" s="23">
        <v>36462.4</v>
      </c>
      <c r="D169" s="23">
        <v>97862</v>
      </c>
      <c r="E169" s="23">
        <v>264456.2</v>
      </c>
      <c r="F169" s="23">
        <f>28919.3+30491.9</f>
        <v>59411.2</v>
      </c>
      <c r="G169" s="23">
        <v>26993.4</v>
      </c>
      <c r="H169" s="23">
        <v>492.1</v>
      </c>
      <c r="I169" s="23">
        <v>16862.1</v>
      </c>
      <c r="J169" s="23">
        <f>0.2+22.3+7318.2+3652.6+11215.1+2+220175.7</f>
        <v>242386.1</v>
      </c>
      <c r="K169" s="25">
        <f t="shared" si="2"/>
        <v>829107.7999999999</v>
      </c>
      <c r="L169" s="26"/>
      <c r="M169" s="26"/>
      <c r="N169" s="26"/>
      <c r="O169" s="26"/>
      <c r="P169" s="26"/>
    </row>
    <row r="170" spans="1:16" s="27" customFormat="1" ht="12.75" hidden="1">
      <c r="A170" s="22" t="s">
        <v>142</v>
      </c>
      <c r="B170" s="23">
        <v>85657.8</v>
      </c>
      <c r="C170" s="23">
        <v>34422.7</v>
      </c>
      <c r="D170" s="23">
        <v>91376.9</v>
      </c>
      <c r="E170" s="23">
        <v>272735.6</v>
      </c>
      <c r="F170" s="23">
        <f>30857.5+27888.3</f>
        <v>58745.8</v>
      </c>
      <c r="G170" s="23">
        <v>27147.3</v>
      </c>
      <c r="H170" s="23">
        <v>530.3</v>
      </c>
      <c r="I170" s="23">
        <v>20981.2</v>
      </c>
      <c r="J170" s="23">
        <f>0.6+209.8+7201.5+3389.6+10428.1+2+215933.8</f>
        <v>237165.4</v>
      </c>
      <c r="K170" s="25">
        <f aca="true" t="shared" si="3" ref="K170:K217">SUM(B170:J170)</f>
        <v>828763.0000000001</v>
      </c>
      <c r="L170" s="26"/>
      <c r="M170" s="26"/>
      <c r="N170" s="26"/>
      <c r="O170" s="26"/>
      <c r="P170" s="26"/>
    </row>
    <row r="171" spans="1:16" s="27" customFormat="1" ht="12.75" hidden="1">
      <c r="A171" s="22" t="s">
        <v>144</v>
      </c>
      <c r="B171" s="23">
        <v>87904.3</v>
      </c>
      <c r="C171" s="23">
        <v>34443.6</v>
      </c>
      <c r="D171" s="23">
        <v>91847.5</v>
      </c>
      <c r="E171" s="23">
        <v>277329.6</v>
      </c>
      <c r="F171" s="23">
        <f>28673.4+30691.7</f>
        <v>59365.100000000006</v>
      </c>
      <c r="G171" s="23">
        <v>25397.4</v>
      </c>
      <c r="H171" s="23">
        <v>584.4</v>
      </c>
      <c r="I171" s="23">
        <v>21721.1</v>
      </c>
      <c r="J171" s="23">
        <f>0.6+209.8+7172.8+3389.3+10368.5+2+212241.3</f>
        <v>233384.3</v>
      </c>
      <c r="K171" s="25">
        <f t="shared" si="3"/>
        <v>831977.3</v>
      </c>
      <c r="L171" s="26"/>
      <c r="M171" s="26"/>
      <c r="N171" s="26"/>
      <c r="O171" s="26"/>
      <c r="P171" s="26"/>
    </row>
    <row r="172" spans="1:16" s="27" customFormat="1" ht="12.75" hidden="1">
      <c r="A172" s="22" t="s">
        <v>146</v>
      </c>
      <c r="B172" s="23">
        <v>84814</v>
      </c>
      <c r="C172" s="23">
        <v>35757.9</v>
      </c>
      <c r="D172" s="23">
        <v>99398.2</v>
      </c>
      <c r="E172" s="23">
        <v>246817.3</v>
      </c>
      <c r="F172" s="23">
        <f>29972.7+31019.3</f>
        <v>60992</v>
      </c>
      <c r="G172" s="23">
        <v>26567.7</v>
      </c>
      <c r="H172" s="23">
        <v>536.3</v>
      </c>
      <c r="I172" s="23">
        <v>17032.9</v>
      </c>
      <c r="J172" s="23">
        <f>59.2+7379.6+3426+9149+2+247930.4</f>
        <v>267946.2</v>
      </c>
      <c r="K172" s="25">
        <f t="shared" si="3"/>
        <v>839862.5</v>
      </c>
      <c r="L172" s="26"/>
      <c r="M172" s="26"/>
      <c r="N172" s="26"/>
      <c r="O172" s="26"/>
      <c r="P172" s="26"/>
    </row>
    <row r="173" spans="1:16" s="27" customFormat="1" ht="12.75" hidden="1">
      <c r="A173" s="22" t="s">
        <v>148</v>
      </c>
      <c r="B173" s="23">
        <v>90604</v>
      </c>
      <c r="C173" s="23">
        <v>37120.9</v>
      </c>
      <c r="D173" s="23">
        <v>96434.3</v>
      </c>
      <c r="E173" s="23">
        <v>248642.3</v>
      </c>
      <c r="F173" s="23">
        <f>30980.6+28763.1</f>
        <v>59743.7</v>
      </c>
      <c r="G173" s="23">
        <v>26560.7</v>
      </c>
      <c r="H173" s="23">
        <v>500.4</v>
      </c>
      <c r="I173" s="23">
        <v>13339.9</v>
      </c>
      <c r="J173" s="23">
        <f>1656.9+70.4+37203.5+3378.3+7411.8+2264.2+210263.6</f>
        <v>262248.7</v>
      </c>
      <c r="K173" s="25">
        <f t="shared" si="3"/>
        <v>835194.8999999999</v>
      </c>
      <c r="L173" s="26"/>
      <c r="M173" s="26"/>
      <c r="N173" s="26"/>
      <c r="O173" s="26"/>
      <c r="P173" s="26"/>
    </row>
    <row r="174" spans="1:16" s="27" customFormat="1" ht="12.75" hidden="1">
      <c r="A174" s="22" t="s">
        <v>150</v>
      </c>
      <c r="B174" s="23">
        <v>109537.8</v>
      </c>
      <c r="C174" s="23">
        <v>33499.5</v>
      </c>
      <c r="D174" s="23">
        <v>95086.7</v>
      </c>
      <c r="E174" s="23">
        <v>233062.4</v>
      </c>
      <c r="F174" s="23">
        <f>27101.4+30877.8</f>
        <v>57979.2</v>
      </c>
      <c r="G174" s="23">
        <v>27363.8</v>
      </c>
      <c r="H174" s="23">
        <v>500.9</v>
      </c>
      <c r="I174" s="23">
        <v>9534.6</v>
      </c>
      <c r="J174" s="23">
        <f>1578.9+260.8+36506.3+2805.5+7365.9+1132.1+212713.3</f>
        <v>262362.8</v>
      </c>
      <c r="K174" s="25">
        <f t="shared" si="3"/>
        <v>828927.7</v>
      </c>
      <c r="L174" s="26"/>
      <c r="M174" s="26"/>
      <c r="N174" s="26"/>
      <c r="O174" s="26"/>
      <c r="P174" s="26"/>
    </row>
    <row r="175" spans="1:16" s="27" customFormat="1" ht="12.75" hidden="1">
      <c r="A175" s="22" t="s">
        <v>152</v>
      </c>
      <c r="B175" s="23">
        <v>92849.1</v>
      </c>
      <c r="C175" s="23">
        <v>31920.9</v>
      </c>
      <c r="D175" s="23">
        <v>93114.2</v>
      </c>
      <c r="E175" s="23">
        <v>239834.2</v>
      </c>
      <c r="F175" s="23">
        <f>30036.4+28094.6</f>
        <v>58131</v>
      </c>
      <c r="G175" s="23">
        <v>25379.8</v>
      </c>
      <c r="H175" s="23">
        <v>510.6</v>
      </c>
      <c r="I175" s="23">
        <v>8714.2</v>
      </c>
      <c r="J175" s="23">
        <f>1586.8+66.4+36001.3+3203.8+7836.8+2371.7+210256.6</f>
        <v>261323.40000000002</v>
      </c>
      <c r="K175" s="25">
        <f t="shared" si="3"/>
        <v>811777.4</v>
      </c>
      <c r="L175" s="26"/>
      <c r="M175" s="26"/>
      <c r="N175" s="26"/>
      <c r="O175" s="26"/>
      <c r="P175" s="26"/>
    </row>
    <row r="176" spans="1:16" s="27" customFormat="1" ht="12.75" hidden="1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5"/>
      <c r="L176" s="26"/>
      <c r="M176" s="26"/>
      <c r="N176" s="26"/>
      <c r="O176" s="26"/>
      <c r="P176" s="26"/>
    </row>
    <row r="177" spans="1:16" s="27" customFormat="1" ht="12.75" hidden="1">
      <c r="A177" s="22" t="s">
        <v>118</v>
      </c>
      <c r="B177" s="23">
        <v>94597.5</v>
      </c>
      <c r="C177" s="23">
        <v>34441.9</v>
      </c>
      <c r="D177" s="23">
        <v>91390.7</v>
      </c>
      <c r="E177" s="23">
        <v>233997.7</v>
      </c>
      <c r="F177" s="23">
        <f>27846.9+31886.4</f>
        <v>59733.3</v>
      </c>
      <c r="G177" s="23">
        <v>25651.7</v>
      </c>
      <c r="H177" s="23">
        <v>555.7</v>
      </c>
      <c r="I177" s="23">
        <v>6314.4</v>
      </c>
      <c r="J177" s="23">
        <f>1587+13.1+36032.2+3140.7+7628+2191.7+206803.1</f>
        <v>257395.8</v>
      </c>
      <c r="K177" s="25">
        <f t="shared" si="3"/>
        <v>804078.7</v>
      </c>
      <c r="L177" s="26"/>
      <c r="M177" s="26"/>
      <c r="N177" s="26"/>
      <c r="O177" s="26"/>
      <c r="P177" s="26"/>
    </row>
    <row r="178" spans="1:16" s="27" customFormat="1" ht="12.75" hidden="1">
      <c r="A178" s="22" t="s">
        <v>154</v>
      </c>
      <c r="B178" s="23">
        <v>93898.6</v>
      </c>
      <c r="C178" s="23">
        <v>31020.4</v>
      </c>
      <c r="D178" s="23">
        <v>89177.7</v>
      </c>
      <c r="E178" s="23">
        <v>216555.3</v>
      </c>
      <c r="F178" s="23">
        <f>26638.2+23677</f>
        <v>50315.2</v>
      </c>
      <c r="G178" s="23">
        <v>20606.7</v>
      </c>
      <c r="H178" s="23">
        <v>614</v>
      </c>
      <c r="I178" s="23">
        <v>5333.5</v>
      </c>
      <c r="J178" s="23">
        <f>1567.1+0.6+33810+3087.4+7930.6+2270+195440.6</f>
        <v>244106.3</v>
      </c>
      <c r="K178" s="25">
        <f t="shared" si="3"/>
        <v>751627.7</v>
      </c>
      <c r="L178" s="26"/>
      <c r="M178" s="26"/>
      <c r="N178" s="26"/>
      <c r="O178" s="26"/>
      <c r="P178" s="26"/>
    </row>
    <row r="179" spans="1:16" s="27" customFormat="1" ht="12.75" hidden="1">
      <c r="A179" s="22" t="s">
        <v>120</v>
      </c>
      <c r="B179" s="23">
        <v>94155.9</v>
      </c>
      <c r="C179" s="23">
        <v>27993.9</v>
      </c>
      <c r="D179" s="23">
        <v>93768.8</v>
      </c>
      <c r="E179" s="23">
        <v>219230.3</v>
      </c>
      <c r="F179" s="23">
        <f>22294.9+26507.2</f>
        <v>48802.100000000006</v>
      </c>
      <c r="G179" s="23">
        <v>19661.5</v>
      </c>
      <c r="H179" s="23">
        <v>591.9</v>
      </c>
      <c r="I179" s="23">
        <v>5743.6</v>
      </c>
      <c r="J179" s="23">
        <f>1537.8+0.4+33830.9+2864.9+7731.6+2288.3+192068.7</f>
        <v>240322.6</v>
      </c>
      <c r="K179" s="25">
        <f t="shared" si="3"/>
        <v>750270.6</v>
      </c>
      <c r="L179" s="26"/>
      <c r="M179" s="26"/>
      <c r="N179" s="26"/>
      <c r="O179" s="26"/>
      <c r="P179" s="26"/>
    </row>
    <row r="180" spans="1:16" s="27" customFormat="1" ht="12.75" hidden="1">
      <c r="A180" s="22" t="s">
        <v>156</v>
      </c>
      <c r="B180" s="23">
        <v>93102.7</v>
      </c>
      <c r="C180" s="23">
        <v>25715.3</v>
      </c>
      <c r="D180" s="23">
        <v>93430.3</v>
      </c>
      <c r="E180" s="23">
        <v>210849.8</v>
      </c>
      <c r="F180" s="23">
        <f>26426.2+22167.5</f>
        <v>48593.7</v>
      </c>
      <c r="G180" s="23">
        <v>19241.1</v>
      </c>
      <c r="H180" s="23">
        <v>477.5</v>
      </c>
      <c r="I180" s="23">
        <v>6318.8</v>
      </c>
      <c r="J180" s="23">
        <f>1562.7+0.3+33304.2+2756.9+8115.2+2405.8+202303.7</f>
        <v>250448.80000000002</v>
      </c>
      <c r="K180" s="25">
        <f t="shared" si="3"/>
        <v>748178</v>
      </c>
      <c r="L180" s="26"/>
      <c r="M180" s="26"/>
      <c r="N180" s="26"/>
      <c r="O180" s="26"/>
      <c r="P180" s="26"/>
    </row>
    <row r="181" spans="1:16" s="27" customFormat="1" ht="12.75" hidden="1">
      <c r="A181" s="22" t="s">
        <v>157</v>
      </c>
      <c r="B181" s="23">
        <v>94136.8</v>
      </c>
      <c r="C181" s="23">
        <v>25597</v>
      </c>
      <c r="D181" s="23">
        <v>90437.7</v>
      </c>
      <c r="E181" s="23">
        <v>210851.5</v>
      </c>
      <c r="F181" s="23">
        <f>26368.3+21279.2</f>
        <v>47647.5</v>
      </c>
      <c r="G181" s="23">
        <v>19094.2</v>
      </c>
      <c r="H181" s="23">
        <v>457</v>
      </c>
      <c r="I181" s="23">
        <v>9053.5</v>
      </c>
      <c r="J181" s="23">
        <f>1744.2+0.7+37487.8+3084.3+7902.9+2607+212370.6</f>
        <v>265197.5</v>
      </c>
      <c r="K181" s="25">
        <f t="shared" si="3"/>
        <v>762472.7</v>
      </c>
      <c r="L181" s="26"/>
      <c r="M181" s="26"/>
      <c r="N181" s="26"/>
      <c r="O181" s="26"/>
      <c r="P181" s="26"/>
    </row>
    <row r="182" spans="1:16" s="27" customFormat="1" ht="12.75" hidden="1">
      <c r="A182" s="29" t="s">
        <v>158</v>
      </c>
      <c r="B182" s="23">
        <v>100397.6</v>
      </c>
      <c r="C182" s="23">
        <v>26561.7</v>
      </c>
      <c r="D182" s="23">
        <v>90100.6</v>
      </c>
      <c r="E182" s="23">
        <v>224189.4</v>
      </c>
      <c r="F182" s="23">
        <f>26072.6+23982.5</f>
        <v>50055.1</v>
      </c>
      <c r="G182" s="23">
        <v>18483.4</v>
      </c>
      <c r="H182" s="23">
        <v>801.4</v>
      </c>
      <c r="I182" s="23">
        <v>19697</v>
      </c>
      <c r="J182" s="23">
        <f>6378+52.2+37022.8+3063.8+7723.8+3117.3+216443.9</f>
        <v>273801.8</v>
      </c>
      <c r="K182" s="25">
        <f t="shared" si="3"/>
        <v>804088</v>
      </c>
      <c r="L182" s="26"/>
      <c r="M182" s="26"/>
      <c r="N182" s="26"/>
      <c r="O182" s="26"/>
      <c r="P182" s="26"/>
    </row>
    <row r="183" spans="1:16" s="27" customFormat="1" ht="12.75" hidden="1">
      <c r="A183" s="22" t="s">
        <v>159</v>
      </c>
      <c r="B183" s="23">
        <v>101323.7</v>
      </c>
      <c r="C183" s="23">
        <v>28037.3</v>
      </c>
      <c r="D183" s="23">
        <v>91182.8</v>
      </c>
      <c r="E183" s="23">
        <v>242982.7</v>
      </c>
      <c r="F183" s="23">
        <f>26273.8+22934.9</f>
        <v>49208.7</v>
      </c>
      <c r="G183" s="23">
        <v>18239.8</v>
      </c>
      <c r="H183" s="23">
        <v>875.9</v>
      </c>
      <c r="I183" s="23">
        <v>21475.7</v>
      </c>
      <c r="J183" s="23">
        <f>6645+58.1+37235.7+3299.6+7447.1+3146.7+210185.2</f>
        <v>268017.4</v>
      </c>
      <c r="K183" s="25">
        <f t="shared" si="3"/>
        <v>821344</v>
      </c>
      <c r="L183" s="26"/>
      <c r="M183" s="26"/>
      <c r="N183" s="26"/>
      <c r="O183" s="26"/>
      <c r="P183" s="26"/>
    </row>
    <row r="184" spans="1:16" s="27" customFormat="1" ht="12.75" hidden="1">
      <c r="A184" s="22" t="s">
        <v>160</v>
      </c>
      <c r="B184" s="23">
        <v>103416.6</v>
      </c>
      <c r="C184" s="23">
        <v>28476.9</v>
      </c>
      <c r="D184" s="23">
        <v>87564.4</v>
      </c>
      <c r="E184" s="23">
        <v>230906</v>
      </c>
      <c r="F184" s="23">
        <f>25756.1+26286.7</f>
        <v>52042.8</v>
      </c>
      <c r="G184" s="23">
        <v>18672.9</v>
      </c>
      <c r="H184" s="23">
        <v>2098.8</v>
      </c>
      <c r="I184" s="23">
        <v>31761.3</v>
      </c>
      <c r="J184" s="23">
        <f>8215.5+1.4+37634+2967.1+7163.9+2312.5+219205.3</f>
        <v>277499.7</v>
      </c>
      <c r="K184" s="25">
        <f t="shared" si="3"/>
        <v>832439.4000000001</v>
      </c>
      <c r="L184" s="26"/>
      <c r="M184" s="26"/>
      <c r="N184" s="26"/>
      <c r="O184" s="26"/>
      <c r="P184" s="26"/>
    </row>
    <row r="185" spans="1:16" s="27" customFormat="1" ht="12.75" hidden="1">
      <c r="A185" s="22" t="s">
        <v>161</v>
      </c>
      <c r="B185" s="23">
        <v>102759.5</v>
      </c>
      <c r="C185" s="23">
        <v>27801.9</v>
      </c>
      <c r="D185" s="23">
        <v>82506.1</v>
      </c>
      <c r="E185" s="23">
        <v>233092.7</v>
      </c>
      <c r="F185" s="23">
        <f>23828.6+32635.7</f>
        <v>56464.3</v>
      </c>
      <c r="G185" s="23">
        <v>18488.3</v>
      </c>
      <c r="H185" s="23">
        <v>851.2</v>
      </c>
      <c r="I185" s="23">
        <v>30636.3</v>
      </c>
      <c r="J185" s="23">
        <f>9373.7+66.6+35383.5+2743.3+6523+2549.9+227630.7</f>
        <v>284270.7</v>
      </c>
      <c r="K185" s="25">
        <f t="shared" si="3"/>
        <v>836871</v>
      </c>
      <c r="L185" s="26"/>
      <c r="M185" s="26"/>
      <c r="N185" s="26"/>
      <c r="O185" s="26"/>
      <c r="P185" s="26"/>
    </row>
    <row r="186" spans="1:16" s="27" customFormat="1" ht="12.75" hidden="1">
      <c r="A186" s="22" t="s">
        <v>162</v>
      </c>
      <c r="B186" s="23">
        <v>105218.9</v>
      </c>
      <c r="C186" s="23">
        <v>28697</v>
      </c>
      <c r="D186" s="23">
        <v>88024.1</v>
      </c>
      <c r="E186" s="23">
        <v>239359.7</v>
      </c>
      <c r="F186" s="23">
        <f>27201.2+26252.6</f>
        <v>53453.8</v>
      </c>
      <c r="G186" s="23">
        <v>19591.7</v>
      </c>
      <c r="H186" s="23">
        <v>880.6</v>
      </c>
      <c r="I186" s="23">
        <v>30089.4</v>
      </c>
      <c r="J186" s="23">
        <f>7788.9+70.1+41098+2565.2+6937.3+2561.4+222407.5</f>
        <v>283428.4</v>
      </c>
      <c r="K186" s="25">
        <f t="shared" si="3"/>
        <v>848743.6</v>
      </c>
      <c r="L186" s="26"/>
      <c r="M186" s="26"/>
      <c r="N186" s="26"/>
      <c r="O186" s="26"/>
      <c r="P186" s="26"/>
    </row>
    <row r="187" spans="1:16" s="27" customFormat="1" ht="12.75" hidden="1">
      <c r="A187" s="22" t="s">
        <v>173</v>
      </c>
      <c r="B187" s="23">
        <v>108002.3</v>
      </c>
      <c r="C187" s="23">
        <v>28803.5</v>
      </c>
      <c r="D187" s="23">
        <v>90675.6</v>
      </c>
      <c r="E187" s="23">
        <v>239959.8</v>
      </c>
      <c r="F187" s="23">
        <f>27638.9+26444.7</f>
        <v>54083.600000000006</v>
      </c>
      <c r="G187" s="23">
        <v>18779.8</v>
      </c>
      <c r="H187" s="23">
        <v>875.4</v>
      </c>
      <c r="I187" s="23">
        <v>25736.7</v>
      </c>
      <c r="J187" s="23">
        <f>7530.4+424.1+45557.4+2457.9+7289.9+2575.1+220255.1</f>
        <v>286089.9</v>
      </c>
      <c r="K187" s="25">
        <f t="shared" si="3"/>
        <v>853006.6</v>
      </c>
      <c r="L187" s="26"/>
      <c r="M187" s="26"/>
      <c r="N187" s="26"/>
      <c r="O187" s="26"/>
      <c r="P187" s="26"/>
    </row>
    <row r="188" spans="1:16" s="27" customFormat="1" ht="12.75" hidden="1">
      <c r="A188" s="22" t="s">
        <v>176</v>
      </c>
      <c r="B188" s="23">
        <v>106612.4</v>
      </c>
      <c r="C188" s="23">
        <v>28299.2</v>
      </c>
      <c r="D188" s="23">
        <v>84716.4</v>
      </c>
      <c r="E188" s="23">
        <v>225064.2</v>
      </c>
      <c r="F188" s="23">
        <f>25177.8+22336.9</f>
        <v>47514.7</v>
      </c>
      <c r="G188" s="23">
        <v>18013.7</v>
      </c>
      <c r="H188" s="23">
        <v>863.6</v>
      </c>
      <c r="I188" s="23">
        <v>14984.5</v>
      </c>
      <c r="J188" s="23">
        <f>6555.5+494.5+36777.2+2551.5+7235.4+2591.9+215925.4</f>
        <v>272131.4</v>
      </c>
      <c r="K188" s="25">
        <f t="shared" si="3"/>
        <v>798200.1</v>
      </c>
      <c r="L188" s="26"/>
      <c r="M188" s="26"/>
      <c r="N188" s="26"/>
      <c r="O188" s="26"/>
      <c r="P188" s="26"/>
    </row>
    <row r="189" spans="1:16" s="27" customFormat="1" ht="12.7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5"/>
      <c r="L189" s="26"/>
      <c r="M189" s="26"/>
      <c r="N189" s="26"/>
      <c r="O189" s="26"/>
      <c r="P189" s="26"/>
    </row>
    <row r="190" spans="1:16" s="27" customFormat="1" ht="12.75" hidden="1">
      <c r="A190" s="22" t="s">
        <v>131</v>
      </c>
      <c r="B190" s="23">
        <v>107231.4</v>
      </c>
      <c r="C190" s="23">
        <v>27508.1</v>
      </c>
      <c r="D190" s="23">
        <v>84150.6</v>
      </c>
      <c r="E190" s="23">
        <v>210520.6</v>
      </c>
      <c r="F190" s="23">
        <f>20221.9+25229.2</f>
        <v>45451.100000000006</v>
      </c>
      <c r="G190" s="23">
        <v>17943.4</v>
      </c>
      <c r="H190" s="23">
        <v>934.1</v>
      </c>
      <c r="I190" s="23">
        <v>23125.1</v>
      </c>
      <c r="J190" s="23">
        <f>5660.7+488.5+41465.8+2504.9+7244.1+2598.7+219518.8</f>
        <v>279481.5</v>
      </c>
      <c r="K190" s="25">
        <f t="shared" si="3"/>
        <v>796345.9</v>
      </c>
      <c r="L190" s="26"/>
      <c r="M190" s="26"/>
      <c r="N190" s="26"/>
      <c r="O190" s="26"/>
      <c r="P190" s="26"/>
    </row>
    <row r="191" spans="1:16" s="27" customFormat="1" ht="12.75">
      <c r="A191" s="22" t="s">
        <v>180</v>
      </c>
      <c r="B191" s="23">
        <v>111200.6</v>
      </c>
      <c r="C191" s="23">
        <v>34341.4</v>
      </c>
      <c r="D191" s="23">
        <v>86287.2</v>
      </c>
      <c r="E191" s="23">
        <v>229110.2</v>
      </c>
      <c r="F191" s="23">
        <f>20085.4+26219.5</f>
        <v>46304.9</v>
      </c>
      <c r="G191" s="23">
        <v>17432.2</v>
      </c>
      <c r="H191" s="23">
        <v>956.2</v>
      </c>
      <c r="I191" s="23">
        <v>9242.4</v>
      </c>
      <c r="J191" s="23">
        <f>4454.7+822.3+37918.5+2429.3+7090.8+2567.4+224031</f>
        <v>279314</v>
      </c>
      <c r="K191" s="25">
        <f t="shared" si="3"/>
        <v>814189.1</v>
      </c>
      <c r="L191" s="26"/>
      <c r="M191" s="26"/>
      <c r="N191" s="26"/>
      <c r="O191" s="26"/>
      <c r="P191" s="26"/>
    </row>
    <row r="192" spans="1:16" s="27" customFormat="1" ht="12.75">
      <c r="A192" s="22" t="s">
        <v>134</v>
      </c>
      <c r="B192" s="23">
        <v>110501.8</v>
      </c>
      <c r="C192" s="23">
        <v>27478.9</v>
      </c>
      <c r="D192" s="23">
        <v>89842</v>
      </c>
      <c r="E192" s="23">
        <v>226345.3</v>
      </c>
      <c r="F192" s="23">
        <f>24551+19920.3</f>
        <v>44471.3</v>
      </c>
      <c r="G192" s="23">
        <v>17326.4</v>
      </c>
      <c r="H192" s="23">
        <v>889.9</v>
      </c>
      <c r="I192" s="23">
        <v>8184.9</v>
      </c>
      <c r="J192" s="23">
        <f>3609.9+1580.7+43286.3+2493.4+7390.6+2576.7+224778</f>
        <v>285715.6</v>
      </c>
      <c r="K192" s="25">
        <f t="shared" si="3"/>
        <v>810756.1</v>
      </c>
      <c r="L192" s="26"/>
      <c r="M192" s="26"/>
      <c r="N192" s="26"/>
      <c r="O192" s="26"/>
      <c r="P192" s="26"/>
    </row>
    <row r="193" spans="1:16" s="27" customFormat="1" ht="12.75">
      <c r="A193" s="22" t="s">
        <v>135</v>
      </c>
      <c r="B193" s="23">
        <v>110602.2</v>
      </c>
      <c r="C193" s="23">
        <v>28569.8</v>
      </c>
      <c r="D193" s="23">
        <v>87374.8</v>
      </c>
      <c r="E193" s="23">
        <v>230203.7</v>
      </c>
      <c r="F193" s="23">
        <f>25956.8+22027.7</f>
        <v>47984.5</v>
      </c>
      <c r="G193" s="23">
        <v>17539.4</v>
      </c>
      <c r="H193" s="23">
        <v>908.9</v>
      </c>
      <c r="I193" s="23">
        <v>8156.7</v>
      </c>
      <c r="J193" s="23">
        <f>3078.3+1433+40966+2394.6+6852.6+2598.2+227662.2</f>
        <v>284984.9</v>
      </c>
      <c r="K193" s="25">
        <f t="shared" si="3"/>
        <v>816324.9</v>
      </c>
      <c r="L193" s="26"/>
      <c r="M193" s="26"/>
      <c r="N193" s="26"/>
      <c r="O193" s="26"/>
      <c r="P193" s="26"/>
    </row>
    <row r="194" spans="1:16" s="27" customFormat="1" ht="12.75">
      <c r="A194" s="22" t="s">
        <v>137</v>
      </c>
      <c r="B194" s="23">
        <v>114451.9</v>
      </c>
      <c r="C194" s="23">
        <v>25701.7</v>
      </c>
      <c r="D194" s="23">
        <v>85477.4</v>
      </c>
      <c r="E194" s="23">
        <v>224239.9</v>
      </c>
      <c r="F194" s="23">
        <f>22598.5+19777.5</f>
        <v>42376</v>
      </c>
      <c r="G194" s="23">
        <v>17211.2</v>
      </c>
      <c r="H194" s="23">
        <v>878.1</v>
      </c>
      <c r="I194" s="23">
        <v>9206.4</v>
      </c>
      <c r="J194" s="23">
        <v>289724.5</v>
      </c>
      <c r="K194" s="25">
        <f t="shared" si="3"/>
        <v>809267.1000000001</v>
      </c>
      <c r="L194" s="26"/>
      <c r="M194" s="26"/>
      <c r="N194" s="26"/>
      <c r="O194" s="26"/>
      <c r="P194" s="26"/>
    </row>
    <row r="195" spans="1:16" s="27" customFormat="1" ht="12.75">
      <c r="A195" s="22" t="s">
        <v>139</v>
      </c>
      <c r="B195" s="23">
        <v>115278.3</v>
      </c>
      <c r="C195" s="23">
        <v>29187.6</v>
      </c>
      <c r="D195" s="23">
        <v>87595.7</v>
      </c>
      <c r="E195" s="23">
        <v>270578.9</v>
      </c>
      <c r="F195" s="23">
        <f>20286.9+22123.7</f>
        <v>42410.600000000006</v>
      </c>
      <c r="G195" s="23">
        <v>16873.8</v>
      </c>
      <c r="H195" s="23">
        <v>860.6</v>
      </c>
      <c r="I195" s="23">
        <v>25033.5</v>
      </c>
      <c r="J195" s="23">
        <f>7701.7+1350.6+46665.5+2365.2+6979.4+2613.7+236625.1</f>
        <v>304301.2</v>
      </c>
      <c r="K195" s="25">
        <f t="shared" si="3"/>
        <v>892120.2</v>
      </c>
      <c r="L195" s="26"/>
      <c r="M195" s="26"/>
      <c r="N195" s="26"/>
      <c r="O195" s="26"/>
      <c r="P195" s="26"/>
    </row>
    <row r="196" spans="1:16" s="27" customFormat="1" ht="12.75">
      <c r="A196" s="22" t="s">
        <v>141</v>
      </c>
      <c r="B196" s="23">
        <v>116562.1</v>
      </c>
      <c r="C196" s="23">
        <v>27338.6</v>
      </c>
      <c r="D196" s="23">
        <v>89099.6</v>
      </c>
      <c r="E196" s="23">
        <v>282817.5</v>
      </c>
      <c r="F196" s="23">
        <f>20064+22720.8</f>
        <v>42784.8</v>
      </c>
      <c r="G196" s="23">
        <v>17803.9</v>
      </c>
      <c r="H196" s="23">
        <v>820.4</v>
      </c>
      <c r="I196" s="23">
        <v>30805</v>
      </c>
      <c r="J196" s="23">
        <f>9240+1564.2+46399.2+2577.4+2604.8+245440.4+7116</f>
        <v>314942</v>
      </c>
      <c r="K196" s="25">
        <f t="shared" si="3"/>
        <v>922973.9000000001</v>
      </c>
      <c r="L196" s="26"/>
      <c r="M196" s="26"/>
      <c r="N196" s="26"/>
      <c r="O196" s="26"/>
      <c r="P196" s="26"/>
    </row>
    <row r="197" spans="1:16" s="27" customFormat="1" ht="12.75">
      <c r="A197" s="22" t="s">
        <v>143</v>
      </c>
      <c r="B197" s="23">
        <v>119961.9</v>
      </c>
      <c r="C197" s="23">
        <v>24425.5</v>
      </c>
      <c r="D197" s="23">
        <v>84858.8</v>
      </c>
      <c r="E197" s="23">
        <v>296278.6</v>
      </c>
      <c r="F197" s="23">
        <f>19936.8+22560.9</f>
        <v>42497.7</v>
      </c>
      <c r="G197" s="23">
        <v>18433.1</v>
      </c>
      <c r="H197" s="23">
        <v>773.8</v>
      </c>
      <c r="I197" s="23">
        <v>32212</v>
      </c>
      <c r="J197" s="23">
        <f>9369.5+1342+47129.6+1985+6563.8+2472.3+244046.6</f>
        <v>312908.8</v>
      </c>
      <c r="K197" s="25">
        <f t="shared" si="3"/>
        <v>932350.2</v>
      </c>
      <c r="L197" s="26"/>
      <c r="M197" s="26"/>
      <c r="N197" s="26"/>
      <c r="O197" s="26"/>
      <c r="P197" s="26"/>
    </row>
    <row r="198" spans="1:16" s="27" customFormat="1" ht="12.75">
      <c r="A198" s="22" t="s">
        <v>145</v>
      </c>
      <c r="B198" s="23">
        <v>128332.7</v>
      </c>
      <c r="C198" s="23">
        <v>23777.2</v>
      </c>
      <c r="D198" s="23">
        <v>87546.1</v>
      </c>
      <c r="E198" s="23">
        <v>257681.8</v>
      </c>
      <c r="F198" s="23">
        <f>19723+22539.7</f>
        <v>42262.7</v>
      </c>
      <c r="G198" s="23">
        <v>19408.8</v>
      </c>
      <c r="H198" s="23">
        <v>724.8</v>
      </c>
      <c r="I198" s="23">
        <v>32144.1</v>
      </c>
      <c r="J198" s="23">
        <f>9377.6+1388+46767.2+1785.9+7097.2+2472.4+280786.6</f>
        <v>349674.89999999997</v>
      </c>
      <c r="K198" s="25">
        <f t="shared" si="3"/>
        <v>941553.1000000001</v>
      </c>
      <c r="L198" s="26"/>
      <c r="M198" s="26"/>
      <c r="N198" s="26"/>
      <c r="O198" s="26"/>
      <c r="P198" s="26"/>
    </row>
    <row r="199" spans="1:16" s="27" customFormat="1" ht="12.75">
      <c r="A199" s="22" t="s">
        <v>147</v>
      </c>
      <c r="B199" s="23">
        <v>126662.6</v>
      </c>
      <c r="C199" s="23">
        <v>23900.6</v>
      </c>
      <c r="D199" s="23">
        <v>85444.1</v>
      </c>
      <c r="E199" s="23">
        <v>263176</v>
      </c>
      <c r="F199" s="23">
        <f>25561.7+19209.5</f>
        <v>44771.2</v>
      </c>
      <c r="G199" s="23">
        <v>17678.2</v>
      </c>
      <c r="H199" s="23">
        <v>702</v>
      </c>
      <c r="I199" s="23">
        <v>46945.1</v>
      </c>
      <c r="J199" s="23">
        <f>13088.9+1522.4+48303.5+1440.5+7409.4+2459.2+289213.7</f>
        <v>363437.6</v>
      </c>
      <c r="K199" s="25">
        <f t="shared" si="3"/>
        <v>972717.3999999999</v>
      </c>
      <c r="L199" s="26"/>
      <c r="M199" s="26"/>
      <c r="N199" s="26"/>
      <c r="O199" s="26"/>
      <c r="P199" s="26"/>
    </row>
    <row r="200" spans="1:16" s="27" customFormat="1" ht="12.75">
      <c r="A200" s="22" t="s">
        <v>149</v>
      </c>
      <c r="B200" s="23">
        <v>127702.9</v>
      </c>
      <c r="C200" s="23">
        <v>30994.5</v>
      </c>
      <c r="D200" s="23">
        <v>77821.4</v>
      </c>
      <c r="E200" s="23">
        <v>232194.1</v>
      </c>
      <c r="F200" s="23">
        <f>19936.5+27299.4</f>
        <v>47235.9</v>
      </c>
      <c r="G200" s="23">
        <v>18772.6</v>
      </c>
      <c r="H200" s="23">
        <v>718.4</v>
      </c>
      <c r="I200" s="23">
        <v>45934.9</v>
      </c>
      <c r="J200" s="23">
        <f>12256+1915.8+55473.3+6267.1+9031.2+2435+309422.4</f>
        <v>396800.80000000005</v>
      </c>
      <c r="K200" s="25">
        <f t="shared" si="3"/>
        <v>978175.5000000001</v>
      </c>
      <c r="L200" s="26"/>
      <c r="M200" s="26"/>
      <c r="N200" s="26"/>
      <c r="O200" s="26"/>
      <c r="P200" s="26"/>
    </row>
    <row r="201" spans="1:16" s="27" customFormat="1" ht="12.75">
      <c r="A201" s="22" t="s">
        <v>151</v>
      </c>
      <c r="B201" s="23">
        <v>134157.9</v>
      </c>
      <c r="C201" s="23">
        <v>25683.1</v>
      </c>
      <c r="D201" s="23">
        <v>73101.9</v>
      </c>
      <c r="E201" s="23">
        <v>251994.5</v>
      </c>
      <c r="F201" s="23">
        <f>17495+21125.6</f>
        <v>38620.6</v>
      </c>
      <c r="G201" s="23">
        <v>17717.6</v>
      </c>
      <c r="H201" s="23">
        <v>1214.3</v>
      </c>
      <c r="I201" s="23">
        <v>42849.8</v>
      </c>
      <c r="J201" s="23">
        <f>12517.3+1732.7+40330.1+7431+8768.8+2344.2+285586</f>
        <v>358710.1</v>
      </c>
      <c r="K201" s="25">
        <f t="shared" si="3"/>
        <v>944049.8</v>
      </c>
      <c r="L201" s="26"/>
      <c r="M201" s="26"/>
      <c r="N201" s="26"/>
      <c r="O201" s="26"/>
      <c r="P201" s="26"/>
    </row>
    <row r="202" spans="1:16" s="27" customFormat="1" ht="12.7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5"/>
      <c r="L202" s="26"/>
      <c r="M202" s="26"/>
      <c r="N202" s="26"/>
      <c r="O202" s="26"/>
      <c r="P202" s="26"/>
    </row>
    <row r="203" spans="1:16" s="27" customFormat="1" ht="12.75">
      <c r="A203" s="22" t="s">
        <v>179</v>
      </c>
      <c r="B203" s="23">
        <v>142322.4</v>
      </c>
      <c r="C203" s="23">
        <v>23248.2</v>
      </c>
      <c r="D203" s="23">
        <v>65173.8</v>
      </c>
      <c r="E203" s="23">
        <v>235059.2</v>
      </c>
      <c r="F203" s="23">
        <f>17256.3+35739.4</f>
        <v>52995.7</v>
      </c>
      <c r="G203" s="23">
        <v>18808.7</v>
      </c>
      <c r="H203" s="23">
        <v>642.2</v>
      </c>
      <c r="I203" s="23">
        <v>38366.6</v>
      </c>
      <c r="J203" s="23">
        <f>11830.7+1997+37921.9+7545.4+8591.5+2328.5+279946.5</f>
        <v>350161.5</v>
      </c>
      <c r="K203" s="25">
        <f aca="true" t="shared" si="4" ref="K203:K215">SUM(B203:J203)</f>
        <v>926778.2999999999</v>
      </c>
      <c r="L203" s="37"/>
      <c r="M203" s="26"/>
      <c r="N203" s="26"/>
      <c r="O203" s="26"/>
      <c r="P203" s="26"/>
    </row>
    <row r="204" spans="1:16" s="27" customFormat="1" ht="12.75">
      <c r="A204" s="22" t="s">
        <v>178</v>
      </c>
      <c r="B204" s="23">
        <v>140183.6</v>
      </c>
      <c r="C204" s="23">
        <v>25629.3</v>
      </c>
      <c r="D204" s="23">
        <v>64657.2</v>
      </c>
      <c r="E204" s="23">
        <v>240927.4</v>
      </c>
      <c r="F204" s="23">
        <f>33527.5+17410.9</f>
        <v>50938.4</v>
      </c>
      <c r="G204" s="23">
        <v>19495.5</v>
      </c>
      <c r="H204" s="23">
        <v>686.7</v>
      </c>
      <c r="I204" s="23">
        <v>32892.6</v>
      </c>
      <c r="J204" s="23">
        <f>10716.4+2018.6+44471.5+7232.5+8813.4+2206.7+286795.5</f>
        <v>362254.6</v>
      </c>
      <c r="K204" s="25">
        <f t="shared" si="4"/>
        <v>937665.2999999999</v>
      </c>
      <c r="L204" s="37"/>
      <c r="M204" s="26"/>
      <c r="N204" s="26"/>
      <c r="O204" s="26"/>
      <c r="P204" s="26"/>
    </row>
    <row r="205" spans="1:16" s="27" customFormat="1" ht="12.75">
      <c r="A205" s="22" t="s">
        <v>164</v>
      </c>
      <c r="B205" s="23">
        <v>142987.6</v>
      </c>
      <c r="C205" s="23">
        <v>27913.9</v>
      </c>
      <c r="D205" s="23">
        <v>62744.8</v>
      </c>
      <c r="E205" s="23">
        <v>260288.5</v>
      </c>
      <c r="F205" s="23">
        <f>33962.6+14736.5</f>
        <v>48699.1</v>
      </c>
      <c r="G205" s="23">
        <v>19945.8</v>
      </c>
      <c r="H205" s="23">
        <v>666.6</v>
      </c>
      <c r="I205" s="23">
        <v>30359.1</v>
      </c>
      <c r="J205" s="23">
        <f>9990.7+1976.4+53333.3+7045.4+8730.2+2213.4+275803.4</f>
        <v>359092.80000000005</v>
      </c>
      <c r="K205" s="25">
        <f t="shared" si="4"/>
        <v>952698.2000000001</v>
      </c>
      <c r="L205" s="37"/>
      <c r="M205" s="26"/>
      <c r="N205" s="26"/>
      <c r="O205" s="26"/>
      <c r="P205" s="26"/>
    </row>
    <row r="206" spans="1:16" s="27" customFormat="1" ht="12.75">
      <c r="A206" s="22" t="s">
        <v>165</v>
      </c>
      <c r="B206" s="23">
        <v>148366.9</v>
      </c>
      <c r="C206" s="23">
        <v>25588</v>
      </c>
      <c r="D206" s="23">
        <v>49746.6</v>
      </c>
      <c r="E206" s="23">
        <v>272266.8</v>
      </c>
      <c r="F206" s="23">
        <f>29603.5+14804</f>
        <v>44407.5</v>
      </c>
      <c r="G206" s="23">
        <v>19802.4</v>
      </c>
      <c r="H206" s="23">
        <v>704.4</v>
      </c>
      <c r="I206" s="23">
        <v>26903.9</v>
      </c>
      <c r="J206" s="23">
        <f>10001.5+2049.6+43621.2+6520.3+8331.5+2195.8+288242.2</f>
        <v>360962.10000000003</v>
      </c>
      <c r="K206" s="25">
        <f t="shared" si="4"/>
        <v>948748.6000000001</v>
      </c>
      <c r="L206" s="37"/>
      <c r="M206" s="26"/>
      <c r="N206" s="26"/>
      <c r="O206" s="26"/>
      <c r="P206" s="26"/>
    </row>
    <row r="207" spans="1:16" s="27" customFormat="1" ht="12.75">
      <c r="A207" s="22" t="s">
        <v>166</v>
      </c>
      <c r="B207" s="23">
        <v>157274</v>
      </c>
      <c r="C207" s="23">
        <v>33207.5</v>
      </c>
      <c r="D207" s="23">
        <v>44090.7</v>
      </c>
      <c r="E207" s="23">
        <v>298428.1</v>
      </c>
      <c r="F207" s="23">
        <f>19435.5+14695.8</f>
        <v>34131.3</v>
      </c>
      <c r="G207" s="23">
        <v>20364.9</v>
      </c>
      <c r="H207" s="23">
        <v>814.6</v>
      </c>
      <c r="I207" s="23">
        <v>20258.3</v>
      </c>
      <c r="J207" s="23">
        <f>8717.9+2052.8+42241.2+6684.6+8392.8+2156.1+290738.8</f>
        <v>360984.19999999995</v>
      </c>
      <c r="K207" s="25">
        <f t="shared" si="4"/>
        <v>969553.6000000001</v>
      </c>
      <c r="L207" s="37"/>
      <c r="M207" s="26"/>
      <c r="N207" s="26"/>
      <c r="O207" s="26"/>
      <c r="P207" s="26"/>
    </row>
    <row r="208" spans="1:16" s="27" customFormat="1" ht="12.75">
      <c r="A208" s="22" t="s">
        <v>167</v>
      </c>
      <c r="B208" s="23">
        <v>152785.5</v>
      </c>
      <c r="C208" s="23">
        <v>35765.9</v>
      </c>
      <c r="D208" s="23">
        <v>42446.1</v>
      </c>
      <c r="E208" s="23">
        <v>316636.2</v>
      </c>
      <c r="F208" s="23">
        <f>15013.2+19747.2</f>
        <v>34760.4</v>
      </c>
      <c r="G208" s="23">
        <v>19653.1</v>
      </c>
      <c r="H208" s="23">
        <v>817.1</v>
      </c>
      <c r="I208" s="23">
        <v>20693.7</v>
      </c>
      <c r="J208" s="23">
        <f>7544.8+1648.1+56832.5+9035.4+9077.6+2158.6+283191.5</f>
        <v>369488.5</v>
      </c>
      <c r="K208" s="25">
        <f t="shared" si="4"/>
        <v>993046.4999999999</v>
      </c>
      <c r="L208" s="37"/>
      <c r="M208" s="26"/>
      <c r="N208" s="26"/>
      <c r="O208" s="26"/>
      <c r="P208" s="26"/>
    </row>
    <row r="209" spans="1:16" s="27" customFormat="1" ht="12.75">
      <c r="A209" s="22" t="s">
        <v>168</v>
      </c>
      <c r="B209" s="23">
        <v>166173.9</v>
      </c>
      <c r="C209" s="23">
        <v>40042.7</v>
      </c>
      <c r="D209" s="23">
        <v>42304.2</v>
      </c>
      <c r="E209" s="23">
        <v>331537.8</v>
      </c>
      <c r="F209" s="23">
        <f>17481.5+20077</f>
        <v>37558.5</v>
      </c>
      <c r="G209" s="23">
        <v>21202.7</v>
      </c>
      <c r="H209" s="23">
        <v>854.5</v>
      </c>
      <c r="I209" s="23">
        <v>20476.2</v>
      </c>
      <c r="J209" s="23">
        <f>6454.2+2061.1+56681.8+10711.6+8878.6+2081.2+280641.5</f>
        <v>367510</v>
      </c>
      <c r="K209" s="25">
        <f t="shared" si="4"/>
        <v>1027660.4999999999</v>
      </c>
      <c r="L209" s="37"/>
      <c r="M209" s="26"/>
      <c r="N209" s="26"/>
      <c r="O209" s="26"/>
      <c r="P209" s="26"/>
    </row>
    <row r="210" spans="1:16" s="27" customFormat="1" ht="12.75">
      <c r="A210" s="22" t="s">
        <v>169</v>
      </c>
      <c r="B210" s="23">
        <v>164600.8</v>
      </c>
      <c r="C210" s="23">
        <v>32046</v>
      </c>
      <c r="D210" s="23">
        <v>47368.4</v>
      </c>
      <c r="E210" s="23">
        <v>327057.8</v>
      </c>
      <c r="F210" s="23">
        <f>20733+17387.5</f>
        <v>38120.5</v>
      </c>
      <c r="G210" s="23">
        <v>23092.6</v>
      </c>
      <c r="H210" s="23">
        <v>690.2</v>
      </c>
      <c r="I210" s="23">
        <v>20515.9</v>
      </c>
      <c r="J210" s="23">
        <f>7003.5+1629.2+54827.3+11727.6+9638.7+2083+291486</f>
        <v>378395.3</v>
      </c>
      <c r="K210" s="25">
        <f t="shared" si="4"/>
        <v>1031887.5</v>
      </c>
      <c r="L210" s="37"/>
      <c r="M210" s="26"/>
      <c r="N210" s="26"/>
      <c r="O210" s="26"/>
      <c r="P210" s="26"/>
    </row>
    <row r="211" spans="1:16" s="27" customFormat="1" ht="12.75">
      <c r="A211" s="22" t="s">
        <v>170</v>
      </c>
      <c r="B211" s="23">
        <v>157875.9</v>
      </c>
      <c r="C211" s="23">
        <v>28283.5</v>
      </c>
      <c r="D211" s="23">
        <v>45793.4</v>
      </c>
      <c r="E211" s="23">
        <v>336993.1</v>
      </c>
      <c r="F211" s="23">
        <f>17154.5+22638.6</f>
        <v>39793.1</v>
      </c>
      <c r="G211" s="23">
        <v>23276.1</v>
      </c>
      <c r="H211" s="23">
        <v>824.6</v>
      </c>
      <c r="I211" s="23">
        <v>26004.8</v>
      </c>
      <c r="J211" s="23">
        <f>9046.1+1120.3+54080.7+9549+9639.7+2065.5+311603.6</f>
        <v>397104.89999999997</v>
      </c>
      <c r="K211" s="25">
        <f t="shared" si="4"/>
        <v>1055949.4</v>
      </c>
      <c r="L211" s="37"/>
      <c r="M211" s="26"/>
      <c r="N211" s="26"/>
      <c r="O211" s="26"/>
      <c r="P211" s="26"/>
    </row>
    <row r="212" spans="1:16" s="27" customFormat="1" ht="12.75">
      <c r="A212" s="22" t="s">
        <v>171</v>
      </c>
      <c r="B212" s="23">
        <v>164914.3</v>
      </c>
      <c r="C212" s="23">
        <v>29712.3</v>
      </c>
      <c r="D212" s="23">
        <v>50362.9</v>
      </c>
      <c r="E212" s="23">
        <v>343744.4</v>
      </c>
      <c r="F212" s="23">
        <f>18035.3+24220.7</f>
        <v>42256</v>
      </c>
      <c r="G212" s="23">
        <v>23180.2</v>
      </c>
      <c r="H212" s="23">
        <v>909.9</v>
      </c>
      <c r="I212" s="23">
        <v>26069.2</v>
      </c>
      <c r="J212" s="23">
        <f>8859.7+1552.3+61284.5+12817.7+9825.5+2209.9+303272.6</f>
        <v>399822.19999999995</v>
      </c>
      <c r="K212" s="25">
        <f t="shared" si="4"/>
        <v>1080971.4</v>
      </c>
      <c r="L212" s="37"/>
      <c r="M212" s="26"/>
      <c r="N212" s="26"/>
      <c r="O212" s="26"/>
      <c r="P212" s="26"/>
    </row>
    <row r="213" spans="1:16" s="27" customFormat="1" ht="12.75">
      <c r="A213" s="22" t="s">
        <v>172</v>
      </c>
      <c r="B213" s="23">
        <v>164648.2</v>
      </c>
      <c r="C213" s="23">
        <v>27408</v>
      </c>
      <c r="D213" s="23">
        <v>49473.9</v>
      </c>
      <c r="E213" s="23">
        <v>360045.8</v>
      </c>
      <c r="F213" s="23">
        <f>23780.8+17812</f>
        <v>41592.8</v>
      </c>
      <c r="G213" s="23">
        <v>22211.6</v>
      </c>
      <c r="H213" s="23">
        <v>995.8</v>
      </c>
      <c r="I213" s="23">
        <v>22308.1</v>
      </c>
      <c r="J213" s="23">
        <f>8785.8+1636.1+65324.2+9047.7+13499.6+2549.8+309083.2</f>
        <v>409926.4</v>
      </c>
      <c r="K213" s="25">
        <f t="shared" si="4"/>
        <v>1098610.6</v>
      </c>
      <c r="L213" s="37"/>
      <c r="M213" s="26"/>
      <c r="N213" s="26"/>
      <c r="O213" s="26"/>
      <c r="P213" s="26"/>
    </row>
    <row r="214" spans="1:16" s="27" customFormat="1" ht="12.75">
      <c r="A214" s="22" t="s">
        <v>174</v>
      </c>
      <c r="B214" s="23">
        <v>168760.4</v>
      </c>
      <c r="C214" s="23">
        <v>35760.3</v>
      </c>
      <c r="D214" s="23">
        <v>48513.7</v>
      </c>
      <c r="E214" s="23">
        <v>373149.5</v>
      </c>
      <c r="F214" s="23">
        <f>14048.9+16469.2</f>
        <v>30518.1</v>
      </c>
      <c r="G214" s="23">
        <v>19960.3</v>
      </c>
      <c r="H214" s="23">
        <v>1022</v>
      </c>
      <c r="I214" s="23">
        <v>15443.6</v>
      </c>
      <c r="J214" s="23">
        <f>8149.9+1633.8+90598.3+7577.6+12631.7+2761.9+329461.4</f>
        <v>452814.60000000003</v>
      </c>
      <c r="K214" s="25">
        <f t="shared" si="3"/>
        <v>1145942.5</v>
      </c>
      <c r="L214" s="26"/>
      <c r="M214" s="26"/>
      <c r="N214" s="26"/>
      <c r="O214" s="26"/>
      <c r="P214" s="26"/>
    </row>
    <row r="215" spans="1:16" s="27" customFormat="1" ht="12.7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5"/>
      <c r="L215" s="26"/>
      <c r="M215" s="26"/>
      <c r="N215" s="26"/>
      <c r="O215" s="26"/>
      <c r="P215" s="26"/>
    </row>
    <row r="216" spans="1:16" s="27" customFormat="1" ht="12.75">
      <c r="A216" s="22" t="s">
        <v>177</v>
      </c>
      <c r="B216" s="23">
        <v>168644.7</v>
      </c>
      <c r="C216" s="23">
        <v>34743.8</v>
      </c>
      <c r="D216" s="23">
        <v>48513.7</v>
      </c>
      <c r="E216" s="23">
        <v>374748.1</v>
      </c>
      <c r="F216" s="23">
        <f>14005.9+16471.3</f>
        <v>30477.199999999997</v>
      </c>
      <c r="G216" s="23">
        <v>19959.4</v>
      </c>
      <c r="H216" s="23">
        <v>1018.9</v>
      </c>
      <c r="I216" s="23">
        <v>14147.5</v>
      </c>
      <c r="J216" s="23">
        <f>8149.9+1633.8+90603.3+7576+12611.5+2761.9+329162.1</f>
        <v>452498.5</v>
      </c>
      <c r="K216" s="25">
        <f t="shared" si="3"/>
        <v>1144751.8</v>
      </c>
      <c r="L216" s="26"/>
      <c r="M216" s="26"/>
      <c r="N216" s="26"/>
      <c r="O216" s="26"/>
      <c r="P216" s="26"/>
    </row>
    <row r="217" spans="1:16" s="27" customFormat="1" ht="12.75">
      <c r="A217" s="22" t="s">
        <v>163</v>
      </c>
      <c r="B217" s="23">
        <v>164477</v>
      </c>
      <c r="C217" s="23">
        <v>40990.4</v>
      </c>
      <c r="D217" s="23">
        <v>57580</v>
      </c>
      <c r="E217" s="23">
        <v>350541.8</v>
      </c>
      <c r="F217" s="23">
        <f>13751.1+14974.7</f>
        <v>28725.800000000003</v>
      </c>
      <c r="G217" s="23">
        <v>18791.2</v>
      </c>
      <c r="H217" s="23">
        <v>1019.4</v>
      </c>
      <c r="I217" s="23">
        <v>11890.5</v>
      </c>
      <c r="J217" s="23">
        <f>8142.2+1630.7+94512.2+6650.4+12314.6+2752.3+330639.5</f>
        <v>456641.9</v>
      </c>
      <c r="K217" s="25">
        <f t="shared" si="3"/>
        <v>1130658</v>
      </c>
      <c r="L217" s="26"/>
      <c r="M217" s="26"/>
      <c r="N217" s="26"/>
      <c r="O217" s="26"/>
      <c r="P217" s="26"/>
    </row>
    <row r="218" spans="1:16" s="27" customFormat="1" ht="12.7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5"/>
      <c r="L218" s="26"/>
      <c r="M218" s="26"/>
      <c r="N218" s="26"/>
      <c r="O218" s="26"/>
      <c r="P218" s="26"/>
    </row>
    <row r="219" spans="1:16" ht="12.75">
      <c r="A219" s="30" t="s">
        <v>77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2"/>
      <c r="L219" s="33"/>
      <c r="M219" s="33"/>
      <c r="N219" s="33"/>
      <c r="O219" s="33"/>
      <c r="P219" s="33"/>
    </row>
    <row r="220" spans="1:11" ht="12.75">
      <c r="A220" s="34" t="s">
        <v>79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6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Yvette NDACAYISABA</cp:lastModifiedBy>
  <cp:lastPrinted>2017-07-11T06:08:18Z</cp:lastPrinted>
  <dcterms:created xsi:type="dcterms:W3CDTF">2005-03-21T06:37:31Z</dcterms:created>
  <dcterms:modified xsi:type="dcterms:W3CDTF">2020-05-06T12:35:26Z</dcterms:modified>
  <cp:category/>
  <cp:version/>
  <cp:contentType/>
  <cp:contentStatus/>
</cp:coreProperties>
</file>