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59" i="5" l="1"/>
  <c r="R59" i="5"/>
  <c r="N59" i="5"/>
  <c r="L59" i="5"/>
  <c r="M59" i="5" s="1"/>
  <c r="B59" i="5"/>
  <c r="T59" i="5" s="1"/>
  <c r="S167" i="4"/>
  <c r="R167" i="4"/>
  <c r="N167" i="4"/>
  <c r="L167" i="4"/>
  <c r="M167" i="4" s="1"/>
  <c r="B167" i="4"/>
  <c r="T167" i="4" s="1"/>
  <c r="S166" i="4"/>
  <c r="R166" i="4"/>
  <c r="N166" i="4"/>
  <c r="L166" i="4"/>
  <c r="M166" i="4" s="1"/>
  <c r="T166" i="4" s="1"/>
  <c r="B166" i="4"/>
  <c r="T165" i="4" l="1"/>
  <c r="S165" i="4"/>
  <c r="R165" i="4"/>
  <c r="N165" i="4"/>
  <c r="M165" i="4"/>
  <c r="L165" i="4"/>
  <c r="B165" i="4"/>
  <c r="S58" i="5" l="1"/>
  <c r="R58" i="5"/>
  <c r="N58" i="5"/>
  <c r="M58" i="5"/>
  <c r="L58" i="5"/>
  <c r="B58" i="5"/>
  <c r="T58" i="5" s="1"/>
  <c r="S164" i="4"/>
  <c r="R164" i="4"/>
  <c r="N164" i="4"/>
  <c r="L164" i="4"/>
  <c r="M164" i="4" s="1"/>
  <c r="B164" i="4"/>
  <c r="T164" i="4" s="1"/>
  <c r="S163" i="4"/>
  <c r="R163" i="4"/>
  <c r="N163" i="4"/>
  <c r="L163" i="4"/>
  <c r="M163" i="4" s="1"/>
  <c r="T163" i="4" s="1"/>
  <c r="B163" i="4"/>
  <c r="S162" i="4"/>
  <c r="R162" i="4"/>
  <c r="N162" i="4"/>
  <c r="M162" i="4"/>
  <c r="T162" i="4" s="1"/>
  <c r="L162" i="4"/>
  <c r="B162" i="4"/>
  <c r="S18" i="6" l="1"/>
  <c r="R18" i="6"/>
  <c r="N18" i="6"/>
  <c r="L18" i="6"/>
  <c r="M18" i="6" s="1"/>
  <c r="B18" i="6"/>
  <c r="T18" i="6" s="1"/>
  <c r="S57" i="5"/>
  <c r="R57" i="5"/>
  <c r="N57" i="5"/>
  <c r="M57" i="5"/>
  <c r="L57" i="5"/>
  <c r="B57" i="5"/>
  <c r="T57" i="5" s="1"/>
  <c r="S161" i="4"/>
  <c r="R161" i="4"/>
  <c r="N161" i="4"/>
  <c r="L161" i="4"/>
  <c r="M161" i="4" s="1"/>
  <c r="T161" i="4" s="1"/>
  <c r="B161" i="4"/>
  <c r="S160" i="4"/>
  <c r="R160" i="4"/>
  <c r="N160" i="4"/>
  <c r="L160" i="4"/>
  <c r="M160" i="4" s="1"/>
  <c r="T160" i="4" s="1"/>
  <c r="B160" i="4"/>
  <c r="S159" i="4"/>
  <c r="R159" i="4"/>
  <c r="N159" i="4"/>
  <c r="L159" i="4"/>
  <c r="M159" i="4" s="1"/>
  <c r="T159" i="4" s="1"/>
  <c r="B159" i="4"/>
  <c r="S56" i="5" l="1"/>
  <c r="R56" i="5"/>
  <c r="N56" i="5"/>
  <c r="M56" i="5"/>
  <c r="L56" i="5"/>
  <c r="B56" i="5"/>
  <c r="T56" i="5" s="1"/>
  <c r="S158" i="4"/>
  <c r="R158" i="4"/>
  <c r="N158" i="4"/>
  <c r="M158" i="4"/>
  <c r="T158" i="4" s="1"/>
  <c r="L158" i="4"/>
  <c r="B158" i="4"/>
  <c r="M7" i="6" l="1"/>
  <c r="M8" i="6"/>
  <c r="M9" i="6"/>
  <c r="M10" i="6"/>
  <c r="M11" i="6"/>
  <c r="M12" i="6"/>
  <c r="M13" i="6"/>
  <c r="M14" i="6"/>
  <c r="M15" i="6"/>
  <c r="M16" i="6"/>
  <c r="M17" i="6"/>
  <c r="M6" i="6"/>
  <c r="S55" i="5"/>
  <c r="T55" i="5" s="1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S157" i="4" l="1"/>
  <c r="R157" i="4"/>
  <c r="N157" i="4"/>
  <c r="M157" i="4"/>
  <c r="T157" i="4" s="1"/>
  <c r="B157" i="4"/>
  <c r="S156" i="4"/>
  <c r="N156" i="4"/>
  <c r="M156" i="4"/>
  <c r="B156" i="4"/>
  <c r="T156" i="4" l="1"/>
  <c r="S155" i="4"/>
  <c r="R155" i="4"/>
  <c r="M155" i="4"/>
  <c r="T155" i="4" s="1"/>
  <c r="S154" i="4" l="1"/>
  <c r="R154" i="4"/>
  <c r="M154" i="4"/>
  <c r="T154" i="4" s="1"/>
  <c r="B154" i="4"/>
  <c r="S153" i="4" l="1"/>
  <c r="R153" i="4"/>
  <c r="M153" i="4"/>
  <c r="B153" i="4"/>
  <c r="T153" i="4" s="1"/>
  <c r="S54" i="5" l="1"/>
  <c r="R54" i="5"/>
  <c r="T54" i="5"/>
  <c r="B54" i="5"/>
  <c r="S152" i="4"/>
  <c r="R152" i="4"/>
  <c r="M152" i="4"/>
  <c r="B152" i="4"/>
  <c r="T152" i="4" s="1"/>
  <c r="S151" i="4" l="1"/>
  <c r="R151" i="4"/>
  <c r="M151" i="4"/>
  <c r="B151" i="4"/>
  <c r="T151" i="4" s="1"/>
  <c r="S150" i="4" l="1"/>
  <c r="R150" i="4"/>
  <c r="M150" i="4"/>
  <c r="B150" i="4"/>
  <c r="T150" i="4" s="1"/>
  <c r="S17" i="6" l="1"/>
  <c r="T17" i="6" s="1"/>
  <c r="R17" i="6"/>
  <c r="B17" i="6"/>
  <c r="S53" i="5"/>
  <c r="R53" i="5"/>
  <c r="T53" i="5"/>
  <c r="B53" i="5"/>
  <c r="T149" i="4"/>
  <c r="S149" i="4"/>
  <c r="R149" i="4"/>
  <c r="M149" i="4"/>
  <c r="B149" i="4"/>
  <c r="S148" i="4" l="1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T146" i="4" s="1"/>
  <c r="B146" i="4"/>
  <c r="T52" i="5" l="1"/>
  <c r="S145" i="4"/>
  <c r="R145" i="4"/>
  <c r="M145" i="4"/>
  <c r="T145" i="4" s="1"/>
  <c r="B145" i="4"/>
  <c r="S51" i="5" l="1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s="1"/>
  <c r="M141" i="4" l="1"/>
  <c r="S141" i="4"/>
  <c r="R141" i="4"/>
  <c r="B141" i="4"/>
  <c r="T141" i="4" l="1"/>
  <c r="M139" i="4"/>
  <c r="T139" i="4" s="1"/>
  <c r="M140" i="4"/>
  <c r="S140" i="4"/>
  <c r="R140" i="4"/>
  <c r="B140" i="4"/>
  <c r="T140" i="4" s="1"/>
  <c r="M138" i="4" l="1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<sst xmlns="http://schemas.openxmlformats.org/spreadsheetml/2006/main" count="872" uniqueCount="69">
  <si>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</si>
  <si>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</si>
  <si>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</si>
  <si>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</si>
  <si>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</si>
  <si>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</si>
  <si>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</si>
  <si>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</si>
  <si>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</si>
  <si>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</si>
  <si>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</si>
  <si>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</si>
  <si>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</si>
  <si>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</si>
  <si>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</si>
  <si>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</si>
  <si>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</si>
  <si>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</si>
  <si>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</si>
  <si>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</si>
  <si>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</si>
  <si>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</si>
  <si>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</si>
  <si>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</si>
  <si>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</si>
  <si>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</si>
  <si>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</si>
  <si>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</si>
  <si>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</si>
  <si>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</si>
  <si>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</si>
  <si>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</si>
  <si>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</si>
  <si>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</si>
  <si>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</si>
  <si>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</si>
  <si>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</si>
  <si>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</si>
  <si>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</si>
  <si>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</si>
  <si>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</si>
  <si>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</si>
  <si>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</si>
  <si>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</si>
  <si>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</si>
  <si>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</si>
  <si>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</si>
  <si>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</si>
  <si>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</si>
  <si>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</si>
  <si>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</si>
  <si>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</si>
  <si>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</si>
  <si>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</si>
  <si>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</si>
  <si>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</si>
  <si>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</si>
  <si>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</si>
  <si>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</si>
  <si>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</si>
  <si>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</si>
  <si>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</si>
  <si>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</si>
  <si>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</si>
  <si>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</si>
  <si>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</si>
  <si>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</si>
  <si>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t>2020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</si>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</sst>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8" xfId="0" applyFont="1" applyBorder="1" applyAlignment="1">
      <alignment horizont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D4" workbookViewId="0">
      <selection activeCell="E12" sqref="E12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44377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68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67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68"/>
  <sheetViews>
    <sheetView workbookViewId="0">
      <pane xSplit="1" ySplit="5" topLeftCell="B161" activePane="bottomRight" state="frozen"/>
      <selection pane="topRight" activeCell="B1" sqref="B1"/>
      <selection pane="bottomLeft" activeCell="A6" sqref="A6"/>
      <selection pane="bottomRight" activeCell="A171" sqref="A171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9" t="s">
        <v>48</v>
      </c>
      <c r="B4" s="67" t="s">
        <v>20</v>
      </c>
      <c r="C4" s="64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0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61" t="s">
        <v>65</v>
      </c>
      <c r="M6" s="48">
        <f t="shared" ref="M6:M69" si="0">SUM(C6:K6)</f>
        <v>158139.70000000001</v>
      </c>
      <c r="N6" s="49">
        <v>1804</v>
      </c>
      <c r="O6" s="49" t="s">
        <v>1</v>
      </c>
      <c r="P6" s="44">
        <v>25</v>
      </c>
      <c r="Q6" s="44"/>
      <c r="R6" s="44">
        <v>5235.7999999999993</v>
      </c>
      <c r="S6" s="44">
        <v>4379.6000000000349</v>
      </c>
      <c r="T6" s="48">
        <f t="shared" ref="T6:T37" si="1">SUM(B6,M6:S6)</f>
        <v>398145.1</v>
      </c>
    </row>
    <row r="7" spans="1:20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1"/>
      <c r="M7" s="48">
        <f t="shared" si="0"/>
        <v>163802</v>
      </c>
      <c r="N7" s="49">
        <v>1000</v>
      </c>
      <c r="O7" s="49" t="s">
        <v>1</v>
      </c>
      <c r="P7" s="44">
        <v>25</v>
      </c>
      <c r="Q7" s="44"/>
      <c r="R7" s="44">
        <v>5249</v>
      </c>
      <c r="S7" s="44">
        <v>3000.9999999999764</v>
      </c>
      <c r="T7" s="48">
        <f t="shared" si="1"/>
        <v>394981.4</v>
      </c>
    </row>
    <row r="8" spans="1:20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7"/>
      <c r="M8" s="48">
        <f t="shared" si="0"/>
        <v>173616.9</v>
      </c>
      <c r="N8" s="49">
        <v>1000</v>
      </c>
      <c r="O8" s="49" t="s">
        <v>1</v>
      </c>
      <c r="P8" s="44">
        <v>25</v>
      </c>
      <c r="Q8" s="44"/>
      <c r="R8" s="44">
        <v>5383.2999999999993</v>
      </c>
      <c r="S8" s="44">
        <v>3023.2000000000062</v>
      </c>
      <c r="T8" s="48">
        <f t="shared" si="1"/>
        <v>411743.4</v>
      </c>
    </row>
    <row r="9" spans="1:20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7"/>
      <c r="M9" s="48">
        <f t="shared" si="0"/>
        <v>179672.1</v>
      </c>
      <c r="N9" s="49">
        <v>1000</v>
      </c>
      <c r="O9" s="49" t="s">
        <v>1</v>
      </c>
      <c r="P9" s="44">
        <v>25</v>
      </c>
      <c r="Q9" s="44"/>
      <c r="R9" s="44">
        <v>5404.9999999999991</v>
      </c>
      <c r="S9" s="44">
        <v>3019.8000000000347</v>
      </c>
      <c r="T9" s="48">
        <f t="shared" si="1"/>
        <v>418235.4</v>
      </c>
    </row>
    <row r="10" spans="1:20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7"/>
      <c r="M10" s="48">
        <f t="shared" si="0"/>
        <v>182582.3</v>
      </c>
      <c r="N10" s="49" t="s">
        <v>1</v>
      </c>
      <c r="O10" s="49" t="s">
        <v>1</v>
      </c>
      <c r="P10" s="44">
        <v>25</v>
      </c>
      <c r="Q10" s="44"/>
      <c r="R10" s="44">
        <v>5530.2</v>
      </c>
      <c r="S10" s="44">
        <v>3082.1999999999771</v>
      </c>
      <c r="T10" s="48">
        <f t="shared" si="1"/>
        <v>416257.1</v>
      </c>
    </row>
    <row r="11" spans="1:20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7"/>
      <c r="M11" s="48">
        <f t="shared" si="0"/>
        <v>185113.80000000002</v>
      </c>
      <c r="N11" s="49">
        <v>1474.9</v>
      </c>
      <c r="O11" s="49" t="s">
        <v>1</v>
      </c>
      <c r="P11" s="44">
        <v>25</v>
      </c>
      <c r="Q11" s="44"/>
      <c r="R11" s="44">
        <v>5569.4</v>
      </c>
      <c r="S11" s="44">
        <v>4503.5000000000055</v>
      </c>
      <c r="T11" s="48">
        <f t="shared" si="1"/>
        <v>419748.60000000009</v>
      </c>
    </row>
    <row r="12" spans="1:20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7"/>
      <c r="M12" s="48">
        <f t="shared" si="0"/>
        <v>177924.3</v>
      </c>
      <c r="N12" s="49">
        <v>3006.3</v>
      </c>
      <c r="O12" s="49" t="s">
        <v>1</v>
      </c>
      <c r="P12" s="44">
        <v>25</v>
      </c>
      <c r="Q12" s="44"/>
      <c r="R12" s="44">
        <v>5528.5</v>
      </c>
      <c r="S12" s="44">
        <v>6056.8000000000065</v>
      </c>
      <c r="T12" s="48">
        <f t="shared" si="1"/>
        <v>440418.29999999993</v>
      </c>
    </row>
    <row r="13" spans="1:20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7"/>
      <c r="M13" s="48">
        <f t="shared" si="0"/>
        <v>181494.5</v>
      </c>
      <c r="N13" s="49">
        <v>6000</v>
      </c>
      <c r="O13" s="49" t="s">
        <v>1</v>
      </c>
      <c r="P13" s="44">
        <v>25</v>
      </c>
      <c r="Q13" s="44"/>
      <c r="R13" s="44">
        <v>5487</v>
      </c>
      <c r="S13" s="44">
        <v>4581.3999999999769</v>
      </c>
      <c r="T13" s="48">
        <f t="shared" si="1"/>
        <v>447594.8</v>
      </c>
    </row>
    <row r="14" spans="1:20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7"/>
      <c r="M14" s="48">
        <f t="shared" si="0"/>
        <v>167686.39999999999</v>
      </c>
      <c r="N14" s="49">
        <v>10622.1</v>
      </c>
      <c r="O14" s="49" t="s">
        <v>1</v>
      </c>
      <c r="P14" s="44">
        <v>25</v>
      </c>
      <c r="Q14" s="44"/>
      <c r="R14" s="44">
        <v>5397.1</v>
      </c>
      <c r="S14" s="44">
        <v>4471.900000000006</v>
      </c>
      <c r="T14" s="48">
        <f t="shared" si="1"/>
        <v>436205.69999999995</v>
      </c>
    </row>
    <row r="15" spans="1:20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7"/>
      <c r="M15" s="48">
        <f t="shared" si="0"/>
        <v>161646.39999999999</v>
      </c>
      <c r="N15" s="49">
        <v>5355.8</v>
      </c>
      <c r="O15" s="49" t="s">
        <v>1</v>
      </c>
      <c r="P15" s="44">
        <v>25</v>
      </c>
      <c r="Q15" s="44"/>
      <c r="R15" s="44">
        <v>5443.6</v>
      </c>
      <c r="S15" s="44">
        <v>4968.5999999999767</v>
      </c>
      <c r="T15" s="48">
        <f t="shared" si="1"/>
        <v>440213.59999999992</v>
      </c>
    </row>
    <row r="16" spans="1:20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7"/>
      <c r="M16" s="48">
        <f t="shared" si="0"/>
        <v>146839.90000000002</v>
      </c>
      <c r="N16" s="49">
        <v>5508.8</v>
      </c>
      <c r="O16" s="49" t="s">
        <v>1</v>
      </c>
      <c r="P16" s="44">
        <v>25</v>
      </c>
      <c r="Q16" s="44"/>
      <c r="R16" s="44">
        <v>5431.3</v>
      </c>
      <c r="S16" s="44">
        <v>4572.2999999999765</v>
      </c>
      <c r="T16" s="48">
        <f t="shared" si="1"/>
        <v>439506.2</v>
      </c>
    </row>
    <row r="17" spans="1:20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7"/>
      <c r="M17" s="48">
        <f t="shared" si="0"/>
        <v>170798.90000000002</v>
      </c>
      <c r="N17" s="49" t="s">
        <v>1</v>
      </c>
      <c r="O17" s="49" t="s">
        <v>1</v>
      </c>
      <c r="P17" s="44">
        <v>25</v>
      </c>
      <c r="Q17" s="44"/>
      <c r="R17" s="44">
        <v>5317</v>
      </c>
      <c r="S17" s="44">
        <v>2979.6000000000931</v>
      </c>
      <c r="T17" s="48">
        <f t="shared" si="1"/>
        <v>513610.40000000008</v>
      </c>
    </row>
    <row r="18" spans="1:20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5"/>
      <c r="M18" s="48">
        <f t="shared" si="0"/>
        <v>148190.5</v>
      </c>
      <c r="N18" s="45" t="s">
        <v>1</v>
      </c>
      <c r="O18" s="45" t="s">
        <v>1</v>
      </c>
      <c r="P18" s="48">
        <v>25</v>
      </c>
      <c r="Q18" s="48"/>
      <c r="R18" s="48">
        <v>6081.0999999999995</v>
      </c>
      <c r="S18" s="48">
        <v>2988.2000000000353</v>
      </c>
      <c r="T18" s="48">
        <f t="shared" si="1"/>
        <v>469338.1</v>
      </c>
    </row>
    <row r="19" spans="1:20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5"/>
      <c r="M19" s="48">
        <f t="shared" si="0"/>
        <v>154147.90000000002</v>
      </c>
      <c r="N19" s="45" t="s">
        <v>1</v>
      </c>
      <c r="O19" s="45" t="s">
        <v>1</v>
      </c>
      <c r="P19" s="48">
        <v>25</v>
      </c>
      <c r="Q19" s="48"/>
      <c r="R19" s="48">
        <v>5998.8</v>
      </c>
      <c r="S19" s="48">
        <v>3557.0999999999767</v>
      </c>
      <c r="T19" s="48">
        <f t="shared" si="1"/>
        <v>467333.5</v>
      </c>
    </row>
    <row r="20" spans="1:20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5"/>
      <c r="M20" s="48">
        <f t="shared" si="0"/>
        <v>157525.1</v>
      </c>
      <c r="N20" s="45" t="s">
        <v>1</v>
      </c>
      <c r="O20" s="45" t="s">
        <v>1</v>
      </c>
      <c r="P20" s="48">
        <v>25</v>
      </c>
      <c r="Q20" s="48"/>
      <c r="R20" s="48">
        <v>5991.4</v>
      </c>
      <c r="S20" s="48">
        <v>7086.1999999999771</v>
      </c>
      <c r="T20" s="48">
        <f t="shared" si="1"/>
        <v>457276.80000000005</v>
      </c>
    </row>
    <row r="21" spans="1:20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5"/>
      <c r="M21" s="48">
        <f t="shared" si="0"/>
        <v>163693.70000000001</v>
      </c>
      <c r="N21" s="45" t="s">
        <v>1</v>
      </c>
      <c r="O21" s="45" t="s">
        <v>1</v>
      </c>
      <c r="P21" s="48">
        <v>25</v>
      </c>
      <c r="Q21" s="48"/>
      <c r="R21" s="48">
        <v>5997.7999999999993</v>
      </c>
      <c r="S21" s="48">
        <v>3819.4000000000351</v>
      </c>
      <c r="T21" s="48">
        <f t="shared" si="1"/>
        <v>445463.7</v>
      </c>
    </row>
    <row r="22" spans="1:20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5"/>
      <c r="M22" s="48">
        <f t="shared" si="0"/>
        <v>163878.39999999999</v>
      </c>
      <c r="N22" s="45" t="s">
        <v>1</v>
      </c>
      <c r="O22" s="45" t="s">
        <v>1</v>
      </c>
      <c r="P22" s="48">
        <v>25</v>
      </c>
      <c r="Q22" s="48"/>
      <c r="R22" s="48">
        <v>6081.3</v>
      </c>
      <c r="S22" s="48">
        <v>3895.1999999999771</v>
      </c>
      <c r="T22" s="48">
        <f t="shared" si="1"/>
        <v>454991.59999999992</v>
      </c>
    </row>
    <row r="23" spans="1:20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5"/>
      <c r="M23" s="48">
        <f t="shared" si="0"/>
        <v>185986.49999999997</v>
      </c>
      <c r="N23" s="45" t="s">
        <v>1</v>
      </c>
      <c r="O23" s="45" t="s">
        <v>1</v>
      </c>
      <c r="P23" s="48">
        <v>25</v>
      </c>
      <c r="Q23" s="48"/>
      <c r="R23" s="48">
        <v>6106.8</v>
      </c>
      <c r="S23" s="48">
        <v>3794.2000000000353</v>
      </c>
      <c r="T23" s="48">
        <f t="shared" si="1"/>
        <v>471823.39999999991</v>
      </c>
    </row>
    <row r="24" spans="1:20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5"/>
      <c r="M24" s="48">
        <f t="shared" si="0"/>
        <v>179899.19999999998</v>
      </c>
      <c r="N24" s="45" t="s">
        <v>1</v>
      </c>
      <c r="O24" s="45" t="s">
        <v>1</v>
      </c>
      <c r="P24" s="48">
        <v>25</v>
      </c>
      <c r="Q24" s="48"/>
      <c r="R24" s="48">
        <v>6096.7</v>
      </c>
      <c r="S24" s="48">
        <v>3821.7999999999765</v>
      </c>
      <c r="T24" s="48">
        <f t="shared" si="1"/>
        <v>462030.80000000005</v>
      </c>
    </row>
    <row r="25" spans="1:20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5"/>
      <c r="M25" s="48">
        <f t="shared" si="0"/>
        <v>190065.5</v>
      </c>
      <c r="N25" s="45" t="s">
        <v>1</v>
      </c>
      <c r="O25" s="45" t="s">
        <v>1</v>
      </c>
      <c r="P25" s="48">
        <v>25</v>
      </c>
      <c r="Q25" s="48"/>
      <c r="R25" s="48">
        <v>6075.9</v>
      </c>
      <c r="S25" s="48">
        <v>3906.4000000000351</v>
      </c>
      <c r="T25" s="48">
        <f t="shared" si="1"/>
        <v>566739</v>
      </c>
    </row>
    <row r="26" spans="1:20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5"/>
      <c r="M26" s="48">
        <f t="shared" si="0"/>
        <v>172040.9</v>
      </c>
      <c r="N26" s="45" t="s">
        <v>1</v>
      </c>
      <c r="O26" s="45" t="s">
        <v>1</v>
      </c>
      <c r="P26" s="48">
        <v>25</v>
      </c>
      <c r="Q26" s="48"/>
      <c r="R26" s="48">
        <v>6035.7999999999993</v>
      </c>
      <c r="S26" s="48">
        <v>3770.4000000000351</v>
      </c>
      <c r="T26" s="48">
        <f t="shared" si="1"/>
        <v>575134.70000000007</v>
      </c>
    </row>
    <row r="27" spans="1:20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5"/>
      <c r="M27" s="48">
        <f t="shared" si="0"/>
        <v>182740.7</v>
      </c>
      <c r="N27" s="45" t="s">
        <v>1</v>
      </c>
      <c r="O27" s="45" t="s">
        <v>1</v>
      </c>
      <c r="P27" s="48">
        <v>25</v>
      </c>
      <c r="Q27" s="48"/>
      <c r="R27" s="48">
        <v>5954.4999999999991</v>
      </c>
      <c r="S27" s="48">
        <v>3817.1999999999771</v>
      </c>
      <c r="T27" s="48">
        <f t="shared" si="1"/>
        <v>582504.5</v>
      </c>
    </row>
    <row r="28" spans="1:20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5"/>
      <c r="M28" s="48">
        <f t="shared" si="0"/>
        <v>209036.6</v>
      </c>
      <c r="N28" s="45" t="s">
        <v>1</v>
      </c>
      <c r="O28" s="45" t="s">
        <v>1</v>
      </c>
      <c r="P28" s="48">
        <v>25</v>
      </c>
      <c r="Q28" s="48"/>
      <c r="R28" s="48">
        <v>5883.4999999999991</v>
      </c>
      <c r="S28" s="48">
        <v>3860.3000000000347</v>
      </c>
      <c r="T28" s="48">
        <f t="shared" si="1"/>
        <v>603039.70000000007</v>
      </c>
    </row>
    <row r="29" spans="1:20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5"/>
      <c r="M29" s="48">
        <f t="shared" si="0"/>
        <v>250334.1</v>
      </c>
      <c r="N29" s="45" t="s">
        <v>1</v>
      </c>
      <c r="O29" s="45" t="s">
        <v>1</v>
      </c>
      <c r="P29" s="48">
        <v>20</v>
      </c>
      <c r="Q29" s="48"/>
      <c r="R29" s="48">
        <v>5750.7</v>
      </c>
      <c r="S29" s="48">
        <v>2918.8000000000347</v>
      </c>
      <c r="T29" s="48">
        <f t="shared" si="1"/>
        <v>659974.9</v>
      </c>
    </row>
    <row r="30" spans="1:20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/>
      <c r="M30" s="48">
        <f t="shared" si="0"/>
        <v>203311.9</v>
      </c>
      <c r="N30" s="45" t="s">
        <v>1</v>
      </c>
      <c r="O30" s="45" t="s">
        <v>1</v>
      </c>
      <c r="P30" s="48">
        <v>20</v>
      </c>
      <c r="Q30" s="48"/>
      <c r="R30" s="48">
        <v>6593.9</v>
      </c>
      <c r="S30" s="48">
        <v>3026.4999999999181</v>
      </c>
      <c r="T30" s="48">
        <f t="shared" si="1"/>
        <v>620941.5</v>
      </c>
    </row>
    <row r="31" spans="1:20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/>
      <c r="M31" s="48">
        <f t="shared" si="0"/>
        <v>213149.2</v>
      </c>
      <c r="N31" s="45" t="s">
        <v>1</v>
      </c>
      <c r="O31" s="45" t="s">
        <v>1</v>
      </c>
      <c r="P31" s="48">
        <v>20</v>
      </c>
      <c r="Q31" s="48"/>
      <c r="R31" s="48">
        <v>6546.2999999999993</v>
      </c>
      <c r="S31" s="48">
        <v>3048.4999999999764</v>
      </c>
      <c r="T31" s="48">
        <f t="shared" si="1"/>
        <v>634774.10000000009</v>
      </c>
    </row>
    <row r="32" spans="1:20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/>
      <c r="M32" s="48">
        <f t="shared" si="0"/>
        <v>208943.3</v>
      </c>
      <c r="N32" s="45" t="s">
        <v>1</v>
      </c>
      <c r="O32" s="45" t="s">
        <v>1</v>
      </c>
      <c r="P32" s="48">
        <v>20</v>
      </c>
      <c r="Q32" s="48"/>
      <c r="R32" s="48">
        <v>6381.0999999999985</v>
      </c>
      <c r="S32" s="48">
        <v>2992.0999999999767</v>
      </c>
      <c r="T32" s="48">
        <f t="shared" si="1"/>
        <v>614881</v>
      </c>
    </row>
    <row r="33" spans="1:20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/>
      <c r="M33" s="48">
        <f t="shared" si="0"/>
        <v>211642.4</v>
      </c>
      <c r="N33" s="45" t="s">
        <v>1</v>
      </c>
      <c r="O33" s="45" t="s">
        <v>1</v>
      </c>
      <c r="P33" s="48">
        <v>20</v>
      </c>
      <c r="Q33" s="48"/>
      <c r="R33" s="48">
        <v>6363.8999999999987</v>
      </c>
      <c r="S33" s="48">
        <v>3054.9999999999764</v>
      </c>
      <c r="T33" s="48">
        <f t="shared" si="1"/>
        <v>603720.9</v>
      </c>
    </row>
    <row r="34" spans="1:20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/>
      <c r="M34" s="48">
        <f t="shared" si="0"/>
        <v>190478.7</v>
      </c>
      <c r="N34" s="45" t="s">
        <v>1</v>
      </c>
      <c r="O34" s="45" t="s">
        <v>1</v>
      </c>
      <c r="P34" s="48">
        <v>20</v>
      </c>
      <c r="Q34" s="48"/>
      <c r="R34" s="48">
        <v>6312.8</v>
      </c>
      <c r="S34" s="48">
        <v>3267.4000000000351</v>
      </c>
      <c r="T34" s="48">
        <f t="shared" si="1"/>
        <v>562511.50000000012</v>
      </c>
    </row>
    <row r="35" spans="1:20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/>
      <c r="M35" s="48">
        <f t="shared" si="0"/>
        <v>220835.90000000002</v>
      </c>
      <c r="N35" s="45" t="s">
        <v>1</v>
      </c>
      <c r="O35" s="45" t="s">
        <v>1</v>
      </c>
      <c r="P35" s="48">
        <v>20</v>
      </c>
      <c r="Q35" s="48"/>
      <c r="R35" s="48">
        <v>6213.3999999999987</v>
      </c>
      <c r="S35" s="48">
        <v>3040.5000000000346</v>
      </c>
      <c r="T35" s="48">
        <f t="shared" si="1"/>
        <v>576368.9</v>
      </c>
    </row>
    <row r="36" spans="1:20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/>
      <c r="M36" s="48">
        <f t="shared" si="0"/>
        <v>227458.3</v>
      </c>
      <c r="N36" s="45" t="s">
        <v>1</v>
      </c>
      <c r="O36" s="45" t="s">
        <v>1</v>
      </c>
      <c r="P36" s="48">
        <v>20</v>
      </c>
      <c r="Q36" s="48"/>
      <c r="R36" s="48">
        <v>6178.3999999999987</v>
      </c>
      <c r="S36" s="48">
        <v>2965.7000000000353</v>
      </c>
      <c r="T36" s="48">
        <f t="shared" si="1"/>
        <v>588650.30000000005</v>
      </c>
    </row>
    <row r="37" spans="1:20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/>
      <c r="M37" s="48">
        <f t="shared" si="0"/>
        <v>234730.4</v>
      </c>
      <c r="N37" s="45">
        <v>598.6</v>
      </c>
      <c r="O37" s="45" t="s">
        <v>1</v>
      </c>
      <c r="P37" s="48">
        <v>20</v>
      </c>
      <c r="Q37" s="48"/>
      <c r="R37" s="48">
        <v>6119.8999999999987</v>
      </c>
      <c r="S37" s="48">
        <v>3025.3000000000347</v>
      </c>
      <c r="T37" s="48">
        <f t="shared" si="1"/>
        <v>598764.30000000005</v>
      </c>
    </row>
    <row r="38" spans="1:20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/>
      <c r="M38" s="48">
        <f t="shared" si="0"/>
        <v>233594.5</v>
      </c>
      <c r="N38" s="45" t="s">
        <v>1</v>
      </c>
      <c r="O38" s="45" t="s">
        <v>1</v>
      </c>
      <c r="P38" s="48">
        <v>20</v>
      </c>
      <c r="Q38" s="48"/>
      <c r="R38" s="48">
        <v>6126.6999999999989</v>
      </c>
      <c r="S38" s="48">
        <v>3062.8000000000347</v>
      </c>
      <c r="T38" s="48">
        <f t="shared" ref="T38:T69" si="2">SUM(B38,M38:S38)</f>
        <v>591560.89999999991</v>
      </c>
    </row>
    <row r="39" spans="1:20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/>
      <c r="M39" s="48">
        <f t="shared" si="0"/>
        <v>222204.2</v>
      </c>
      <c r="N39" s="45">
        <v>3740.2</v>
      </c>
      <c r="O39" s="45" t="s">
        <v>1</v>
      </c>
      <c r="P39" s="48">
        <v>20</v>
      </c>
      <c r="Q39" s="48"/>
      <c r="R39" s="48">
        <v>6002.1999999999989</v>
      </c>
      <c r="S39" s="48">
        <v>3057.0999999999767</v>
      </c>
      <c r="T39" s="48">
        <f t="shared" si="2"/>
        <v>582803.1</v>
      </c>
    </row>
    <row r="40" spans="1:20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/>
      <c r="M40" s="48">
        <f t="shared" si="0"/>
        <v>231388.2</v>
      </c>
      <c r="N40" s="45" t="s">
        <v>1</v>
      </c>
      <c r="O40" s="45" t="s">
        <v>1</v>
      </c>
      <c r="P40" s="48">
        <v>20</v>
      </c>
      <c r="Q40" s="48"/>
      <c r="R40" s="48">
        <v>5875.2999999999993</v>
      </c>
      <c r="S40" s="48">
        <v>3093.7999999999765</v>
      </c>
      <c r="T40" s="48">
        <f t="shared" si="2"/>
        <v>589576.6</v>
      </c>
    </row>
    <row r="41" spans="1:20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/>
      <c r="M41" s="48">
        <f t="shared" si="0"/>
        <v>253190.09999999998</v>
      </c>
      <c r="N41" s="45" t="s">
        <v>1</v>
      </c>
      <c r="O41" s="45" t="s">
        <v>1</v>
      </c>
      <c r="P41" s="48">
        <v>20</v>
      </c>
      <c r="Q41" s="48"/>
      <c r="R41" s="48">
        <v>5970.5999999999995</v>
      </c>
      <c r="S41" s="48">
        <v>2976.0999999999185</v>
      </c>
      <c r="T41" s="48">
        <f t="shared" si="2"/>
        <v>680429</v>
      </c>
    </row>
    <row r="42" spans="1:20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/>
      <c r="M42" s="48">
        <f t="shared" si="0"/>
        <v>233747.8</v>
      </c>
      <c r="N42" s="45" t="s">
        <v>1</v>
      </c>
      <c r="O42" s="45" t="s">
        <v>1</v>
      </c>
      <c r="P42" s="48">
        <v>20</v>
      </c>
      <c r="Q42" s="48"/>
      <c r="R42" s="48">
        <v>6869.8999999999987</v>
      </c>
      <c r="S42" s="48">
        <v>3106.0999999999767</v>
      </c>
      <c r="T42" s="48">
        <f t="shared" si="2"/>
        <v>656777.80000000005</v>
      </c>
    </row>
    <row r="43" spans="1:20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/>
      <c r="M43" s="48">
        <f t="shared" si="0"/>
        <v>233439.7</v>
      </c>
      <c r="N43" s="45">
        <v>1723.4</v>
      </c>
      <c r="O43" s="45" t="s">
        <v>1</v>
      </c>
      <c r="P43" s="48">
        <v>20</v>
      </c>
      <c r="Q43" s="48"/>
      <c r="R43" s="48">
        <v>6927.7999999999984</v>
      </c>
      <c r="S43" s="48">
        <v>3042.3999999999769</v>
      </c>
      <c r="T43" s="48">
        <f t="shared" si="2"/>
        <v>683082.10000000009</v>
      </c>
    </row>
    <row r="44" spans="1:20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/>
      <c r="M44" s="48">
        <f t="shared" si="0"/>
        <v>221012.1</v>
      </c>
      <c r="N44" s="45">
        <v>3410.3</v>
      </c>
      <c r="O44" s="45" t="s">
        <v>1</v>
      </c>
      <c r="P44" s="48">
        <v>20</v>
      </c>
      <c r="Q44" s="48"/>
      <c r="R44" s="48">
        <v>6843.0999999999995</v>
      </c>
      <c r="S44" s="48">
        <v>2952.3999999999769</v>
      </c>
      <c r="T44" s="48">
        <f t="shared" si="2"/>
        <v>660866.50000000012</v>
      </c>
    </row>
    <row r="45" spans="1:20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/>
      <c r="M45" s="48">
        <f t="shared" si="0"/>
        <v>218223.4</v>
      </c>
      <c r="N45" s="45">
        <v>4017</v>
      </c>
      <c r="O45" s="45" t="s">
        <v>1</v>
      </c>
      <c r="P45" s="48">
        <v>20</v>
      </c>
      <c r="Q45" s="48"/>
      <c r="R45" s="48">
        <v>6828.8999999999987</v>
      </c>
      <c r="S45" s="48">
        <v>2987.4000000000351</v>
      </c>
      <c r="T45" s="48">
        <f t="shared" si="2"/>
        <v>687761.1</v>
      </c>
    </row>
    <row r="46" spans="1:20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/>
      <c r="M46" s="48">
        <f t="shared" si="0"/>
        <v>230901.59999999998</v>
      </c>
      <c r="N46" s="45">
        <v>8670.2999999999993</v>
      </c>
      <c r="O46" s="45" t="s">
        <v>1</v>
      </c>
      <c r="P46" s="48">
        <v>20</v>
      </c>
      <c r="Q46" s="48"/>
      <c r="R46" s="48">
        <v>6941.4999999999991</v>
      </c>
      <c r="S46" s="48">
        <v>3038.6999999999189</v>
      </c>
      <c r="T46" s="48">
        <f t="shared" si="2"/>
        <v>694183.3</v>
      </c>
    </row>
    <row r="47" spans="1:20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/>
      <c r="M47" s="48">
        <f t="shared" si="0"/>
        <v>242069.90000000002</v>
      </c>
      <c r="N47" s="45">
        <v>21978.1</v>
      </c>
      <c r="O47" s="45" t="s">
        <v>1</v>
      </c>
      <c r="P47" s="48">
        <v>20</v>
      </c>
      <c r="Q47" s="48"/>
      <c r="R47" s="48">
        <v>7198.0999999999995</v>
      </c>
      <c r="S47" s="48">
        <v>3398.1999999999771</v>
      </c>
      <c r="T47" s="48">
        <f t="shared" si="2"/>
        <v>708906.29999999993</v>
      </c>
    </row>
    <row r="48" spans="1:20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/>
      <c r="M48" s="48">
        <f t="shared" si="0"/>
        <v>248746.8</v>
      </c>
      <c r="N48" s="45">
        <v>28323</v>
      </c>
      <c r="O48" s="45" t="s">
        <v>1</v>
      </c>
      <c r="P48" s="48">
        <v>20</v>
      </c>
      <c r="Q48" s="48"/>
      <c r="R48" s="48">
        <v>7176.9999999999982</v>
      </c>
      <c r="S48" s="48">
        <v>3684.3999999999769</v>
      </c>
      <c r="T48" s="48">
        <f t="shared" si="2"/>
        <v>724924.70000000007</v>
      </c>
    </row>
    <row r="49" spans="1:20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/>
      <c r="M49" s="48">
        <f t="shared" si="0"/>
        <v>252026.7</v>
      </c>
      <c r="N49" s="45">
        <v>30627.200000000001</v>
      </c>
      <c r="O49" s="45" t="s">
        <v>1</v>
      </c>
      <c r="P49" s="48">
        <v>20</v>
      </c>
      <c r="Q49" s="48"/>
      <c r="R49" s="48">
        <v>7193.8999999999987</v>
      </c>
      <c r="S49" s="48">
        <v>4038.5999999999767</v>
      </c>
      <c r="T49" s="48">
        <f t="shared" si="2"/>
        <v>713999.3</v>
      </c>
    </row>
    <row r="50" spans="1:20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/>
      <c r="M50" s="48">
        <f t="shared" si="0"/>
        <v>245939</v>
      </c>
      <c r="N50" s="45">
        <v>41214.800000000003</v>
      </c>
      <c r="O50" s="45" t="s">
        <v>1</v>
      </c>
      <c r="P50" s="48">
        <v>20</v>
      </c>
      <c r="Q50" s="48"/>
      <c r="R50" s="48">
        <v>7550.1999999999989</v>
      </c>
      <c r="S50" s="48">
        <v>4223.3000000000347</v>
      </c>
      <c r="T50" s="48">
        <f t="shared" si="2"/>
        <v>693837.60000000009</v>
      </c>
    </row>
    <row r="51" spans="1:20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/>
      <c r="M51" s="48">
        <f t="shared" si="0"/>
        <v>266233.5</v>
      </c>
      <c r="N51" s="45">
        <v>33892.300000000003</v>
      </c>
      <c r="O51" s="45"/>
      <c r="P51" s="48">
        <v>20</v>
      </c>
      <c r="Q51" s="48"/>
      <c r="R51" s="48">
        <v>7444.9</v>
      </c>
      <c r="S51" s="48">
        <v>4388.1999999999771</v>
      </c>
      <c r="T51" s="48">
        <f t="shared" si="2"/>
        <v>700588.6</v>
      </c>
    </row>
    <row r="52" spans="1:20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/>
      <c r="M52" s="48">
        <f t="shared" si="0"/>
        <v>250006.1</v>
      </c>
      <c r="N52" s="45">
        <v>39419.1</v>
      </c>
      <c r="O52" s="45"/>
      <c r="P52" s="48">
        <v>20</v>
      </c>
      <c r="Q52" s="48"/>
      <c r="R52" s="48">
        <v>7420.1999999999989</v>
      </c>
      <c r="S52" s="48">
        <v>4112.6000000000349</v>
      </c>
      <c r="T52" s="48">
        <f t="shared" si="2"/>
        <v>689001.59999999986</v>
      </c>
    </row>
    <row r="53" spans="1:20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/>
      <c r="M53" s="48">
        <f t="shared" si="0"/>
        <v>322018.90000000002</v>
      </c>
      <c r="N53" s="45">
        <v>25301.3</v>
      </c>
      <c r="O53" s="45"/>
      <c r="P53" s="48">
        <v>20</v>
      </c>
      <c r="Q53" s="48"/>
      <c r="R53" s="48">
        <v>7467.3999999999987</v>
      </c>
      <c r="S53" s="48">
        <v>4483.1999999999771</v>
      </c>
      <c r="T53" s="48">
        <f t="shared" si="2"/>
        <v>772034.60000000009</v>
      </c>
    </row>
    <row r="54" spans="1:20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/>
      <c r="M54" s="48">
        <f t="shared" si="0"/>
        <v>258675.40000000002</v>
      </c>
      <c r="N54" s="45">
        <v>17713.400000000001</v>
      </c>
      <c r="O54" s="45"/>
      <c r="P54" s="48">
        <v>20</v>
      </c>
      <c r="Q54" s="48"/>
      <c r="R54" s="48">
        <v>8299.4999999999982</v>
      </c>
      <c r="S54" s="48">
        <v>6370.7999999999183</v>
      </c>
      <c r="T54" s="48">
        <f t="shared" si="2"/>
        <v>751180</v>
      </c>
    </row>
    <row r="55" spans="1:20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/>
      <c r="M55" s="48">
        <f t="shared" si="0"/>
        <v>254875.7</v>
      </c>
      <c r="N55" s="45">
        <v>29586.1</v>
      </c>
      <c r="O55" s="45"/>
      <c r="P55" s="48">
        <v>20</v>
      </c>
      <c r="Q55" s="48"/>
      <c r="R55" s="48">
        <v>8455.7999999999993</v>
      </c>
      <c r="S55" s="48">
        <v>5032.5999999999767</v>
      </c>
      <c r="T55" s="48">
        <f t="shared" si="2"/>
        <v>751133.10000000009</v>
      </c>
    </row>
    <row r="56" spans="1:20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/>
      <c r="M56" s="48">
        <f t="shared" si="0"/>
        <v>276195.09999999998</v>
      </c>
      <c r="N56" s="45">
        <v>31811.4</v>
      </c>
      <c r="O56" s="45"/>
      <c r="P56" s="48">
        <v>20</v>
      </c>
      <c r="Q56" s="48"/>
      <c r="R56" s="48">
        <v>8398.6</v>
      </c>
      <c r="S56" s="48">
        <v>4735.1999999999771</v>
      </c>
      <c r="T56" s="48">
        <f t="shared" si="2"/>
        <v>740382.7</v>
      </c>
    </row>
    <row r="57" spans="1:20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/>
      <c r="M57" s="48">
        <f t="shared" si="0"/>
        <v>286322.3</v>
      </c>
      <c r="N57" s="45">
        <v>44281</v>
      </c>
      <c r="O57" s="45"/>
      <c r="P57" s="48">
        <v>20</v>
      </c>
      <c r="Q57" s="48"/>
      <c r="R57" s="48">
        <v>8505.1</v>
      </c>
      <c r="S57" s="48">
        <v>4810.5000000000346</v>
      </c>
      <c r="T57" s="48">
        <f t="shared" si="2"/>
        <v>753927.6</v>
      </c>
    </row>
    <row r="58" spans="1:20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/>
      <c r="M58" s="48">
        <f t="shared" si="0"/>
        <v>267087.69999999995</v>
      </c>
      <c r="N58" s="45">
        <v>51288.800000000003</v>
      </c>
      <c r="O58" s="45"/>
      <c r="P58" s="48">
        <v>20</v>
      </c>
      <c r="Q58" s="48"/>
      <c r="R58" s="48">
        <v>8260.2000000000007</v>
      </c>
      <c r="S58" s="48">
        <v>4934.2000000000353</v>
      </c>
      <c r="T58" s="48">
        <f t="shared" si="2"/>
        <v>738622.9</v>
      </c>
    </row>
    <row r="59" spans="1:20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/>
      <c r="M59" s="48">
        <f t="shared" si="0"/>
        <v>283284.5</v>
      </c>
      <c r="N59" s="45">
        <v>60598.8</v>
      </c>
      <c r="O59" s="45"/>
      <c r="P59" s="48">
        <v>20</v>
      </c>
      <c r="Q59" s="48"/>
      <c r="R59" s="48">
        <v>8390.4</v>
      </c>
      <c r="S59" s="48">
        <v>5100.5000000000346</v>
      </c>
      <c r="T59" s="48">
        <f t="shared" si="2"/>
        <v>759811.8</v>
      </c>
    </row>
    <row r="60" spans="1:20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/>
      <c r="M60" s="48">
        <f t="shared" si="0"/>
        <v>301897.09999999998</v>
      </c>
      <c r="N60" s="45">
        <v>53762</v>
      </c>
      <c r="O60" s="45"/>
      <c r="P60" s="48">
        <v>20</v>
      </c>
      <c r="Q60" s="48"/>
      <c r="R60" s="48">
        <v>8476.7000000000007</v>
      </c>
      <c r="S60" s="48">
        <v>5760.2999999999765</v>
      </c>
      <c r="T60" s="48">
        <f t="shared" si="2"/>
        <v>778301.59999999986</v>
      </c>
    </row>
    <row r="61" spans="1:20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/>
      <c r="M61" s="48">
        <f t="shared" si="0"/>
        <v>312985.3</v>
      </c>
      <c r="N61" s="45">
        <v>40499.300000000003</v>
      </c>
      <c r="O61" s="45"/>
      <c r="P61" s="48">
        <v>20</v>
      </c>
      <c r="Q61" s="48"/>
      <c r="R61" s="48">
        <v>8611.3000000000011</v>
      </c>
      <c r="S61" s="48">
        <v>6493.5999999999767</v>
      </c>
      <c r="T61" s="48">
        <f t="shared" si="2"/>
        <v>781554.9</v>
      </c>
    </row>
    <row r="62" spans="1:20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/>
      <c r="M62" s="48">
        <f t="shared" si="0"/>
        <v>299656.5</v>
      </c>
      <c r="N62" s="45">
        <v>29808.6</v>
      </c>
      <c r="O62" s="45"/>
      <c r="P62" s="48">
        <v>20</v>
      </c>
      <c r="Q62" s="48"/>
      <c r="R62" s="48">
        <v>8990.3000000000011</v>
      </c>
      <c r="S62" s="48">
        <v>6733.2000000000353</v>
      </c>
      <c r="T62" s="48">
        <f t="shared" si="2"/>
        <v>778034.20000000007</v>
      </c>
    </row>
    <row r="63" spans="1:20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/>
      <c r="M63" s="48">
        <f t="shared" si="0"/>
        <v>326113.5</v>
      </c>
      <c r="N63" s="45">
        <v>15843.6</v>
      </c>
      <c r="O63" s="45"/>
      <c r="P63" s="48">
        <v>20</v>
      </c>
      <c r="Q63" s="48"/>
      <c r="R63" s="48">
        <v>9064.0999999999985</v>
      </c>
      <c r="S63" s="48">
        <v>7394.0999999999767</v>
      </c>
      <c r="T63" s="48">
        <f t="shared" si="2"/>
        <v>781927.9</v>
      </c>
    </row>
    <row r="64" spans="1:20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/>
      <c r="M64" s="48">
        <f t="shared" si="0"/>
        <v>351175.4</v>
      </c>
      <c r="N64" s="45">
        <v>9108</v>
      </c>
      <c r="O64" s="45"/>
      <c r="P64" s="48">
        <v>20</v>
      </c>
      <c r="Q64" s="48"/>
      <c r="R64" s="48">
        <v>9032.5999999999985</v>
      </c>
      <c r="S64" s="48">
        <v>7680.1000000000931</v>
      </c>
      <c r="T64" s="48">
        <f t="shared" si="2"/>
        <v>805688.4</v>
      </c>
    </row>
    <row r="65" spans="1:20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/>
      <c r="M65" s="48">
        <f t="shared" si="0"/>
        <v>410025</v>
      </c>
      <c r="N65" s="45" t="s">
        <v>1</v>
      </c>
      <c r="O65" s="45"/>
      <c r="P65" s="48">
        <v>20</v>
      </c>
      <c r="Q65" s="48"/>
      <c r="R65" s="48">
        <v>9039.4</v>
      </c>
      <c r="S65" s="48">
        <v>7843.899999999976</v>
      </c>
      <c r="T65" s="48">
        <f t="shared" si="2"/>
        <v>911953.8</v>
      </c>
    </row>
    <row r="66" spans="1:20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/>
      <c r="M66" s="48">
        <f t="shared" si="0"/>
        <v>408323.6</v>
      </c>
      <c r="N66" s="45" t="s">
        <v>1</v>
      </c>
      <c r="O66" s="45"/>
      <c r="P66" s="48">
        <v>20</v>
      </c>
      <c r="Q66" s="48"/>
      <c r="R66" s="48">
        <v>9763.9</v>
      </c>
      <c r="S66" s="48">
        <v>8743.5999999999185</v>
      </c>
      <c r="T66" s="48">
        <f t="shared" si="2"/>
        <v>911784</v>
      </c>
    </row>
    <row r="67" spans="1:20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/>
      <c r="M67" s="48">
        <f t="shared" si="0"/>
        <v>406622.2</v>
      </c>
      <c r="N67" s="45">
        <v>11804.3</v>
      </c>
      <c r="O67" s="45"/>
      <c r="P67" s="48">
        <v>20</v>
      </c>
      <c r="Q67" s="48"/>
      <c r="R67" s="48">
        <v>9758.0999999999985</v>
      </c>
      <c r="S67" s="48">
        <v>11041.99999999986</v>
      </c>
      <c r="T67" s="48">
        <f t="shared" si="2"/>
        <v>988253</v>
      </c>
    </row>
    <row r="68" spans="1:20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/>
      <c r="M68" s="48">
        <f t="shared" si="0"/>
        <v>404920.6</v>
      </c>
      <c r="N68" s="45">
        <v>7592</v>
      </c>
      <c r="O68" s="45"/>
      <c r="P68" s="48">
        <v>20</v>
      </c>
      <c r="Q68" s="48"/>
      <c r="R68" s="48">
        <v>9638</v>
      </c>
      <c r="S68" s="48">
        <v>11346.900000000036</v>
      </c>
      <c r="T68" s="48">
        <f t="shared" si="2"/>
        <v>890093.1</v>
      </c>
    </row>
    <row r="69" spans="1:20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/>
      <c r="M69" s="48">
        <f t="shared" si="0"/>
        <v>414405.3</v>
      </c>
      <c r="N69" s="45" t="s">
        <v>1</v>
      </c>
      <c r="O69" s="45"/>
      <c r="P69" s="48">
        <v>20</v>
      </c>
      <c r="Q69" s="48"/>
      <c r="R69" s="48">
        <v>9597.9</v>
      </c>
      <c r="S69" s="48">
        <v>11407.099999999919</v>
      </c>
      <c r="T69" s="48">
        <f t="shared" si="2"/>
        <v>886015.10000000009</v>
      </c>
    </row>
    <row r="70" spans="1:20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/>
      <c r="M70" s="48">
        <f t="shared" ref="M70:M113" si="3">SUM(C70:K70)</f>
        <v>401517.80000000005</v>
      </c>
      <c r="N70" s="45" t="s">
        <v>1</v>
      </c>
      <c r="O70" s="45"/>
      <c r="P70" s="48">
        <v>20</v>
      </c>
      <c r="Q70" s="48"/>
      <c r="R70" s="48">
        <v>9828.6</v>
      </c>
      <c r="S70" s="48">
        <v>11468.600000000093</v>
      </c>
      <c r="T70" s="48">
        <f t="shared" ref="T70:T101" si="4">SUM(B70,M70:S70)</f>
        <v>886610.29999999993</v>
      </c>
    </row>
    <row r="71" spans="1:20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/>
      <c r="M71" s="48">
        <f t="shared" si="3"/>
        <v>399816.4</v>
      </c>
      <c r="N71" s="45" t="s">
        <v>1</v>
      </c>
      <c r="O71" s="45"/>
      <c r="P71" s="48">
        <v>20</v>
      </c>
      <c r="Q71" s="48"/>
      <c r="R71" s="48">
        <v>9998</v>
      </c>
      <c r="S71" s="48">
        <v>11268.099999999977</v>
      </c>
      <c r="T71" s="48">
        <f t="shared" si="4"/>
        <v>848897.6</v>
      </c>
    </row>
    <row r="72" spans="1:20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/>
      <c r="M72" s="48">
        <f t="shared" si="3"/>
        <v>398115</v>
      </c>
      <c r="N72" s="45">
        <v>2619.6999999999998</v>
      </c>
      <c r="O72" s="45"/>
      <c r="P72" s="48">
        <v>20</v>
      </c>
      <c r="Q72" s="48"/>
      <c r="R72" s="48">
        <v>10448.699999999999</v>
      </c>
      <c r="S72" s="48">
        <v>11885.899999999976</v>
      </c>
      <c r="T72" s="48">
        <f t="shared" si="4"/>
        <v>882581.2</v>
      </c>
    </row>
    <row r="73" spans="1:20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/>
      <c r="M73" s="48">
        <f t="shared" si="3"/>
        <v>398115</v>
      </c>
      <c r="N73" s="45" t="s">
        <v>1</v>
      </c>
      <c r="O73" s="45"/>
      <c r="P73" s="48">
        <v>20</v>
      </c>
      <c r="Q73" s="48"/>
      <c r="R73" s="48">
        <v>10728.099999999999</v>
      </c>
      <c r="S73" s="48">
        <v>12193.099999999977</v>
      </c>
      <c r="T73" s="48">
        <f t="shared" si="4"/>
        <v>866672.39999999991</v>
      </c>
    </row>
    <row r="74" spans="1:20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/>
      <c r="M74" s="48">
        <f t="shared" si="3"/>
        <v>397498.7</v>
      </c>
      <c r="N74" s="45">
        <v>61.3</v>
      </c>
      <c r="O74" s="45"/>
      <c r="P74" s="48">
        <v>20</v>
      </c>
      <c r="Q74" s="48"/>
      <c r="R74" s="48">
        <v>10811.199999999999</v>
      </c>
      <c r="S74" s="48">
        <v>12197.000000000035</v>
      </c>
      <c r="T74" s="48">
        <f t="shared" si="4"/>
        <v>879942.39999999991</v>
      </c>
    </row>
    <row r="75" spans="1:20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/>
      <c r="M75" s="48">
        <f t="shared" si="3"/>
        <v>403716.1</v>
      </c>
      <c r="N75" s="45" t="s">
        <v>1</v>
      </c>
      <c r="O75" s="45"/>
      <c r="P75" s="48">
        <v>20</v>
      </c>
      <c r="Q75" s="48"/>
      <c r="R75" s="48">
        <v>10933</v>
      </c>
      <c r="S75" s="48">
        <v>13482.999999999978</v>
      </c>
      <c r="T75" s="48">
        <f t="shared" si="4"/>
        <v>908973.7</v>
      </c>
    </row>
    <row r="76" spans="1:20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/>
      <c r="M76" s="48">
        <f t="shared" si="3"/>
        <v>418138</v>
      </c>
      <c r="N76" s="45" t="s">
        <v>1</v>
      </c>
      <c r="O76" s="45"/>
      <c r="P76" s="48">
        <v>20</v>
      </c>
      <c r="Q76" s="48"/>
      <c r="R76" s="48">
        <v>11059.899999999998</v>
      </c>
      <c r="S76" s="48">
        <v>13585.2</v>
      </c>
      <c r="T76" s="48">
        <f t="shared" si="4"/>
        <v>904280.4</v>
      </c>
    </row>
    <row r="77" spans="1:20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/>
      <c r="M77" s="48">
        <f t="shared" si="3"/>
        <v>396574.3</v>
      </c>
      <c r="N77" s="45" t="s">
        <v>1</v>
      </c>
      <c r="O77" s="45"/>
      <c r="P77" s="48">
        <v>20</v>
      </c>
      <c r="Q77" s="48"/>
      <c r="R77" s="48">
        <v>11039.999999999998</v>
      </c>
      <c r="S77" s="48">
        <v>14789.2</v>
      </c>
      <c r="T77" s="48">
        <f t="shared" si="4"/>
        <v>923746.99999999988</v>
      </c>
    </row>
    <row r="78" spans="1:20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/>
      <c r="M78" s="48">
        <f t="shared" si="3"/>
        <v>396574.3</v>
      </c>
      <c r="N78" s="45" t="s">
        <v>1</v>
      </c>
      <c r="O78" s="45"/>
      <c r="P78" s="48">
        <v>20</v>
      </c>
      <c r="Q78" s="48"/>
      <c r="R78" s="48">
        <v>12077.8</v>
      </c>
      <c r="S78" s="48">
        <v>14948.7</v>
      </c>
      <c r="T78" s="48">
        <f t="shared" si="4"/>
        <v>900041.6</v>
      </c>
    </row>
    <row r="79" spans="1:20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/>
      <c r="M79" s="48">
        <f t="shared" si="3"/>
        <v>395958</v>
      </c>
      <c r="N79" s="45">
        <v>2029.8</v>
      </c>
      <c r="O79" s="45"/>
      <c r="P79" s="48">
        <v>20</v>
      </c>
      <c r="Q79" s="48"/>
      <c r="R79" s="48">
        <v>12534</v>
      </c>
      <c r="S79" s="48">
        <v>14906.1</v>
      </c>
      <c r="T79" s="48">
        <f t="shared" si="4"/>
        <v>902394.00000000012</v>
      </c>
    </row>
    <row r="80" spans="1:20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/>
      <c r="M80" s="48">
        <f t="shared" si="3"/>
        <v>404471</v>
      </c>
      <c r="N80" s="45">
        <v>2239.9</v>
      </c>
      <c r="O80" s="45"/>
      <c r="P80" s="48">
        <v>20</v>
      </c>
      <c r="Q80" s="48"/>
      <c r="R80" s="48">
        <v>12667.3</v>
      </c>
      <c r="S80" s="48">
        <v>15190.699999999999</v>
      </c>
      <c r="T80" s="48">
        <f t="shared" si="4"/>
        <v>926151.8</v>
      </c>
    </row>
    <row r="81" spans="1:20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/>
      <c r="M81" s="48">
        <f t="shared" si="3"/>
        <v>409906.3</v>
      </c>
      <c r="N81" s="45">
        <v>1914.8</v>
      </c>
      <c r="O81" s="45"/>
      <c r="P81" s="48">
        <v>20</v>
      </c>
      <c r="Q81" s="48"/>
      <c r="R81" s="48">
        <v>12846.599999999999</v>
      </c>
      <c r="S81" s="48">
        <v>46511.199999999997</v>
      </c>
      <c r="T81" s="48">
        <f t="shared" si="4"/>
        <v>964828.4</v>
      </c>
    </row>
    <row r="82" spans="1:20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/>
      <c r="M82" s="48">
        <f t="shared" si="3"/>
        <v>411110.1</v>
      </c>
      <c r="N82" s="45">
        <v>1914.8</v>
      </c>
      <c r="O82" s="45"/>
      <c r="P82" s="48">
        <v>20</v>
      </c>
      <c r="Q82" s="48"/>
      <c r="R82" s="48">
        <v>12882.9</v>
      </c>
      <c r="S82" s="48">
        <v>46641.799999999996</v>
      </c>
      <c r="T82" s="48">
        <f t="shared" si="4"/>
        <v>955009.60000000009</v>
      </c>
    </row>
    <row r="83" spans="1:20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/>
      <c r="M83" s="48">
        <f t="shared" si="3"/>
        <v>434035.1</v>
      </c>
      <c r="N83" s="45">
        <v>1914.8</v>
      </c>
      <c r="O83" s="45"/>
      <c r="P83" s="48">
        <v>20</v>
      </c>
      <c r="Q83" s="48"/>
      <c r="R83" s="48">
        <v>13409.899999999998</v>
      </c>
      <c r="S83" s="48">
        <v>44868.7</v>
      </c>
      <c r="T83" s="48">
        <f t="shared" si="4"/>
        <v>980852.8</v>
      </c>
    </row>
    <row r="84" spans="1:20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/>
      <c r="M84" s="48">
        <f t="shared" si="3"/>
        <v>447505.30000000005</v>
      </c>
      <c r="N84" s="45">
        <v>1914.8</v>
      </c>
      <c r="O84" s="45"/>
      <c r="P84" s="48">
        <v>20</v>
      </c>
      <c r="Q84" s="48"/>
      <c r="R84" s="48">
        <v>13428.499999999998</v>
      </c>
      <c r="S84" s="48">
        <v>55001.7</v>
      </c>
      <c r="T84" s="48">
        <f t="shared" si="4"/>
        <v>974467.5</v>
      </c>
    </row>
    <row r="85" spans="1:20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/>
      <c r="M85" s="48">
        <f t="shared" si="3"/>
        <v>437467.9</v>
      </c>
      <c r="N85" s="45">
        <v>2000</v>
      </c>
      <c r="O85" s="45"/>
      <c r="P85" s="48">
        <v>20</v>
      </c>
      <c r="Q85" s="48"/>
      <c r="R85" s="48">
        <v>13311.999999999998</v>
      </c>
      <c r="S85" s="48">
        <v>55478.5</v>
      </c>
      <c r="T85" s="48">
        <f t="shared" si="4"/>
        <v>970088</v>
      </c>
    </row>
    <row r="86" spans="1:20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/>
      <c r="M86" s="48">
        <f t="shared" si="3"/>
        <v>421409.4</v>
      </c>
      <c r="N86" s="45">
        <v>2231.9</v>
      </c>
      <c r="O86" s="45"/>
      <c r="P86" s="48">
        <v>20</v>
      </c>
      <c r="Q86" s="48"/>
      <c r="R86" s="48">
        <v>13318.8</v>
      </c>
      <c r="S86" s="48">
        <v>56231.6</v>
      </c>
      <c r="T86" s="48">
        <f t="shared" si="4"/>
        <v>1018116.5000000001</v>
      </c>
    </row>
    <row r="87" spans="1:20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/>
      <c r="M87" s="48">
        <f t="shared" si="3"/>
        <v>468148.1</v>
      </c>
      <c r="N87" s="45">
        <v>2000</v>
      </c>
      <c r="O87" s="45"/>
      <c r="P87" s="48">
        <v>20</v>
      </c>
      <c r="Q87" s="48"/>
      <c r="R87" s="48">
        <v>13176.999999999998</v>
      </c>
      <c r="S87" s="48">
        <v>58626.9</v>
      </c>
      <c r="T87" s="48">
        <f t="shared" si="4"/>
        <v>1061103.0999999999</v>
      </c>
    </row>
    <row r="88" spans="1:20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/>
      <c r="M88" s="48">
        <f t="shared" si="3"/>
        <v>434687.3</v>
      </c>
      <c r="N88" s="45">
        <v>2565.8000000000002</v>
      </c>
      <c r="O88" s="45"/>
      <c r="P88" s="48">
        <v>20</v>
      </c>
      <c r="Q88" s="48"/>
      <c r="R88" s="48">
        <v>13162.899999999998</v>
      </c>
      <c r="S88" s="48">
        <v>60314.5</v>
      </c>
      <c r="T88" s="48">
        <f t="shared" si="4"/>
        <v>1020983.3000000002</v>
      </c>
    </row>
    <row r="89" spans="1:20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/>
      <c r="M89" s="48">
        <f t="shared" si="3"/>
        <v>448063.6</v>
      </c>
      <c r="N89" s="45">
        <v>2000</v>
      </c>
      <c r="O89" s="45"/>
      <c r="P89" s="48">
        <v>20</v>
      </c>
      <c r="Q89" s="48"/>
      <c r="R89" s="48">
        <v>13012.499999999998</v>
      </c>
      <c r="S89" s="48">
        <v>64355.9</v>
      </c>
      <c r="T89" s="48">
        <f t="shared" si="4"/>
        <v>1028666.7000000001</v>
      </c>
    </row>
    <row r="90" spans="1:20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/>
      <c r="M90" s="48">
        <f t="shared" si="3"/>
        <v>415348.9</v>
      </c>
      <c r="N90" s="45">
        <v>2463.6999999999998</v>
      </c>
      <c r="O90" s="45"/>
      <c r="P90" s="48">
        <v>20</v>
      </c>
      <c r="Q90" s="48"/>
      <c r="R90" s="48">
        <v>13812.599999999999</v>
      </c>
      <c r="S90" s="48">
        <v>66790.900000000009</v>
      </c>
      <c r="T90" s="48">
        <f t="shared" si="4"/>
        <v>982834</v>
      </c>
    </row>
    <row r="91" spans="1:20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/>
      <c r="M91" s="48">
        <f t="shared" si="3"/>
        <v>462738.10000000003</v>
      </c>
      <c r="N91" s="45">
        <v>2000</v>
      </c>
      <c r="O91" s="45"/>
      <c r="P91" s="48">
        <v>20</v>
      </c>
      <c r="Q91" s="48"/>
      <c r="R91" s="48">
        <v>13680.599999999999</v>
      </c>
      <c r="S91" s="48">
        <v>68262.8</v>
      </c>
      <c r="T91" s="48">
        <f t="shared" si="4"/>
        <v>1023273.2000000001</v>
      </c>
    </row>
    <row r="92" spans="1:20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/>
      <c r="M92" s="48">
        <f t="shared" si="3"/>
        <v>412400.5</v>
      </c>
      <c r="N92" s="45">
        <v>3178.9</v>
      </c>
      <c r="O92" s="45"/>
      <c r="P92" s="48">
        <v>20</v>
      </c>
      <c r="Q92" s="48"/>
      <c r="R92" s="48">
        <v>13563.399999999998</v>
      </c>
      <c r="S92" s="48">
        <v>69216.900000000009</v>
      </c>
      <c r="T92" s="48">
        <f t="shared" si="4"/>
        <v>970890.70000000007</v>
      </c>
    </row>
    <row r="93" spans="1:20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/>
      <c r="M93" s="48">
        <f t="shared" si="3"/>
        <v>440884.9</v>
      </c>
      <c r="N93" s="45">
        <v>12000</v>
      </c>
      <c r="O93" s="45"/>
      <c r="P93" s="48">
        <v>20</v>
      </c>
      <c r="Q93" s="48"/>
      <c r="R93" s="48">
        <v>13404.199999999999</v>
      </c>
      <c r="S93" s="48">
        <v>71217.900000000009</v>
      </c>
      <c r="T93" s="48">
        <f t="shared" si="4"/>
        <v>991134.9</v>
      </c>
    </row>
    <row r="94" spans="1:20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/>
      <c r="M94" s="48">
        <f t="shared" si="3"/>
        <v>464369</v>
      </c>
      <c r="N94" s="45">
        <v>2911.5</v>
      </c>
      <c r="O94" s="45"/>
      <c r="P94" s="48">
        <v>20</v>
      </c>
      <c r="Q94" s="48"/>
      <c r="R94" s="48">
        <v>13723.699999999999</v>
      </c>
      <c r="S94" s="48">
        <v>72556</v>
      </c>
      <c r="T94" s="48">
        <f t="shared" si="4"/>
        <v>1006771.6</v>
      </c>
    </row>
    <row r="95" spans="1:20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/>
      <c r="M95" s="48">
        <f t="shared" si="3"/>
        <v>504411.69999999995</v>
      </c>
      <c r="N95" s="45">
        <v>22000</v>
      </c>
      <c r="O95" s="45"/>
      <c r="P95" s="48">
        <v>20</v>
      </c>
      <c r="Q95" s="48"/>
      <c r="R95" s="48">
        <v>14077.699999999999</v>
      </c>
      <c r="S95" s="48">
        <v>71416.800000000003</v>
      </c>
      <c r="T95" s="48">
        <f t="shared" si="4"/>
        <v>985143.39999999991</v>
      </c>
    </row>
    <row r="96" spans="1:20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/>
      <c r="M96" s="48">
        <f t="shared" si="3"/>
        <v>505143.9</v>
      </c>
      <c r="N96" s="45">
        <v>8000</v>
      </c>
      <c r="O96" s="45"/>
      <c r="P96" s="48">
        <v>20</v>
      </c>
      <c r="Q96" s="48"/>
      <c r="R96" s="48">
        <v>14635.599999999999</v>
      </c>
      <c r="S96" s="48">
        <v>69056.100000000006</v>
      </c>
      <c r="T96" s="48">
        <f t="shared" si="4"/>
        <v>950799.3</v>
      </c>
    </row>
    <row r="97" spans="1:20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/>
      <c r="M97" s="48">
        <f t="shared" si="3"/>
        <v>541329.39999999991</v>
      </c>
      <c r="N97" s="45">
        <v>12000</v>
      </c>
      <c r="O97" s="45"/>
      <c r="P97" s="48">
        <v>20</v>
      </c>
      <c r="Q97" s="48"/>
      <c r="R97" s="48">
        <v>15190.699999999999</v>
      </c>
      <c r="S97" s="48">
        <v>69894.100000000006</v>
      </c>
      <c r="T97" s="48">
        <f t="shared" si="4"/>
        <v>950958.09999999986</v>
      </c>
    </row>
    <row r="98" spans="1:20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/>
      <c r="M98" s="48">
        <f t="shared" si="3"/>
        <v>578061.5</v>
      </c>
      <c r="N98" s="45">
        <v>6840.3</v>
      </c>
      <c r="O98" s="45"/>
      <c r="P98" s="48">
        <v>20</v>
      </c>
      <c r="Q98" s="48"/>
      <c r="R98" s="48">
        <v>15663.199999999999</v>
      </c>
      <c r="S98" s="48">
        <v>68563.8</v>
      </c>
      <c r="T98" s="48">
        <f t="shared" si="4"/>
        <v>943403.5</v>
      </c>
    </row>
    <row r="99" spans="1:20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/>
      <c r="M99" s="48">
        <f t="shared" si="3"/>
        <v>602681.60000000009</v>
      </c>
      <c r="N99" s="45">
        <v>2000</v>
      </c>
      <c r="O99" s="45"/>
      <c r="P99" s="48">
        <v>20</v>
      </c>
      <c r="Q99" s="48"/>
      <c r="R99" s="48">
        <v>15820.999999999998</v>
      </c>
      <c r="S99" s="48">
        <v>67796.100000000006</v>
      </c>
      <c r="T99" s="48">
        <f t="shared" si="4"/>
        <v>978946.10000000009</v>
      </c>
    </row>
    <row r="100" spans="1:20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/>
      <c r="M100" s="48">
        <f t="shared" si="3"/>
        <v>609719.19999999995</v>
      </c>
      <c r="N100" s="45">
        <v>18493.2</v>
      </c>
      <c r="O100" s="45"/>
      <c r="P100" s="48">
        <v>20</v>
      </c>
      <c r="Q100" s="48"/>
      <c r="R100" s="48">
        <v>15918.599999999999</v>
      </c>
      <c r="S100" s="48">
        <v>67934.600000000006</v>
      </c>
      <c r="T100" s="48">
        <f t="shared" si="4"/>
        <v>949582.69999999984</v>
      </c>
    </row>
    <row r="101" spans="1:20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/>
      <c r="M101" s="48">
        <f t="shared" si="3"/>
        <v>641724.60000000009</v>
      </c>
      <c r="N101" s="45">
        <v>21800</v>
      </c>
      <c r="O101" s="45"/>
      <c r="P101" s="48">
        <v>20</v>
      </c>
      <c r="Q101" s="48"/>
      <c r="R101" s="48">
        <v>15870.099999999999</v>
      </c>
      <c r="S101" s="48">
        <v>69542.200000000012</v>
      </c>
      <c r="T101" s="48">
        <f t="shared" si="4"/>
        <v>970786.5</v>
      </c>
    </row>
    <row r="102" spans="1:20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/>
      <c r="M102" s="48">
        <f t="shared" si="3"/>
        <v>598712.1</v>
      </c>
      <c r="N102" s="45">
        <v>39705</v>
      </c>
      <c r="O102" s="45"/>
      <c r="P102" s="48">
        <v>20</v>
      </c>
      <c r="Q102" s="48"/>
      <c r="R102" s="48">
        <v>16450.5</v>
      </c>
      <c r="S102" s="48">
        <v>70396.900000000009</v>
      </c>
      <c r="T102" s="48">
        <f t="shared" ref="T102:T133" si="5">SUM(B102,M102:S102)</f>
        <v>940557.6</v>
      </c>
    </row>
    <row r="103" spans="1:20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/>
      <c r="M103" s="48">
        <f t="shared" si="3"/>
        <v>626840.4</v>
      </c>
      <c r="N103" s="45">
        <v>45964.800000000003</v>
      </c>
      <c r="O103" s="45"/>
      <c r="P103" s="48">
        <v>20</v>
      </c>
      <c r="Q103" s="48"/>
      <c r="R103" s="48">
        <v>16479.300000000003</v>
      </c>
      <c r="S103" s="48">
        <v>70913.600000000006</v>
      </c>
      <c r="T103" s="48">
        <f t="shared" si="5"/>
        <v>938363.70000000007</v>
      </c>
    </row>
    <row r="104" spans="1:20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/>
      <c r="M104" s="48">
        <f t="shared" si="3"/>
        <v>635625.10000000009</v>
      </c>
      <c r="N104" s="45">
        <v>73850</v>
      </c>
      <c r="O104" s="45"/>
      <c r="P104" s="48">
        <v>20</v>
      </c>
      <c r="Q104" s="48"/>
      <c r="R104" s="48">
        <v>16829.2</v>
      </c>
      <c r="S104" s="48">
        <v>70835.099999999977</v>
      </c>
      <c r="T104" s="48">
        <f t="shared" si="5"/>
        <v>952379.20000000007</v>
      </c>
    </row>
    <row r="105" spans="1:20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/>
      <c r="M105" s="48">
        <f t="shared" si="3"/>
        <v>640405.20000000007</v>
      </c>
      <c r="N105" s="45">
        <v>74200</v>
      </c>
      <c r="O105" s="45"/>
      <c r="P105" s="48">
        <v>20</v>
      </c>
      <c r="Q105" s="48"/>
      <c r="R105" s="48">
        <v>17046.600000000002</v>
      </c>
      <c r="S105" s="48">
        <v>71350</v>
      </c>
      <c r="T105" s="48">
        <f t="shared" si="5"/>
        <v>982555.20000000007</v>
      </c>
    </row>
    <row r="106" spans="1:20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/>
      <c r="M106" s="48">
        <f t="shared" si="3"/>
        <v>655244.30000000005</v>
      </c>
      <c r="N106" s="45">
        <v>84000</v>
      </c>
      <c r="O106" s="45"/>
      <c r="P106" s="48">
        <v>20</v>
      </c>
      <c r="Q106" s="48"/>
      <c r="R106" s="48">
        <v>17281.100000000002</v>
      </c>
      <c r="S106" s="48">
        <v>71995.700000000012</v>
      </c>
      <c r="T106" s="48">
        <f t="shared" si="5"/>
        <v>985254</v>
      </c>
    </row>
    <row r="107" spans="1:20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/>
      <c r="M107" s="48">
        <f t="shared" si="3"/>
        <v>650423.6</v>
      </c>
      <c r="N107" s="45">
        <v>103000</v>
      </c>
      <c r="O107" s="45"/>
      <c r="P107" s="48">
        <v>20</v>
      </c>
      <c r="Q107" s="48"/>
      <c r="R107" s="48">
        <v>17514.300000000003</v>
      </c>
      <c r="S107" s="48">
        <v>71544.3</v>
      </c>
      <c r="T107" s="48">
        <f t="shared" si="5"/>
        <v>1008337.6000000001</v>
      </c>
    </row>
    <row r="108" spans="1:20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/>
      <c r="M108" s="48">
        <f t="shared" si="3"/>
        <v>646289</v>
      </c>
      <c r="N108" s="45">
        <v>113437</v>
      </c>
      <c r="O108" s="45"/>
      <c r="P108" s="48">
        <v>20</v>
      </c>
      <c r="Q108" s="48"/>
      <c r="R108" s="48">
        <v>17452.000000000004</v>
      </c>
      <c r="S108" s="48">
        <v>71931.900000000009</v>
      </c>
      <c r="T108" s="48">
        <f t="shared" si="5"/>
        <v>1009691.2000000001</v>
      </c>
    </row>
    <row r="109" spans="1:20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/>
      <c r="M109" s="48">
        <f t="shared" si="3"/>
        <v>636965.6</v>
      </c>
      <c r="N109" s="45">
        <v>103883</v>
      </c>
      <c r="O109" s="45"/>
      <c r="P109" s="48">
        <v>20</v>
      </c>
      <c r="Q109" s="48"/>
      <c r="R109" s="48">
        <v>17443.900000000001</v>
      </c>
      <c r="S109" s="48">
        <v>71894.900000000009</v>
      </c>
      <c r="T109" s="48">
        <f t="shared" si="5"/>
        <v>978009.1</v>
      </c>
    </row>
    <row r="110" spans="1:20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/>
      <c r="M110" s="48">
        <f t="shared" si="3"/>
        <v>644432</v>
      </c>
      <c r="N110" s="45">
        <v>120705</v>
      </c>
      <c r="O110" s="45"/>
      <c r="P110" s="48">
        <v>20</v>
      </c>
      <c r="Q110" s="48"/>
      <c r="R110" s="48">
        <v>17282.099999999999</v>
      </c>
      <c r="S110" s="48">
        <v>71569.3</v>
      </c>
      <c r="T110" s="48">
        <f t="shared" si="5"/>
        <v>1011401.9</v>
      </c>
    </row>
    <row r="111" spans="1:20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/>
      <c r="M111" s="48">
        <f t="shared" si="3"/>
        <v>660707</v>
      </c>
      <c r="N111" s="45">
        <v>103274</v>
      </c>
      <c r="O111" s="45"/>
      <c r="P111" s="48">
        <v>20</v>
      </c>
      <c r="Q111" s="48"/>
      <c r="R111" s="48">
        <v>17027</v>
      </c>
      <c r="S111" s="48">
        <v>71385.900000000009</v>
      </c>
      <c r="T111" s="48">
        <f t="shared" si="5"/>
        <v>1006885.6</v>
      </c>
    </row>
    <row r="112" spans="1:20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/>
      <c r="M112" s="48">
        <f t="shared" si="3"/>
        <v>689148</v>
      </c>
      <c r="N112" s="45">
        <v>103050</v>
      </c>
      <c r="O112" s="45"/>
      <c r="P112" s="48">
        <v>20</v>
      </c>
      <c r="Q112" s="48"/>
      <c r="R112" s="48">
        <v>16926.7</v>
      </c>
      <c r="S112" s="48">
        <v>75909.5</v>
      </c>
      <c r="T112" s="48">
        <f t="shared" si="5"/>
        <v>1041522</v>
      </c>
    </row>
    <row r="113" spans="1:20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/>
      <c r="M113" s="48">
        <f t="shared" si="3"/>
        <v>752299.8</v>
      </c>
      <c r="N113" s="45">
        <v>89000</v>
      </c>
      <c r="O113" s="45"/>
      <c r="P113" s="48">
        <v>20</v>
      </c>
      <c r="Q113" s="48"/>
      <c r="R113" s="48">
        <v>16702.099999999999</v>
      </c>
      <c r="S113" s="48">
        <v>82875.700000000012</v>
      </c>
      <c r="T113" s="48">
        <f t="shared" si="5"/>
        <v>1107332.3</v>
      </c>
    </row>
    <row r="114" spans="1:20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/>
      <c r="M114" s="48">
        <f t="shared" ref="M114:M143" si="6">SUM(C114:K114)</f>
        <v>708968.89999999991</v>
      </c>
      <c r="N114" s="45">
        <v>116936.4</v>
      </c>
      <c r="O114" s="45"/>
      <c r="P114" s="48">
        <v>20</v>
      </c>
      <c r="Q114" s="48"/>
      <c r="R114" s="48">
        <v>17272</v>
      </c>
      <c r="S114" s="48">
        <v>93200.700000000012</v>
      </c>
      <c r="T114" s="48">
        <f t="shared" si="5"/>
        <v>1127452.3</v>
      </c>
    </row>
    <row r="115" spans="1:20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/>
      <c r="M115" s="48">
        <f t="shared" si="6"/>
        <v>720858.9</v>
      </c>
      <c r="N115" s="45">
        <v>96000</v>
      </c>
      <c r="O115" s="45"/>
      <c r="P115" s="48">
        <v>20</v>
      </c>
      <c r="Q115" s="48"/>
      <c r="R115" s="48">
        <v>19767.8</v>
      </c>
      <c r="S115" s="48">
        <v>92885.400000000009</v>
      </c>
      <c r="T115" s="48">
        <f t="shared" si="5"/>
        <v>1144827.7</v>
      </c>
    </row>
    <row r="116" spans="1:20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/>
      <c r="M116" s="48">
        <f t="shared" si="6"/>
        <v>741269.6</v>
      </c>
      <c r="N116" s="45">
        <v>88840</v>
      </c>
      <c r="O116" s="45"/>
      <c r="P116" s="48">
        <v>20</v>
      </c>
      <c r="Q116" s="48"/>
      <c r="R116" s="48">
        <v>21498.1</v>
      </c>
      <c r="S116" s="48">
        <v>92789.900000000009</v>
      </c>
      <c r="T116" s="48">
        <f t="shared" si="5"/>
        <v>1139209.8999999999</v>
      </c>
    </row>
    <row r="117" spans="1:20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/>
      <c r="M117" s="48">
        <f t="shared" si="6"/>
        <v>733301.3</v>
      </c>
      <c r="N117" s="45">
        <v>101000</v>
      </c>
      <c r="O117" s="45"/>
      <c r="P117" s="48">
        <v>20</v>
      </c>
      <c r="Q117" s="48"/>
      <c r="R117" s="48">
        <v>22219.4</v>
      </c>
      <c r="S117" s="48">
        <v>94418.900000000009</v>
      </c>
      <c r="T117" s="48">
        <f t="shared" si="5"/>
        <v>1141073.3</v>
      </c>
    </row>
    <row r="118" spans="1:20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/>
      <c r="M118" s="48">
        <f t="shared" si="6"/>
        <v>748696.39999999991</v>
      </c>
      <c r="N118" s="45">
        <v>101165.4</v>
      </c>
      <c r="O118" s="45"/>
      <c r="P118" s="48">
        <v>20</v>
      </c>
      <c r="Q118" s="48"/>
      <c r="R118" s="48">
        <v>23134.5</v>
      </c>
      <c r="S118" s="48">
        <v>95434.6</v>
      </c>
      <c r="T118" s="48">
        <f t="shared" si="5"/>
        <v>1202572.3</v>
      </c>
    </row>
    <row r="119" spans="1:20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/>
      <c r="M119" s="48">
        <f t="shared" si="6"/>
        <v>748813.60000000009</v>
      </c>
      <c r="N119" s="45">
        <v>70737.5</v>
      </c>
      <c r="O119" s="45"/>
      <c r="P119" s="48">
        <v>20</v>
      </c>
      <c r="Q119" s="48"/>
      <c r="R119" s="48">
        <v>23499</v>
      </c>
      <c r="S119" s="48">
        <v>98725</v>
      </c>
      <c r="T119" s="48">
        <f t="shared" si="5"/>
        <v>1142622.7000000002</v>
      </c>
    </row>
    <row r="120" spans="1:20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/>
      <c r="M120" s="48">
        <f t="shared" si="6"/>
        <v>732104.3</v>
      </c>
      <c r="N120" s="45">
        <v>112898.5</v>
      </c>
      <c r="O120" s="45"/>
      <c r="P120" s="48">
        <v>20</v>
      </c>
      <c r="Q120" s="48"/>
      <c r="R120" s="48">
        <v>24642.799999999999</v>
      </c>
      <c r="S120" s="48">
        <v>107191.6</v>
      </c>
      <c r="T120" s="48">
        <f t="shared" si="5"/>
        <v>1155125.7000000002</v>
      </c>
    </row>
    <row r="121" spans="1:20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/>
      <c r="M121" s="48">
        <f t="shared" si="6"/>
        <v>730342.1</v>
      </c>
      <c r="N121" s="45">
        <v>107910</v>
      </c>
      <c r="O121" s="45"/>
      <c r="P121" s="48">
        <v>20</v>
      </c>
      <c r="Q121" s="48"/>
      <c r="R121" s="48">
        <v>24173.4</v>
      </c>
      <c r="S121" s="48">
        <v>117855.20000000001</v>
      </c>
      <c r="T121" s="48">
        <f t="shared" si="5"/>
        <v>1182172.4999999998</v>
      </c>
    </row>
    <row r="122" spans="1:20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/>
      <c r="M122" s="48">
        <f t="shared" si="6"/>
        <v>713443.5</v>
      </c>
      <c r="N122" s="45">
        <v>123150</v>
      </c>
      <c r="O122" s="45"/>
      <c r="P122" s="48">
        <v>20</v>
      </c>
      <c r="Q122" s="48"/>
      <c r="R122" s="48">
        <v>24296.199999999997</v>
      </c>
      <c r="S122" s="48">
        <v>133118</v>
      </c>
      <c r="T122" s="48">
        <f t="shared" si="5"/>
        <v>1192756.1000000001</v>
      </c>
    </row>
    <row r="123" spans="1:20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/>
      <c r="M123" s="48">
        <f t="shared" si="6"/>
        <v>741876.60000000009</v>
      </c>
      <c r="N123" s="45">
        <v>118810</v>
      </c>
      <c r="O123" s="45"/>
      <c r="P123" s="48">
        <v>20</v>
      </c>
      <c r="Q123" s="48"/>
      <c r="R123" s="48">
        <v>23898.799999999999</v>
      </c>
      <c r="S123" s="48">
        <v>113957.5</v>
      </c>
      <c r="T123" s="48">
        <f t="shared" si="5"/>
        <v>1211085.2000000002</v>
      </c>
    </row>
    <row r="124" spans="1:20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/>
      <c r="M124" s="48">
        <f t="shared" si="6"/>
        <v>747014</v>
      </c>
      <c r="N124" s="45">
        <v>134100</v>
      </c>
      <c r="O124" s="45"/>
      <c r="P124" s="48">
        <v>20</v>
      </c>
      <c r="Q124" s="48"/>
      <c r="R124" s="48">
        <v>23834.199999999997</v>
      </c>
      <c r="S124" s="48">
        <v>128888.20000000001</v>
      </c>
      <c r="T124" s="48">
        <f t="shared" si="5"/>
        <v>1225177.5</v>
      </c>
    </row>
    <row r="125" spans="1:20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/>
      <c r="M125" s="48">
        <f t="shared" si="6"/>
        <v>787208</v>
      </c>
      <c r="N125" s="45">
        <v>159990</v>
      </c>
      <c r="O125" s="45"/>
      <c r="P125" s="48">
        <v>20</v>
      </c>
      <c r="Q125" s="48"/>
      <c r="R125" s="48">
        <v>23657.199999999997</v>
      </c>
      <c r="S125" s="48">
        <v>108892.20000000001</v>
      </c>
      <c r="T125" s="48">
        <f t="shared" si="5"/>
        <v>1273767.5999999999</v>
      </c>
    </row>
    <row r="126" spans="1:20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/>
      <c r="M126" s="48">
        <f t="shared" si="6"/>
        <v>745506.8</v>
      </c>
      <c r="N126" s="45">
        <v>174680</v>
      </c>
      <c r="O126" s="45"/>
      <c r="P126" s="48">
        <v>20</v>
      </c>
      <c r="Q126" s="48"/>
      <c r="R126" s="48">
        <v>24085.899999999998</v>
      </c>
      <c r="S126" s="48">
        <v>152280.6</v>
      </c>
      <c r="T126" s="48">
        <f t="shared" si="5"/>
        <v>1272120.5</v>
      </c>
    </row>
    <row r="127" spans="1:20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/>
      <c r="M127" s="48">
        <f t="shared" si="6"/>
        <v>745661.60000000009</v>
      </c>
      <c r="N127" s="45">
        <v>172670</v>
      </c>
      <c r="O127" s="45"/>
      <c r="P127" s="48">
        <v>20</v>
      </c>
      <c r="Q127" s="48"/>
      <c r="R127" s="48">
        <v>23854.699999999997</v>
      </c>
      <c r="S127" s="48">
        <v>126111.90000000001</v>
      </c>
      <c r="T127" s="48">
        <f t="shared" si="5"/>
        <v>1271048.3</v>
      </c>
    </row>
    <row r="128" spans="1:20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55"/>
      <c r="M128" s="48">
        <f t="shared" si="6"/>
        <v>737539</v>
      </c>
      <c r="N128" s="56">
        <v>185103.2</v>
      </c>
      <c r="O128" s="56"/>
      <c r="P128" s="48">
        <v>20</v>
      </c>
      <c r="Q128" s="48"/>
      <c r="R128" s="48">
        <v>24049.3</v>
      </c>
      <c r="S128" s="48">
        <v>134380</v>
      </c>
      <c r="T128" s="48">
        <f t="shared" si="5"/>
        <v>1234371.9000000001</v>
      </c>
    </row>
    <row r="129" spans="1:20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/>
      <c r="M129" s="48">
        <f t="shared" si="6"/>
        <v>715697.70000000007</v>
      </c>
      <c r="N129" s="45">
        <v>242832.2</v>
      </c>
      <c r="O129" s="60"/>
      <c r="P129" s="48">
        <v>20</v>
      </c>
      <c r="Q129" s="48"/>
      <c r="R129" s="48">
        <v>24199.699999999997</v>
      </c>
      <c r="S129" s="48">
        <v>138525.79999999999</v>
      </c>
      <c r="T129" s="48">
        <f t="shared" si="5"/>
        <v>1299752.6000000001</v>
      </c>
    </row>
    <row r="130" spans="1:20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/>
      <c r="M130" s="48">
        <f t="shared" si="6"/>
        <v>714813.1</v>
      </c>
      <c r="N130" s="45">
        <v>240220</v>
      </c>
      <c r="O130" s="60"/>
      <c r="P130" s="48">
        <v>20</v>
      </c>
      <c r="Q130" s="48"/>
      <c r="R130" s="48">
        <v>24677.899999999998</v>
      </c>
      <c r="S130" s="48">
        <v>144171.20000000001</v>
      </c>
      <c r="T130" s="48">
        <f t="shared" si="5"/>
        <v>1276939.9999999998</v>
      </c>
    </row>
    <row r="131" spans="1:20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/>
      <c r="M131" s="48">
        <f t="shared" si="6"/>
        <v>780458.1</v>
      </c>
      <c r="N131" s="45">
        <v>283075.3</v>
      </c>
      <c r="O131" s="60"/>
      <c r="P131" s="48">
        <v>20</v>
      </c>
      <c r="Q131" s="48"/>
      <c r="R131" s="48">
        <v>24856.5</v>
      </c>
      <c r="S131" s="48">
        <v>149100.80000000002</v>
      </c>
      <c r="T131" s="48">
        <f t="shared" si="5"/>
        <v>1386460.6</v>
      </c>
    </row>
    <row r="132" spans="1:20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/>
      <c r="M132" s="48">
        <f t="shared" si="6"/>
        <v>739553</v>
      </c>
      <c r="N132" s="45">
        <v>290770</v>
      </c>
      <c r="O132" s="60"/>
      <c r="P132" s="48">
        <v>20</v>
      </c>
      <c r="Q132" s="48"/>
      <c r="R132" s="48">
        <v>24946.1</v>
      </c>
      <c r="S132" s="48">
        <v>150594.80000000002</v>
      </c>
      <c r="T132" s="48">
        <f t="shared" si="5"/>
        <v>1348658.1</v>
      </c>
    </row>
    <row r="133" spans="1:20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/>
      <c r="M133" s="48">
        <f t="shared" si="6"/>
        <v>722760.6</v>
      </c>
      <c r="N133" s="45">
        <v>310580</v>
      </c>
      <c r="O133" s="60"/>
      <c r="P133" s="48">
        <v>20</v>
      </c>
      <c r="Q133" s="48"/>
      <c r="R133" s="48">
        <v>24866.6</v>
      </c>
      <c r="S133" s="48">
        <v>167482.5</v>
      </c>
      <c r="T133" s="48">
        <f t="shared" si="5"/>
        <v>1364872.1</v>
      </c>
    </row>
    <row r="134" spans="1:20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/>
      <c r="M134" s="48">
        <f t="shared" si="6"/>
        <v>723876.1</v>
      </c>
      <c r="N134" s="45">
        <v>282430</v>
      </c>
      <c r="O134" s="60"/>
      <c r="P134" s="48">
        <v>20</v>
      </c>
      <c r="Q134" s="48"/>
      <c r="R134" s="48">
        <v>25839.7</v>
      </c>
      <c r="S134" s="48">
        <v>171502.30000000002</v>
      </c>
      <c r="T134" s="48">
        <f t="shared" ref="T134:T167" si="7">SUM(B134,M134:S134)</f>
        <v>1328195.6000000001</v>
      </c>
    </row>
    <row r="135" spans="1:20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/>
      <c r="M135" s="48">
        <f t="shared" si="6"/>
        <v>750952.89999999991</v>
      </c>
      <c r="N135" s="45">
        <v>292050</v>
      </c>
      <c r="O135" s="60"/>
      <c r="P135" s="48">
        <v>20</v>
      </c>
      <c r="Q135" s="48"/>
      <c r="R135" s="48">
        <f>887.8+24642.2+157.9</f>
        <v>25687.9</v>
      </c>
      <c r="S135" s="48">
        <f>160963.6-1198.4</f>
        <v>159765.20000000001</v>
      </c>
      <c r="T135" s="48">
        <f t="shared" si="7"/>
        <v>1368979.6999999997</v>
      </c>
    </row>
    <row r="136" spans="1:20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/>
      <c r="M136" s="48">
        <f t="shared" si="6"/>
        <v>749761.5</v>
      </c>
      <c r="N136" s="45">
        <v>235400</v>
      </c>
      <c r="O136" s="60"/>
      <c r="P136" s="48">
        <v>20</v>
      </c>
      <c r="Q136" s="48"/>
      <c r="R136" s="48">
        <f>887.8+24363.4+157.9</f>
        <v>25409.100000000002</v>
      </c>
      <c r="S136" s="48">
        <f>154649.6-1198.4</f>
        <v>153451.20000000001</v>
      </c>
      <c r="T136" s="48">
        <f t="shared" si="7"/>
        <v>1315521.6000000001</v>
      </c>
    </row>
    <row r="137" spans="1:20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/>
      <c r="M137" s="48">
        <f t="shared" si="6"/>
        <v>772108.5</v>
      </c>
      <c r="N137" s="45">
        <v>248180</v>
      </c>
      <c r="O137" s="60"/>
      <c r="P137" s="48">
        <v>20</v>
      </c>
      <c r="Q137" s="48"/>
      <c r="R137" s="48">
        <f>887.8+24119+157.9</f>
        <v>25164.7</v>
      </c>
      <c r="S137" s="48">
        <f>160893.6-1198.4</f>
        <v>159695.20000000001</v>
      </c>
      <c r="T137" s="48">
        <f t="shared" si="7"/>
        <v>1350775.5</v>
      </c>
    </row>
    <row r="138" spans="1:20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/>
      <c r="M138" s="48">
        <f t="shared" si="6"/>
        <v>735898</v>
      </c>
      <c r="N138" s="45">
        <v>262187.40000000002</v>
      </c>
      <c r="O138" s="60"/>
      <c r="P138" s="48">
        <v>20</v>
      </c>
      <c r="Q138" s="48"/>
      <c r="R138" s="48">
        <v>25349.100000000002</v>
      </c>
      <c r="S138" s="48">
        <v>182189.7</v>
      </c>
      <c r="T138" s="48">
        <f t="shared" si="7"/>
        <v>1330739.7</v>
      </c>
    </row>
    <row r="139" spans="1:20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/>
      <c r="M139" s="48">
        <f t="shared" si="6"/>
        <v>754785.4</v>
      </c>
      <c r="N139" s="45">
        <v>267170</v>
      </c>
      <c r="O139" s="60"/>
      <c r="P139" s="48">
        <v>20</v>
      </c>
      <c r="Q139" s="48"/>
      <c r="R139" s="48">
        <v>25181.300000000003</v>
      </c>
      <c r="S139" s="48">
        <v>191153.2</v>
      </c>
      <c r="T139" s="48">
        <f t="shared" si="7"/>
        <v>1392489.3</v>
      </c>
    </row>
    <row r="140" spans="1:20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/>
      <c r="M140" s="48">
        <f t="shared" si="6"/>
        <v>776260.3</v>
      </c>
      <c r="N140" s="45">
        <v>287000</v>
      </c>
      <c r="O140" s="60"/>
      <c r="P140" s="48">
        <v>20</v>
      </c>
      <c r="Q140" s="48"/>
      <c r="R140" s="48">
        <f>157.9+23853.8+887.8</f>
        <v>24899.5</v>
      </c>
      <c r="S140" s="48">
        <f>200172.4-1198.4</f>
        <v>198974</v>
      </c>
      <c r="T140" s="48">
        <f t="shared" si="7"/>
        <v>1419236.7000000002</v>
      </c>
    </row>
    <row r="141" spans="1:20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/>
      <c r="M141" s="48">
        <f t="shared" si="6"/>
        <v>749554.5</v>
      </c>
      <c r="N141" s="45">
        <v>295000</v>
      </c>
      <c r="O141" s="60"/>
      <c r="P141" s="48">
        <v>20</v>
      </c>
      <c r="Q141" s="48"/>
      <c r="R141" s="48">
        <f>157.9+23743.1+887.8</f>
        <v>24788.799999999999</v>
      </c>
      <c r="S141" s="48">
        <f>188612.9-21.5</f>
        <v>188591.4</v>
      </c>
      <c r="T141" s="48">
        <f t="shared" si="7"/>
        <v>1396575.9</v>
      </c>
    </row>
    <row r="142" spans="1:20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/>
      <c r="M142" s="48">
        <f t="shared" si="6"/>
        <v>741946.8</v>
      </c>
      <c r="N142" s="45">
        <v>320000</v>
      </c>
      <c r="O142" s="60"/>
      <c r="P142" s="48">
        <v>20</v>
      </c>
      <c r="Q142" s="48"/>
      <c r="R142" s="48">
        <f>157.9+23666.1+887.8</f>
        <v>24711.8</v>
      </c>
      <c r="S142" s="48">
        <f>203802.7-9230.6</f>
        <v>194572.1</v>
      </c>
      <c r="T142" s="48">
        <f t="shared" si="7"/>
        <v>1469604.1000000003</v>
      </c>
    </row>
    <row r="143" spans="1:20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/>
      <c r="M143" s="48">
        <f t="shared" si="6"/>
        <v>762094</v>
      </c>
      <c r="N143" s="45">
        <v>335077.8</v>
      </c>
      <c r="O143" s="60"/>
      <c r="P143" s="48">
        <v>20</v>
      </c>
      <c r="Q143" s="48"/>
      <c r="R143" s="48">
        <f>157.9+23502.4+887.8</f>
        <v>24548.100000000002</v>
      </c>
      <c r="S143" s="48">
        <f>181402.6-7031.5</f>
        <v>174371.1</v>
      </c>
      <c r="T143" s="48">
        <f t="shared" si="7"/>
        <v>1473264.1</v>
      </c>
    </row>
    <row r="144" spans="1:20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/>
      <c r="M144" s="48">
        <f t="shared" ref="M144" si="8">SUM(C144:K144)</f>
        <v>702399.9</v>
      </c>
      <c r="N144" s="45">
        <v>349550</v>
      </c>
      <c r="O144" s="60"/>
      <c r="P144" s="48">
        <v>20</v>
      </c>
      <c r="Q144" s="48"/>
      <c r="R144" s="48">
        <f>157.9+24115.9+887.8</f>
        <v>25161.600000000002</v>
      </c>
      <c r="S144" s="48">
        <f>198464.8-7031.5</f>
        <v>191433.3</v>
      </c>
      <c r="T144" s="48">
        <f t="shared" si="7"/>
        <v>1435273.6</v>
      </c>
    </row>
    <row r="145" spans="1:20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/>
      <c r="M145" s="48">
        <f t="shared" ref="M145" si="9">SUM(C145:K145)</f>
        <v>759491.5</v>
      </c>
      <c r="N145" s="45">
        <v>347667.4</v>
      </c>
      <c r="O145" s="60"/>
      <c r="P145" s="48">
        <v>20</v>
      </c>
      <c r="Q145" s="48"/>
      <c r="R145" s="48">
        <f>157.9+23879.3+887.8</f>
        <v>24925</v>
      </c>
      <c r="S145" s="48">
        <f>235411-7031.5</f>
        <v>228379.5</v>
      </c>
      <c r="T145" s="48">
        <f t="shared" si="7"/>
        <v>1504448.2000000002</v>
      </c>
    </row>
    <row r="146" spans="1:20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/>
      <c r="M146" s="48">
        <f t="shared" ref="M146" si="10">SUM(C146:K146)</f>
        <v>756889.1</v>
      </c>
      <c r="N146" s="45">
        <v>399460.9</v>
      </c>
      <c r="O146" s="60"/>
      <c r="P146" s="48">
        <v>20</v>
      </c>
      <c r="Q146" s="48"/>
      <c r="R146" s="48">
        <f>157.9+24409.9+887.8</f>
        <v>25455.600000000002</v>
      </c>
      <c r="S146" s="48">
        <f>210464.2-7031.5</f>
        <v>203432.7</v>
      </c>
      <c r="T146" s="48">
        <f t="shared" si="7"/>
        <v>1537487.5999999999</v>
      </c>
    </row>
    <row r="147" spans="1:20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/>
      <c r="M147" s="48">
        <f t="shared" ref="M147" si="11">SUM(C147:K147)</f>
        <v>751684.2</v>
      </c>
      <c r="N147" s="45">
        <v>407267.4</v>
      </c>
      <c r="O147" s="60"/>
      <c r="P147" s="48">
        <v>20</v>
      </c>
      <c r="Q147" s="48"/>
      <c r="R147" s="48">
        <f>157.9+24842.7+887.8</f>
        <v>25888.400000000001</v>
      </c>
      <c r="S147" s="48">
        <f>190694.5-5935</f>
        <v>184759.5</v>
      </c>
      <c r="T147" s="48">
        <f t="shared" si="7"/>
        <v>1508999.0999999999</v>
      </c>
    </row>
    <row r="148" spans="1:20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/>
      <c r="M148" s="48">
        <f t="shared" ref="M148" si="12">SUM(C148:K148)</f>
        <v>749081.8</v>
      </c>
      <c r="N148" s="45">
        <v>406550</v>
      </c>
      <c r="O148" s="60"/>
      <c r="P148" s="48">
        <v>20</v>
      </c>
      <c r="Q148" s="48"/>
      <c r="R148" s="48">
        <f>157.9+24881.1+887.8</f>
        <v>25926.799999999999</v>
      </c>
      <c r="S148" s="48">
        <f>197156.8-5935</f>
        <v>191221.8</v>
      </c>
      <c r="T148" s="48">
        <f t="shared" si="7"/>
        <v>1499692.6</v>
      </c>
    </row>
    <row r="149" spans="1:20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/>
      <c r="M149" s="48">
        <f t="shared" ref="M149" si="13">SUM(C149:K149)</f>
        <v>746479.39999999991</v>
      </c>
      <c r="N149" s="45">
        <v>422379.9</v>
      </c>
      <c r="O149" s="60"/>
      <c r="P149" s="48">
        <v>20</v>
      </c>
      <c r="Q149" s="48"/>
      <c r="R149" s="48">
        <f>24491.3+157.9+887.8</f>
        <v>25537</v>
      </c>
      <c r="S149" s="48">
        <f>199796.9-5935</f>
        <v>193861.9</v>
      </c>
      <c r="T149" s="48">
        <f t="shared" si="7"/>
        <v>1630044.5</v>
      </c>
    </row>
    <row r="150" spans="1:20" s="50" customFormat="1" ht="16.5" customHeight="1" x14ac:dyDescent="0.25">
      <c r="A150" s="59">
        <v>43861</v>
      </c>
      <c r="B150" s="48">
        <f>188875.3+5935</f>
        <v>194810.3</v>
      </c>
      <c r="C150" s="45">
        <v>0</v>
      </c>
      <c r="D150" s="45"/>
      <c r="E150" s="45"/>
      <c r="F150" s="51"/>
      <c r="G150" s="45"/>
      <c r="H150" s="45"/>
      <c r="I150" s="45"/>
      <c r="J150" s="48">
        <v>23686.1</v>
      </c>
      <c r="K150" s="48">
        <v>722793.2</v>
      </c>
      <c r="L150" s="48"/>
      <c r="M150" s="48">
        <f t="shared" ref="M150" si="14">SUM(C150:K150)</f>
        <v>746479.29999999993</v>
      </c>
      <c r="N150" s="45">
        <v>454094.2</v>
      </c>
      <c r="O150" s="60"/>
      <c r="P150" s="48">
        <v>20</v>
      </c>
      <c r="Q150" s="48"/>
      <c r="R150" s="48">
        <f>25396.3+157.9+887.8</f>
        <v>26442</v>
      </c>
      <c r="S150" s="48">
        <f>195369.4-5935</f>
        <v>189434.4</v>
      </c>
      <c r="T150" s="48">
        <f t="shared" si="7"/>
        <v>1611280.1999999997</v>
      </c>
    </row>
    <row r="151" spans="1:20" s="50" customFormat="1" ht="16.5" customHeight="1" x14ac:dyDescent="0.25">
      <c r="A151" s="59">
        <v>43862</v>
      </c>
      <c r="B151" s="48">
        <f>225960.4+5935</f>
        <v>231895.4</v>
      </c>
      <c r="C151" s="45">
        <v>0</v>
      </c>
      <c r="D151" s="45"/>
      <c r="E151" s="45"/>
      <c r="F151" s="51"/>
      <c r="G151" s="45"/>
      <c r="H151" s="45"/>
      <c r="I151" s="45"/>
      <c r="J151" s="48">
        <v>22292.799999999999</v>
      </c>
      <c r="K151" s="48">
        <v>721584.1</v>
      </c>
      <c r="L151" s="48"/>
      <c r="M151" s="48">
        <f t="shared" ref="M151" si="15">SUM(C151:K151)</f>
        <v>743876.9</v>
      </c>
      <c r="N151" s="45">
        <v>466455.89999999997</v>
      </c>
      <c r="O151" s="60"/>
      <c r="P151" s="48">
        <v>20</v>
      </c>
      <c r="Q151" s="48"/>
      <c r="R151" s="48">
        <f>25276+157.9+887.8</f>
        <v>26321.7</v>
      </c>
      <c r="S151" s="48">
        <f>207489.5-5935</f>
        <v>201554.5</v>
      </c>
      <c r="T151" s="48">
        <f t="shared" si="7"/>
        <v>1670124.4</v>
      </c>
    </row>
    <row r="152" spans="1:20" s="50" customFormat="1" ht="16.5" customHeight="1" x14ac:dyDescent="0.25">
      <c r="A152" s="59">
        <v>43921</v>
      </c>
      <c r="B152" s="48">
        <f>188354.3+5935</f>
        <v>194289.3</v>
      </c>
      <c r="C152" s="45">
        <v>0</v>
      </c>
      <c r="D152" s="45"/>
      <c r="E152" s="45"/>
      <c r="F152" s="51"/>
      <c r="G152" s="45"/>
      <c r="H152" s="45"/>
      <c r="I152" s="45"/>
      <c r="J152" s="48">
        <v>19506.2</v>
      </c>
      <c r="K152" s="48">
        <v>719165.8</v>
      </c>
      <c r="L152" s="48"/>
      <c r="M152" s="48">
        <f t="shared" ref="M152" si="16">SUM(C152:K152)</f>
        <v>738672</v>
      </c>
      <c r="N152" s="45">
        <v>420106.2</v>
      </c>
      <c r="O152" s="60"/>
      <c r="P152" s="48">
        <v>20</v>
      </c>
      <c r="Q152" s="48"/>
      <c r="R152" s="48">
        <f>25180.8+157.9+887.8</f>
        <v>26226.5</v>
      </c>
      <c r="S152" s="48">
        <f>215607.8-5935</f>
        <v>209672.8</v>
      </c>
      <c r="T152" s="48">
        <f t="shared" si="7"/>
        <v>1588986.8</v>
      </c>
    </row>
    <row r="153" spans="1:20" s="50" customFormat="1" ht="16.5" customHeight="1" x14ac:dyDescent="0.25">
      <c r="A153" s="59">
        <v>43922</v>
      </c>
      <c r="B153" s="48">
        <f>176635.8+5935</f>
        <v>182570.8</v>
      </c>
      <c r="C153" s="45">
        <v>0</v>
      </c>
      <c r="D153" s="45"/>
      <c r="E153" s="45"/>
      <c r="F153" s="51"/>
      <c r="G153" s="45"/>
      <c r="H153" s="45"/>
      <c r="I153" s="45"/>
      <c r="J153" s="48">
        <v>18112.900000000001</v>
      </c>
      <c r="K153" s="48">
        <v>717956.7</v>
      </c>
      <c r="L153" s="48"/>
      <c r="M153" s="48">
        <f t="shared" ref="M153" si="17">SUM(C153:K153)</f>
        <v>736069.6</v>
      </c>
      <c r="N153" s="45">
        <v>432986.3</v>
      </c>
      <c r="O153" s="60"/>
      <c r="P153" s="48">
        <v>20</v>
      </c>
      <c r="Q153" s="48"/>
      <c r="R153" s="48">
        <f>25898.7+157.9+887.8</f>
        <v>26944.400000000001</v>
      </c>
      <c r="S153" s="48">
        <f>225055.7-5935</f>
        <v>219120.7</v>
      </c>
      <c r="T153" s="48">
        <f t="shared" si="7"/>
        <v>1597711.7999999998</v>
      </c>
    </row>
    <row r="154" spans="1:20" s="50" customFormat="1" ht="16.5" customHeight="1" x14ac:dyDescent="0.25">
      <c r="A154" s="59">
        <v>43982</v>
      </c>
      <c r="B154" s="48">
        <f>167276.7+4763.1</f>
        <v>172039.80000000002</v>
      </c>
      <c r="C154" s="45">
        <v>0</v>
      </c>
      <c r="D154" s="45"/>
      <c r="E154" s="45"/>
      <c r="F154" s="51"/>
      <c r="G154" s="45"/>
      <c r="H154" s="45"/>
      <c r="I154" s="45"/>
      <c r="J154" s="48">
        <v>18112.900000000001</v>
      </c>
      <c r="K154" s="48">
        <v>717956.7</v>
      </c>
      <c r="L154" s="48">
        <v>1852.2</v>
      </c>
      <c r="M154" s="48">
        <f>SUM(C154:L154)</f>
        <v>737921.79999999993</v>
      </c>
      <c r="N154" s="45">
        <v>435106.2</v>
      </c>
      <c r="O154" s="60"/>
      <c r="P154" s="48">
        <v>20</v>
      </c>
      <c r="Q154" s="48"/>
      <c r="R154" s="48">
        <f>26145.3+157.9+887.8</f>
        <v>27191</v>
      </c>
      <c r="S154" s="48">
        <f>237158.4-4763.1</f>
        <v>232395.3</v>
      </c>
      <c r="T154" s="48">
        <f t="shared" si="7"/>
        <v>1604674.1</v>
      </c>
    </row>
    <row r="155" spans="1:20" s="50" customFormat="1" ht="16.5" customHeight="1" x14ac:dyDescent="0.25">
      <c r="A155" s="59">
        <v>44012</v>
      </c>
      <c r="B155" s="48">
        <v>172739</v>
      </c>
      <c r="C155" s="45">
        <v>0</v>
      </c>
      <c r="D155" s="45"/>
      <c r="E155" s="45"/>
      <c r="F155" s="51"/>
      <c r="G155" s="45"/>
      <c r="H155" s="45"/>
      <c r="I155" s="45"/>
      <c r="J155" s="48">
        <v>15326.3</v>
      </c>
      <c r="K155" s="48">
        <v>715538.4</v>
      </c>
      <c r="L155" s="48">
        <v>5357.5</v>
      </c>
      <c r="M155" s="48">
        <f t="shared" ref="M155:M167" si="18">SUM(C155:L155)</f>
        <v>736222.20000000007</v>
      </c>
      <c r="N155" s="45">
        <v>421436.2</v>
      </c>
      <c r="O155" s="60"/>
      <c r="P155" s="48">
        <v>20</v>
      </c>
      <c r="Q155" s="48"/>
      <c r="R155" s="48">
        <f>26117.6+157.9+887.8</f>
        <v>27163.3</v>
      </c>
      <c r="S155" s="48">
        <f>281819.7-4763.1</f>
        <v>277056.60000000003</v>
      </c>
      <c r="T155" s="48">
        <f t="shared" si="7"/>
        <v>1634637.3000000003</v>
      </c>
    </row>
    <row r="156" spans="1:20" s="50" customFormat="1" ht="16.5" customHeight="1" x14ac:dyDescent="0.25">
      <c r="A156" s="59">
        <v>44013</v>
      </c>
      <c r="B156" s="48">
        <f>196289.2+4763.1</f>
        <v>201052.30000000002</v>
      </c>
      <c r="C156" s="45">
        <v>0</v>
      </c>
      <c r="D156" s="45"/>
      <c r="E156" s="45"/>
      <c r="F156" s="51"/>
      <c r="G156" s="45"/>
      <c r="H156" s="45"/>
      <c r="I156" s="45"/>
      <c r="J156" s="48">
        <v>13933</v>
      </c>
      <c r="K156" s="48">
        <v>714329.3</v>
      </c>
      <c r="L156" s="48">
        <v>9362.2000000000007</v>
      </c>
      <c r="M156" s="48">
        <f t="shared" si="18"/>
        <v>737624.5</v>
      </c>
      <c r="N156" s="45">
        <f>410156.2</f>
        <v>410156.2</v>
      </c>
      <c r="O156" s="60"/>
      <c r="P156" s="48">
        <v>20</v>
      </c>
      <c r="Q156" s="48"/>
      <c r="R156" s="48">
        <v>26796.5</v>
      </c>
      <c r="S156" s="48">
        <f>278348.4-4763.1+887.8</f>
        <v>274473.10000000003</v>
      </c>
      <c r="T156" s="48">
        <f t="shared" si="7"/>
        <v>1650122.6</v>
      </c>
    </row>
    <row r="157" spans="1:20" s="50" customFormat="1" ht="16.5" customHeight="1" x14ac:dyDescent="0.25">
      <c r="A157" s="59">
        <v>44074</v>
      </c>
      <c r="B157" s="48">
        <f>209302+4763.1</f>
        <v>214065.1</v>
      </c>
      <c r="C157" s="45">
        <v>0</v>
      </c>
      <c r="D157" s="45"/>
      <c r="E157" s="45"/>
      <c r="F157" s="51"/>
      <c r="G157" s="45"/>
      <c r="H157" s="45"/>
      <c r="I157" s="45"/>
      <c r="J157" s="48">
        <v>13933</v>
      </c>
      <c r="K157" s="48">
        <v>713689.4</v>
      </c>
      <c r="L157" s="48">
        <v>23833.1</v>
      </c>
      <c r="M157" s="48">
        <f t="shared" si="18"/>
        <v>751455.5</v>
      </c>
      <c r="N157" s="45">
        <f>457570+4000</f>
        <v>461570</v>
      </c>
      <c r="O157" s="60"/>
      <c r="P157" s="48">
        <v>20</v>
      </c>
      <c r="Q157" s="48"/>
      <c r="R157" s="48">
        <f>26765+157.9+0</f>
        <v>26922.9</v>
      </c>
      <c r="S157" s="48">
        <f>260719.6-4763.1+887.8</f>
        <v>256844.3</v>
      </c>
      <c r="T157" s="48">
        <f t="shared" si="7"/>
        <v>1710877.8</v>
      </c>
    </row>
    <row r="158" spans="1:20" s="50" customFormat="1" ht="16.5" customHeight="1" x14ac:dyDescent="0.25">
      <c r="A158" s="59">
        <v>44104</v>
      </c>
      <c r="B158" s="48">
        <f>196602.9+4763.1</f>
        <v>201366</v>
      </c>
      <c r="C158" s="45">
        <v>0</v>
      </c>
      <c r="D158" s="45"/>
      <c r="E158" s="45"/>
      <c r="F158" s="51"/>
      <c r="G158" s="45"/>
      <c r="H158" s="45"/>
      <c r="I158" s="45"/>
      <c r="J158" s="48">
        <v>12539.7</v>
      </c>
      <c r="K158" s="48">
        <v>713120.2</v>
      </c>
      <c r="L158" s="48">
        <f>25822.8+150000</f>
        <v>175822.8</v>
      </c>
      <c r="M158" s="48">
        <f t="shared" si="18"/>
        <v>901482.7</v>
      </c>
      <c r="N158" s="45">
        <f>360450+4000</f>
        <v>364450</v>
      </c>
      <c r="O158" s="60"/>
      <c r="P158" s="48">
        <v>20</v>
      </c>
      <c r="Q158" s="48"/>
      <c r="R158" s="48">
        <f>27566.4+157.9+0</f>
        <v>27724.300000000003</v>
      </c>
      <c r="S158" s="48">
        <f>200006.1-4763.1+887.8</f>
        <v>196130.8</v>
      </c>
      <c r="T158" s="48">
        <f t="shared" si="7"/>
        <v>1691173.8</v>
      </c>
    </row>
    <row r="159" spans="1:20" s="50" customFormat="1" ht="16.5" customHeight="1" x14ac:dyDescent="0.25">
      <c r="A159" s="59">
        <v>44135</v>
      </c>
      <c r="B159" s="48">
        <f>186130.2+4763.1</f>
        <v>190893.30000000002</v>
      </c>
      <c r="C159" s="45">
        <v>0</v>
      </c>
      <c r="D159" s="45"/>
      <c r="E159" s="45"/>
      <c r="F159" s="51"/>
      <c r="G159" s="45"/>
      <c r="H159" s="45"/>
      <c r="I159" s="45"/>
      <c r="J159" s="48">
        <v>11146.4</v>
      </c>
      <c r="K159" s="48">
        <v>711911</v>
      </c>
      <c r="L159" s="48">
        <f>26917.5+150000+2000</f>
        <v>178917.5</v>
      </c>
      <c r="M159" s="48">
        <f t="shared" si="18"/>
        <v>901974.9</v>
      </c>
      <c r="N159" s="45">
        <f>322527.1+4000</f>
        <v>326527.09999999998</v>
      </c>
      <c r="O159" s="60"/>
      <c r="P159" s="48">
        <v>20</v>
      </c>
      <c r="Q159" s="48"/>
      <c r="R159" s="48">
        <f>28345.3+157.9+0</f>
        <v>28503.200000000001</v>
      </c>
      <c r="S159" s="48">
        <f>215484.6-4763.1+887.8</f>
        <v>211609.3</v>
      </c>
      <c r="T159" s="48">
        <f t="shared" si="7"/>
        <v>1659527.7999999998</v>
      </c>
    </row>
    <row r="160" spans="1:20" s="50" customFormat="1" ht="16.5" customHeight="1" x14ac:dyDescent="0.25">
      <c r="A160" s="59">
        <v>44165</v>
      </c>
      <c r="B160" s="48">
        <f>197642.4+4763.1</f>
        <v>202405.5</v>
      </c>
      <c r="C160" s="45">
        <v>0</v>
      </c>
      <c r="D160" s="45"/>
      <c r="E160" s="45"/>
      <c r="F160" s="51"/>
      <c r="G160" s="45"/>
      <c r="H160" s="45"/>
      <c r="I160" s="45"/>
      <c r="J160" s="48">
        <v>9753.1</v>
      </c>
      <c r="K160" s="48">
        <v>710701.89999999991</v>
      </c>
      <c r="L160" s="48">
        <f>26994.4+150000+2000</f>
        <v>178994.4</v>
      </c>
      <c r="M160" s="48">
        <f t="shared" si="18"/>
        <v>899449.39999999991</v>
      </c>
      <c r="N160" s="45">
        <f>318416+4000</f>
        <v>322416</v>
      </c>
      <c r="O160" s="60"/>
      <c r="P160" s="48">
        <v>20</v>
      </c>
      <c r="Q160" s="48"/>
      <c r="R160" s="48">
        <f>28666+157.9+0</f>
        <v>28823.9</v>
      </c>
      <c r="S160" s="48">
        <f>225733.8-4763.1+887.8</f>
        <v>221858.49999999997</v>
      </c>
      <c r="T160" s="48">
        <f t="shared" si="7"/>
        <v>1674973.2999999998</v>
      </c>
    </row>
    <row r="161" spans="1:22" s="50" customFormat="1" ht="16.5" customHeight="1" x14ac:dyDescent="0.25">
      <c r="A161" s="59">
        <v>44196</v>
      </c>
      <c r="B161" s="48">
        <f>246109.6+4763.1</f>
        <v>250872.7</v>
      </c>
      <c r="C161" s="45">
        <v>0</v>
      </c>
      <c r="D161" s="45"/>
      <c r="E161" s="45"/>
      <c r="F161" s="51"/>
      <c r="G161" s="45"/>
      <c r="H161" s="45"/>
      <c r="I161" s="45"/>
      <c r="J161" s="48">
        <v>6921.2</v>
      </c>
      <c r="K161" s="48">
        <v>708283.6</v>
      </c>
      <c r="L161" s="48">
        <f>27463+150000+2000</f>
        <v>179463</v>
      </c>
      <c r="M161" s="48">
        <f t="shared" si="18"/>
        <v>894667.79999999993</v>
      </c>
      <c r="N161" s="45">
        <f>298901.2+4000</f>
        <v>302901.2</v>
      </c>
      <c r="O161" s="60"/>
      <c r="P161" s="48">
        <v>20</v>
      </c>
      <c r="Q161" s="48"/>
      <c r="R161" s="48">
        <f>28597.2+157.9</f>
        <v>28755.100000000002</v>
      </c>
      <c r="S161" s="48">
        <f>213092.6-4763.1+887.8</f>
        <v>209217.3</v>
      </c>
      <c r="T161" s="48">
        <f t="shared" si="7"/>
        <v>1686434.1</v>
      </c>
    </row>
    <row r="162" spans="1:22" s="50" customFormat="1" ht="16.5" customHeight="1" x14ac:dyDescent="0.25">
      <c r="A162" s="59">
        <v>44227</v>
      </c>
      <c r="B162" s="48">
        <f>228871.5+4763.1</f>
        <v>233634.6</v>
      </c>
      <c r="C162" s="45">
        <v>0</v>
      </c>
      <c r="D162" s="45"/>
      <c r="E162" s="45"/>
      <c r="F162" s="51"/>
      <c r="G162" s="45"/>
      <c r="H162" s="45"/>
      <c r="I162" s="45"/>
      <c r="J162" s="48">
        <v>6921.2</v>
      </c>
      <c r="K162" s="48">
        <v>708283.6</v>
      </c>
      <c r="L162" s="48">
        <f>27463+150000+2000</f>
        <v>179463</v>
      </c>
      <c r="M162" s="48">
        <f t="shared" si="18"/>
        <v>894667.79999999993</v>
      </c>
      <c r="N162" s="45">
        <f>297210.8+4000</f>
        <v>301210.8</v>
      </c>
      <c r="O162" s="60"/>
      <c r="P162" s="48">
        <v>20</v>
      </c>
      <c r="Q162" s="48"/>
      <c r="R162" s="48">
        <f>28149.7+157.9</f>
        <v>28307.600000000002</v>
      </c>
      <c r="S162" s="48">
        <f>217801.6-4763.1+887.8</f>
        <v>213926.3</v>
      </c>
      <c r="T162" s="48">
        <f t="shared" si="7"/>
        <v>1671767.1</v>
      </c>
    </row>
    <row r="163" spans="1:22" s="50" customFormat="1" ht="16.5" customHeight="1" x14ac:dyDescent="0.25">
      <c r="A163" s="59">
        <v>44255</v>
      </c>
      <c r="B163" s="48">
        <f>236832.2+4763.1</f>
        <v>241595.30000000002</v>
      </c>
      <c r="C163" s="45">
        <v>0</v>
      </c>
      <c r="D163" s="45"/>
      <c r="E163" s="45"/>
      <c r="F163" s="51"/>
      <c r="G163" s="45"/>
      <c r="H163" s="45"/>
      <c r="I163" s="45"/>
      <c r="J163" s="48">
        <v>5527.9</v>
      </c>
      <c r="K163" s="48">
        <v>704458.1</v>
      </c>
      <c r="L163" s="48">
        <f>27463+150000+2000+4668.9</f>
        <v>184131.9</v>
      </c>
      <c r="M163" s="48">
        <f t="shared" si="18"/>
        <v>894117.9</v>
      </c>
      <c r="N163" s="45">
        <f>292256+4000</f>
        <v>296256</v>
      </c>
      <c r="O163" s="60"/>
      <c r="P163" s="48">
        <v>20</v>
      </c>
      <c r="Q163" s="48"/>
      <c r="R163" s="48">
        <f>28190.1+157.9</f>
        <v>28348</v>
      </c>
      <c r="S163" s="48">
        <f>238159.8-4763.1+887.8</f>
        <v>234284.49999999997</v>
      </c>
      <c r="T163" s="48">
        <f t="shared" si="7"/>
        <v>1694621.7</v>
      </c>
    </row>
    <row r="164" spans="1:22" s="50" customFormat="1" ht="16.5" customHeight="1" x14ac:dyDescent="0.25">
      <c r="A164" s="59">
        <v>44286</v>
      </c>
      <c r="B164" s="48">
        <f>207974.9+4763.1</f>
        <v>212738</v>
      </c>
      <c r="C164" s="45">
        <v>0</v>
      </c>
      <c r="D164" s="45"/>
      <c r="E164" s="45"/>
      <c r="F164" s="51"/>
      <c r="G164" s="45"/>
      <c r="H164" s="45"/>
      <c r="I164" s="45"/>
      <c r="J164" s="48">
        <v>4134.6000000000004</v>
      </c>
      <c r="K164" s="48">
        <v>703262.9</v>
      </c>
      <c r="L164" s="48">
        <f>0+150000+2000+4668.9</f>
        <v>156668.9</v>
      </c>
      <c r="M164" s="48">
        <f t="shared" si="18"/>
        <v>864066.4</v>
      </c>
      <c r="N164" s="45">
        <f>295757+4000</f>
        <v>299757</v>
      </c>
      <c r="O164" s="60"/>
      <c r="P164" s="48">
        <v>20</v>
      </c>
      <c r="Q164" s="48"/>
      <c r="R164" s="48">
        <f>28260+157.9</f>
        <v>28417.9</v>
      </c>
      <c r="S164" s="48">
        <f>239976.9-4763.1+887.8</f>
        <v>236101.59999999998</v>
      </c>
      <c r="T164" s="48">
        <f t="shared" si="7"/>
        <v>1641100.9</v>
      </c>
    </row>
    <row r="165" spans="1:22" s="50" customFormat="1" ht="16.5" customHeight="1" x14ac:dyDescent="0.25">
      <c r="A165" s="59">
        <v>44316</v>
      </c>
      <c r="B165" s="48">
        <f>206549.3+3973.9</f>
        <v>210523.19999999998</v>
      </c>
      <c r="C165" s="45">
        <v>0</v>
      </c>
      <c r="D165" s="45"/>
      <c r="E165" s="45"/>
      <c r="F165" s="51"/>
      <c r="G165" s="45"/>
      <c r="H165" s="45"/>
      <c r="I165" s="45"/>
      <c r="J165" s="48">
        <v>2741.3</v>
      </c>
      <c r="K165" s="48">
        <v>702954.8</v>
      </c>
      <c r="L165" s="48">
        <f>0+150000+4032.5+4668.9+29176.1</f>
        <v>187877.5</v>
      </c>
      <c r="M165" s="48">
        <f t="shared" si="18"/>
        <v>893573.60000000009</v>
      </c>
      <c r="N165" s="45">
        <f>331560.7+4000</f>
        <v>335560.7</v>
      </c>
      <c r="O165" s="60"/>
      <c r="P165" s="48">
        <v>20</v>
      </c>
      <c r="Q165" s="48"/>
      <c r="R165" s="48">
        <f>28919.5+157.9</f>
        <v>29077.4</v>
      </c>
      <c r="S165" s="48">
        <f>241153.6-3973.9+887.8</f>
        <v>238067.5</v>
      </c>
      <c r="T165" s="48">
        <f t="shared" si="7"/>
        <v>1706822.4</v>
      </c>
    </row>
    <row r="166" spans="1:22" s="50" customFormat="1" ht="16.5" customHeight="1" x14ac:dyDescent="0.25">
      <c r="A166" s="59">
        <v>44347</v>
      </c>
      <c r="B166" s="48">
        <f>190510.1+2395.8</f>
        <v>192905.9</v>
      </c>
      <c r="C166" s="45">
        <v>0</v>
      </c>
      <c r="D166" s="45"/>
      <c r="E166" s="45"/>
      <c r="F166" s="51"/>
      <c r="G166" s="45"/>
      <c r="H166" s="45"/>
      <c r="I166" s="45"/>
      <c r="J166" s="48">
        <v>0</v>
      </c>
      <c r="K166" s="48">
        <v>702546.1</v>
      </c>
      <c r="L166" s="48">
        <f>0+150000+6043.1+4668.9+29176.1+837.8</f>
        <v>190725.9</v>
      </c>
      <c r="M166" s="48">
        <f t="shared" si="18"/>
        <v>893272</v>
      </c>
      <c r="N166" s="45">
        <f>344510.5+4000</f>
        <v>348510.5</v>
      </c>
      <c r="O166" s="60"/>
      <c r="P166" s="48">
        <v>20</v>
      </c>
      <c r="Q166" s="48"/>
      <c r="R166" s="48">
        <f>28794.9+157.9</f>
        <v>28952.800000000003</v>
      </c>
      <c r="S166" s="48">
        <f>254379.4-2395.8+887.8</f>
        <v>252871.4</v>
      </c>
      <c r="T166" s="48">
        <f t="shared" si="7"/>
        <v>1716532.5999999999</v>
      </c>
    </row>
    <row r="167" spans="1:22" s="50" customFormat="1" ht="16.5" customHeight="1" x14ac:dyDescent="0.25">
      <c r="A167" s="59">
        <v>44377</v>
      </c>
      <c r="B167" s="48">
        <f>189347.2+2395.7</f>
        <v>191742.90000000002</v>
      </c>
      <c r="C167" s="45">
        <v>57076.7</v>
      </c>
      <c r="D167" s="45"/>
      <c r="E167" s="45"/>
      <c r="F167" s="51"/>
      <c r="G167" s="45"/>
      <c r="H167" s="45"/>
      <c r="I167" s="45"/>
      <c r="J167" s="48">
        <v>0</v>
      </c>
      <c r="K167" s="48">
        <v>701028.8</v>
      </c>
      <c r="L167" s="48">
        <f>0+150000+11960.4+4668.9+29176.1+3728.9</f>
        <v>199534.3</v>
      </c>
      <c r="M167" s="48">
        <f t="shared" si="18"/>
        <v>957639.8</v>
      </c>
      <c r="N167" s="45">
        <f>319679.4+4000</f>
        <v>323679.40000000002</v>
      </c>
      <c r="O167" s="60"/>
      <c r="P167" s="48">
        <v>20</v>
      </c>
      <c r="Q167" s="48"/>
      <c r="R167" s="48">
        <f>28596.8+157.9</f>
        <v>28754.7</v>
      </c>
      <c r="S167" s="48">
        <f>245784.3-2395.7+887.8</f>
        <v>244276.39999999997</v>
      </c>
      <c r="T167" s="48">
        <f t="shared" si="7"/>
        <v>1746113.2</v>
      </c>
    </row>
    <row r="168" spans="1:22" ht="12" customHeight="1" x14ac:dyDescent="0.25">
      <c r="A168" s="24" t="s">
        <v>47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40"/>
      <c r="V168" s="5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1"/>
  <sheetViews>
    <sheetView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T66" sqref="T66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9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3" t="s">
        <v>15</v>
      </c>
      <c r="O4" s="71" t="s">
        <v>45</v>
      </c>
      <c r="P4" s="71" t="s">
        <v>63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0" s="1" customFormat="1" ht="56.25" x14ac:dyDescent="0.3">
      <c r="A5" s="70"/>
      <c r="B5" s="68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4"/>
      <c r="O5" s="72"/>
      <c r="P5" s="72"/>
      <c r="Q5" s="72"/>
      <c r="R5" s="72"/>
      <c r="S5" s="74"/>
      <c r="T5" s="76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7"/>
      <c r="M6" s="48">
        <f>SUM(C6:L6)</f>
        <v>173616.9</v>
      </c>
      <c r="N6" s="49">
        <v>1000</v>
      </c>
      <c r="O6" s="49" t="s">
        <v>1</v>
      </c>
      <c r="P6" s="44">
        <v>25</v>
      </c>
      <c r="Q6" s="44"/>
      <c r="R6" s="44">
        <v>5383.2999999999993</v>
      </c>
      <c r="S6" s="44">
        <v>3023.2000000000062</v>
      </c>
      <c r="T6" s="48">
        <f t="shared" ref="T6:T37" si="0">SUM(B6,M6:S6)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7"/>
      <c r="M7" s="48">
        <f t="shared" ref="M7:M54" si="1">SUM(C7:L7)</f>
        <v>185113.80000000002</v>
      </c>
      <c r="N7" s="49">
        <v>1474.9</v>
      </c>
      <c r="O7" s="49" t="s">
        <v>1</v>
      </c>
      <c r="P7" s="44">
        <v>25</v>
      </c>
      <c r="Q7" s="44"/>
      <c r="R7" s="44">
        <v>5569.4</v>
      </c>
      <c r="S7" s="44">
        <v>4503.5000000000055</v>
      </c>
      <c r="T7" s="48">
        <f t="shared" si="0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7"/>
      <c r="M8" s="48">
        <f t="shared" si="1"/>
        <v>167686.39999999999</v>
      </c>
      <c r="N8" s="49">
        <v>10622.1</v>
      </c>
      <c r="O8" s="49" t="s">
        <v>1</v>
      </c>
      <c r="P8" s="44">
        <v>25</v>
      </c>
      <c r="Q8" s="44"/>
      <c r="R8" s="44">
        <v>5397.1</v>
      </c>
      <c r="S8" s="44">
        <v>4471.900000000006</v>
      </c>
      <c r="T8" s="48">
        <f t="shared" si="0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7"/>
      <c r="M9" s="48">
        <f t="shared" si="1"/>
        <v>170798.90000000002</v>
      </c>
      <c r="N9" s="49" t="s">
        <v>1</v>
      </c>
      <c r="O9" s="49" t="s">
        <v>1</v>
      </c>
      <c r="P9" s="44">
        <v>25</v>
      </c>
      <c r="Q9" s="44"/>
      <c r="R9" s="44">
        <v>5317</v>
      </c>
      <c r="S9" s="44">
        <v>2979.6000000000931</v>
      </c>
      <c r="T9" s="48">
        <f t="shared" si="0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5"/>
      <c r="M10" s="48">
        <f t="shared" si="1"/>
        <v>157525.1</v>
      </c>
      <c r="N10" s="45" t="s">
        <v>1</v>
      </c>
      <c r="O10" s="45" t="s">
        <v>1</v>
      </c>
      <c r="P10" s="48">
        <v>25</v>
      </c>
      <c r="Q10" s="48"/>
      <c r="R10" s="48">
        <v>5991.4</v>
      </c>
      <c r="S10" s="48">
        <v>7086.1999999999771</v>
      </c>
      <c r="T10" s="48">
        <f t="shared" si="0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5"/>
      <c r="M11" s="48">
        <f t="shared" si="1"/>
        <v>185986.49999999997</v>
      </c>
      <c r="N11" s="45" t="s">
        <v>1</v>
      </c>
      <c r="O11" s="45" t="s">
        <v>1</v>
      </c>
      <c r="P11" s="48">
        <v>25</v>
      </c>
      <c r="Q11" s="48"/>
      <c r="R11" s="48">
        <v>6106.8</v>
      </c>
      <c r="S11" s="48">
        <v>3794.2000000000353</v>
      </c>
      <c r="T11" s="48">
        <f t="shared" si="0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5"/>
      <c r="M12" s="48">
        <f t="shared" si="1"/>
        <v>172040.9</v>
      </c>
      <c r="N12" s="45" t="s">
        <v>1</v>
      </c>
      <c r="O12" s="45" t="s">
        <v>1</v>
      </c>
      <c r="P12" s="48">
        <v>25</v>
      </c>
      <c r="Q12" s="48"/>
      <c r="R12" s="48">
        <v>6035.7999999999993</v>
      </c>
      <c r="S12" s="48">
        <v>3770.4000000000351</v>
      </c>
      <c r="T12" s="48">
        <f t="shared" si="0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5"/>
      <c r="M13" s="48">
        <f t="shared" si="1"/>
        <v>250334.1</v>
      </c>
      <c r="N13" s="45" t="s">
        <v>1</v>
      </c>
      <c r="O13" s="45" t="s">
        <v>1</v>
      </c>
      <c r="P13" s="48">
        <v>20</v>
      </c>
      <c r="Q13" s="48"/>
      <c r="R13" s="48">
        <v>5750.7</v>
      </c>
      <c r="S13" s="48">
        <v>2918.8000000000347</v>
      </c>
      <c r="T13" s="48">
        <f t="shared" si="0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/>
      <c r="M14" s="48">
        <f t="shared" si="1"/>
        <v>208943.3</v>
      </c>
      <c r="N14" s="45" t="s">
        <v>1</v>
      </c>
      <c r="O14" s="45" t="s">
        <v>1</v>
      </c>
      <c r="P14" s="48">
        <v>20</v>
      </c>
      <c r="Q14" s="48"/>
      <c r="R14" s="48">
        <v>6381.0999999999985</v>
      </c>
      <c r="S14" s="48">
        <v>2992.0999999999767</v>
      </c>
      <c r="T14" s="48">
        <f t="shared" si="0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/>
      <c r="M15" s="48">
        <f t="shared" si="1"/>
        <v>220835.90000000002</v>
      </c>
      <c r="N15" s="45" t="s">
        <v>1</v>
      </c>
      <c r="O15" s="45" t="s">
        <v>1</v>
      </c>
      <c r="P15" s="48">
        <v>20</v>
      </c>
      <c r="Q15" s="48"/>
      <c r="R15" s="48">
        <v>6213.3999999999987</v>
      </c>
      <c r="S15" s="48">
        <v>3040.5000000000346</v>
      </c>
      <c r="T15" s="48">
        <f t="shared" si="0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/>
      <c r="M16" s="48">
        <f t="shared" si="1"/>
        <v>233594.5</v>
      </c>
      <c r="N16" s="45" t="s">
        <v>1</v>
      </c>
      <c r="O16" s="45" t="s">
        <v>1</v>
      </c>
      <c r="P16" s="48">
        <v>20</v>
      </c>
      <c r="Q16" s="48"/>
      <c r="R16" s="48">
        <v>6126.6999999999989</v>
      </c>
      <c r="S16" s="48">
        <v>3062.8000000000347</v>
      </c>
      <c r="T16" s="48">
        <f t="shared" si="0"/>
        <v>591560.89999999991</v>
      </c>
    </row>
    <row r="17" spans="1:20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/>
      <c r="M17" s="48">
        <f t="shared" si="1"/>
        <v>253190.09999999998</v>
      </c>
      <c r="N17" s="45" t="s">
        <v>1</v>
      </c>
      <c r="O17" s="45" t="s">
        <v>1</v>
      </c>
      <c r="P17" s="48">
        <v>20</v>
      </c>
      <c r="Q17" s="48"/>
      <c r="R17" s="48">
        <v>5970.5999999999995</v>
      </c>
      <c r="S17" s="48">
        <v>2976.0999999999185</v>
      </c>
      <c r="T17" s="48">
        <f t="shared" si="0"/>
        <v>680429</v>
      </c>
    </row>
    <row r="18" spans="1:20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/>
      <c r="M18" s="48">
        <f t="shared" si="1"/>
        <v>221012.1</v>
      </c>
      <c r="N18" s="45">
        <v>3410.3</v>
      </c>
      <c r="O18" s="45" t="s">
        <v>1</v>
      </c>
      <c r="P18" s="48">
        <v>20</v>
      </c>
      <c r="Q18" s="48"/>
      <c r="R18" s="48">
        <v>6843.0999999999995</v>
      </c>
      <c r="S18" s="48">
        <v>2952.3999999999769</v>
      </c>
      <c r="T18" s="48">
        <f t="shared" si="0"/>
        <v>660866.50000000012</v>
      </c>
    </row>
    <row r="19" spans="1:20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/>
      <c r="M19" s="48">
        <f t="shared" si="1"/>
        <v>242069.90000000002</v>
      </c>
      <c r="N19" s="45">
        <v>21978.1</v>
      </c>
      <c r="O19" s="45" t="s">
        <v>1</v>
      </c>
      <c r="P19" s="48">
        <v>20</v>
      </c>
      <c r="Q19" s="48"/>
      <c r="R19" s="48">
        <v>7198.0999999999995</v>
      </c>
      <c r="S19" s="48">
        <v>3398.1999999999771</v>
      </c>
      <c r="T19" s="48">
        <f t="shared" si="0"/>
        <v>708906.29999999993</v>
      </c>
    </row>
    <row r="20" spans="1:20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/>
      <c r="M20" s="48">
        <f t="shared" si="1"/>
        <v>245939</v>
      </c>
      <c r="N20" s="45">
        <v>41214.800000000003</v>
      </c>
      <c r="O20" s="45" t="s">
        <v>1</v>
      </c>
      <c r="P20" s="48">
        <v>20</v>
      </c>
      <c r="Q20" s="48"/>
      <c r="R20" s="48">
        <v>7550.1999999999989</v>
      </c>
      <c r="S20" s="48">
        <v>4223.3000000000347</v>
      </c>
      <c r="T20" s="48">
        <f t="shared" si="0"/>
        <v>693837.60000000009</v>
      </c>
    </row>
    <row r="21" spans="1:20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/>
      <c r="M21" s="48">
        <f t="shared" si="1"/>
        <v>322018.90000000002</v>
      </c>
      <c r="N21" s="45">
        <v>25301.3</v>
      </c>
      <c r="O21" s="45"/>
      <c r="P21" s="48">
        <v>20</v>
      </c>
      <c r="Q21" s="48"/>
      <c r="R21" s="48">
        <v>7467.3999999999987</v>
      </c>
      <c r="S21" s="48">
        <v>4483.1999999999771</v>
      </c>
      <c r="T21" s="48">
        <f t="shared" si="0"/>
        <v>772034.60000000009</v>
      </c>
    </row>
    <row r="22" spans="1:20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/>
      <c r="M22" s="48">
        <f t="shared" si="1"/>
        <v>276195.09999999998</v>
      </c>
      <c r="N22" s="45">
        <v>31811.4</v>
      </c>
      <c r="O22" s="45"/>
      <c r="P22" s="48">
        <v>20</v>
      </c>
      <c r="Q22" s="48"/>
      <c r="R22" s="48">
        <v>8398.6</v>
      </c>
      <c r="S22" s="48">
        <v>4735.1999999999771</v>
      </c>
      <c r="T22" s="48">
        <f t="shared" si="0"/>
        <v>740382.7</v>
      </c>
    </row>
    <row r="23" spans="1:20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/>
      <c r="M23" s="48">
        <f t="shared" si="1"/>
        <v>283284.5</v>
      </c>
      <c r="N23" s="45">
        <v>60598.8</v>
      </c>
      <c r="O23" s="45"/>
      <c r="P23" s="48">
        <v>20</v>
      </c>
      <c r="Q23" s="48"/>
      <c r="R23" s="48">
        <v>8390.4</v>
      </c>
      <c r="S23" s="48">
        <v>5100.5000000000346</v>
      </c>
      <c r="T23" s="48">
        <f t="shared" si="0"/>
        <v>759811.8</v>
      </c>
    </row>
    <row r="24" spans="1:20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/>
      <c r="M24" s="48">
        <f t="shared" si="1"/>
        <v>299656.5</v>
      </c>
      <c r="N24" s="45">
        <v>29808.6</v>
      </c>
      <c r="O24" s="45"/>
      <c r="P24" s="48">
        <v>20</v>
      </c>
      <c r="Q24" s="48"/>
      <c r="R24" s="48">
        <v>8990.3000000000011</v>
      </c>
      <c r="S24" s="48">
        <v>6733.2000000000353</v>
      </c>
      <c r="T24" s="48">
        <f t="shared" si="0"/>
        <v>778034.20000000007</v>
      </c>
    </row>
    <row r="25" spans="1:20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/>
      <c r="M25" s="48">
        <f t="shared" si="1"/>
        <v>410025</v>
      </c>
      <c r="N25" s="45" t="s">
        <v>1</v>
      </c>
      <c r="O25" s="45"/>
      <c r="P25" s="48">
        <v>20</v>
      </c>
      <c r="Q25" s="48"/>
      <c r="R25" s="48">
        <v>9039.4</v>
      </c>
      <c r="S25" s="48">
        <v>7843.899999999976</v>
      </c>
      <c r="T25" s="48">
        <f t="shared" si="0"/>
        <v>911953.8</v>
      </c>
    </row>
    <row r="26" spans="1:20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/>
      <c r="M26" s="48">
        <f t="shared" si="1"/>
        <v>404920.6</v>
      </c>
      <c r="N26" s="45">
        <v>7592</v>
      </c>
      <c r="O26" s="45"/>
      <c r="P26" s="48">
        <v>20</v>
      </c>
      <c r="Q26" s="48"/>
      <c r="R26" s="48">
        <v>9638</v>
      </c>
      <c r="S26" s="48">
        <v>11346.900000000036</v>
      </c>
      <c r="T26" s="48">
        <f t="shared" si="0"/>
        <v>890093.1</v>
      </c>
    </row>
    <row r="27" spans="1:20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/>
      <c r="M27" s="48">
        <f t="shared" si="1"/>
        <v>399816.4</v>
      </c>
      <c r="N27" s="45" t="s">
        <v>1</v>
      </c>
      <c r="O27" s="45"/>
      <c r="P27" s="48">
        <v>20</v>
      </c>
      <c r="Q27" s="48"/>
      <c r="R27" s="48">
        <v>9998</v>
      </c>
      <c r="S27" s="48">
        <v>11268.099999999977</v>
      </c>
      <c r="T27" s="48">
        <f t="shared" si="0"/>
        <v>848897.6</v>
      </c>
    </row>
    <row r="28" spans="1:20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/>
      <c r="M28" s="48">
        <f t="shared" si="1"/>
        <v>397498.7</v>
      </c>
      <c r="N28" s="45">
        <v>61.3</v>
      </c>
      <c r="O28" s="45"/>
      <c r="P28" s="48">
        <v>20</v>
      </c>
      <c r="Q28" s="48"/>
      <c r="R28" s="48">
        <v>10811.199999999999</v>
      </c>
      <c r="S28" s="48">
        <v>12197.000000000035</v>
      </c>
      <c r="T28" s="48">
        <f t="shared" si="0"/>
        <v>879942.39999999991</v>
      </c>
    </row>
    <row r="29" spans="1:20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/>
      <c r="M29" s="48">
        <f t="shared" si="1"/>
        <v>396574.3</v>
      </c>
      <c r="N29" s="45" t="s">
        <v>1</v>
      </c>
      <c r="O29" s="45"/>
      <c r="P29" s="48">
        <v>20</v>
      </c>
      <c r="Q29" s="48"/>
      <c r="R29" s="48">
        <v>11039.999999999998</v>
      </c>
      <c r="S29" s="48">
        <v>14789.2</v>
      </c>
      <c r="T29" s="48">
        <f t="shared" si="0"/>
        <v>923746.99999999988</v>
      </c>
    </row>
    <row r="30" spans="1:20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/>
      <c r="M30" s="48">
        <f t="shared" si="1"/>
        <v>404471</v>
      </c>
      <c r="N30" s="45">
        <v>2239.9</v>
      </c>
      <c r="O30" s="45"/>
      <c r="P30" s="48">
        <v>20</v>
      </c>
      <c r="Q30" s="48"/>
      <c r="R30" s="48">
        <v>12667.3</v>
      </c>
      <c r="S30" s="48">
        <v>15190.699999999999</v>
      </c>
      <c r="T30" s="48">
        <f t="shared" si="0"/>
        <v>926151.8</v>
      </c>
    </row>
    <row r="31" spans="1:20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/>
      <c r="M31" s="48">
        <f t="shared" si="1"/>
        <v>434035.1</v>
      </c>
      <c r="N31" s="45">
        <v>1914.8</v>
      </c>
      <c r="O31" s="45"/>
      <c r="P31" s="48">
        <v>20</v>
      </c>
      <c r="Q31" s="48"/>
      <c r="R31" s="48">
        <v>13409.899999999998</v>
      </c>
      <c r="S31" s="48">
        <v>44868.7</v>
      </c>
      <c r="T31" s="48">
        <f t="shared" si="0"/>
        <v>980852.8</v>
      </c>
    </row>
    <row r="32" spans="1:20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/>
      <c r="M32" s="48">
        <f t="shared" si="1"/>
        <v>421409.4</v>
      </c>
      <c r="N32" s="45">
        <v>2231.9</v>
      </c>
      <c r="O32" s="45"/>
      <c r="P32" s="48">
        <v>20</v>
      </c>
      <c r="Q32" s="48"/>
      <c r="R32" s="48">
        <v>13318.8</v>
      </c>
      <c r="S32" s="48">
        <v>56231.6</v>
      </c>
      <c r="T32" s="48">
        <f t="shared" si="0"/>
        <v>1018116.5000000001</v>
      </c>
    </row>
    <row r="33" spans="1:20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/>
      <c r="M33" s="48">
        <f t="shared" si="1"/>
        <v>448063.6</v>
      </c>
      <c r="N33" s="45">
        <v>2000</v>
      </c>
      <c r="O33" s="45"/>
      <c r="P33" s="48">
        <v>20</v>
      </c>
      <c r="Q33" s="48"/>
      <c r="R33" s="48">
        <v>13012.499999999998</v>
      </c>
      <c r="S33" s="48">
        <v>64355.9</v>
      </c>
      <c r="T33" s="48">
        <f t="shared" si="0"/>
        <v>1028666.7000000001</v>
      </c>
    </row>
    <row r="34" spans="1:20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/>
      <c r="M34" s="48">
        <f t="shared" si="1"/>
        <v>412400.5</v>
      </c>
      <c r="N34" s="45">
        <v>3178.9</v>
      </c>
      <c r="O34" s="45"/>
      <c r="P34" s="48">
        <v>20</v>
      </c>
      <c r="Q34" s="48"/>
      <c r="R34" s="48">
        <v>13563.399999999998</v>
      </c>
      <c r="S34" s="48">
        <v>69216.900000000009</v>
      </c>
      <c r="T34" s="48">
        <f t="shared" si="0"/>
        <v>970890.70000000007</v>
      </c>
    </row>
    <row r="35" spans="1:20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/>
      <c r="M35" s="48">
        <f t="shared" si="1"/>
        <v>504411.69999999995</v>
      </c>
      <c r="N35" s="45">
        <v>22000</v>
      </c>
      <c r="O35" s="45"/>
      <c r="P35" s="48">
        <v>20</v>
      </c>
      <c r="Q35" s="48"/>
      <c r="R35" s="48">
        <v>14077.699999999999</v>
      </c>
      <c r="S35" s="48">
        <v>71416.800000000003</v>
      </c>
      <c r="T35" s="48">
        <f t="shared" si="0"/>
        <v>985143.39999999991</v>
      </c>
    </row>
    <row r="36" spans="1:20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/>
      <c r="M36" s="48">
        <f t="shared" si="1"/>
        <v>578061.5</v>
      </c>
      <c r="N36" s="45">
        <v>6840.3</v>
      </c>
      <c r="O36" s="45"/>
      <c r="P36" s="48">
        <v>20</v>
      </c>
      <c r="Q36" s="48"/>
      <c r="R36" s="48">
        <v>15663.199999999999</v>
      </c>
      <c r="S36" s="48">
        <v>68563.8</v>
      </c>
      <c r="T36" s="48">
        <f t="shared" si="0"/>
        <v>943403.5</v>
      </c>
    </row>
    <row r="37" spans="1:20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/>
      <c r="M37" s="48">
        <f t="shared" si="1"/>
        <v>641724.60000000009</v>
      </c>
      <c r="N37" s="45">
        <v>21800</v>
      </c>
      <c r="O37" s="45"/>
      <c r="P37" s="48">
        <v>20</v>
      </c>
      <c r="Q37" s="48"/>
      <c r="R37" s="48">
        <v>15870.099999999999</v>
      </c>
      <c r="S37" s="48">
        <v>69542.200000000012</v>
      </c>
      <c r="T37" s="48">
        <f t="shared" si="0"/>
        <v>970786.5</v>
      </c>
    </row>
    <row r="38" spans="1:20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/>
      <c r="M38" s="48">
        <f t="shared" si="1"/>
        <v>635625.10000000009</v>
      </c>
      <c r="N38" s="45">
        <v>73850</v>
      </c>
      <c r="O38" s="45"/>
      <c r="P38" s="48">
        <v>20</v>
      </c>
      <c r="Q38" s="48"/>
      <c r="R38" s="48">
        <v>16829.2</v>
      </c>
      <c r="S38" s="48">
        <v>70835.099999999977</v>
      </c>
      <c r="T38" s="48">
        <f t="shared" ref="T38:T54" si="2">SUM(B38,M38:S38)</f>
        <v>952379.20000000007</v>
      </c>
    </row>
    <row r="39" spans="1:20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/>
      <c r="M39" s="48">
        <f t="shared" si="1"/>
        <v>650423.6</v>
      </c>
      <c r="N39" s="45">
        <v>103000</v>
      </c>
      <c r="O39" s="45"/>
      <c r="P39" s="48">
        <v>20</v>
      </c>
      <c r="Q39" s="48"/>
      <c r="R39" s="48">
        <v>17514.300000000003</v>
      </c>
      <c r="S39" s="48">
        <v>71544.3</v>
      </c>
      <c r="T39" s="48">
        <f t="shared" si="2"/>
        <v>1008337.6000000001</v>
      </c>
    </row>
    <row r="40" spans="1:20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/>
      <c r="M40" s="48">
        <f t="shared" si="1"/>
        <v>644432</v>
      </c>
      <c r="N40" s="45">
        <v>120705</v>
      </c>
      <c r="O40" s="45"/>
      <c r="P40" s="48">
        <v>20</v>
      </c>
      <c r="Q40" s="48"/>
      <c r="R40" s="48">
        <v>17282.099999999999</v>
      </c>
      <c r="S40" s="48">
        <v>71569.3</v>
      </c>
      <c r="T40" s="48">
        <f t="shared" si="2"/>
        <v>1011401.9</v>
      </c>
    </row>
    <row r="41" spans="1:20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/>
      <c r="M41" s="48">
        <f t="shared" si="1"/>
        <v>752299.8</v>
      </c>
      <c r="N41" s="45">
        <v>89000</v>
      </c>
      <c r="O41" s="45"/>
      <c r="P41" s="48">
        <v>20</v>
      </c>
      <c r="Q41" s="48"/>
      <c r="R41" s="48">
        <v>16702.099999999999</v>
      </c>
      <c r="S41" s="48">
        <v>82875.700000000012</v>
      </c>
      <c r="T41" s="48">
        <f t="shared" si="2"/>
        <v>1107332.3</v>
      </c>
    </row>
    <row r="42" spans="1:20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/>
      <c r="M42" s="48">
        <f t="shared" si="1"/>
        <v>741269.6</v>
      </c>
      <c r="N42" s="45">
        <v>88840</v>
      </c>
      <c r="O42" s="45"/>
      <c r="P42" s="48">
        <v>20</v>
      </c>
      <c r="Q42" s="48"/>
      <c r="R42" s="48">
        <v>21498.1</v>
      </c>
      <c r="S42" s="48">
        <v>92789.900000000009</v>
      </c>
      <c r="T42" s="48">
        <f t="shared" si="2"/>
        <v>1139209.8999999999</v>
      </c>
    </row>
    <row r="43" spans="1:20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/>
      <c r="M43" s="48">
        <f t="shared" si="1"/>
        <v>748813.60000000009</v>
      </c>
      <c r="N43" s="45">
        <v>70737.5</v>
      </c>
      <c r="O43" s="45"/>
      <c r="P43" s="48">
        <v>20</v>
      </c>
      <c r="Q43" s="48"/>
      <c r="R43" s="48">
        <v>23499</v>
      </c>
      <c r="S43" s="48">
        <v>98725</v>
      </c>
      <c r="T43" s="48">
        <f t="shared" si="2"/>
        <v>1142622.7000000002</v>
      </c>
    </row>
    <row r="44" spans="1:20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/>
      <c r="M44" s="48">
        <f t="shared" si="1"/>
        <v>713443.5</v>
      </c>
      <c r="N44" s="45">
        <v>123150</v>
      </c>
      <c r="O44" s="45"/>
      <c r="P44" s="48">
        <v>20</v>
      </c>
      <c r="Q44" s="48"/>
      <c r="R44" s="48">
        <v>24296.199999999997</v>
      </c>
      <c r="S44" s="48">
        <v>133118</v>
      </c>
      <c r="T44" s="48">
        <f t="shared" si="2"/>
        <v>1192756.1000000001</v>
      </c>
    </row>
    <row r="45" spans="1:20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/>
      <c r="M45" s="48">
        <f t="shared" si="1"/>
        <v>787208</v>
      </c>
      <c r="N45" s="45">
        <v>159990</v>
      </c>
      <c r="O45" s="45"/>
      <c r="P45" s="48">
        <v>20</v>
      </c>
      <c r="Q45" s="48"/>
      <c r="R45" s="48">
        <v>23657.199999999997</v>
      </c>
      <c r="S45" s="48">
        <v>108892.20000000001</v>
      </c>
      <c r="T45" s="48">
        <f t="shared" si="2"/>
        <v>1273767.5999999999</v>
      </c>
    </row>
    <row r="46" spans="1:20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55"/>
      <c r="M46" s="48">
        <f t="shared" si="1"/>
        <v>737539</v>
      </c>
      <c r="N46" s="56">
        <v>185103.2</v>
      </c>
      <c r="O46" s="56"/>
      <c r="P46" s="55">
        <v>20</v>
      </c>
      <c r="Q46" s="55"/>
      <c r="R46" s="48">
        <v>24049.3</v>
      </c>
      <c r="S46" s="48">
        <v>134380</v>
      </c>
      <c r="T46" s="48">
        <f t="shared" si="2"/>
        <v>1234371.9000000001</v>
      </c>
    </row>
    <row r="47" spans="1:20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/>
      <c r="M47" s="48">
        <f t="shared" si="1"/>
        <v>780458.1</v>
      </c>
      <c r="N47" s="45">
        <v>283075.3</v>
      </c>
      <c r="O47" s="45"/>
      <c r="P47" s="55">
        <v>20</v>
      </c>
      <c r="Q47" s="55"/>
      <c r="R47" s="48">
        <v>24856.5</v>
      </c>
      <c r="S47" s="48">
        <v>149100.80000000002</v>
      </c>
      <c r="T47" s="48">
        <f t="shared" si="2"/>
        <v>1386460.6</v>
      </c>
    </row>
    <row r="48" spans="1:20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/>
      <c r="M48" s="48">
        <f t="shared" si="1"/>
        <v>723876.1</v>
      </c>
      <c r="N48" s="45">
        <v>282430</v>
      </c>
      <c r="O48" s="45"/>
      <c r="P48" s="55">
        <v>20</v>
      </c>
      <c r="Q48" s="55"/>
      <c r="R48" s="48">
        <v>25839.7</v>
      </c>
      <c r="S48" s="48">
        <v>171502.30000000002</v>
      </c>
      <c r="T48" s="48">
        <f t="shared" si="2"/>
        <v>1328195.6000000001</v>
      </c>
    </row>
    <row r="49" spans="1:20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/>
      <c r="M49" s="48">
        <f t="shared" si="1"/>
        <v>772108.5</v>
      </c>
      <c r="N49" s="45">
        <v>248180</v>
      </c>
      <c r="O49" s="45"/>
      <c r="P49" s="55">
        <v>20</v>
      </c>
      <c r="Q49" s="55"/>
      <c r="R49" s="48">
        <f>887.8+24119+157.9</f>
        <v>25164.7</v>
      </c>
      <c r="S49" s="48">
        <f>160893.6-1198.4</f>
        <v>159695.20000000001</v>
      </c>
      <c r="T49" s="48">
        <f t="shared" si="2"/>
        <v>1350775.5</v>
      </c>
    </row>
    <row r="50" spans="1:20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/>
      <c r="M50" s="48">
        <f t="shared" si="1"/>
        <v>776260.3</v>
      </c>
      <c r="N50" s="45">
        <v>287000</v>
      </c>
      <c r="O50" s="45"/>
      <c r="P50" s="55">
        <v>20</v>
      </c>
      <c r="Q50" s="55"/>
      <c r="R50" s="48">
        <f>157.9+23853.8+887.8</f>
        <v>24899.5</v>
      </c>
      <c r="S50" s="48">
        <f>200172.4-1198.4</f>
        <v>198974</v>
      </c>
      <c r="T50" s="48">
        <f t="shared" si="2"/>
        <v>1419236.7000000002</v>
      </c>
    </row>
    <row r="51" spans="1:20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/>
      <c r="M51" s="48">
        <f t="shared" si="1"/>
        <v>762094</v>
      </c>
      <c r="N51" s="45">
        <v>335077.8</v>
      </c>
      <c r="O51" s="45"/>
      <c r="P51" s="55">
        <v>20</v>
      </c>
      <c r="Q51" s="55"/>
      <c r="R51" s="48">
        <f>157.9+23502.4+887.8</f>
        <v>24548.100000000002</v>
      </c>
      <c r="S51" s="48">
        <f>181402.6-7031.5</f>
        <v>174371.1</v>
      </c>
      <c r="T51" s="48">
        <f t="shared" si="2"/>
        <v>1473264.1</v>
      </c>
    </row>
    <row r="52" spans="1:20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/>
      <c r="M52" s="48">
        <f t="shared" si="1"/>
        <v>756889.1</v>
      </c>
      <c r="N52" s="45">
        <v>399460.9</v>
      </c>
      <c r="O52" s="60"/>
      <c r="P52" s="48">
        <v>20</v>
      </c>
      <c r="Q52" s="48"/>
      <c r="R52" s="48">
        <f>157.9+24409.9+887.8</f>
        <v>25455.600000000002</v>
      </c>
      <c r="S52" s="48">
        <f>210464.2-7031.5</f>
        <v>203432.7</v>
      </c>
      <c r="T52" s="48">
        <f t="shared" si="2"/>
        <v>1537487.5999999999</v>
      </c>
    </row>
    <row r="53" spans="1:20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/>
      <c r="M53" s="48">
        <f t="shared" si="1"/>
        <v>746479.39999999991</v>
      </c>
      <c r="N53" s="45">
        <v>422379.9</v>
      </c>
      <c r="O53" s="60"/>
      <c r="P53" s="48">
        <v>20</v>
      </c>
      <c r="Q53" s="48"/>
      <c r="R53" s="48">
        <f>24491.3+157.9+887.8</f>
        <v>25537</v>
      </c>
      <c r="S53" s="48">
        <f>199796.9-5935</f>
        <v>193861.9</v>
      </c>
      <c r="T53" s="48">
        <f t="shared" si="2"/>
        <v>1630044.5</v>
      </c>
    </row>
    <row r="54" spans="1:20" s="50" customFormat="1" ht="16.5" customHeight="1" x14ac:dyDescent="0.25">
      <c r="A54" s="59">
        <v>43921</v>
      </c>
      <c r="B54" s="48">
        <f>188354.3+5935</f>
        <v>194289.3</v>
      </c>
      <c r="C54" s="45">
        <v>0</v>
      </c>
      <c r="D54" s="45"/>
      <c r="E54" s="45"/>
      <c r="F54" s="51"/>
      <c r="G54" s="45"/>
      <c r="H54" s="45"/>
      <c r="I54" s="45"/>
      <c r="J54" s="48">
        <v>19506.2</v>
      </c>
      <c r="K54" s="48">
        <v>719165.8</v>
      </c>
      <c r="L54" s="48"/>
      <c r="M54" s="48">
        <f t="shared" si="1"/>
        <v>738672</v>
      </c>
      <c r="N54" s="45">
        <v>420106.2</v>
      </c>
      <c r="O54" s="60"/>
      <c r="P54" s="48">
        <v>20</v>
      </c>
      <c r="Q54" s="48"/>
      <c r="R54" s="48">
        <f>25180.8+157.9+887.8</f>
        <v>26226.5</v>
      </c>
      <c r="S54" s="48">
        <f>215607.8-5935</f>
        <v>209672.8</v>
      </c>
      <c r="T54" s="48">
        <f t="shared" si="2"/>
        <v>1588986.8</v>
      </c>
    </row>
    <row r="55" spans="1:20" s="50" customFormat="1" ht="16.5" customHeight="1" x14ac:dyDescent="0.25">
      <c r="A55" s="59">
        <v>44012</v>
      </c>
      <c r="B55" s="48">
        <v>172739</v>
      </c>
      <c r="C55" s="45">
        <v>0</v>
      </c>
      <c r="D55" s="45"/>
      <c r="E55" s="45"/>
      <c r="F55" s="51"/>
      <c r="G55" s="45"/>
      <c r="H55" s="45"/>
      <c r="I55" s="45"/>
      <c r="J55" s="48">
        <v>15326.3</v>
      </c>
      <c r="K55" s="48">
        <v>715538.4</v>
      </c>
      <c r="L55" s="48">
        <v>5357.5</v>
      </c>
      <c r="M55" s="48">
        <f t="shared" ref="M55" si="3">SUM(C55:L55)</f>
        <v>736222.20000000007</v>
      </c>
      <c r="N55" s="45">
        <v>421436.2</v>
      </c>
      <c r="O55" s="60"/>
      <c r="P55" s="48">
        <v>20</v>
      </c>
      <c r="Q55" s="48"/>
      <c r="R55" s="48">
        <f>26117.6+157.9+887.8</f>
        <v>27163.3</v>
      </c>
      <c r="S55" s="48">
        <f>281819.7-4763.1</f>
        <v>277056.60000000003</v>
      </c>
      <c r="T55" s="48">
        <f t="shared" ref="T55:T59" si="4">SUM(B55,M55:S55)</f>
        <v>1634637.3000000003</v>
      </c>
    </row>
    <row r="56" spans="1:20" s="50" customFormat="1" ht="16.5" customHeight="1" x14ac:dyDescent="0.25">
      <c r="A56" s="59">
        <v>44104</v>
      </c>
      <c r="B56" s="48">
        <f>196602.9+4763.1</f>
        <v>201366</v>
      </c>
      <c r="C56" s="45">
        <v>0</v>
      </c>
      <c r="D56" s="45"/>
      <c r="E56" s="45"/>
      <c r="F56" s="51"/>
      <c r="G56" s="45"/>
      <c r="H56" s="45"/>
      <c r="I56" s="45"/>
      <c r="J56" s="48">
        <v>12539.7</v>
      </c>
      <c r="K56" s="48">
        <v>713120.2</v>
      </c>
      <c r="L56" s="48">
        <f>25822.8+150000</f>
        <v>175822.8</v>
      </c>
      <c r="M56" s="48">
        <f t="shared" ref="M56" si="5">SUM(C56:L56)</f>
        <v>901482.7</v>
      </c>
      <c r="N56" s="45">
        <f>360450+4000</f>
        <v>364450</v>
      </c>
      <c r="O56" s="60"/>
      <c r="P56" s="48">
        <v>20</v>
      </c>
      <c r="Q56" s="48"/>
      <c r="R56" s="48">
        <f>27566.4+157.9+0</f>
        <v>27724.300000000003</v>
      </c>
      <c r="S56" s="48">
        <f>200006.1-4763.1+887.8</f>
        <v>196130.8</v>
      </c>
      <c r="T56" s="48">
        <f t="shared" si="4"/>
        <v>1691173.8</v>
      </c>
    </row>
    <row r="57" spans="1:20" s="50" customFormat="1" ht="16.5" customHeight="1" x14ac:dyDescent="0.25">
      <c r="A57" s="59">
        <v>44196</v>
      </c>
      <c r="B57" s="48">
        <f>246109.6+4763.1</f>
        <v>250872.7</v>
      </c>
      <c r="C57" s="45">
        <v>0</v>
      </c>
      <c r="D57" s="45"/>
      <c r="E57" s="45"/>
      <c r="F57" s="51"/>
      <c r="G57" s="45"/>
      <c r="H57" s="45"/>
      <c r="I57" s="45"/>
      <c r="J57" s="48">
        <v>6921.2</v>
      </c>
      <c r="K57" s="48">
        <v>708283.6</v>
      </c>
      <c r="L57" s="48">
        <f>27463+150000+2000</f>
        <v>179463</v>
      </c>
      <c r="M57" s="48">
        <f t="shared" ref="M57" si="6">SUM(C57:L57)</f>
        <v>894667.79999999993</v>
      </c>
      <c r="N57" s="45">
        <f>298901.2+4000</f>
        <v>302901.2</v>
      </c>
      <c r="O57" s="60"/>
      <c r="P57" s="48">
        <v>20</v>
      </c>
      <c r="Q57" s="48"/>
      <c r="R57" s="48">
        <f>28597.2+157.9</f>
        <v>28755.100000000002</v>
      </c>
      <c r="S57" s="48">
        <f>213092.6-4763.1+887.8</f>
        <v>209217.3</v>
      </c>
      <c r="T57" s="48">
        <f t="shared" si="4"/>
        <v>1686434.1</v>
      </c>
    </row>
    <row r="58" spans="1:20" s="50" customFormat="1" ht="16.5" customHeight="1" x14ac:dyDescent="0.25">
      <c r="A58" s="59">
        <v>44286</v>
      </c>
      <c r="B58" s="48">
        <f>207974.9+4763.1</f>
        <v>212738</v>
      </c>
      <c r="C58" s="45">
        <v>0</v>
      </c>
      <c r="D58" s="45"/>
      <c r="E58" s="45"/>
      <c r="F58" s="51"/>
      <c r="G58" s="45"/>
      <c r="H58" s="45"/>
      <c r="I58" s="45"/>
      <c r="J58" s="48">
        <v>4134.6000000000004</v>
      </c>
      <c r="K58" s="48">
        <v>703262.9</v>
      </c>
      <c r="L58" s="48">
        <f>0+150000+2000+4668.9</f>
        <v>156668.9</v>
      </c>
      <c r="M58" s="48">
        <f t="shared" ref="M58" si="7">SUM(C58:L58)</f>
        <v>864066.4</v>
      </c>
      <c r="N58" s="45">
        <f>295757+4000</f>
        <v>299757</v>
      </c>
      <c r="O58" s="60"/>
      <c r="P58" s="48">
        <v>20</v>
      </c>
      <c r="Q58" s="48"/>
      <c r="R58" s="48">
        <f>28260+157.9</f>
        <v>28417.9</v>
      </c>
      <c r="S58" s="48">
        <f>239976.9-4763.1+887.8</f>
        <v>236101.59999999998</v>
      </c>
      <c r="T58" s="48">
        <f t="shared" si="4"/>
        <v>1641100.9</v>
      </c>
    </row>
    <row r="59" spans="1:20" s="50" customFormat="1" ht="16.5" customHeight="1" x14ac:dyDescent="0.25">
      <c r="A59" s="59">
        <v>44377</v>
      </c>
      <c r="B59" s="48">
        <f>189347.2+2395.7</f>
        <v>191742.90000000002</v>
      </c>
      <c r="C59" s="45">
        <v>57076.7</v>
      </c>
      <c r="D59" s="45"/>
      <c r="E59" s="45"/>
      <c r="F59" s="51"/>
      <c r="G59" s="45"/>
      <c r="H59" s="45"/>
      <c r="I59" s="45"/>
      <c r="J59" s="48">
        <v>0</v>
      </c>
      <c r="K59" s="48">
        <v>701028.8</v>
      </c>
      <c r="L59" s="48">
        <f>0+150000+11960.4+4668.9+29176.1+3728.9</f>
        <v>199534.3</v>
      </c>
      <c r="M59" s="48">
        <f t="shared" ref="M59" si="8">SUM(C59:L59)</f>
        <v>957639.8</v>
      </c>
      <c r="N59" s="45">
        <f>319679.4+4000</f>
        <v>323679.40000000002</v>
      </c>
      <c r="O59" s="60"/>
      <c r="P59" s="48">
        <v>20</v>
      </c>
      <c r="Q59" s="48"/>
      <c r="R59" s="48">
        <f>28596.8+157.9</f>
        <v>28754.7</v>
      </c>
      <c r="S59" s="48">
        <f>245784.3-2395.7+887.8</f>
        <v>244276.39999999997</v>
      </c>
      <c r="T59" s="48">
        <f t="shared" si="4"/>
        <v>1746113.2</v>
      </c>
    </row>
    <row r="60" spans="1:20" x14ac:dyDescent="0.2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1:20" x14ac:dyDescent="0.25">
      <c r="A61" s="24" t="s">
        <v>47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S9" activePane="bottomRight" state="frozen"/>
      <selection pane="topRight" activeCell="B1" sqref="B1"/>
      <selection pane="bottomLeft" activeCell="A6" sqref="A6"/>
      <selection pane="bottomRight" activeCell="U13" sqref="U13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62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8" t="s">
        <v>48</v>
      </c>
      <c r="B4" s="67" t="s">
        <v>20</v>
      </c>
      <c r="C4" s="77" t="s">
        <v>2</v>
      </c>
      <c r="D4" s="65"/>
      <c r="E4" s="65"/>
      <c r="F4" s="65"/>
      <c r="G4" s="65"/>
      <c r="H4" s="65"/>
      <c r="I4" s="65"/>
      <c r="J4" s="65"/>
      <c r="K4" s="65"/>
      <c r="L4" s="65"/>
      <c r="M4" s="66"/>
      <c r="N4" s="71" t="s">
        <v>15</v>
      </c>
      <c r="O4" s="71" t="s">
        <v>45</v>
      </c>
      <c r="P4" s="71" t="s">
        <v>7</v>
      </c>
      <c r="Q4" s="71" t="s">
        <v>64</v>
      </c>
      <c r="R4" s="71" t="s">
        <v>46</v>
      </c>
      <c r="S4" s="73" t="s">
        <v>16</v>
      </c>
      <c r="T4" s="75" t="s">
        <v>9</v>
      </c>
    </row>
    <row r="5" spans="1:22" s="1" customFormat="1" ht="56.25" x14ac:dyDescent="0.3">
      <c r="A5" s="79"/>
      <c r="B5" s="68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72"/>
      <c r="O5" s="72"/>
      <c r="P5" s="72"/>
      <c r="Q5" s="72"/>
      <c r="R5" s="72"/>
      <c r="S5" s="74"/>
      <c r="T5" s="76"/>
    </row>
    <row r="6" spans="1:22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7"/>
      <c r="M6" s="48">
        <f>SUM(C6:L6)</f>
        <v>170798.90000000002</v>
      </c>
      <c r="N6" s="49" t="s">
        <v>1</v>
      </c>
      <c r="O6" s="49" t="s">
        <v>1</v>
      </c>
      <c r="P6" s="44">
        <v>25</v>
      </c>
      <c r="Q6" s="44"/>
      <c r="R6" s="44">
        <v>5317</v>
      </c>
      <c r="S6" s="44">
        <v>2979.6000000000931</v>
      </c>
      <c r="T6" s="48">
        <f t="shared" ref="T6:T18" si="0">SUM(B6,M6:S6)</f>
        <v>513610.40000000008</v>
      </c>
    </row>
    <row r="7" spans="1:22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5"/>
      <c r="M7" s="48">
        <f t="shared" ref="M7:M17" si="1">SUM(C7:L7)</f>
        <v>250334.1</v>
      </c>
      <c r="N7" s="45" t="s">
        <v>1</v>
      </c>
      <c r="O7" s="45" t="s">
        <v>1</v>
      </c>
      <c r="P7" s="48">
        <v>20</v>
      </c>
      <c r="Q7" s="48"/>
      <c r="R7" s="48">
        <v>5750.7</v>
      </c>
      <c r="S7" s="48">
        <v>2918.8000000000347</v>
      </c>
      <c r="T7" s="48">
        <f t="shared" si="0"/>
        <v>659974.9</v>
      </c>
    </row>
    <row r="8" spans="1:22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/>
      <c r="M8" s="48">
        <f t="shared" si="1"/>
        <v>253190.09999999998</v>
      </c>
      <c r="N8" s="45" t="s">
        <v>1</v>
      </c>
      <c r="O8" s="45" t="s">
        <v>1</v>
      </c>
      <c r="P8" s="48">
        <v>20</v>
      </c>
      <c r="Q8" s="48"/>
      <c r="R8" s="48">
        <v>5970.5999999999995</v>
      </c>
      <c r="S8" s="48">
        <v>2976.0999999999185</v>
      </c>
      <c r="T8" s="48">
        <f t="shared" si="0"/>
        <v>680429</v>
      </c>
    </row>
    <row r="9" spans="1:22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/>
      <c r="M9" s="48">
        <f t="shared" si="1"/>
        <v>322018.90000000002</v>
      </c>
      <c r="N9" s="45">
        <v>25301.3</v>
      </c>
      <c r="O9" s="45"/>
      <c r="P9" s="48">
        <v>20</v>
      </c>
      <c r="Q9" s="48"/>
      <c r="R9" s="48">
        <v>7467.3999999999987</v>
      </c>
      <c r="S9" s="48">
        <v>4483.1999999999771</v>
      </c>
      <c r="T9" s="48">
        <f t="shared" si="0"/>
        <v>772034.60000000009</v>
      </c>
    </row>
    <row r="10" spans="1:22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/>
      <c r="M10" s="48">
        <f t="shared" si="1"/>
        <v>410025</v>
      </c>
      <c r="N10" s="45" t="s">
        <v>1</v>
      </c>
      <c r="O10" s="45"/>
      <c r="P10" s="48">
        <v>20</v>
      </c>
      <c r="Q10" s="48"/>
      <c r="R10" s="48">
        <v>9039.4</v>
      </c>
      <c r="S10" s="48">
        <v>7843.899999999976</v>
      </c>
      <c r="T10" s="48">
        <f t="shared" si="0"/>
        <v>911953.8</v>
      </c>
    </row>
    <row r="11" spans="1:22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/>
      <c r="M11" s="48">
        <f t="shared" si="1"/>
        <v>396574.3</v>
      </c>
      <c r="N11" s="45" t="s">
        <v>1</v>
      </c>
      <c r="O11" s="45"/>
      <c r="P11" s="48">
        <v>20</v>
      </c>
      <c r="Q11" s="48"/>
      <c r="R11" s="48">
        <v>11039.999999999998</v>
      </c>
      <c r="S11" s="48">
        <v>14789.2</v>
      </c>
      <c r="T11" s="48">
        <f t="shared" si="0"/>
        <v>923746.99999999988</v>
      </c>
    </row>
    <row r="12" spans="1:22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/>
      <c r="M12" s="48">
        <f t="shared" si="1"/>
        <v>448063.6</v>
      </c>
      <c r="N12" s="45">
        <v>2000</v>
      </c>
      <c r="O12" s="45"/>
      <c r="P12" s="48">
        <v>20</v>
      </c>
      <c r="Q12" s="48"/>
      <c r="R12" s="48">
        <v>13012.499999999998</v>
      </c>
      <c r="S12" s="48">
        <v>64355.9</v>
      </c>
      <c r="T12" s="48">
        <f t="shared" si="0"/>
        <v>1028666.7000000001</v>
      </c>
    </row>
    <row r="13" spans="1:22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/>
      <c r="M13" s="48">
        <f t="shared" si="1"/>
        <v>641724.60000000009</v>
      </c>
      <c r="N13" s="45">
        <v>21800</v>
      </c>
      <c r="O13" s="45"/>
      <c r="P13" s="48">
        <v>20</v>
      </c>
      <c r="Q13" s="48"/>
      <c r="R13" s="48">
        <v>15870.099999999999</v>
      </c>
      <c r="S13" s="48">
        <v>69542.200000000012</v>
      </c>
      <c r="T13" s="48">
        <f t="shared" si="0"/>
        <v>970786.5</v>
      </c>
    </row>
    <row r="14" spans="1:22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/>
      <c r="M14" s="48">
        <f t="shared" si="1"/>
        <v>752299.8</v>
      </c>
      <c r="N14" s="45">
        <v>89000</v>
      </c>
      <c r="O14" s="45"/>
      <c r="P14" s="48">
        <v>20</v>
      </c>
      <c r="Q14" s="48"/>
      <c r="R14" s="48">
        <v>16702.099999999999</v>
      </c>
      <c r="S14" s="48">
        <v>82875.700000000012</v>
      </c>
      <c r="T14" s="48">
        <f t="shared" si="0"/>
        <v>1107332.3</v>
      </c>
    </row>
    <row r="15" spans="1:22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/>
      <c r="M15" s="48">
        <f t="shared" si="1"/>
        <v>787208</v>
      </c>
      <c r="N15" s="45">
        <v>159990</v>
      </c>
      <c r="O15" s="45"/>
      <c r="P15" s="48">
        <v>20</v>
      </c>
      <c r="Q15" s="48"/>
      <c r="R15" s="48">
        <v>23657.199999999997</v>
      </c>
      <c r="S15" s="48">
        <v>108892.20000000001</v>
      </c>
      <c r="T15" s="48">
        <f t="shared" si="0"/>
        <v>1273767.5999999999</v>
      </c>
    </row>
    <row r="16" spans="1:22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/>
      <c r="M16" s="48">
        <f t="shared" si="1"/>
        <v>772108.5</v>
      </c>
      <c r="N16" s="45">
        <v>248180</v>
      </c>
      <c r="O16" s="45"/>
      <c r="P16" s="48">
        <v>20</v>
      </c>
      <c r="Q16" s="48"/>
      <c r="R16" s="48">
        <f>887.8+24119+157.9</f>
        <v>25164.7</v>
      </c>
      <c r="S16" s="48">
        <f>160893.6-1198.4</f>
        <v>159695.20000000001</v>
      </c>
      <c r="T16" s="48">
        <f t="shared" si="0"/>
        <v>1350775.5</v>
      </c>
    </row>
    <row r="17" spans="1:20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/>
      <c r="M17" s="48">
        <f t="shared" si="1"/>
        <v>746479.39999999991</v>
      </c>
      <c r="N17" s="45">
        <v>422379.9</v>
      </c>
      <c r="O17" s="60"/>
      <c r="P17" s="48">
        <v>20</v>
      </c>
      <c r="Q17" s="48"/>
      <c r="R17" s="48">
        <f>24491.3+157.9+887.8</f>
        <v>25537</v>
      </c>
      <c r="S17" s="48">
        <f>199796.9-5935</f>
        <v>193861.9</v>
      </c>
      <c r="T17" s="48">
        <f t="shared" si="0"/>
        <v>1630044.5</v>
      </c>
    </row>
    <row r="18" spans="1:20" s="50" customFormat="1" ht="16.5" customHeight="1" x14ac:dyDescent="0.25">
      <c r="A18" s="52">
        <v>2020</v>
      </c>
      <c r="B18" s="48">
        <f>246109.6+4763.1</f>
        <v>250872.7</v>
      </c>
      <c r="C18" s="45">
        <v>0</v>
      </c>
      <c r="D18" s="45"/>
      <c r="E18" s="45"/>
      <c r="F18" s="51"/>
      <c r="G18" s="45"/>
      <c r="H18" s="45"/>
      <c r="I18" s="45"/>
      <c r="J18" s="48">
        <v>6921.2</v>
      </c>
      <c r="K18" s="48">
        <v>708283.6</v>
      </c>
      <c r="L18" s="48">
        <f>27463+150000+2000</f>
        <v>179463</v>
      </c>
      <c r="M18" s="48">
        <f t="shared" ref="M18" si="2">SUM(C18:L18)</f>
        <v>894667.79999999993</v>
      </c>
      <c r="N18" s="45">
        <f>298901.2+4000</f>
        <v>302901.2</v>
      </c>
      <c r="O18" s="60"/>
      <c r="P18" s="48">
        <v>20</v>
      </c>
      <c r="Q18" s="48"/>
      <c r="R18" s="48">
        <f>28597.2+157.9</f>
        <v>28755.100000000002</v>
      </c>
      <c r="S18" s="48">
        <f>213092.6-4763.1+887.8</f>
        <v>209217.3</v>
      </c>
      <c r="T18" s="48">
        <f t="shared" si="0"/>
        <v>1686434.1</v>
      </c>
    </row>
    <row r="19" spans="1:20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x14ac:dyDescent="0.25">
      <c r="A20" s="24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2021-09-15T09:07:55Z</dcterms:modified>
</cp:coreProperties>
</file>