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48\Desktop\Tableaux site en français-JANVIER- 2024\"/>
    </mc:Choice>
  </mc:AlternateContent>
  <bookViews>
    <workbookView xWindow="0" yWindow="0" windowWidth="24000" windowHeight="9135" activeTab="1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R200" i="4" l="1"/>
  <c r="Q200" i="4"/>
  <c r="N200" i="4"/>
  <c r="S200" i="4" s="1"/>
  <c r="M200" i="4"/>
  <c r="K200" i="4"/>
  <c r="G200" i="4"/>
  <c r="F200" i="4"/>
  <c r="E200" i="4"/>
  <c r="D200" i="4"/>
  <c r="C200" i="4"/>
  <c r="B200" i="4"/>
  <c r="R23" i="3" l="1"/>
  <c r="Q23" i="3"/>
  <c r="N23" i="3"/>
  <c r="M23" i="3"/>
  <c r="S23" i="3" s="1"/>
  <c r="K23" i="3"/>
  <c r="G23" i="3"/>
  <c r="F23" i="3"/>
  <c r="E23" i="3"/>
  <c r="D23" i="3"/>
  <c r="C23" i="3"/>
  <c r="B23" i="3"/>
  <c r="R71" i="5"/>
  <c r="Q71" i="5"/>
  <c r="N71" i="5"/>
  <c r="M71" i="5"/>
  <c r="K71" i="5"/>
  <c r="G71" i="5"/>
  <c r="S71" i="5" s="1"/>
  <c r="F71" i="5"/>
  <c r="E71" i="5"/>
  <c r="D71" i="5"/>
  <c r="C71" i="5"/>
  <c r="B71" i="5"/>
  <c r="R199" i="4"/>
  <c r="Q199" i="4"/>
  <c r="N199" i="4"/>
  <c r="M199" i="4"/>
  <c r="K199" i="4"/>
  <c r="G199" i="4"/>
  <c r="F199" i="4"/>
  <c r="S199" i="4" s="1"/>
  <c r="E199" i="4"/>
  <c r="D199" i="4"/>
  <c r="C199" i="4"/>
  <c r="B199" i="4"/>
  <c r="S198" i="4" l="1"/>
  <c r="S194" i="4" l="1"/>
  <c r="S195" i="4"/>
  <c r="S170" i="4"/>
  <c r="S197" i="4"/>
  <c r="S196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69" i="4"/>
  <c r="S168" i="4"/>
  <c r="S167" i="4"/>
  <c r="S166" i="4"/>
  <c r="S165" i="4"/>
  <c r="S164" i="4"/>
  <c r="R56" i="5" l="1"/>
  <c r="Q56" i="5"/>
  <c r="K56" i="5"/>
  <c r="E56" i="5"/>
  <c r="D56" i="5"/>
  <c r="B56" i="5"/>
  <c r="R154" i="4"/>
  <c r="Q154" i="4"/>
  <c r="K154" i="4"/>
  <c r="E154" i="4"/>
  <c r="D154" i="4"/>
  <c r="B154" i="4"/>
  <c r="S56" i="5" l="1"/>
  <c r="S154" i="4"/>
  <c r="R20" i="3" l="1"/>
  <c r="Q20" i="3"/>
  <c r="N20" i="3"/>
  <c r="M20" i="3"/>
  <c r="K20" i="3"/>
  <c r="I20" i="3"/>
  <c r="E20" i="3"/>
  <c r="D20" i="3"/>
  <c r="C20" i="3"/>
  <c r="B20" i="3"/>
  <c r="R59" i="5"/>
  <c r="Q59" i="5"/>
  <c r="N59" i="5"/>
  <c r="M59" i="5"/>
  <c r="K59" i="5"/>
  <c r="I59" i="5"/>
  <c r="E59" i="5"/>
  <c r="D59" i="5"/>
  <c r="C59" i="5"/>
  <c r="B59" i="5"/>
  <c r="R163" i="4"/>
  <c r="Q163" i="4"/>
  <c r="N163" i="4"/>
  <c r="M163" i="4"/>
  <c r="K163" i="4"/>
  <c r="I163" i="4"/>
  <c r="E163" i="4"/>
  <c r="D163" i="4"/>
  <c r="C163" i="4"/>
  <c r="B163" i="4"/>
  <c r="S20" i="3" l="1"/>
  <c r="S59" i="5"/>
  <c r="S163" i="4"/>
  <c r="R162" i="4"/>
  <c r="Q162" i="4"/>
  <c r="N162" i="4"/>
  <c r="M162" i="4"/>
  <c r="K162" i="4"/>
  <c r="I162" i="4"/>
  <c r="E162" i="4"/>
  <c r="D162" i="4"/>
  <c r="C162" i="4"/>
  <c r="B162" i="4"/>
  <c r="R161" i="4"/>
  <c r="Q161" i="4"/>
  <c r="N161" i="4"/>
  <c r="M161" i="4"/>
  <c r="K161" i="4"/>
  <c r="I161" i="4"/>
  <c r="E161" i="4"/>
  <c r="D161" i="4"/>
  <c r="C161" i="4"/>
  <c r="B161" i="4"/>
  <c r="S161" i="4" l="1"/>
  <c r="S162" i="4"/>
  <c r="R58" i="5"/>
  <c r="Q58" i="5"/>
  <c r="N58" i="5"/>
  <c r="M58" i="5"/>
  <c r="K58" i="5"/>
  <c r="E58" i="5"/>
  <c r="D58" i="5"/>
  <c r="C58" i="5"/>
  <c r="B58" i="5"/>
  <c r="R160" i="4"/>
  <c r="Q160" i="4"/>
  <c r="N160" i="4"/>
  <c r="M160" i="4"/>
  <c r="K160" i="4"/>
  <c r="E160" i="4"/>
  <c r="D160" i="4"/>
  <c r="C160" i="4"/>
  <c r="B160" i="4"/>
  <c r="S160" i="4" l="1"/>
  <c r="S58" i="5"/>
  <c r="R159" i="4"/>
  <c r="Q159" i="4"/>
  <c r="K159" i="4"/>
  <c r="E159" i="4"/>
  <c r="D159" i="4"/>
  <c r="B159" i="4"/>
  <c r="S159" i="4" s="1"/>
  <c r="R158" i="4"/>
  <c r="Q158" i="4"/>
  <c r="K158" i="4"/>
  <c r="E158" i="4"/>
  <c r="D158" i="4"/>
  <c r="B158" i="4"/>
  <c r="S158" i="4" l="1"/>
  <c r="R57" i="5"/>
  <c r="Q57" i="5"/>
  <c r="K57" i="5"/>
  <c r="E57" i="5"/>
  <c r="D57" i="5"/>
  <c r="B57" i="5"/>
  <c r="R157" i="4"/>
  <c r="Q157" i="4"/>
  <c r="K157" i="4"/>
  <c r="E157" i="4"/>
  <c r="D157" i="4"/>
  <c r="B157" i="4"/>
  <c r="S57" i="5" l="1"/>
  <c r="S157" i="4"/>
  <c r="R156" i="4"/>
  <c r="Q156" i="4"/>
  <c r="K156" i="4"/>
  <c r="E156" i="4"/>
  <c r="D156" i="4"/>
  <c r="B156" i="4"/>
  <c r="S156" i="4" l="1"/>
  <c r="R155" i="4"/>
  <c r="Q155" i="4"/>
  <c r="K155" i="4"/>
  <c r="E155" i="4"/>
  <c r="D155" i="4"/>
  <c r="B155" i="4"/>
  <c r="S155" i="4" l="1"/>
  <c r="R19" i="3"/>
  <c r="Q19" i="3"/>
  <c r="E19" i="3"/>
  <c r="S19" i="3" s="1"/>
  <c r="R55" i="5"/>
  <c r="Q55" i="5"/>
  <c r="E55" i="5"/>
  <c r="S55" i="5" s="1"/>
  <c r="R153" i="4"/>
  <c r="Q153" i="4"/>
  <c r="K153" i="4"/>
  <c r="E153" i="4"/>
  <c r="D153" i="4"/>
  <c r="B153" i="4"/>
  <c r="R152" i="4"/>
  <c r="Q152" i="4"/>
  <c r="E152" i="4"/>
  <c r="D152" i="4"/>
  <c r="B152" i="4"/>
  <c r="R151" i="4"/>
  <c r="Q151" i="4"/>
  <c r="E151" i="4"/>
  <c r="S152" i="4" l="1"/>
  <c r="S153" i="4"/>
  <c r="S151" i="4"/>
  <c r="R150" i="4" l="1"/>
  <c r="Q150" i="4"/>
  <c r="K150" i="4"/>
  <c r="E150" i="4"/>
  <c r="D150" i="4"/>
  <c r="B150" i="4"/>
  <c r="S150" i="4" l="1"/>
  <c r="R149" i="4"/>
  <c r="Q149" i="4"/>
  <c r="K149" i="4"/>
  <c r="E149" i="4"/>
  <c r="D149" i="4"/>
  <c r="B149" i="4"/>
  <c r="S149" i="4" s="1"/>
  <c r="R54" i="5" l="1"/>
  <c r="Q54" i="5"/>
  <c r="K54" i="5"/>
  <c r="E54" i="5"/>
  <c r="D54" i="5"/>
  <c r="B54" i="5"/>
  <c r="S54" i="5" s="1"/>
  <c r="R148" i="4"/>
  <c r="Q148" i="4"/>
  <c r="K148" i="4"/>
  <c r="E148" i="4"/>
  <c r="D148" i="4"/>
  <c r="B148" i="4"/>
  <c r="S148" i="4" l="1"/>
  <c r="R147" i="4"/>
  <c r="Q147" i="4"/>
  <c r="K147" i="4"/>
  <c r="E147" i="4"/>
  <c r="D147" i="4"/>
  <c r="B147" i="4"/>
  <c r="S147" i="4" s="1"/>
  <c r="K146" i="4" l="1"/>
  <c r="E146" i="4"/>
  <c r="D146" i="4"/>
  <c r="B146" i="4"/>
  <c r="S146" i="4" l="1"/>
  <c r="R53" i="5"/>
  <c r="Q53" i="5"/>
  <c r="K53" i="5"/>
  <c r="E53" i="5"/>
  <c r="D53" i="5"/>
  <c r="B53" i="5"/>
  <c r="S53" i="5" s="1"/>
  <c r="R145" i="4" l="1"/>
  <c r="Q145" i="4"/>
  <c r="K145" i="4"/>
  <c r="E145" i="4"/>
  <c r="D145" i="4"/>
  <c r="B145" i="4"/>
  <c r="S145" i="4" l="1"/>
  <c r="R144" i="4"/>
  <c r="Q144" i="4"/>
  <c r="K144" i="4"/>
  <c r="E144" i="4"/>
  <c r="D144" i="4"/>
  <c r="B144" i="4"/>
  <c r="S144" i="4" l="1"/>
  <c r="R143" i="4"/>
  <c r="Q143" i="4"/>
  <c r="K143" i="4"/>
  <c r="E143" i="4"/>
  <c r="D143" i="4"/>
  <c r="B143" i="4"/>
  <c r="S143" i="4" l="1"/>
  <c r="S18" i="3"/>
  <c r="R52" i="5"/>
  <c r="M52" i="5"/>
  <c r="K52" i="5"/>
  <c r="E52" i="5"/>
  <c r="D52" i="5"/>
  <c r="B52" i="5"/>
  <c r="S51" i="5"/>
  <c r="R142" i="4"/>
  <c r="M142" i="4"/>
  <c r="K142" i="4"/>
  <c r="E142" i="4"/>
  <c r="D142" i="4"/>
  <c r="B142" i="4"/>
  <c r="Q141" i="4"/>
  <c r="E141" i="4"/>
  <c r="Q140" i="4"/>
  <c r="E140" i="4"/>
  <c r="S139" i="4"/>
  <c r="S140" i="4" l="1"/>
  <c r="S142" i="4"/>
  <c r="S141" i="4"/>
  <c r="S52" i="5"/>
  <c r="E138" i="4" l="1"/>
  <c r="S138" i="4" s="1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<sst xmlns="http://schemas.openxmlformats.org/spreadsheetml/2006/main" count="199" uniqueCount="52">
  <si>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</si>
  <si>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</si>
  <si>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</si>
  <si>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</si>
  <si>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</si>
  <si>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</si>
  <si>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</si>
  <si>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</si>
  <si>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</si>
  <si>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</si>
  <si>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</si>
  <si>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</si>
  <si>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</si>
  <si>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</si>
  <si>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</si>
  <si>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</si>
  <si>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</si>
  <si>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</si>
  <si>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</si>
  <si>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</si>
  <si>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</si>
  <si>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</si>
  <si>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</si>
  <si>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</si>
  <si>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</si>
  <si>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</si>
  <si>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</si>
  <si>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</si>
  <si>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</si>
  <si>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</si>
  <si>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</si>
  <si>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</si>
  <si>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</si>
  <si>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</si>
  <si>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</si>
  <si>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</si>
  <si>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</si>
  <si>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</si>
  <si>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</si>
  <si>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</si>
  <si>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</si>
  <si>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</si>
  <si>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</si>
  <si>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</si>
  <si>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</si>
  <si>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</si>
  <si>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</si>
  <si>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</si>
  <si>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</si>
  <si>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</si>
  <si>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Q4-2023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</si>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</sst>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19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165" fontId="0" fillId="0" borderId="0" xfId="0"/>
    <xf numFmtId="165" fontId="0" fillId="0" borderId="1" xfId="0" applyFont="1" applyBorder="1"/>
    <xf numFmtId="167" fontId="0" fillId="0" borderId="0" xfId="0" applyNumberFormat="1" applyFont="1" applyFill="1" applyBorder="1"/>
    <xf numFmtId="165" fontId="0" fillId="0" borderId="2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6" xfId="0" quotePrefix="1" applyNumberFormat="1" applyFont="1" applyFill="1" applyBorder="1" applyAlignment="1">
      <alignment horizontal="left"/>
    </xf>
    <xf numFmtId="165" fontId="11" fillId="0" borderId="6" xfId="0" applyNumberFormat="1" applyFont="1" applyBorder="1" applyAlignment="1" applyProtection="1">
      <alignment horizontal="right"/>
    </xf>
    <xf numFmtId="165" fontId="11" fillId="0" borderId="6" xfId="0" quotePrefix="1" applyNumberFormat="1" applyFont="1" applyBorder="1" applyAlignment="1" applyProtection="1">
      <alignment horizontal="right"/>
    </xf>
    <xf numFmtId="165" fontId="11" fillId="0" borderId="6" xfId="0" applyNumberFormat="1" applyFont="1" applyFill="1" applyBorder="1" applyAlignment="1" applyProtection="1">
      <alignment horizontal="right"/>
    </xf>
    <xf numFmtId="166" fontId="11" fillId="0" borderId="6" xfId="1" applyNumberFormat="1" applyFont="1" applyFill="1" applyBorder="1" applyAlignment="1" applyProtection="1">
      <alignment horizontal="right"/>
    </xf>
    <xf numFmtId="167" fontId="11" fillId="0" borderId="6" xfId="0" applyNumberFormat="1" applyFont="1" applyFill="1" applyBorder="1" applyAlignment="1" applyProtection="1">
      <alignment horizontal="right"/>
    </xf>
    <xf numFmtId="165" fontId="11" fillId="2" borderId="6" xfId="0" applyNumberFormat="1" applyFont="1" applyFill="1" applyBorder="1" applyAlignment="1" applyProtection="1">
      <alignment horizontal="right"/>
    </xf>
    <xf numFmtId="165" fontId="11" fillId="0" borderId="6" xfId="0" applyFont="1" applyBorder="1"/>
    <xf numFmtId="165" fontId="11" fillId="0" borderId="6" xfId="0" applyFont="1" applyFill="1" applyBorder="1"/>
    <xf numFmtId="167" fontId="11" fillId="0" borderId="6" xfId="0" applyNumberFormat="1" applyFont="1" applyFill="1" applyBorder="1"/>
    <xf numFmtId="165" fontId="11" fillId="2" borderId="6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6" fillId="0" borderId="0" xfId="0" applyFont="1"/>
    <xf numFmtId="168" fontId="11" fillId="2" borderId="7" xfId="0" quotePrefix="1" applyNumberFormat="1" applyFont="1" applyFill="1" applyBorder="1" applyAlignment="1">
      <alignment horizontal="left"/>
    </xf>
    <xf numFmtId="165" fontId="11" fillId="0" borderId="7" xfId="0" applyFont="1" applyBorder="1"/>
    <xf numFmtId="165" fontId="11" fillId="2" borderId="7" xfId="0" applyFont="1" applyFill="1" applyBorder="1"/>
    <xf numFmtId="165" fontId="11" fillId="0" borderId="7" xfId="0" applyNumberFormat="1" applyFont="1" applyBorder="1" applyAlignment="1" applyProtection="1">
      <alignment horizontal="right"/>
    </xf>
    <xf numFmtId="165" fontId="11" fillId="0" borderId="7" xfId="0" applyNumberFormat="1" applyFont="1" applyFill="1" applyBorder="1" applyAlignment="1" applyProtection="1">
      <alignment horizontal="right"/>
    </xf>
    <xf numFmtId="166" fontId="11" fillId="0" borderId="7" xfId="1" applyNumberFormat="1" applyFont="1" applyFill="1" applyBorder="1" applyAlignment="1" applyProtection="1">
      <alignment horizontal="right"/>
    </xf>
    <xf numFmtId="167" fontId="11" fillId="0" borderId="7" xfId="0" applyNumberFormat="1" applyFont="1" applyFill="1" applyBorder="1"/>
    <xf numFmtId="165" fontId="14" fillId="0" borderId="3" xfId="0" applyFont="1" applyBorder="1"/>
    <xf numFmtId="165" fontId="16" fillId="0" borderId="4" xfId="0" applyFont="1" applyBorder="1"/>
    <xf numFmtId="165" fontId="16" fillId="0" borderId="5" xfId="0" applyFont="1" applyBorder="1"/>
    <xf numFmtId="165" fontId="14" fillId="5" borderId="6" xfId="0" applyNumberFormat="1" applyFont="1" applyFill="1" applyBorder="1" applyAlignment="1" applyProtection="1">
      <alignment horizontal="center" vertical="center" wrapText="1"/>
    </xf>
    <xf numFmtId="165" fontId="16" fillId="0" borderId="0" xfId="0" applyFont="1" applyBorder="1"/>
    <xf numFmtId="165" fontId="6" fillId="3" borderId="8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7" fillId="0" borderId="0" xfId="2" applyNumberFormat="1" applyFont="1" applyAlignment="1" applyProtection="1"/>
    <xf numFmtId="165" fontId="18" fillId="0" borderId="0" xfId="0" applyFont="1"/>
    <xf numFmtId="165" fontId="15" fillId="0" borderId="6" xfId="0" applyFont="1" applyBorder="1" applyAlignment="1">
      <alignment horizontal="center"/>
    </xf>
    <xf numFmtId="168" fontId="11" fillId="0" borderId="6" xfId="0" applyNumberFormat="1" applyFont="1" applyBorder="1" applyAlignment="1">
      <alignment horizontal="left"/>
    </xf>
    <xf numFmtId="165" fontId="10" fillId="0" borderId="6" xfId="0" applyFont="1" applyBorder="1" applyAlignment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2" xfId="0" applyNumberFormat="1" applyFont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left"/>
    </xf>
    <xf numFmtId="165" fontId="14" fillId="5" borderId="6" xfId="0" applyNumberFormat="1" applyFont="1" applyFill="1" applyBorder="1" applyAlignment="1" applyProtection="1">
      <alignment horizontal="center" vertical="center" wrapText="1"/>
    </xf>
    <xf numFmtId="165" fontId="14" fillId="5" borderId="6" xfId="0" applyNumberFormat="1" applyFont="1" applyFill="1" applyBorder="1" applyAlignment="1" applyProtection="1">
      <alignment horizontal="center" vertical="center"/>
    </xf>
    <xf numFmtId="167" fontId="14" fillId="5" borderId="6" xfId="0" applyNumberFormat="1" applyFont="1" applyFill="1" applyBorder="1" applyAlignment="1" applyProtection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2" xfId="0" applyNumberFormat="1" applyFont="1" applyBorder="1" applyAlignment="1" applyProtection="1">
      <alignment horizontal="center" vertical="center"/>
    </xf>
    <xf numFmtId="167" fontId="14" fillId="5" borderId="9" xfId="0" applyNumberFormat="1" applyFont="1" applyFill="1" applyBorder="1" applyAlignment="1" applyProtection="1">
      <alignment horizontal="center" vertical="center"/>
    </xf>
    <xf numFmtId="167" fontId="14" fillId="5" borderId="10" xfId="0" applyNumberFormat="1" applyFont="1" applyFill="1" applyBorder="1" applyAlignment="1" applyProtection="1">
      <alignment horizontal="center" vertical="center"/>
    </xf>
    <xf numFmtId="165" fontId="14" fillId="6" borderId="6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1" workbookViewId="0">
      <selection activeCell="F15" sqref="F15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0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1">
        <v>45292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2" t="s">
        <v>50</v>
      </c>
    </row>
    <row r="14" spans="2:5" x14ac:dyDescent="0.25">
      <c r="B14" s="16" t="s">
        <v>25</v>
      </c>
      <c r="C14" s="17" t="s">
        <v>33</v>
      </c>
      <c r="D14" s="17" t="s">
        <v>25</v>
      </c>
      <c r="E14" s="53" t="s">
        <v>51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58" t="s">
        <v>46</v>
      </c>
    </row>
    <row r="25" spans="2:3" x14ac:dyDescent="0.25">
      <c r="B25" s="56" t="s">
        <v>36</v>
      </c>
    </row>
    <row r="26" spans="2:3" x14ac:dyDescent="0.25">
      <c r="B26" s="56" t="s">
        <v>5</v>
      </c>
    </row>
    <row r="27" spans="2:3" x14ac:dyDescent="0.25">
      <c r="B27" s="56" t="s">
        <v>6</v>
      </c>
    </row>
    <row r="28" spans="2:3" x14ac:dyDescent="0.25">
      <c r="B28" s="56" t="s">
        <v>47</v>
      </c>
    </row>
    <row r="29" spans="2:3" x14ac:dyDescent="0.25">
      <c r="B29" s="56" t="s">
        <v>7</v>
      </c>
    </row>
    <row r="30" spans="2:3" x14ac:dyDescent="0.25">
      <c r="B30" s="56" t="s">
        <v>8</v>
      </c>
    </row>
    <row r="31" spans="2:3" x14ac:dyDescent="0.25">
      <c r="B31" s="56" t="s">
        <v>9</v>
      </c>
    </row>
    <row r="32" spans="2:3" x14ac:dyDescent="0.25">
      <c r="B32" s="56" t="s">
        <v>10</v>
      </c>
    </row>
    <row r="33" spans="2:2" x14ac:dyDescent="0.25">
      <c r="B33" s="56" t="s">
        <v>45</v>
      </c>
    </row>
    <row r="34" spans="2:2" x14ac:dyDescent="0.25">
      <c r="B34" s="56" t="s">
        <v>11</v>
      </c>
    </row>
    <row r="35" spans="2:2" x14ac:dyDescent="0.25">
      <c r="B35" s="56" t="s">
        <v>42</v>
      </c>
    </row>
    <row r="36" spans="2:2" x14ac:dyDescent="0.25">
      <c r="B36" s="56" t="s">
        <v>43</v>
      </c>
    </row>
    <row r="37" spans="2:2" x14ac:dyDescent="0.25">
      <c r="B37" s="56" t="s">
        <v>12</v>
      </c>
    </row>
    <row r="38" spans="2:2" x14ac:dyDescent="0.25">
      <c r="B38" s="56" t="s">
        <v>13</v>
      </c>
    </row>
    <row r="39" spans="2:2" x14ac:dyDescent="0.25">
      <c r="B39" s="56" t="s">
        <v>14</v>
      </c>
    </row>
    <row r="40" spans="2:2" x14ac:dyDescent="0.25">
      <c r="B40" s="56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17"/>
  <sheetViews>
    <sheetView tabSelected="1" zoomScale="80" zoomScaleNormal="80" workbookViewId="0">
      <pane xSplit="1" ySplit="7" topLeftCell="I186" activePane="bottomRight" state="frozen"/>
      <selection pane="topRight" activeCell="B1" sqref="B1"/>
      <selection pane="bottomLeft" activeCell="A7" sqref="A7"/>
      <selection pane="bottomRight" activeCell="U191" sqref="U191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2.88671875" customWidth="1"/>
    <col min="17" max="17" width="14.44140625" customWidth="1"/>
    <col min="19" max="19" width="13.77734375" customWidth="1"/>
  </cols>
  <sheetData>
    <row r="1" spans="1:19" s="55" customFormat="1" ht="15" x14ac:dyDescent="0.25">
      <c r="A1" s="54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66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</row>
    <row r="5" spans="1:19" s="37" customFormat="1" ht="18.75" x14ac:dyDescent="0.3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</row>
    <row r="6" spans="1:19" s="37" customFormat="1" ht="18.75" x14ac:dyDescent="0.3">
      <c r="A6" s="69" t="s">
        <v>49</v>
      </c>
      <c r="B6" s="64" t="s">
        <v>4</v>
      </c>
      <c r="C6" s="63" t="s">
        <v>5</v>
      </c>
      <c r="D6" s="63" t="s">
        <v>41</v>
      </c>
      <c r="E6" s="71" t="s">
        <v>47</v>
      </c>
      <c r="F6" s="71"/>
      <c r="G6" s="71"/>
      <c r="H6" s="63" t="s">
        <v>7</v>
      </c>
      <c r="I6" s="63" t="s">
        <v>8</v>
      </c>
      <c r="J6" s="63" t="s">
        <v>9</v>
      </c>
      <c r="K6" s="63" t="s">
        <v>10</v>
      </c>
      <c r="L6" s="63" t="s">
        <v>45</v>
      </c>
      <c r="M6" s="63" t="s">
        <v>11</v>
      </c>
      <c r="N6" s="63" t="s">
        <v>42</v>
      </c>
      <c r="O6" s="63" t="s">
        <v>43</v>
      </c>
      <c r="P6" s="64" t="s">
        <v>12</v>
      </c>
      <c r="Q6" s="65" t="s">
        <v>13</v>
      </c>
      <c r="R6" s="63" t="s">
        <v>14</v>
      </c>
      <c r="S6" s="64" t="s">
        <v>15</v>
      </c>
    </row>
    <row r="7" spans="1:19" s="37" customFormat="1" ht="90" customHeight="1" x14ac:dyDescent="0.3">
      <c r="A7" s="70"/>
      <c r="B7" s="64"/>
      <c r="C7" s="63"/>
      <c r="D7" s="63"/>
      <c r="E7" s="48" t="s">
        <v>4</v>
      </c>
      <c r="F7" s="48" t="s">
        <v>5</v>
      </c>
      <c r="G7" s="48" t="s">
        <v>48</v>
      </c>
      <c r="H7" s="63"/>
      <c r="I7" s="63"/>
      <c r="J7" s="63"/>
      <c r="K7" s="63"/>
      <c r="L7" s="63"/>
      <c r="M7" s="63"/>
      <c r="N7" s="63"/>
      <c r="O7" s="63"/>
      <c r="P7" s="64"/>
      <c r="Q7" s="65"/>
      <c r="R7" s="63"/>
      <c r="S7" s="64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57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57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57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57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57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57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57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:S139" si="2">SUM(B137:R137)</f>
        <v>2313791.5</v>
      </c>
    </row>
    <row r="138" spans="1:19" s="23" customFormat="1" x14ac:dyDescent="0.25">
      <c r="A138" s="57">
        <v>43405</v>
      </c>
      <c r="B138" s="39">
        <v>755614.39999999991</v>
      </c>
      <c r="C138" s="39">
        <v>344509.99999999994</v>
      </c>
      <c r="D138" s="40">
        <v>140370.79999999999</v>
      </c>
      <c r="E138" s="40">
        <f>58.4+44872.1</f>
        <v>44930.5</v>
      </c>
      <c r="F138" s="40">
        <v>39176.6</v>
      </c>
      <c r="G138" s="40">
        <v>758.7</v>
      </c>
      <c r="H138" s="41">
        <v>3136.6</v>
      </c>
      <c r="I138" s="41">
        <v>5444.7</v>
      </c>
      <c r="J138" s="41">
        <v>235456.3</v>
      </c>
      <c r="K138" s="39">
        <v>60327.5</v>
      </c>
      <c r="L138" s="41">
        <v>22873.5</v>
      </c>
      <c r="M138" s="41">
        <v>920.6</v>
      </c>
      <c r="N138" s="41">
        <v>180998.6</v>
      </c>
      <c r="O138" s="42">
        <v>242893.49999999997</v>
      </c>
      <c r="P138" s="43">
        <v>83296.100000000006</v>
      </c>
      <c r="Q138" s="44">
        <v>110.20000000000027</v>
      </c>
      <c r="R138" s="40">
        <v>148815.69999999998</v>
      </c>
      <c r="S138" s="27">
        <f t="shared" si="2"/>
        <v>2309634.3000000007</v>
      </c>
    </row>
    <row r="139" spans="1:19" s="23" customFormat="1" x14ac:dyDescent="0.25">
      <c r="A139" s="57">
        <v>43465</v>
      </c>
      <c r="B139" s="39">
        <v>768239.6</v>
      </c>
      <c r="C139" s="39">
        <v>346751.4</v>
      </c>
      <c r="D139" s="40">
        <v>141412.09999999998</v>
      </c>
      <c r="E139" s="40">
        <v>36886.5</v>
      </c>
      <c r="F139" s="40">
        <v>35997.4</v>
      </c>
      <c r="G139" s="40">
        <v>1023.4</v>
      </c>
      <c r="H139" s="41">
        <v>3637.7999999999993</v>
      </c>
      <c r="I139" s="41">
        <v>4437.6000000000004</v>
      </c>
      <c r="J139" s="41">
        <v>249568.7</v>
      </c>
      <c r="K139" s="39">
        <v>72439.7</v>
      </c>
      <c r="L139" s="41">
        <v>20202.199999999997</v>
      </c>
      <c r="M139" s="41">
        <v>960.2</v>
      </c>
      <c r="N139" s="41">
        <v>182222.7</v>
      </c>
      <c r="O139" s="42">
        <v>244861.3</v>
      </c>
      <c r="P139" s="43">
        <v>72531.399999999994</v>
      </c>
      <c r="Q139" s="44">
        <v>-1427.4999999999998</v>
      </c>
      <c r="R139" s="40">
        <v>130520.1</v>
      </c>
      <c r="S139" s="27">
        <f t="shared" si="2"/>
        <v>2310264.5999999996</v>
      </c>
    </row>
    <row r="140" spans="1:19" s="23" customFormat="1" x14ac:dyDescent="0.25">
      <c r="A140" s="57">
        <v>43496</v>
      </c>
      <c r="B140" s="39">
        <v>822532.5</v>
      </c>
      <c r="C140" s="39">
        <v>360153</v>
      </c>
      <c r="D140" s="40">
        <v>140667</v>
      </c>
      <c r="E140" s="40">
        <f>21611.3+58.4</f>
        <v>21669.7</v>
      </c>
      <c r="F140" s="40">
        <v>43362.8</v>
      </c>
      <c r="G140" s="40">
        <v>779.5</v>
      </c>
      <c r="H140" s="41">
        <v>2466.7000000000003</v>
      </c>
      <c r="I140" s="41">
        <v>2422.4</v>
      </c>
      <c r="J140" s="41">
        <v>249068.6</v>
      </c>
      <c r="K140" s="39">
        <v>51614.2</v>
      </c>
      <c r="L140" s="41">
        <v>19926.599999999999</v>
      </c>
      <c r="M140" s="41">
        <v>877.6</v>
      </c>
      <c r="N140" s="41">
        <v>185965.4</v>
      </c>
      <c r="O140" s="42">
        <v>244471.1</v>
      </c>
      <c r="P140" s="43">
        <v>82320.2</v>
      </c>
      <c r="Q140" s="44">
        <f>-6675.7+5001.4</f>
        <v>-1674.3000000000002</v>
      </c>
      <c r="R140" s="40">
        <v>130555.7</v>
      </c>
      <c r="S140" s="27">
        <f t="shared" ref="S140:S197" si="3">SUM(B140:R140)</f>
        <v>2357178.7000000007</v>
      </c>
    </row>
    <row r="141" spans="1:19" s="23" customFormat="1" x14ac:dyDescent="0.25">
      <c r="A141" s="57">
        <v>43524</v>
      </c>
      <c r="B141" s="39">
        <v>836435.59999999974</v>
      </c>
      <c r="C141" s="39">
        <v>353836.3</v>
      </c>
      <c r="D141" s="40">
        <v>143471.20000000001</v>
      </c>
      <c r="E141" s="40">
        <f>41303.5+58.4</f>
        <v>41361.9</v>
      </c>
      <c r="F141" s="40">
        <v>40793.200000000004</v>
      </c>
      <c r="G141" s="40">
        <v>743.5</v>
      </c>
      <c r="H141" s="41">
        <v>3716.9999999999995</v>
      </c>
      <c r="I141" s="41">
        <v>4500.1000000000004</v>
      </c>
      <c r="J141" s="41">
        <v>267212.10000000003</v>
      </c>
      <c r="K141" s="39">
        <v>49250.500000000007</v>
      </c>
      <c r="L141" s="41">
        <v>24633.699999999997</v>
      </c>
      <c r="M141" s="41">
        <v>882.19999999999993</v>
      </c>
      <c r="N141" s="41">
        <v>188555.49999999997</v>
      </c>
      <c r="O141" s="42">
        <v>244398.9</v>
      </c>
      <c r="P141" s="43">
        <v>89647.5</v>
      </c>
      <c r="Q141" s="44">
        <f>44.9+0+260.3-27.5-0-31.4-1.4</f>
        <v>244.89999999999998</v>
      </c>
      <c r="R141" s="40">
        <v>133122.9</v>
      </c>
      <c r="S141" s="27">
        <f t="shared" si="3"/>
        <v>2422806.9999999995</v>
      </c>
    </row>
    <row r="142" spans="1:19" s="23" customFormat="1" x14ac:dyDescent="0.25">
      <c r="A142" s="57">
        <v>43555</v>
      </c>
      <c r="B142" s="39">
        <f>830900.1+18699.4</f>
        <v>849599.5</v>
      </c>
      <c r="C142" s="39">
        <v>360524.2</v>
      </c>
      <c r="D142" s="40">
        <f>121032.6+26391</f>
        <v>147423.6</v>
      </c>
      <c r="E142" s="40">
        <f>42170+58.4</f>
        <v>42228.4</v>
      </c>
      <c r="F142" s="40">
        <v>41693.4</v>
      </c>
      <c r="G142" s="40">
        <v>773.2</v>
      </c>
      <c r="H142" s="41">
        <v>5116.8</v>
      </c>
      <c r="I142" s="41">
        <v>4523.8</v>
      </c>
      <c r="J142" s="41">
        <v>287105</v>
      </c>
      <c r="K142" s="39">
        <f>35733.8+11845.2+39025.9</f>
        <v>86604.9</v>
      </c>
      <c r="L142" s="41">
        <v>22691.9</v>
      </c>
      <c r="M142" s="41">
        <f>21.5+786.3</f>
        <v>807.8</v>
      </c>
      <c r="N142" s="41">
        <v>196903.4</v>
      </c>
      <c r="O142" s="42">
        <v>269775.5</v>
      </c>
      <c r="P142" s="43">
        <v>48614</v>
      </c>
      <c r="Q142" s="44">
        <v>3258.5</v>
      </c>
      <c r="R142" s="40">
        <f>71880.5+89003.8+3129.1-18699.4-11845.2</f>
        <v>133468.79999999999</v>
      </c>
      <c r="S142" s="27">
        <f t="shared" si="3"/>
        <v>2501112.6999999993</v>
      </c>
    </row>
    <row r="143" spans="1:19" s="23" customFormat="1" x14ac:dyDescent="0.25">
      <c r="A143" s="57">
        <v>43556</v>
      </c>
      <c r="B143" s="39">
        <f>845684.2+16100.4</f>
        <v>861784.6</v>
      </c>
      <c r="C143" s="39">
        <v>361614.9</v>
      </c>
      <c r="D143" s="40">
        <f>21540.4+121425.3</f>
        <v>142965.70000000001</v>
      </c>
      <c r="E143" s="40">
        <f>38062.2+58.4</f>
        <v>38120.6</v>
      </c>
      <c r="F143" s="40">
        <v>43638.8</v>
      </c>
      <c r="G143" s="40">
        <v>738.1</v>
      </c>
      <c r="H143" s="41">
        <v>3310.3</v>
      </c>
      <c r="I143" s="41">
        <v>4492.3</v>
      </c>
      <c r="J143" s="41">
        <v>295103.8</v>
      </c>
      <c r="K143" s="39">
        <f>1807.8+10988.7+47443.8</f>
        <v>60240.3</v>
      </c>
      <c r="L143" s="41">
        <v>17022.2</v>
      </c>
      <c r="M143" s="41">
        <v>807.7</v>
      </c>
      <c r="N143" s="41">
        <v>197777.1</v>
      </c>
      <c r="O143" s="42">
        <v>271061.59999999998</v>
      </c>
      <c r="P143" s="43">
        <v>62743.199999999997</v>
      </c>
      <c r="Q143" s="44">
        <f>319.1+791.6-3.6-33.2-31.4-4.7</f>
        <v>1037.8</v>
      </c>
      <c r="R143" s="40">
        <f>60674.9+85740.6+2396.7-16100.4-10988.7</f>
        <v>121723.10000000002</v>
      </c>
      <c r="S143" s="27">
        <f t="shared" si="3"/>
        <v>2484182.1000000006</v>
      </c>
    </row>
    <row r="144" spans="1:19" s="23" customFormat="1" x14ac:dyDescent="0.25">
      <c r="A144" s="57">
        <v>43616</v>
      </c>
      <c r="B144" s="39">
        <f>879505.7+17958.3</f>
        <v>897464</v>
      </c>
      <c r="C144" s="39">
        <v>369521.6</v>
      </c>
      <c r="D144" s="40">
        <f>19836.8+117717.6</f>
        <v>137554.4</v>
      </c>
      <c r="E144" s="40">
        <f>33757+58.4</f>
        <v>33815.4</v>
      </c>
      <c r="F144" s="40">
        <v>45062.1</v>
      </c>
      <c r="G144" s="40">
        <v>782.5</v>
      </c>
      <c r="H144" s="41">
        <v>3170.4</v>
      </c>
      <c r="I144" s="41">
        <v>4586.7</v>
      </c>
      <c r="J144" s="41">
        <v>320092.09999999998</v>
      </c>
      <c r="K144" s="39">
        <f>9699.8+11945.5+36787.6</f>
        <v>58432.899999999994</v>
      </c>
      <c r="L144" s="41">
        <v>25015.8</v>
      </c>
      <c r="M144" s="41">
        <v>801.5</v>
      </c>
      <c r="N144" s="41">
        <v>198646.2</v>
      </c>
      <c r="O144" s="42">
        <v>279015.59999999998</v>
      </c>
      <c r="P144" s="43">
        <v>58688.9</v>
      </c>
      <c r="Q144" s="44">
        <f>9305.8+7501.2-844.1-11830.7-31.4-4.7</f>
        <v>4096.0999999999995</v>
      </c>
      <c r="R144" s="40">
        <f>64902+88177.2+1929.2-11945.5-17958.3</f>
        <v>125104.60000000002</v>
      </c>
      <c r="S144" s="27">
        <f t="shared" si="3"/>
        <v>2561850.7999999998</v>
      </c>
    </row>
    <row r="145" spans="1:19" s="23" customFormat="1" x14ac:dyDescent="0.25">
      <c r="A145" s="57">
        <v>43617</v>
      </c>
      <c r="B145" s="39">
        <f>883112+35432.4</f>
        <v>918544.4</v>
      </c>
      <c r="C145" s="39">
        <v>384199</v>
      </c>
      <c r="D145" s="40">
        <f>21144.9+119745.4</f>
        <v>140890.29999999999</v>
      </c>
      <c r="E145" s="40">
        <f>33415.3+58.4</f>
        <v>33473.700000000004</v>
      </c>
      <c r="F145" s="40">
        <v>45316</v>
      </c>
      <c r="G145" s="40">
        <v>784.9</v>
      </c>
      <c r="H145" s="41">
        <v>5296.3</v>
      </c>
      <c r="I145" s="41">
        <v>4605</v>
      </c>
      <c r="J145" s="41">
        <v>334675.3</v>
      </c>
      <c r="K145" s="39">
        <f>29603.4+9328.2+40739.2</f>
        <v>79670.8</v>
      </c>
      <c r="L145" s="41">
        <v>23651.200000000001</v>
      </c>
      <c r="M145" s="41">
        <v>807.1</v>
      </c>
      <c r="N145" s="41">
        <v>199660</v>
      </c>
      <c r="O145" s="42">
        <v>279968.5</v>
      </c>
      <c r="P145" s="43">
        <v>64021.4</v>
      </c>
      <c r="Q145" s="44">
        <f>165.2+2000.8-381.5-2003.6-31.4-3.5</f>
        <v>-253.99999999999991</v>
      </c>
      <c r="R145" s="40">
        <f>86888.9+93900.6+1980.8-9328.2-35432.4</f>
        <v>138009.69999999998</v>
      </c>
      <c r="S145" s="27">
        <f t="shared" si="3"/>
        <v>2653319.6</v>
      </c>
    </row>
    <row r="146" spans="1:19" s="23" customFormat="1" x14ac:dyDescent="0.25">
      <c r="A146" s="57">
        <v>43677</v>
      </c>
      <c r="B146" s="39">
        <f>917090.5+17843.4</f>
        <v>934933.9</v>
      </c>
      <c r="C146" s="39">
        <v>378991.5</v>
      </c>
      <c r="D146" s="40">
        <f>20933+122025.5</f>
        <v>142958.5</v>
      </c>
      <c r="E146" s="40">
        <f>22592+58.4</f>
        <v>22650.400000000001</v>
      </c>
      <c r="F146" s="40">
        <v>42263.8</v>
      </c>
      <c r="G146" s="40">
        <v>1110.1999999999998</v>
      </c>
      <c r="H146" s="41">
        <v>3422.3</v>
      </c>
      <c r="I146" s="41">
        <v>4645.6000000000004</v>
      </c>
      <c r="J146" s="41">
        <v>349600.4</v>
      </c>
      <c r="K146" s="39">
        <f>9464.2+9488.6+39333.7</f>
        <v>58286.5</v>
      </c>
      <c r="L146" s="41">
        <v>21066.5</v>
      </c>
      <c r="M146" s="41">
        <v>823.90000000000009</v>
      </c>
      <c r="N146" s="41">
        <v>231174</v>
      </c>
      <c r="O146" s="42">
        <v>280107.3</v>
      </c>
      <c r="P146" s="43">
        <v>74769</v>
      </c>
      <c r="Q146" s="44">
        <v>-20948.099999999999</v>
      </c>
      <c r="R146" s="40">
        <v>134382.39999999999</v>
      </c>
      <c r="S146" s="27">
        <f t="shared" si="3"/>
        <v>2660238.0999999996</v>
      </c>
    </row>
    <row r="147" spans="1:19" s="23" customFormat="1" x14ac:dyDescent="0.25">
      <c r="A147" s="57">
        <v>43678</v>
      </c>
      <c r="B147" s="39">
        <f>931394+14925.8</f>
        <v>946319.8</v>
      </c>
      <c r="C147" s="39">
        <v>383572.8</v>
      </c>
      <c r="D147" s="40">
        <f>21157.2+122509.3</f>
        <v>143666.5</v>
      </c>
      <c r="E147" s="40">
        <f>25771.9+56.2</f>
        <v>25828.100000000002</v>
      </c>
      <c r="F147" s="40">
        <v>41449.9</v>
      </c>
      <c r="G147" s="40">
        <v>1066.8999999999999</v>
      </c>
      <c r="H147" s="41">
        <v>6192.2999999999984</v>
      </c>
      <c r="I147" s="41">
        <v>4666.2000000000007</v>
      </c>
      <c r="J147" s="41">
        <v>342795</v>
      </c>
      <c r="K147" s="39">
        <f>8470.8+10429.6+42090.3</f>
        <v>60990.700000000004</v>
      </c>
      <c r="L147" s="41">
        <v>20171.599999999999</v>
      </c>
      <c r="M147" s="41">
        <v>840</v>
      </c>
      <c r="N147" s="41">
        <v>221742.39999999997</v>
      </c>
      <c r="O147" s="42">
        <v>281778</v>
      </c>
      <c r="P147" s="43">
        <v>84939</v>
      </c>
      <c r="Q147" s="44">
        <f>23481.8+0-270.2-28473-31.4-0.1</f>
        <v>-5292.9000000000015</v>
      </c>
      <c r="R147" s="40">
        <f>62894.2+96830.8+2799.1-10429.6-14925.8</f>
        <v>137168.70000000001</v>
      </c>
      <c r="S147" s="27">
        <f t="shared" si="3"/>
        <v>2697895.0000000005</v>
      </c>
    </row>
    <row r="148" spans="1:19" s="23" customFormat="1" x14ac:dyDescent="0.25">
      <c r="A148" s="57">
        <v>43738</v>
      </c>
      <c r="B148" s="31">
        <f>940224.1+11001.8</f>
        <v>951225.9</v>
      </c>
      <c r="C148" s="31">
        <v>377943.99999999994</v>
      </c>
      <c r="D148" s="34">
        <f>20172.8+125072</f>
        <v>145244.79999999999</v>
      </c>
      <c r="E148" s="34">
        <f>33907.9+58.4</f>
        <v>33966.300000000003</v>
      </c>
      <c r="F148" s="34">
        <v>37680.5</v>
      </c>
      <c r="G148" s="34">
        <v>1051.9999999999998</v>
      </c>
      <c r="H148" s="25">
        <v>4654.6000000000004</v>
      </c>
      <c r="I148" s="25">
        <v>4591.7</v>
      </c>
      <c r="J148" s="25">
        <v>393162.60000000003</v>
      </c>
      <c r="K148" s="31">
        <f>19187.6+11457.2+41442</f>
        <v>72086.8</v>
      </c>
      <c r="L148" s="25">
        <v>20434.300000000003</v>
      </c>
      <c r="M148" s="25">
        <v>843.9</v>
      </c>
      <c r="N148" s="25">
        <v>223096</v>
      </c>
      <c r="O148" s="27">
        <v>282742.8</v>
      </c>
      <c r="P148" s="28">
        <v>96432.3</v>
      </c>
      <c r="Q148" s="33">
        <f>4759.4+0+24.3-6253.7-31.4-0.1</f>
        <v>-1501.5</v>
      </c>
      <c r="R148" s="34">
        <f>67293.7+94223.8+2985.9-11457.2-11001.8</f>
        <v>142044.4</v>
      </c>
      <c r="S148" s="27">
        <f t="shared" si="3"/>
        <v>2785701.4</v>
      </c>
    </row>
    <row r="149" spans="1:19" s="23" customFormat="1" x14ac:dyDescent="0.25">
      <c r="A149" s="57">
        <v>43739</v>
      </c>
      <c r="B149" s="31">
        <f>911372.4+8744.2</f>
        <v>920116.6</v>
      </c>
      <c r="C149" s="31">
        <v>398486.00000000006</v>
      </c>
      <c r="D149" s="34">
        <f>20145.7+123101.3</f>
        <v>143247</v>
      </c>
      <c r="E149" s="34">
        <f>38741.9+58.4</f>
        <v>38800.300000000003</v>
      </c>
      <c r="F149" s="34">
        <v>47789.1</v>
      </c>
      <c r="G149" s="34">
        <v>1044.0000000000002</v>
      </c>
      <c r="H149" s="25">
        <v>7033.7999999999993</v>
      </c>
      <c r="I149" s="25">
        <v>4627.8999999999996</v>
      </c>
      <c r="J149" s="25">
        <v>413805.2</v>
      </c>
      <c r="K149" s="31">
        <f>7509.3+12254.1+40236.9</f>
        <v>60000.3</v>
      </c>
      <c r="L149" s="25">
        <v>30107.299999999996</v>
      </c>
      <c r="M149" s="25">
        <v>868.30000000000007</v>
      </c>
      <c r="N149" s="25">
        <v>216587.20000000004</v>
      </c>
      <c r="O149" s="27">
        <v>282913.5</v>
      </c>
      <c r="P149" s="28">
        <v>107692.40000000001</v>
      </c>
      <c r="Q149" s="33">
        <f>9737.1+0-1.4-20233.2-31.4-0.1</f>
        <v>-10529</v>
      </c>
      <c r="R149" s="34">
        <f>64876.5+90325.6+2979.3-12254.1-8744.2</f>
        <v>137183.09999999998</v>
      </c>
      <c r="S149" s="27">
        <f t="shared" si="3"/>
        <v>2799773.0000000005</v>
      </c>
    </row>
    <row r="150" spans="1:19" s="23" customFormat="1" x14ac:dyDescent="0.25">
      <c r="A150" s="57">
        <v>43799</v>
      </c>
      <c r="B150" s="31">
        <f>844530.1+9359.1</f>
        <v>853889.2</v>
      </c>
      <c r="C150" s="31">
        <v>479912.69999999995</v>
      </c>
      <c r="D150" s="34">
        <f>19884.7+123394.4</f>
        <v>143279.1</v>
      </c>
      <c r="E150" s="34">
        <f>56892.1+58.4</f>
        <v>56950.5</v>
      </c>
      <c r="F150" s="34">
        <v>43721.3</v>
      </c>
      <c r="G150" s="34">
        <v>1095.8000000000002</v>
      </c>
      <c r="H150" s="25">
        <v>6393.2999999999993</v>
      </c>
      <c r="I150" s="25">
        <v>4653.2999999999993</v>
      </c>
      <c r="J150" s="25">
        <v>406709.49999999994</v>
      </c>
      <c r="K150" s="31">
        <f>6432+12829.4+54337.9</f>
        <v>73599.3</v>
      </c>
      <c r="L150" s="25">
        <v>29939</v>
      </c>
      <c r="M150" s="25">
        <v>1689.4</v>
      </c>
      <c r="N150" s="25">
        <v>218706.9</v>
      </c>
      <c r="O150" s="27">
        <v>283069.8</v>
      </c>
      <c r="P150" s="28">
        <v>112941.40000000001</v>
      </c>
      <c r="Q150" s="33">
        <f>17918.9+1800+0.6-12209.8-31.4-2.1</f>
        <v>7476.2000000000007</v>
      </c>
      <c r="R150" s="34">
        <f>63982.2+91597.8+3471.7-12829.4-9359.1</f>
        <v>136863.20000000001</v>
      </c>
      <c r="S150" s="27">
        <f t="shared" si="3"/>
        <v>2860889.9</v>
      </c>
    </row>
    <row r="151" spans="1:19" s="23" customFormat="1" x14ac:dyDescent="0.25">
      <c r="A151" s="57">
        <v>43800</v>
      </c>
      <c r="B151" s="31">
        <v>889356.69999999984</v>
      </c>
      <c r="C151" s="31">
        <v>497195.6</v>
      </c>
      <c r="D151" s="34">
        <v>147319.79999999999</v>
      </c>
      <c r="E151" s="34">
        <f>42949.2+58.4</f>
        <v>43007.6</v>
      </c>
      <c r="F151" s="34">
        <v>52965.500000000007</v>
      </c>
      <c r="G151" s="34">
        <v>1109.6999999999998</v>
      </c>
      <c r="H151" s="25">
        <v>5917.9</v>
      </c>
      <c r="I151" s="25">
        <v>4674.6000000000004</v>
      </c>
      <c r="J151" s="25">
        <v>427469.4</v>
      </c>
      <c r="K151" s="31">
        <v>82888.800000000003</v>
      </c>
      <c r="L151" s="25">
        <v>32600.300000000003</v>
      </c>
      <c r="M151" s="25">
        <v>927.60000000000014</v>
      </c>
      <c r="N151" s="25">
        <v>216615.89999999997</v>
      </c>
      <c r="O151" s="27">
        <v>291528.80000000005</v>
      </c>
      <c r="P151" s="28">
        <v>120578.99999999999</v>
      </c>
      <c r="Q151" s="33">
        <f>79.8+10119.5-13.2-15220.2-31.4-0</f>
        <v>-5065.5000000000018</v>
      </c>
      <c r="R151" s="34">
        <f>72539.8+74054.3+1953-16514.7-8349.2</f>
        <v>123683.2</v>
      </c>
      <c r="S151" s="27">
        <f t="shared" si="3"/>
        <v>2932774.8999999994</v>
      </c>
    </row>
    <row r="152" spans="1:19" s="23" customFormat="1" x14ac:dyDescent="0.25">
      <c r="A152" s="57">
        <v>43861</v>
      </c>
      <c r="B152" s="31">
        <f>876972.4+10062.3</f>
        <v>887034.70000000007</v>
      </c>
      <c r="C152" s="31">
        <v>503164.49999999994</v>
      </c>
      <c r="D152" s="34">
        <f>132084.1+15550.1</f>
        <v>147634.20000000001</v>
      </c>
      <c r="E152" s="34">
        <f>56127.5+58.4</f>
        <v>56185.9</v>
      </c>
      <c r="F152" s="34">
        <v>47317.5</v>
      </c>
      <c r="G152" s="34">
        <v>1184.5</v>
      </c>
      <c r="H152" s="25">
        <v>4083.9999999999995</v>
      </c>
      <c r="I152" s="25">
        <v>4707.8</v>
      </c>
      <c r="J152" s="25">
        <v>430666.30000000005</v>
      </c>
      <c r="K152" s="31">
        <v>60141.399999999994</v>
      </c>
      <c r="L152" s="25">
        <v>32598.800000000003</v>
      </c>
      <c r="M152" s="25">
        <v>1107.1000000000001</v>
      </c>
      <c r="N152" s="25">
        <v>279253.2</v>
      </c>
      <c r="O152" s="27">
        <v>292428.60000000003</v>
      </c>
      <c r="P152" s="28">
        <v>132411.9</v>
      </c>
      <c r="Q152" s="33">
        <f>35.8+10300.8+119.9+5.6-13507.3-31.4-0</f>
        <v>-3076.6000000000008</v>
      </c>
      <c r="R152" s="34">
        <f>71161.2+73207.7+2344-10062.3-14975</f>
        <v>121675.6</v>
      </c>
      <c r="S152" s="27">
        <f t="shared" si="3"/>
        <v>2998519.4</v>
      </c>
    </row>
    <row r="153" spans="1:19" s="23" customFormat="1" x14ac:dyDescent="0.25">
      <c r="A153" s="57">
        <v>43890</v>
      </c>
      <c r="B153" s="31">
        <f>892727.8+12475.8</f>
        <v>905203.60000000009</v>
      </c>
      <c r="C153" s="31">
        <v>518459.00000000006</v>
      </c>
      <c r="D153" s="34">
        <f>133037+16561.5</f>
        <v>149598.5</v>
      </c>
      <c r="E153" s="34">
        <f>51732+58.4</f>
        <v>51790.400000000001</v>
      </c>
      <c r="F153" s="34">
        <v>54796.600000000006</v>
      </c>
      <c r="G153" s="34">
        <v>1077.8</v>
      </c>
      <c r="H153" s="25">
        <v>4279.5</v>
      </c>
      <c r="I153" s="25">
        <v>2677.9</v>
      </c>
      <c r="J153" s="25">
        <v>472340.60000000003</v>
      </c>
      <c r="K153" s="31">
        <f>39654.6+15460.3+6067.1</f>
        <v>61181.999999999993</v>
      </c>
      <c r="L153" s="25">
        <v>31878.600000000002</v>
      </c>
      <c r="M153" s="25">
        <v>922.00000000000011</v>
      </c>
      <c r="N153" s="25">
        <v>268234.5</v>
      </c>
      <c r="O153" s="27">
        <v>293937.3</v>
      </c>
      <c r="P153" s="28">
        <v>141144.89999999997</v>
      </c>
      <c r="Q153" s="33">
        <f>29.7+13900.2+272.4+9.6-13909.6-31.4-0</f>
        <v>270.90000000000111</v>
      </c>
      <c r="R153" s="34">
        <f>74809.3+74262.8+2580.3-15460.3-12475.8</f>
        <v>123716.3</v>
      </c>
      <c r="S153" s="27">
        <f t="shared" si="3"/>
        <v>3081510.3999999994</v>
      </c>
    </row>
    <row r="154" spans="1:19" s="23" customFormat="1" x14ac:dyDescent="0.25">
      <c r="A154" s="57">
        <v>43921</v>
      </c>
      <c r="B154" s="31">
        <f>880232.3+14473</f>
        <v>894705.3</v>
      </c>
      <c r="C154" s="31">
        <v>515934.60000000003</v>
      </c>
      <c r="D154" s="34">
        <f>133805+17170.8</f>
        <v>150975.79999999999</v>
      </c>
      <c r="E154" s="34">
        <f>38896.5+58.4</f>
        <v>38954.9</v>
      </c>
      <c r="F154" s="34">
        <v>55232.2</v>
      </c>
      <c r="G154" s="34">
        <v>1138.8000000000002</v>
      </c>
      <c r="H154" s="25">
        <v>2980</v>
      </c>
      <c r="I154" s="25">
        <v>2724.3</v>
      </c>
      <c r="J154" s="25">
        <v>420015.1</v>
      </c>
      <c r="K154" s="31">
        <f>65237.4+14956.4+16693.7</f>
        <v>96887.5</v>
      </c>
      <c r="L154" s="25">
        <v>31920.1</v>
      </c>
      <c r="M154" s="25">
        <v>2013.3</v>
      </c>
      <c r="N154" s="25">
        <v>261170.6</v>
      </c>
      <c r="O154" s="27">
        <v>355771</v>
      </c>
      <c r="P154" s="28">
        <v>61517.7</v>
      </c>
      <c r="Q154" s="33">
        <f>6028.1+27313.9+0+12.7-25011.2-31.4-0</f>
        <v>8312.0999999999967</v>
      </c>
      <c r="R154" s="34">
        <f>81934.8+76845+2468.1-14956.4-14473</f>
        <v>131818.5</v>
      </c>
      <c r="S154" s="27">
        <f t="shared" si="3"/>
        <v>3032071.8000000003</v>
      </c>
    </row>
    <row r="155" spans="1:19" s="23" customFormat="1" x14ac:dyDescent="0.25">
      <c r="A155" s="57">
        <v>43951</v>
      </c>
      <c r="B155" s="31">
        <f>915468.6+8560.4</f>
        <v>924029</v>
      </c>
      <c r="C155" s="31">
        <v>527890.70000000007</v>
      </c>
      <c r="D155" s="34">
        <f>137256.4+16593.2</f>
        <v>153849.60000000001</v>
      </c>
      <c r="E155" s="34">
        <f>48528+58.4</f>
        <v>48586.400000000001</v>
      </c>
      <c r="F155" s="34">
        <v>50544.399999999994</v>
      </c>
      <c r="G155" s="34">
        <v>1293.8000000000002</v>
      </c>
      <c r="H155" s="25">
        <v>2940.1000000000004</v>
      </c>
      <c r="I155" s="25">
        <v>2734.3</v>
      </c>
      <c r="J155" s="25">
        <v>433028</v>
      </c>
      <c r="K155" s="31">
        <f>45379.5+10722.4+5370</f>
        <v>61471.9</v>
      </c>
      <c r="L155" s="25">
        <v>40171.9</v>
      </c>
      <c r="M155" s="25">
        <v>906.7</v>
      </c>
      <c r="N155" s="25">
        <v>266161.90000000002</v>
      </c>
      <c r="O155" s="27">
        <v>357594.99999999994</v>
      </c>
      <c r="P155" s="28">
        <v>70295.5</v>
      </c>
      <c r="Q155" s="33">
        <f>28.1+207.7+0+328.6-503.5-31.4-208.7</f>
        <v>-179.20000000000002</v>
      </c>
      <c r="R155" s="34">
        <f>62271.6+77735.6+2182.4-10722.4-8560.4</f>
        <v>122906.80000000002</v>
      </c>
      <c r="S155" s="27">
        <f t="shared" si="3"/>
        <v>3064226.8</v>
      </c>
    </row>
    <row r="156" spans="1:19" s="23" customFormat="1" x14ac:dyDescent="0.25">
      <c r="A156" s="57">
        <v>43952</v>
      </c>
      <c r="B156" s="31">
        <f>908529.2+9658.7</f>
        <v>918187.89999999991</v>
      </c>
      <c r="C156" s="31">
        <v>535637.6</v>
      </c>
      <c r="D156" s="34">
        <f>136795.9+16730.4</f>
        <v>153526.29999999999</v>
      </c>
      <c r="E156" s="34">
        <f>48397.9+58.4</f>
        <v>48456.3</v>
      </c>
      <c r="F156" s="34">
        <v>47778.1</v>
      </c>
      <c r="G156" s="34">
        <v>1033.5</v>
      </c>
      <c r="H156" s="25">
        <v>1957.8000000000002</v>
      </c>
      <c r="I156" s="25">
        <v>2768.1</v>
      </c>
      <c r="J156" s="25">
        <v>435227.50000000006</v>
      </c>
      <c r="K156" s="31">
        <f>70943.8+11433.8+4871.8</f>
        <v>87249.400000000009</v>
      </c>
      <c r="L156" s="25">
        <v>38575.5</v>
      </c>
      <c r="M156" s="25">
        <v>2046.2</v>
      </c>
      <c r="N156" s="25">
        <v>285542.30000000005</v>
      </c>
      <c r="O156" s="27">
        <v>357758.39999999997</v>
      </c>
      <c r="P156" s="28">
        <v>79429</v>
      </c>
      <c r="Q156" s="33">
        <f>27.6+7475.4+393.7-9004.9-31.4-0</f>
        <v>-1139.5999999999999</v>
      </c>
      <c r="R156" s="34">
        <f>69443.1+78453.9+2144-11433.8-9658.7</f>
        <v>128948.50000000001</v>
      </c>
      <c r="S156" s="27">
        <f t="shared" si="3"/>
        <v>3122982.8000000007</v>
      </c>
    </row>
    <row r="157" spans="1:19" s="23" customFormat="1" x14ac:dyDescent="0.25">
      <c r="A157" s="57">
        <v>44012</v>
      </c>
      <c r="B157" s="31">
        <f>977338.4+22228</f>
        <v>999566.4</v>
      </c>
      <c r="C157" s="31">
        <v>544257.6</v>
      </c>
      <c r="D157" s="34">
        <f>140066.8+18516.8</f>
        <v>158583.59999999998</v>
      </c>
      <c r="E157" s="34">
        <f>38666.5+58.4</f>
        <v>38724.9</v>
      </c>
      <c r="F157" s="34">
        <v>48625.599999999999</v>
      </c>
      <c r="G157" s="34">
        <v>965.4</v>
      </c>
      <c r="H157" s="25">
        <v>12187.100000000002</v>
      </c>
      <c r="I157" s="25">
        <v>2374.9</v>
      </c>
      <c r="J157" s="25">
        <v>411333</v>
      </c>
      <c r="K157" s="31">
        <f>39095.6+11963.7+12321.6</f>
        <v>63380.9</v>
      </c>
      <c r="L157" s="25">
        <v>28888.899999999998</v>
      </c>
      <c r="M157" s="25">
        <v>1210.8999999999999</v>
      </c>
      <c r="N157" s="25">
        <v>277077.40000000002</v>
      </c>
      <c r="O157" s="27">
        <v>358684.4</v>
      </c>
      <c r="P157" s="28">
        <v>90832.3</v>
      </c>
      <c r="Q157" s="33">
        <f>11.8+2922.5+563.6-2529.2-31.4-15.9</f>
        <v>921.40000000000032</v>
      </c>
      <c r="R157" s="34">
        <f>79835.9+79765.3+2201.1-11963.7-22228</f>
        <v>127610.6</v>
      </c>
      <c r="S157" s="27">
        <f t="shared" si="3"/>
        <v>3165225.2999999993</v>
      </c>
    </row>
    <row r="158" spans="1:19" s="23" customFormat="1" x14ac:dyDescent="0.25">
      <c r="A158" s="57">
        <v>44043</v>
      </c>
      <c r="B158" s="31">
        <f>951734.9+13911.4</f>
        <v>965646.3</v>
      </c>
      <c r="C158" s="31">
        <v>595768.19999999995</v>
      </c>
      <c r="D158" s="34">
        <f>149833.7+16804.7</f>
        <v>166638.40000000002</v>
      </c>
      <c r="E158" s="34">
        <f>34998.2+58.4</f>
        <v>35056.6</v>
      </c>
      <c r="F158" s="34">
        <v>49373.5</v>
      </c>
      <c r="G158" s="34">
        <v>918.40000000000009</v>
      </c>
      <c r="H158" s="25">
        <v>4915.0999999999995</v>
      </c>
      <c r="I158" s="25">
        <v>1791.5</v>
      </c>
      <c r="J158" s="25">
        <v>414781.3</v>
      </c>
      <c r="K158" s="31">
        <f>53088.6+12001+8350.1</f>
        <v>73439.7</v>
      </c>
      <c r="L158" s="25">
        <v>33471.1</v>
      </c>
      <c r="M158" s="25">
        <v>1187.0999999999999</v>
      </c>
      <c r="N158" s="25">
        <v>279283.7</v>
      </c>
      <c r="O158" s="27">
        <v>357981.4</v>
      </c>
      <c r="P158" s="28">
        <v>107807</v>
      </c>
      <c r="Q158" s="33">
        <f>7.3+16485.9+851.6-10003.6-31.4-242.1</f>
        <v>7067.6999999999989</v>
      </c>
      <c r="R158" s="34">
        <f>71615.7+81342.5+2448.4-12001-13911.4</f>
        <v>129494.20000000001</v>
      </c>
      <c r="S158" s="27">
        <f t="shared" si="3"/>
        <v>3224621.2000000007</v>
      </c>
    </row>
    <row r="159" spans="1:19" s="23" customFormat="1" x14ac:dyDescent="0.25">
      <c r="A159" s="57">
        <v>44074</v>
      </c>
      <c r="B159" s="31">
        <f>990021.1+14934</f>
        <v>1004955.1</v>
      </c>
      <c r="C159" s="31">
        <v>604738.80000000005</v>
      </c>
      <c r="D159" s="34">
        <f>151468.8+16898.3</f>
        <v>168367.09999999998</v>
      </c>
      <c r="E159" s="34">
        <f>32336.5+58.4</f>
        <v>32394.9</v>
      </c>
      <c r="F159" s="34">
        <v>43572.899999999994</v>
      </c>
      <c r="G159" s="34">
        <v>953.20000000000016</v>
      </c>
      <c r="H159" s="25">
        <v>3871.8000000000006</v>
      </c>
      <c r="I159" s="25">
        <v>0</v>
      </c>
      <c r="J159" s="25">
        <v>454791.89999999997</v>
      </c>
      <c r="K159" s="31">
        <f>36104.1+12869.6+3777.4</f>
        <v>52751.1</v>
      </c>
      <c r="L159" s="25">
        <v>33518.099999999991</v>
      </c>
      <c r="M159" s="25">
        <v>1203.4000000000001</v>
      </c>
      <c r="N159" s="25">
        <v>263229.29999999993</v>
      </c>
      <c r="O159" s="27">
        <v>358842.89999999997</v>
      </c>
      <c r="P159" s="28">
        <v>119072.00000000001</v>
      </c>
      <c r="Q159" s="33">
        <f>6.5+9989.1+871.1-3753.8-31.4-0</f>
        <v>7081.5000000000009</v>
      </c>
      <c r="R159" s="34">
        <f>76331.1+83467.9+2393.2-12869.6-14934</f>
        <v>134388.6</v>
      </c>
      <c r="S159" s="27">
        <f t="shared" si="3"/>
        <v>3283732.5999999996</v>
      </c>
    </row>
    <row r="160" spans="1:19" s="23" customFormat="1" x14ac:dyDescent="0.25">
      <c r="A160" s="57">
        <v>44104</v>
      </c>
      <c r="B160" s="31">
        <f>1087600.6+17969.8</f>
        <v>1105570.4000000001</v>
      </c>
      <c r="C160" s="31">
        <f>574223.4+118.2+2167+21378.5+5392.5</f>
        <v>603279.6</v>
      </c>
      <c r="D160" s="34">
        <f>155734.1+13918+39.8+1487.6+1283.3</f>
        <v>172462.8</v>
      </c>
      <c r="E160" s="34">
        <f>34287.7+58.4</f>
        <v>34346.1</v>
      </c>
      <c r="F160" s="34">
        <v>38828.9</v>
      </c>
      <c r="G160" s="34">
        <v>845.40000000000009</v>
      </c>
      <c r="H160" s="25">
        <v>3097.2999999999997</v>
      </c>
      <c r="I160" s="25">
        <v>3666.3</v>
      </c>
      <c r="J160" s="25">
        <v>360531.8</v>
      </c>
      <c r="K160" s="31">
        <f>40194.7+13712.3+18796.8+66</f>
        <v>72769.8</v>
      </c>
      <c r="L160" s="25">
        <v>16865.2</v>
      </c>
      <c r="M160" s="25">
        <f>8692.2+17902.1</f>
        <v>26594.3</v>
      </c>
      <c r="N160" s="25">
        <f>289503.6+550+195.5</f>
        <v>290249.09999999998</v>
      </c>
      <c r="O160" s="27">
        <v>373196.39999999997</v>
      </c>
      <c r="P160" s="28">
        <v>132637.1</v>
      </c>
      <c r="Q160" s="33">
        <f>45.3+2.1+884.1-43.7-31.4-0</f>
        <v>856.4</v>
      </c>
      <c r="R160" s="34">
        <f>85068.9+84622.2+2137.4-13712.3-17969.8</f>
        <v>140146.4</v>
      </c>
      <c r="S160" s="27">
        <f t="shared" si="3"/>
        <v>3375943.3</v>
      </c>
    </row>
    <row r="161" spans="1:19" s="23" customFormat="1" x14ac:dyDescent="0.25">
      <c r="A161" s="57">
        <v>44135</v>
      </c>
      <c r="B161" s="31">
        <f>1073574.8+19256.1</f>
        <v>1092830.9000000001</v>
      </c>
      <c r="C161" s="31">
        <f>589405.9+118.2+2182.1+22632.4+5319.8</f>
        <v>619658.4</v>
      </c>
      <c r="D161" s="34">
        <f>155958.2+15616.7+68.8+2584.4+190.7</f>
        <v>174418.80000000002</v>
      </c>
      <c r="E161" s="34">
        <f>41615.7+58.4</f>
        <v>41674.1</v>
      </c>
      <c r="F161" s="34">
        <v>41701</v>
      </c>
      <c r="G161" s="34">
        <v>889.3</v>
      </c>
      <c r="H161" s="25">
        <v>2958.5</v>
      </c>
      <c r="I161" s="25">
        <f>0+3660.2</f>
        <v>3660.2</v>
      </c>
      <c r="J161" s="25">
        <v>325327.8</v>
      </c>
      <c r="K161" s="31">
        <f>38061+14067.3+4078.3+66</f>
        <v>56272.600000000006</v>
      </c>
      <c r="L161" s="25">
        <v>26422.3</v>
      </c>
      <c r="M161" s="25">
        <f>8683.3+17947.8</f>
        <v>26631.1</v>
      </c>
      <c r="N161" s="25">
        <f>303443+558.9+72.7</f>
        <v>304074.60000000003</v>
      </c>
      <c r="O161" s="27">
        <v>373149.7</v>
      </c>
      <c r="P161" s="28">
        <v>143089.90000000002</v>
      </c>
      <c r="Q161" s="33">
        <f>819.8+24663+801.7-23994.9-31.4-95</f>
        <v>2163.1999999999985</v>
      </c>
      <c r="R161" s="34">
        <f>84483+80490.5+2466.6-14067.3-19256.1</f>
        <v>134116.70000000001</v>
      </c>
      <c r="S161" s="27">
        <f t="shared" si="3"/>
        <v>3369039.100000001</v>
      </c>
    </row>
    <row r="162" spans="1:19" s="23" customFormat="1" x14ac:dyDescent="0.25">
      <c r="A162" s="57">
        <v>44165</v>
      </c>
      <c r="B162" s="31">
        <f>1098173.6+22237.5</f>
        <v>1120411.1000000001</v>
      </c>
      <c r="C162" s="31">
        <f>598457.1+118.2+2139.8+21280.5+5252.5</f>
        <v>627248.1</v>
      </c>
      <c r="D162" s="34">
        <f>157437.2+14397+69.9+2561.2+241.4</f>
        <v>174706.7</v>
      </c>
      <c r="E162" s="34">
        <f>45966.5+58.4</f>
        <v>46024.9</v>
      </c>
      <c r="F162" s="34">
        <v>39951.1</v>
      </c>
      <c r="G162" s="34">
        <v>774.00000000000011</v>
      </c>
      <c r="H162" s="25">
        <v>4531.3999999999996</v>
      </c>
      <c r="I162" s="25">
        <f>6000.3+3664.8</f>
        <v>9665.1</v>
      </c>
      <c r="J162" s="25">
        <v>318574.8</v>
      </c>
      <c r="K162" s="31">
        <f>42394.6+14836.2+4903.4+66</f>
        <v>62200.200000000004</v>
      </c>
      <c r="L162" s="25">
        <v>19618.599999999999</v>
      </c>
      <c r="M162" s="25">
        <f>8905.8+8826.6</f>
        <v>17732.400000000001</v>
      </c>
      <c r="N162" s="25">
        <f>322797.5+562.6+74.6</f>
        <v>323434.69999999995</v>
      </c>
      <c r="O162" s="27">
        <v>373229.09999999992</v>
      </c>
      <c r="P162" s="28">
        <v>151983.99999999997</v>
      </c>
      <c r="Q162" s="33">
        <f>84.8+12000+875+1.4-8349.5-31.4-0</f>
        <v>4580.2999999999993</v>
      </c>
      <c r="R162" s="34">
        <f>88268.9+80032+3732.5-14836.2-22237.5</f>
        <v>134959.69999999998</v>
      </c>
      <c r="S162" s="27">
        <f t="shared" si="3"/>
        <v>3429626.2000000007</v>
      </c>
    </row>
    <row r="163" spans="1:19" s="23" customFormat="1" ht="15" customHeight="1" x14ac:dyDescent="0.25">
      <c r="A163" s="57">
        <v>44196</v>
      </c>
      <c r="B163" s="31">
        <f>1127406.1+14327.1</f>
        <v>1141733.2000000002</v>
      </c>
      <c r="C163" s="31">
        <f>612431.2+3166.9+2942.3+21501.2+5260.4</f>
        <v>645302</v>
      </c>
      <c r="D163" s="34">
        <f>158492+13303+71.2+7277+232.4</f>
        <v>179375.6</v>
      </c>
      <c r="E163" s="34">
        <f>87099.3+58.4</f>
        <v>87157.7</v>
      </c>
      <c r="F163" s="34">
        <v>44679.6</v>
      </c>
      <c r="G163" s="34">
        <v>899.49999999999989</v>
      </c>
      <c r="H163" s="25">
        <v>3485.6</v>
      </c>
      <c r="I163" s="25">
        <f>0+3667.1</f>
        <v>3667.1</v>
      </c>
      <c r="J163" s="25">
        <v>296859.40000000008</v>
      </c>
      <c r="K163" s="31">
        <f>53343.2+20079.5+26571.3+66</f>
        <v>100060</v>
      </c>
      <c r="L163" s="25">
        <v>22821.599999999999</v>
      </c>
      <c r="M163" s="25">
        <f>13386.5+0</f>
        <v>13386.5</v>
      </c>
      <c r="N163" s="25">
        <f>307050.9+560.2+76.7</f>
        <v>307687.80000000005</v>
      </c>
      <c r="O163" s="27">
        <v>375585</v>
      </c>
      <c r="P163" s="28">
        <v>158256</v>
      </c>
      <c r="Q163" s="33">
        <f>84.4+2023.3+600.1+0-2083.8-31.4-0</f>
        <v>592.59999999999957</v>
      </c>
      <c r="R163" s="34">
        <f>85368.1+75821.6+2271.8-20079.5-14327.1</f>
        <v>129054.9</v>
      </c>
      <c r="S163" s="27">
        <f t="shared" si="3"/>
        <v>3510604.1000000006</v>
      </c>
    </row>
    <row r="164" spans="1:19" s="23" customFormat="1" x14ac:dyDescent="0.25">
      <c r="A164" s="57">
        <v>44227</v>
      </c>
      <c r="B164" s="31">
        <v>1178942.8</v>
      </c>
      <c r="C164" s="31">
        <v>644626.30000000005</v>
      </c>
      <c r="D164" s="34">
        <v>180716</v>
      </c>
      <c r="E164" s="34">
        <v>62323.6</v>
      </c>
      <c r="F164" s="34">
        <v>48993.5</v>
      </c>
      <c r="G164" s="34">
        <v>836.00000000000011</v>
      </c>
      <c r="H164" s="25">
        <v>3073.7</v>
      </c>
      <c r="I164" s="25">
        <v>3458.8</v>
      </c>
      <c r="J164" s="25">
        <v>299135.7</v>
      </c>
      <c r="K164" s="31">
        <v>80605.399999999994</v>
      </c>
      <c r="L164" s="25">
        <v>29471.5</v>
      </c>
      <c r="M164" s="25">
        <v>16464.8</v>
      </c>
      <c r="N164" s="25">
        <v>339536.1</v>
      </c>
      <c r="O164" s="27">
        <v>381978.39999999997</v>
      </c>
      <c r="P164" s="28">
        <v>167858.40000000002</v>
      </c>
      <c r="Q164" s="33">
        <v>-1326.1999999999989</v>
      </c>
      <c r="R164" s="34">
        <v>132208</v>
      </c>
      <c r="S164" s="27">
        <f t="shared" si="3"/>
        <v>3568902.8</v>
      </c>
    </row>
    <row r="165" spans="1:19" s="23" customFormat="1" x14ac:dyDescent="0.25">
      <c r="A165" s="57">
        <v>44255</v>
      </c>
      <c r="B165" s="31">
        <v>1206249.4000000001</v>
      </c>
      <c r="C165" s="31">
        <v>666491.79999999993</v>
      </c>
      <c r="D165" s="34">
        <v>183955.20000000001</v>
      </c>
      <c r="E165" s="34">
        <v>58440.6</v>
      </c>
      <c r="F165" s="34">
        <v>49556.6</v>
      </c>
      <c r="G165" s="34">
        <v>1021.4</v>
      </c>
      <c r="H165" s="25">
        <v>3603.9</v>
      </c>
      <c r="I165" s="25">
        <v>3460.1</v>
      </c>
      <c r="J165" s="25">
        <v>293901.2</v>
      </c>
      <c r="K165" s="31">
        <v>72456.899999999994</v>
      </c>
      <c r="L165" s="25">
        <v>29683.700000000004</v>
      </c>
      <c r="M165" s="25">
        <v>44983.4</v>
      </c>
      <c r="N165" s="25">
        <v>328994</v>
      </c>
      <c r="O165" s="27">
        <v>382766.29999999993</v>
      </c>
      <c r="P165" s="28">
        <v>177366.7</v>
      </c>
      <c r="Q165" s="33">
        <v>1190.6999999999994</v>
      </c>
      <c r="R165" s="34">
        <v>135422.19999999998</v>
      </c>
      <c r="S165" s="27">
        <f t="shared" si="3"/>
        <v>3639544.1000000006</v>
      </c>
    </row>
    <row r="166" spans="1:19" s="23" customFormat="1" x14ac:dyDescent="0.25">
      <c r="A166" s="57">
        <v>44286</v>
      </c>
      <c r="B166" s="31">
        <v>1202220.3</v>
      </c>
      <c r="C166" s="31">
        <v>684475.5</v>
      </c>
      <c r="D166" s="34">
        <v>188208.9</v>
      </c>
      <c r="E166" s="34">
        <v>73049.2</v>
      </c>
      <c r="F166" s="34">
        <v>52828.2</v>
      </c>
      <c r="G166" s="34">
        <v>897.49999999999989</v>
      </c>
      <c r="H166" s="25">
        <v>3049.4</v>
      </c>
      <c r="I166" s="25">
        <v>3000.6</v>
      </c>
      <c r="J166" s="25">
        <v>286862.39999999997</v>
      </c>
      <c r="K166" s="31">
        <v>97139.1</v>
      </c>
      <c r="L166" s="25">
        <v>30244.799999999996</v>
      </c>
      <c r="M166" s="25">
        <v>22145.7</v>
      </c>
      <c r="N166" s="25">
        <v>318779.09999999998</v>
      </c>
      <c r="O166" s="27">
        <v>449838.1</v>
      </c>
      <c r="P166" s="28">
        <v>90021.900000000009</v>
      </c>
      <c r="Q166" s="33">
        <v>3572.9999999999977</v>
      </c>
      <c r="R166" s="34">
        <v>136536.69999999998</v>
      </c>
      <c r="S166" s="27">
        <f t="shared" si="3"/>
        <v>3642870.4000000004</v>
      </c>
    </row>
    <row r="167" spans="1:19" s="23" customFormat="1" x14ac:dyDescent="0.25">
      <c r="A167" s="57">
        <v>44316</v>
      </c>
      <c r="B167" s="31">
        <v>1185029.3</v>
      </c>
      <c r="C167" s="31">
        <v>688444.89999999991</v>
      </c>
      <c r="D167" s="34">
        <v>180261.9</v>
      </c>
      <c r="E167" s="34">
        <v>70043.099999999991</v>
      </c>
      <c r="F167" s="34">
        <v>54483.3</v>
      </c>
      <c r="G167" s="34">
        <v>889.09999999999991</v>
      </c>
      <c r="H167" s="25">
        <v>2964.2</v>
      </c>
      <c r="I167" s="25">
        <v>3008.6</v>
      </c>
      <c r="J167" s="25">
        <v>328555.7</v>
      </c>
      <c r="K167" s="31">
        <v>92701.7</v>
      </c>
      <c r="L167" s="25">
        <v>53214.6</v>
      </c>
      <c r="M167" s="25">
        <v>15748.4</v>
      </c>
      <c r="N167" s="25">
        <v>324733.2</v>
      </c>
      <c r="O167" s="27">
        <v>451250.7</v>
      </c>
      <c r="P167" s="28">
        <v>99618.6</v>
      </c>
      <c r="Q167" s="33">
        <v>1799.0999999999963</v>
      </c>
      <c r="R167" s="34">
        <v>132201.49999999997</v>
      </c>
      <c r="S167" s="27">
        <f t="shared" si="3"/>
        <v>3684947.9000000008</v>
      </c>
    </row>
    <row r="168" spans="1:19" s="23" customFormat="1" x14ac:dyDescent="0.25">
      <c r="A168" s="57">
        <v>44347</v>
      </c>
      <c r="B168" s="31">
        <v>1240287.8</v>
      </c>
      <c r="C168" s="31">
        <v>677094.7</v>
      </c>
      <c r="D168" s="34">
        <v>184536.9</v>
      </c>
      <c r="E168" s="34">
        <v>69457.5</v>
      </c>
      <c r="F168" s="34">
        <v>59127.6</v>
      </c>
      <c r="G168" s="34">
        <v>941.69999999999993</v>
      </c>
      <c r="H168" s="25">
        <v>3546.9</v>
      </c>
      <c r="I168" s="25">
        <v>3165.8</v>
      </c>
      <c r="J168" s="25">
        <v>337369.5</v>
      </c>
      <c r="K168" s="31">
        <v>98502.6</v>
      </c>
      <c r="L168" s="25">
        <v>39388.1</v>
      </c>
      <c r="M168" s="25">
        <v>13855.9</v>
      </c>
      <c r="N168" s="25">
        <v>321370.8</v>
      </c>
      <c r="O168" s="27">
        <v>457617.39999999997</v>
      </c>
      <c r="P168" s="28">
        <v>103628</v>
      </c>
      <c r="Q168" s="33">
        <v>2986.9000000000028</v>
      </c>
      <c r="R168" s="34">
        <v>141956.1</v>
      </c>
      <c r="S168" s="27">
        <f t="shared" si="3"/>
        <v>3754834.1999999997</v>
      </c>
    </row>
    <row r="169" spans="1:19" s="23" customFormat="1" x14ac:dyDescent="0.25">
      <c r="A169" s="57">
        <v>44377</v>
      </c>
      <c r="B169" s="31">
        <v>1286822.8</v>
      </c>
      <c r="C169" s="31">
        <v>721614.2</v>
      </c>
      <c r="D169" s="34">
        <v>189498.80000000002</v>
      </c>
      <c r="E169" s="34">
        <v>83296.299999999988</v>
      </c>
      <c r="F169" s="34">
        <v>68262</v>
      </c>
      <c r="G169" s="34">
        <v>928.99999999999989</v>
      </c>
      <c r="H169" s="25">
        <v>4514.5000000000009</v>
      </c>
      <c r="I169" s="25">
        <v>3152.6000000000004</v>
      </c>
      <c r="J169" s="25">
        <v>326958.8</v>
      </c>
      <c r="K169" s="31">
        <v>106563.7</v>
      </c>
      <c r="L169" s="25">
        <v>43689.200000000004</v>
      </c>
      <c r="M169" s="25">
        <v>3815.2999999999997</v>
      </c>
      <c r="N169" s="25">
        <v>365639.5</v>
      </c>
      <c r="O169" s="27">
        <v>458055</v>
      </c>
      <c r="P169" s="28">
        <v>118526.59999999999</v>
      </c>
      <c r="Q169" s="33">
        <v>6332.5000000000018</v>
      </c>
      <c r="R169" s="34">
        <v>145309.60000000003</v>
      </c>
      <c r="S169" s="27">
        <f t="shared" si="3"/>
        <v>3932980.4</v>
      </c>
    </row>
    <row r="170" spans="1:19" s="23" customFormat="1" x14ac:dyDescent="0.25">
      <c r="A170" s="57">
        <v>44408</v>
      </c>
      <c r="B170" s="31">
        <v>1345873</v>
      </c>
      <c r="C170" s="31">
        <v>730307</v>
      </c>
      <c r="D170" s="34">
        <v>191099.69999999998</v>
      </c>
      <c r="E170" s="34">
        <v>89115.299999999988</v>
      </c>
      <c r="F170" s="34">
        <v>77587.900000000009</v>
      </c>
      <c r="G170" s="34">
        <v>929.7</v>
      </c>
      <c r="H170" s="25">
        <v>1753.8999999999999</v>
      </c>
      <c r="I170" s="25">
        <v>3179.5</v>
      </c>
      <c r="J170" s="25">
        <v>338519.60000000003</v>
      </c>
      <c r="K170" s="31">
        <v>124248.9</v>
      </c>
      <c r="L170" s="25">
        <v>47449.5</v>
      </c>
      <c r="M170" s="25">
        <v>1284.5</v>
      </c>
      <c r="N170" s="25">
        <v>389848.3</v>
      </c>
      <c r="O170" s="27">
        <v>458032.69999999995</v>
      </c>
      <c r="P170" s="28">
        <v>134403.59999999998</v>
      </c>
      <c r="Q170" s="33">
        <v>19494.30000000001</v>
      </c>
      <c r="R170" s="34">
        <v>142356.59999999998</v>
      </c>
      <c r="S170" s="27">
        <f>SUM(A170:R170)</f>
        <v>4139892</v>
      </c>
    </row>
    <row r="171" spans="1:19" s="23" customFormat="1" x14ac:dyDescent="0.25">
      <c r="A171" s="57">
        <v>44439</v>
      </c>
      <c r="B171" s="31">
        <v>1371977.4000000001</v>
      </c>
      <c r="C171" s="31">
        <v>770356</v>
      </c>
      <c r="D171" s="34">
        <v>187468.99999999997</v>
      </c>
      <c r="E171" s="34">
        <v>71270.399999999994</v>
      </c>
      <c r="F171" s="34">
        <v>71812.5</v>
      </c>
      <c r="G171" s="34">
        <v>928.80000000000007</v>
      </c>
      <c r="H171" s="25">
        <v>5319.5</v>
      </c>
      <c r="I171" s="25">
        <v>3140.9</v>
      </c>
      <c r="J171" s="25">
        <v>373225.1</v>
      </c>
      <c r="K171" s="31">
        <v>111252.1</v>
      </c>
      <c r="L171" s="25">
        <v>46693.1</v>
      </c>
      <c r="M171" s="25">
        <v>11550.099999999999</v>
      </c>
      <c r="N171" s="25">
        <v>391729.80000000005</v>
      </c>
      <c r="O171" s="27">
        <v>457936.1</v>
      </c>
      <c r="P171" s="28">
        <v>149814.5</v>
      </c>
      <c r="Q171" s="33">
        <v>777.6</v>
      </c>
      <c r="R171" s="34">
        <v>143079.4</v>
      </c>
      <c r="S171" s="27">
        <f t="shared" si="3"/>
        <v>4168332.3000000003</v>
      </c>
    </row>
    <row r="172" spans="1:19" s="23" customFormat="1" x14ac:dyDescent="0.25">
      <c r="A172" s="57">
        <v>44469</v>
      </c>
      <c r="B172" s="31">
        <v>1356468.8</v>
      </c>
      <c r="C172" s="31">
        <v>948933.69999999984</v>
      </c>
      <c r="D172" s="34">
        <v>199716.30000000002</v>
      </c>
      <c r="E172" s="34">
        <v>66753.799999999988</v>
      </c>
      <c r="F172" s="34">
        <v>82765.8</v>
      </c>
      <c r="G172" s="34">
        <v>967.6</v>
      </c>
      <c r="H172" s="25">
        <v>1248.5999999999999</v>
      </c>
      <c r="I172" s="25">
        <v>3180.4</v>
      </c>
      <c r="J172" s="25">
        <v>405892.60000000003</v>
      </c>
      <c r="K172" s="31">
        <v>101173.6</v>
      </c>
      <c r="L172" s="25">
        <v>44536.299999999996</v>
      </c>
      <c r="M172" s="25">
        <v>5183.2</v>
      </c>
      <c r="N172" s="25">
        <v>429239.7</v>
      </c>
      <c r="O172" s="27">
        <v>490103.5</v>
      </c>
      <c r="P172" s="28">
        <v>169591.2</v>
      </c>
      <c r="Q172" s="33">
        <v>1111.5</v>
      </c>
      <c r="R172" s="34">
        <v>175004.2</v>
      </c>
      <c r="S172" s="27">
        <f t="shared" si="3"/>
        <v>4481870.8</v>
      </c>
    </row>
    <row r="173" spans="1:19" s="23" customFormat="1" x14ac:dyDescent="0.25">
      <c r="A173" s="57">
        <v>44500</v>
      </c>
      <c r="B173" s="31">
        <v>1367304.3</v>
      </c>
      <c r="C173" s="31">
        <v>946475</v>
      </c>
      <c r="D173" s="34">
        <v>218059.59999999998</v>
      </c>
      <c r="E173" s="34">
        <v>76853.099999999991</v>
      </c>
      <c r="F173" s="34">
        <v>73682.2</v>
      </c>
      <c r="G173" s="34">
        <v>1001.8</v>
      </c>
      <c r="H173" s="25">
        <v>928.99999999999989</v>
      </c>
      <c r="I173" s="25">
        <v>3186.4</v>
      </c>
      <c r="J173" s="25">
        <v>405120.1</v>
      </c>
      <c r="K173" s="31">
        <v>106538.99999999999</v>
      </c>
      <c r="L173" s="25">
        <v>51896</v>
      </c>
      <c r="M173" s="25">
        <v>1222.1000000000001</v>
      </c>
      <c r="N173" s="25">
        <v>413868.60000000003</v>
      </c>
      <c r="O173" s="27">
        <v>490929.39999999997</v>
      </c>
      <c r="P173" s="28">
        <v>182962.2</v>
      </c>
      <c r="Q173" s="33">
        <v>-4788.8999999999915</v>
      </c>
      <c r="R173" s="34">
        <v>178713.2</v>
      </c>
      <c r="S173" s="27">
        <f t="shared" si="3"/>
        <v>4513953.0999999996</v>
      </c>
    </row>
    <row r="174" spans="1:19" s="23" customFormat="1" x14ac:dyDescent="0.25">
      <c r="A174" s="57">
        <v>44501</v>
      </c>
      <c r="B174" s="31">
        <v>1337822.5</v>
      </c>
      <c r="C174" s="31">
        <v>985392.8</v>
      </c>
      <c r="D174" s="34">
        <v>219745.6</v>
      </c>
      <c r="E174" s="34">
        <v>76215.099999999991</v>
      </c>
      <c r="F174" s="34">
        <v>77619.199999999997</v>
      </c>
      <c r="G174" s="34">
        <v>1247.2</v>
      </c>
      <c r="H174" s="25">
        <v>1463.4999999999998</v>
      </c>
      <c r="I174" s="25">
        <v>3195.5</v>
      </c>
      <c r="J174" s="25">
        <v>513831.50000000006</v>
      </c>
      <c r="K174" s="31">
        <v>101980.5</v>
      </c>
      <c r="L174" s="25">
        <v>44006.400000000001</v>
      </c>
      <c r="M174" s="25">
        <v>1219.2</v>
      </c>
      <c r="N174" s="25">
        <v>379758.4</v>
      </c>
      <c r="O174" s="27">
        <v>491601.4</v>
      </c>
      <c r="P174" s="28">
        <v>195444.99999999997</v>
      </c>
      <c r="Q174" s="33">
        <v>-4886.9999999999854</v>
      </c>
      <c r="R174" s="34">
        <v>185861.90000000002</v>
      </c>
      <c r="S174" s="27">
        <f t="shared" si="3"/>
        <v>4611518.7000000011</v>
      </c>
    </row>
    <row r="175" spans="1:19" s="23" customFormat="1" x14ac:dyDescent="0.25">
      <c r="A175" s="57">
        <v>44532</v>
      </c>
      <c r="B175" s="31">
        <v>1308690.2</v>
      </c>
      <c r="C175" s="31">
        <v>989411.8</v>
      </c>
      <c r="D175" s="34">
        <v>225857.4</v>
      </c>
      <c r="E175" s="34">
        <v>62768</v>
      </c>
      <c r="F175" s="34">
        <v>88575.900000000009</v>
      </c>
      <c r="G175" s="34">
        <v>1237.9999999999998</v>
      </c>
      <c r="H175" s="25">
        <v>2437.7999999999997</v>
      </c>
      <c r="I175" s="25">
        <v>3014.6</v>
      </c>
      <c r="J175" s="25">
        <v>512988.39999999997</v>
      </c>
      <c r="K175" s="31">
        <v>110830.1</v>
      </c>
      <c r="L175" s="25">
        <v>33877.5</v>
      </c>
      <c r="M175" s="25">
        <v>4750.2999999999993</v>
      </c>
      <c r="N175" s="25">
        <v>366326.19999999995</v>
      </c>
      <c r="O175" s="27">
        <v>488662.39999999997</v>
      </c>
      <c r="P175" s="28">
        <v>205676.69999999998</v>
      </c>
      <c r="Q175" s="33">
        <v>7861.1999999999916</v>
      </c>
      <c r="R175" s="34">
        <v>181337.30000000002</v>
      </c>
      <c r="S175" s="27">
        <f t="shared" si="3"/>
        <v>4594303.8</v>
      </c>
    </row>
    <row r="176" spans="1:19" s="23" customFormat="1" x14ac:dyDescent="0.25">
      <c r="A176" s="57">
        <v>44564</v>
      </c>
      <c r="B176" s="31">
        <v>1482240.2</v>
      </c>
      <c r="C176" s="31">
        <v>978336</v>
      </c>
      <c r="D176" s="34">
        <v>231105.19999999998</v>
      </c>
      <c r="E176" s="34">
        <v>73575.3</v>
      </c>
      <c r="F176" s="34">
        <v>89338.599999999991</v>
      </c>
      <c r="G176" s="34">
        <v>1189.3</v>
      </c>
      <c r="H176" s="25">
        <v>2004.9999999999998</v>
      </c>
      <c r="I176" s="25">
        <v>3546.2</v>
      </c>
      <c r="J176" s="25">
        <v>486744.7</v>
      </c>
      <c r="K176" s="31">
        <v>101655.1</v>
      </c>
      <c r="L176" s="25">
        <v>45225.299999999996</v>
      </c>
      <c r="M176" s="25">
        <v>1263.4000000000001</v>
      </c>
      <c r="N176" s="25">
        <v>403035.80000000005</v>
      </c>
      <c r="O176" s="27">
        <v>490316</v>
      </c>
      <c r="P176" s="28">
        <v>219506.8</v>
      </c>
      <c r="Q176" s="33">
        <v>26596.80000000001</v>
      </c>
      <c r="R176" s="34">
        <v>198594.59999999998</v>
      </c>
      <c r="S176" s="27">
        <f t="shared" si="3"/>
        <v>4834274.3</v>
      </c>
    </row>
    <row r="177" spans="1:19" s="23" customFormat="1" x14ac:dyDescent="0.25">
      <c r="A177" s="57">
        <v>44596</v>
      </c>
      <c r="B177" s="31">
        <v>1431480.7999999998</v>
      </c>
      <c r="C177" s="31">
        <v>1022636.7</v>
      </c>
      <c r="D177" s="34">
        <v>268265.10000000003</v>
      </c>
      <c r="E177" s="34">
        <v>89568.9</v>
      </c>
      <c r="F177" s="34">
        <v>78533.2</v>
      </c>
      <c r="G177" s="34">
        <v>1056.6999999999998</v>
      </c>
      <c r="H177" s="25">
        <v>1580.9</v>
      </c>
      <c r="I177" s="25">
        <v>3488</v>
      </c>
      <c r="J177" s="25">
        <v>425633.39999999997</v>
      </c>
      <c r="K177" s="31">
        <v>106388.7</v>
      </c>
      <c r="L177" s="25">
        <v>52943.099999999991</v>
      </c>
      <c r="M177" s="25">
        <v>1255.8000000000002</v>
      </c>
      <c r="N177" s="25">
        <v>371618.8</v>
      </c>
      <c r="O177" s="27">
        <v>502440.7</v>
      </c>
      <c r="P177" s="28">
        <v>230790.6</v>
      </c>
      <c r="Q177" s="33">
        <v>-25030.7</v>
      </c>
      <c r="R177" s="34">
        <v>220997.29999999996</v>
      </c>
      <c r="S177" s="27">
        <f t="shared" si="3"/>
        <v>4783647.9999999991</v>
      </c>
    </row>
    <row r="178" spans="1:19" s="23" customFormat="1" x14ac:dyDescent="0.25">
      <c r="A178" s="57">
        <v>44628</v>
      </c>
      <c r="B178" s="31">
        <v>1438299</v>
      </c>
      <c r="C178" s="31">
        <v>1033568.9999999999</v>
      </c>
      <c r="D178" s="34">
        <v>268880</v>
      </c>
      <c r="E178" s="34">
        <v>73916.800000000003</v>
      </c>
      <c r="F178" s="34">
        <v>73966.2</v>
      </c>
      <c r="G178" s="34">
        <v>1028.0999999999999</v>
      </c>
      <c r="H178" s="25">
        <v>1517.5</v>
      </c>
      <c r="I178" s="25">
        <v>3242.1</v>
      </c>
      <c r="J178" s="25">
        <v>459748.30000000005</v>
      </c>
      <c r="K178" s="31">
        <v>125751.29999999999</v>
      </c>
      <c r="L178" s="25">
        <v>58094.9</v>
      </c>
      <c r="M178" s="25">
        <v>1431.6</v>
      </c>
      <c r="N178" s="25">
        <v>342869.8</v>
      </c>
      <c r="O178" s="27">
        <v>604713.5</v>
      </c>
      <c r="P178" s="28">
        <v>109779.3</v>
      </c>
      <c r="Q178" s="33">
        <v>-1987.9999999999914</v>
      </c>
      <c r="R178" s="34">
        <v>218478.90000000002</v>
      </c>
      <c r="S178" s="27">
        <f t="shared" si="3"/>
        <v>4813298.3</v>
      </c>
    </row>
    <row r="179" spans="1:19" s="23" customFormat="1" x14ac:dyDescent="0.25">
      <c r="A179" s="57">
        <v>44660</v>
      </c>
      <c r="B179" s="31">
        <v>1544039.1</v>
      </c>
      <c r="C179" s="31">
        <v>1061249</v>
      </c>
      <c r="D179" s="34">
        <v>246789.9</v>
      </c>
      <c r="E179" s="34">
        <v>51285.1</v>
      </c>
      <c r="F179" s="34">
        <v>79008.900000000009</v>
      </c>
      <c r="G179" s="34">
        <v>1088.2</v>
      </c>
      <c r="H179" s="25">
        <v>1964.4000000000003</v>
      </c>
      <c r="I179" s="25">
        <v>3710.5</v>
      </c>
      <c r="J179" s="25">
        <v>484918.19999999995</v>
      </c>
      <c r="K179" s="31">
        <v>95606.3</v>
      </c>
      <c r="L179" s="25">
        <v>53033.2</v>
      </c>
      <c r="M179" s="25">
        <v>1265.5</v>
      </c>
      <c r="N179" s="25">
        <v>371592.10000000003</v>
      </c>
      <c r="O179" s="27">
        <v>606693.39999999991</v>
      </c>
      <c r="P179" s="28">
        <v>121490.5</v>
      </c>
      <c r="Q179" s="33">
        <v>21277.900000000005</v>
      </c>
      <c r="R179" s="34">
        <v>190517.3</v>
      </c>
      <c r="S179" s="27">
        <f t="shared" si="3"/>
        <v>4935529.5</v>
      </c>
    </row>
    <row r="180" spans="1:19" s="23" customFormat="1" x14ac:dyDescent="0.25">
      <c r="A180" s="57">
        <v>44691</v>
      </c>
      <c r="B180" s="31">
        <v>1597743.2</v>
      </c>
      <c r="C180" s="31">
        <v>1072156.8</v>
      </c>
      <c r="D180" s="34">
        <v>273549</v>
      </c>
      <c r="E180" s="34">
        <v>69002.100000000006</v>
      </c>
      <c r="F180" s="34">
        <v>69357.800000000017</v>
      </c>
      <c r="G180" s="34">
        <v>969.9</v>
      </c>
      <c r="H180" s="25">
        <v>1103.8000000000002</v>
      </c>
      <c r="I180" s="25">
        <v>3701.1</v>
      </c>
      <c r="J180" s="25">
        <v>478478.6</v>
      </c>
      <c r="K180" s="31">
        <v>121877.79999999999</v>
      </c>
      <c r="L180" s="25">
        <v>26988.2</v>
      </c>
      <c r="M180" s="25">
        <v>1232.0999999999999</v>
      </c>
      <c r="N180" s="25">
        <v>393846.29999999993</v>
      </c>
      <c r="O180" s="27">
        <v>606185.29999999993</v>
      </c>
      <c r="P180" s="28">
        <v>134881.60000000001</v>
      </c>
      <c r="Q180" s="33">
        <v>41067.699999999997</v>
      </c>
      <c r="R180" s="34">
        <v>194340.6</v>
      </c>
      <c r="S180" s="27">
        <f t="shared" si="3"/>
        <v>5086481.8999999994</v>
      </c>
    </row>
    <row r="181" spans="1:19" s="23" customFormat="1" x14ac:dyDescent="0.25">
      <c r="A181" s="57">
        <v>44722</v>
      </c>
      <c r="B181" s="31">
        <v>1647203</v>
      </c>
      <c r="C181" s="31">
        <v>1120414.8</v>
      </c>
      <c r="D181" s="34">
        <v>234016.59999999998</v>
      </c>
      <c r="E181" s="34">
        <v>47376.799999999996</v>
      </c>
      <c r="F181" s="34">
        <v>76096.000000000015</v>
      </c>
      <c r="G181" s="34">
        <v>877.2</v>
      </c>
      <c r="H181" s="25">
        <v>1202</v>
      </c>
      <c r="I181" s="25">
        <v>3739.3</v>
      </c>
      <c r="J181" s="25">
        <v>550425.79999999993</v>
      </c>
      <c r="K181" s="31">
        <v>122898.7</v>
      </c>
      <c r="L181" s="25">
        <v>50033.899999999994</v>
      </c>
      <c r="M181" s="25">
        <v>1154</v>
      </c>
      <c r="N181" s="25">
        <v>448858.10000000003</v>
      </c>
      <c r="O181" s="27">
        <v>621068.39999999991</v>
      </c>
      <c r="P181" s="28">
        <v>149595.20000000001</v>
      </c>
      <c r="Q181" s="33">
        <v>4301.6999999999944</v>
      </c>
      <c r="R181" s="34">
        <v>191348.5</v>
      </c>
      <c r="S181" s="27">
        <f t="shared" si="3"/>
        <v>5270610</v>
      </c>
    </row>
    <row r="182" spans="1:19" s="23" customFormat="1" x14ac:dyDescent="0.25">
      <c r="A182" s="57">
        <v>44752</v>
      </c>
      <c r="B182" s="31">
        <v>1970881.3</v>
      </c>
      <c r="C182" s="31">
        <v>1094035</v>
      </c>
      <c r="D182" s="34">
        <v>258088.9</v>
      </c>
      <c r="E182" s="34">
        <v>47204.2</v>
      </c>
      <c r="F182" s="34">
        <v>75051.999999999985</v>
      </c>
      <c r="G182" s="34">
        <v>887.9</v>
      </c>
      <c r="H182" s="25">
        <v>1683.4</v>
      </c>
      <c r="I182" s="25">
        <v>3889.3</v>
      </c>
      <c r="J182" s="25">
        <v>562703.19999999995</v>
      </c>
      <c r="K182" s="31">
        <v>97229.2</v>
      </c>
      <c r="L182" s="25">
        <v>52346.400000000001</v>
      </c>
      <c r="M182" s="25">
        <v>1139.0999999999999</v>
      </c>
      <c r="N182" s="25">
        <v>453246.39999999997</v>
      </c>
      <c r="O182" s="27">
        <v>620999.19999999995</v>
      </c>
      <c r="P182" s="28">
        <v>163963.5</v>
      </c>
      <c r="Q182" s="33">
        <v>31453.900000000034</v>
      </c>
      <c r="R182" s="34">
        <v>197924</v>
      </c>
      <c r="S182" s="27">
        <f t="shared" si="3"/>
        <v>5632726.9000000004</v>
      </c>
    </row>
    <row r="183" spans="1:19" s="23" customFormat="1" x14ac:dyDescent="0.25">
      <c r="A183" s="57">
        <v>44783</v>
      </c>
      <c r="B183" s="31">
        <v>1917635.5</v>
      </c>
      <c r="C183" s="31">
        <v>1123858</v>
      </c>
      <c r="D183" s="34">
        <v>248267.8</v>
      </c>
      <c r="E183" s="34">
        <v>58754.399999999994</v>
      </c>
      <c r="F183" s="34">
        <v>61967.3</v>
      </c>
      <c r="G183" s="34">
        <v>898.30000000000007</v>
      </c>
      <c r="H183" s="25">
        <v>1497.7</v>
      </c>
      <c r="I183" s="25">
        <v>3895.8</v>
      </c>
      <c r="J183" s="25">
        <v>577445.5</v>
      </c>
      <c r="K183" s="31">
        <v>87506.8</v>
      </c>
      <c r="L183" s="25">
        <v>51634.1</v>
      </c>
      <c r="M183" s="25">
        <v>1154</v>
      </c>
      <c r="N183" s="25">
        <v>521199.19999999995</v>
      </c>
      <c r="O183" s="27">
        <v>621136</v>
      </c>
      <c r="P183" s="28">
        <v>174695.7</v>
      </c>
      <c r="Q183" s="33">
        <v>32090.599999999995</v>
      </c>
      <c r="R183" s="34">
        <v>183841.69999999998</v>
      </c>
      <c r="S183" s="27">
        <f t="shared" si="3"/>
        <v>5667478.3999999994</v>
      </c>
    </row>
    <row r="184" spans="1:19" s="23" customFormat="1" x14ac:dyDescent="0.25">
      <c r="A184" s="57">
        <v>44814</v>
      </c>
      <c r="B184" s="31">
        <v>1896482.5999999999</v>
      </c>
      <c r="C184" s="31">
        <v>1144966.8</v>
      </c>
      <c r="D184" s="34">
        <v>246467.7</v>
      </c>
      <c r="E184" s="34">
        <v>52463.199999999997</v>
      </c>
      <c r="F184" s="34">
        <v>57406.5</v>
      </c>
      <c r="G184" s="34">
        <v>908.90000000000009</v>
      </c>
      <c r="H184" s="25">
        <v>2431.8999999999996</v>
      </c>
      <c r="I184" s="25">
        <v>3906.7</v>
      </c>
      <c r="J184" s="25">
        <v>599198.80000000005</v>
      </c>
      <c r="K184" s="31">
        <v>109734.3</v>
      </c>
      <c r="L184" s="25">
        <v>46883.899999999994</v>
      </c>
      <c r="M184" s="25">
        <v>2932.9</v>
      </c>
      <c r="N184" s="25">
        <v>584494.19999999995</v>
      </c>
      <c r="O184" s="27">
        <v>621256.80000000005</v>
      </c>
      <c r="P184" s="28">
        <v>189250.2</v>
      </c>
      <c r="Q184" s="33">
        <v>32565.000000000029</v>
      </c>
      <c r="R184" s="34">
        <v>197039.39999999997</v>
      </c>
      <c r="S184" s="27">
        <f t="shared" si="3"/>
        <v>5788389.8000000007</v>
      </c>
    </row>
    <row r="185" spans="1:19" s="23" customFormat="1" x14ac:dyDescent="0.25">
      <c r="A185" s="57">
        <v>44845</v>
      </c>
      <c r="B185" s="31">
        <v>1941001.2</v>
      </c>
      <c r="C185" s="31">
        <v>1153205</v>
      </c>
      <c r="D185" s="34">
        <v>251198.09999999998</v>
      </c>
      <c r="E185" s="34">
        <v>102772.09999999999</v>
      </c>
      <c r="F185" s="34">
        <v>65192.800000000003</v>
      </c>
      <c r="G185" s="34">
        <v>936</v>
      </c>
      <c r="H185" s="25">
        <v>2127.3000000000002</v>
      </c>
      <c r="I185" s="25">
        <v>3417.9</v>
      </c>
      <c r="J185" s="25">
        <v>604248.69999999995</v>
      </c>
      <c r="K185" s="31">
        <v>125384.80000000002</v>
      </c>
      <c r="L185" s="25">
        <v>56331.7</v>
      </c>
      <c r="M185" s="25">
        <v>1149.8</v>
      </c>
      <c r="N185" s="25">
        <v>500557.50000000006</v>
      </c>
      <c r="O185" s="27">
        <v>618729.70000000007</v>
      </c>
      <c r="P185" s="28">
        <v>198568.2</v>
      </c>
      <c r="Q185" s="33">
        <v>32795.699999999975</v>
      </c>
      <c r="R185" s="34">
        <v>206632.6</v>
      </c>
      <c r="S185" s="27">
        <f t="shared" si="3"/>
        <v>5864249.0999999996</v>
      </c>
    </row>
    <row r="186" spans="1:19" s="23" customFormat="1" x14ac:dyDescent="0.25">
      <c r="A186" s="57">
        <v>44877</v>
      </c>
      <c r="B186" s="31">
        <v>1945543</v>
      </c>
      <c r="C186" s="31">
        <v>1178663.8</v>
      </c>
      <c r="D186" s="34">
        <v>266305.00000000006</v>
      </c>
      <c r="E186" s="34">
        <v>71067.5</v>
      </c>
      <c r="F186" s="34">
        <v>84333.1</v>
      </c>
      <c r="G186" s="34">
        <v>925.9</v>
      </c>
      <c r="H186" s="25">
        <v>3000.6000000000004</v>
      </c>
      <c r="I186" s="25">
        <v>3503.5</v>
      </c>
      <c r="J186" s="25">
        <v>576530.5</v>
      </c>
      <c r="K186" s="31">
        <v>125441.5</v>
      </c>
      <c r="L186" s="25">
        <v>41164.799999999996</v>
      </c>
      <c r="M186" s="25">
        <v>1105</v>
      </c>
      <c r="N186" s="25">
        <v>498885.7</v>
      </c>
      <c r="O186" s="27">
        <v>619266.6</v>
      </c>
      <c r="P186" s="28">
        <v>210576.6</v>
      </c>
      <c r="Q186" s="33">
        <v>33286.100000000035</v>
      </c>
      <c r="R186" s="34">
        <v>202238.1</v>
      </c>
      <c r="S186" s="27">
        <f t="shared" si="3"/>
        <v>5861837.2999999989</v>
      </c>
    </row>
    <row r="187" spans="1:19" s="23" customFormat="1" x14ac:dyDescent="0.25">
      <c r="A187" s="57">
        <v>44908</v>
      </c>
      <c r="B187" s="31">
        <v>2025031.6</v>
      </c>
      <c r="C187" s="31">
        <v>1218764.3999999999</v>
      </c>
      <c r="D187" s="34">
        <v>258313.4</v>
      </c>
      <c r="E187" s="34">
        <v>56856.200000000004</v>
      </c>
      <c r="F187" s="34">
        <v>92199.7</v>
      </c>
      <c r="G187" s="34">
        <v>1176.7</v>
      </c>
      <c r="H187" s="25">
        <v>2548.8000000000006</v>
      </c>
      <c r="I187" s="25">
        <v>3421.3</v>
      </c>
      <c r="J187" s="25">
        <v>521529.70000000007</v>
      </c>
      <c r="K187" s="31">
        <v>183817.2</v>
      </c>
      <c r="L187" s="25">
        <v>51762.1</v>
      </c>
      <c r="M187" s="25">
        <v>1430.1</v>
      </c>
      <c r="N187" s="25">
        <v>497807.3</v>
      </c>
      <c r="O187" s="27">
        <v>675149.5</v>
      </c>
      <c r="P187" s="28">
        <v>222997.10000000003</v>
      </c>
      <c r="Q187" s="33">
        <v>39409.799999999967</v>
      </c>
      <c r="R187" s="34">
        <v>184107.19999999998</v>
      </c>
      <c r="S187" s="27">
        <f t="shared" si="3"/>
        <v>6036322.0999999987</v>
      </c>
    </row>
    <row r="188" spans="1:19" s="23" customFormat="1" x14ac:dyDescent="0.25">
      <c r="A188" s="57">
        <v>44927</v>
      </c>
      <c r="B188" s="31">
        <v>2073825.5</v>
      </c>
      <c r="C188" s="31">
        <v>1249194.6000000001</v>
      </c>
      <c r="D188" s="34">
        <v>260178.50000000003</v>
      </c>
      <c r="E188" s="34">
        <v>93699.799999999988</v>
      </c>
      <c r="F188" s="34">
        <v>86689.9</v>
      </c>
      <c r="G188" s="34">
        <v>1162.7</v>
      </c>
      <c r="H188" s="25">
        <v>2186.4</v>
      </c>
      <c r="I188" s="25">
        <v>3423.1</v>
      </c>
      <c r="J188" s="25">
        <v>516715.3</v>
      </c>
      <c r="K188" s="31">
        <v>195929</v>
      </c>
      <c r="L188" s="25">
        <v>45546.400000000001</v>
      </c>
      <c r="M188" s="25">
        <v>1128.3</v>
      </c>
      <c r="N188" s="25">
        <v>469165.60000000003</v>
      </c>
      <c r="O188" s="27">
        <v>684135.7</v>
      </c>
      <c r="P188" s="28">
        <v>227760.9</v>
      </c>
      <c r="Q188" s="33">
        <v>42001.7</v>
      </c>
      <c r="R188" s="34">
        <v>193922.80000000002</v>
      </c>
      <c r="S188" s="27">
        <f t="shared" si="3"/>
        <v>6146666.2000000002</v>
      </c>
    </row>
    <row r="189" spans="1:19" s="23" customFormat="1" x14ac:dyDescent="0.25">
      <c r="A189" s="57">
        <v>44959</v>
      </c>
      <c r="B189" s="31">
        <v>2073452.5</v>
      </c>
      <c r="C189" s="31">
        <v>1252909.1000000001</v>
      </c>
      <c r="D189" s="34">
        <v>262127.6</v>
      </c>
      <c r="E189" s="34">
        <v>80690.5</v>
      </c>
      <c r="F189" s="34">
        <v>79779.100000000006</v>
      </c>
      <c r="G189" s="34">
        <v>1074.0999999999999</v>
      </c>
      <c r="H189" s="25">
        <v>1327.2</v>
      </c>
      <c r="I189" s="25">
        <v>3550.8</v>
      </c>
      <c r="J189" s="25">
        <v>493830</v>
      </c>
      <c r="K189" s="31">
        <v>171087.09999999998</v>
      </c>
      <c r="L189" s="25">
        <v>56709.8</v>
      </c>
      <c r="M189" s="25">
        <v>1134.5999999999999</v>
      </c>
      <c r="N189" s="25">
        <v>472285.2</v>
      </c>
      <c r="O189" s="27">
        <v>685040.4</v>
      </c>
      <c r="P189" s="28">
        <v>237918.2</v>
      </c>
      <c r="Q189" s="33">
        <v>73759.800000000017</v>
      </c>
      <c r="R189" s="34">
        <v>203094.40000000002</v>
      </c>
      <c r="S189" s="27">
        <f t="shared" si="3"/>
        <v>6149770.4000000004</v>
      </c>
    </row>
    <row r="190" spans="1:19" s="23" customFormat="1" x14ac:dyDescent="0.25">
      <c r="A190" s="57">
        <v>44988</v>
      </c>
      <c r="B190" s="31">
        <v>2024957.9000000001</v>
      </c>
      <c r="C190" s="31">
        <v>1267450.7</v>
      </c>
      <c r="D190" s="34">
        <v>332833.59999999992</v>
      </c>
      <c r="E190" s="34">
        <v>75522.799999999988</v>
      </c>
      <c r="F190" s="34">
        <v>73981.7</v>
      </c>
      <c r="G190" s="34">
        <v>1083</v>
      </c>
      <c r="H190" s="25">
        <v>1229.2</v>
      </c>
      <c r="I190" s="25">
        <v>3558.9</v>
      </c>
      <c r="J190" s="25">
        <v>437844</v>
      </c>
      <c r="K190" s="31">
        <v>214397.3</v>
      </c>
      <c r="L190" s="25">
        <v>43641.900000000009</v>
      </c>
      <c r="M190" s="25">
        <v>711.6</v>
      </c>
      <c r="N190" s="25">
        <v>494952.9</v>
      </c>
      <c r="O190" s="27">
        <v>747377.49999999988</v>
      </c>
      <c r="P190" s="28">
        <v>143340.5</v>
      </c>
      <c r="Q190" s="33">
        <v>39953.700000000019</v>
      </c>
      <c r="R190" s="34">
        <v>224336.9</v>
      </c>
      <c r="S190" s="27">
        <f t="shared" si="3"/>
        <v>6127174.1000000015</v>
      </c>
    </row>
    <row r="191" spans="1:19" s="23" customFormat="1" x14ac:dyDescent="0.25">
      <c r="A191" s="57">
        <v>45020</v>
      </c>
      <c r="B191" s="31">
        <v>2100081.7999999998</v>
      </c>
      <c r="C191" s="31">
        <v>1269483.4999999998</v>
      </c>
      <c r="D191" s="34">
        <v>267389</v>
      </c>
      <c r="E191" s="34">
        <v>75711.899999999994</v>
      </c>
      <c r="F191" s="34">
        <v>84773.3</v>
      </c>
      <c r="G191" s="34">
        <v>1049</v>
      </c>
      <c r="H191" s="25">
        <v>1199</v>
      </c>
      <c r="I191" s="25">
        <v>3009.1</v>
      </c>
      <c r="J191" s="25">
        <v>487935.19999999995</v>
      </c>
      <c r="K191" s="31">
        <v>196327.59999999998</v>
      </c>
      <c r="L191" s="25">
        <v>42294.899999999994</v>
      </c>
      <c r="M191" s="25">
        <v>1283.7</v>
      </c>
      <c r="N191" s="25">
        <v>550781.49999999988</v>
      </c>
      <c r="O191" s="27">
        <v>771937.9</v>
      </c>
      <c r="P191" s="28">
        <v>128750.3</v>
      </c>
      <c r="Q191" s="33">
        <v>40011.699999999997</v>
      </c>
      <c r="R191" s="34">
        <v>198499.1</v>
      </c>
      <c r="S191" s="27">
        <f t="shared" si="3"/>
        <v>6220518.5</v>
      </c>
    </row>
    <row r="192" spans="1:19" s="23" customFormat="1" x14ac:dyDescent="0.25">
      <c r="A192" s="57">
        <v>45051</v>
      </c>
      <c r="B192" s="31">
        <v>2071026.0999999999</v>
      </c>
      <c r="C192" s="31">
        <v>1308169.3999999999</v>
      </c>
      <c r="D192" s="34">
        <v>355939.7</v>
      </c>
      <c r="E192" s="34">
        <v>73797.2</v>
      </c>
      <c r="F192" s="34">
        <v>94614.5</v>
      </c>
      <c r="G192" s="34">
        <v>1280.5</v>
      </c>
      <c r="H192" s="25">
        <v>3185.6</v>
      </c>
      <c r="I192" s="25">
        <v>2992.5</v>
      </c>
      <c r="J192" s="25">
        <v>562833.9</v>
      </c>
      <c r="K192" s="31">
        <v>180653.2</v>
      </c>
      <c r="L192" s="25">
        <v>47317</v>
      </c>
      <c r="M192" s="25">
        <v>1680</v>
      </c>
      <c r="N192" s="25">
        <v>700437.6</v>
      </c>
      <c r="O192" s="27">
        <v>771658.9</v>
      </c>
      <c r="P192" s="28">
        <v>136876.19999999998</v>
      </c>
      <c r="Q192" s="33">
        <v>17825.900000000005</v>
      </c>
      <c r="R192" s="34">
        <v>198793.5</v>
      </c>
      <c r="S192" s="27">
        <f t="shared" si="3"/>
        <v>6529081.7000000011</v>
      </c>
    </row>
    <row r="193" spans="1:19" s="23" customFormat="1" x14ac:dyDescent="0.25">
      <c r="A193" s="57">
        <v>45083</v>
      </c>
      <c r="B193" s="31">
        <v>2119753.7000000002</v>
      </c>
      <c r="C193" s="31">
        <v>1304232.6000000001</v>
      </c>
      <c r="D193" s="34">
        <v>369019.9</v>
      </c>
      <c r="E193" s="34">
        <v>118305.5</v>
      </c>
      <c r="F193" s="34">
        <v>100698.2</v>
      </c>
      <c r="G193" s="34">
        <v>1304.5</v>
      </c>
      <c r="H193" s="25">
        <v>1680.6</v>
      </c>
      <c r="I193" s="25">
        <v>3024.9</v>
      </c>
      <c r="J193" s="25">
        <v>451110.1</v>
      </c>
      <c r="K193" s="31">
        <v>195489.19999999998</v>
      </c>
      <c r="L193" s="25">
        <v>69560.100000000006</v>
      </c>
      <c r="M193" s="25">
        <v>1663.1000000000001</v>
      </c>
      <c r="N193" s="25">
        <v>682090.8</v>
      </c>
      <c r="O193" s="27">
        <v>795864.6</v>
      </c>
      <c r="P193" s="28">
        <v>154558.29999999999</v>
      </c>
      <c r="Q193" s="33">
        <v>34248.299999999974</v>
      </c>
      <c r="R193" s="34">
        <v>207221.29999999996</v>
      </c>
      <c r="S193" s="27">
        <f t="shared" si="3"/>
        <v>6609825.6999999983</v>
      </c>
    </row>
    <row r="194" spans="1:19" s="23" customFormat="1" x14ac:dyDescent="0.25">
      <c r="A194" s="57">
        <v>45114</v>
      </c>
      <c r="B194" s="31">
        <v>2089279</v>
      </c>
      <c r="C194" s="31">
        <v>1308970.2</v>
      </c>
      <c r="D194" s="34">
        <v>390033.60000000009</v>
      </c>
      <c r="E194" s="34">
        <v>54991.9</v>
      </c>
      <c r="F194" s="34">
        <v>93397.8</v>
      </c>
      <c r="G194" s="34">
        <v>1441.4</v>
      </c>
      <c r="H194" s="25">
        <v>1508.3</v>
      </c>
      <c r="I194" s="25">
        <v>200.7</v>
      </c>
      <c r="J194" s="25">
        <v>537216.80000000005</v>
      </c>
      <c r="K194" s="31">
        <v>157821.20000000001</v>
      </c>
      <c r="L194" s="25">
        <v>41397.699999999997</v>
      </c>
      <c r="M194" s="25">
        <v>1774.6000000000001</v>
      </c>
      <c r="N194" s="25">
        <v>746665</v>
      </c>
      <c r="O194" s="27">
        <v>796324.9</v>
      </c>
      <c r="P194" s="28">
        <v>166535.20000000001</v>
      </c>
      <c r="Q194" s="33">
        <v>63917.500000000015</v>
      </c>
      <c r="R194" s="34">
        <v>216331.3</v>
      </c>
      <c r="S194" s="27">
        <f t="shared" si="3"/>
        <v>6667807.1000000006</v>
      </c>
    </row>
    <row r="195" spans="1:19" s="23" customFormat="1" x14ac:dyDescent="0.25">
      <c r="A195" s="57">
        <v>45146</v>
      </c>
      <c r="B195" s="31">
        <v>2103259.3000000003</v>
      </c>
      <c r="C195" s="31">
        <v>1313196.7000000002</v>
      </c>
      <c r="D195" s="34">
        <v>390844</v>
      </c>
      <c r="E195" s="34">
        <v>51292.5</v>
      </c>
      <c r="F195" s="34">
        <v>81168.800000000003</v>
      </c>
      <c r="G195" s="34">
        <v>1470.2</v>
      </c>
      <c r="H195" s="25">
        <v>1834.1</v>
      </c>
      <c r="I195" s="25">
        <v>633.9</v>
      </c>
      <c r="J195" s="25">
        <v>538120.6</v>
      </c>
      <c r="K195" s="31">
        <v>137155.29999999999</v>
      </c>
      <c r="L195" s="25">
        <v>58762.600000000006</v>
      </c>
      <c r="M195" s="25">
        <v>1519.5</v>
      </c>
      <c r="N195" s="25">
        <v>729597</v>
      </c>
      <c r="O195" s="27">
        <v>799766</v>
      </c>
      <c r="P195" s="28">
        <v>175925.2</v>
      </c>
      <c r="Q195" s="33">
        <v>39008.699999999997</v>
      </c>
      <c r="R195" s="34">
        <v>222545.19999999995</v>
      </c>
      <c r="S195" s="27">
        <f t="shared" si="3"/>
        <v>6646099.6000000006</v>
      </c>
    </row>
    <row r="196" spans="1:19" s="23" customFormat="1" x14ac:dyDescent="0.25">
      <c r="A196" s="57">
        <v>45178</v>
      </c>
      <c r="B196" s="31">
        <v>2104036.7000000002</v>
      </c>
      <c r="C196" s="31">
        <v>1327567.5</v>
      </c>
      <c r="D196" s="34">
        <v>517005.89999999997</v>
      </c>
      <c r="E196" s="34">
        <v>58263</v>
      </c>
      <c r="F196" s="34">
        <v>78740.3</v>
      </c>
      <c r="G196" s="34">
        <v>1517.7</v>
      </c>
      <c r="H196" s="25">
        <v>2128.1</v>
      </c>
      <c r="I196" s="25">
        <v>847.2</v>
      </c>
      <c r="J196" s="25">
        <v>563314.20000000007</v>
      </c>
      <c r="K196" s="31">
        <v>156505.40000000002</v>
      </c>
      <c r="L196" s="25">
        <v>69427.399999999994</v>
      </c>
      <c r="M196" s="25">
        <v>1519.8</v>
      </c>
      <c r="N196" s="25">
        <v>710613.6</v>
      </c>
      <c r="O196" s="27">
        <v>804500.10000000009</v>
      </c>
      <c r="P196" s="28">
        <v>189831.5</v>
      </c>
      <c r="Q196" s="33">
        <v>26836.099999999988</v>
      </c>
      <c r="R196" s="34">
        <v>235674.09999999998</v>
      </c>
      <c r="S196" s="27">
        <f t="shared" si="3"/>
        <v>6848328.5999999996</v>
      </c>
    </row>
    <row r="197" spans="1:19" s="23" customFormat="1" x14ac:dyDescent="0.25">
      <c r="A197" s="57">
        <v>45209</v>
      </c>
      <c r="B197" s="31">
        <v>2142774.1</v>
      </c>
      <c r="C197" s="31">
        <v>1345715.4999999998</v>
      </c>
      <c r="D197" s="34">
        <v>514214.5</v>
      </c>
      <c r="E197" s="34">
        <v>53324.5</v>
      </c>
      <c r="F197" s="34">
        <v>76069.7</v>
      </c>
      <c r="G197" s="34">
        <v>1442.2</v>
      </c>
      <c r="H197" s="25">
        <v>2182.7999999999997</v>
      </c>
      <c r="I197" s="25">
        <v>854.5</v>
      </c>
      <c r="J197" s="25">
        <v>628434.69999999995</v>
      </c>
      <c r="K197" s="31">
        <v>143416.70000000001</v>
      </c>
      <c r="L197" s="25">
        <v>74421.099999999991</v>
      </c>
      <c r="M197" s="25">
        <v>1521.1000000000001</v>
      </c>
      <c r="N197" s="25">
        <v>739980.7</v>
      </c>
      <c r="O197" s="27">
        <v>810211.20000000007</v>
      </c>
      <c r="P197" s="28">
        <v>206236.69999999998</v>
      </c>
      <c r="Q197" s="33">
        <v>32749.300000000003</v>
      </c>
      <c r="R197" s="34">
        <v>237259.80000000005</v>
      </c>
      <c r="S197" s="27">
        <f t="shared" si="3"/>
        <v>7010809.0999999996</v>
      </c>
    </row>
    <row r="198" spans="1:19" s="23" customFormat="1" x14ac:dyDescent="0.25">
      <c r="A198" s="57">
        <v>45241</v>
      </c>
      <c r="B198" s="31">
        <v>2103463.5</v>
      </c>
      <c r="C198" s="31">
        <v>1361730.1999999997</v>
      </c>
      <c r="D198" s="34">
        <v>494638.50000000006</v>
      </c>
      <c r="E198" s="34">
        <v>69241.899999999994</v>
      </c>
      <c r="F198" s="34">
        <v>73845.5</v>
      </c>
      <c r="G198" s="34">
        <v>2550.5</v>
      </c>
      <c r="H198" s="25">
        <v>1683</v>
      </c>
      <c r="I198" s="25">
        <v>551.29999999999995</v>
      </c>
      <c r="J198" s="25">
        <v>632456</v>
      </c>
      <c r="K198" s="31">
        <v>145140</v>
      </c>
      <c r="L198" s="25">
        <v>70588.299999999988</v>
      </c>
      <c r="M198" s="25">
        <v>1906.4</v>
      </c>
      <c r="N198" s="25">
        <v>809965.5</v>
      </c>
      <c r="O198" s="27">
        <v>813872.1</v>
      </c>
      <c r="P198" s="28">
        <v>213387.2</v>
      </c>
      <c r="Q198" s="33">
        <v>26724.899999999976</v>
      </c>
      <c r="R198" s="34">
        <v>255279.5</v>
      </c>
      <c r="S198" s="27">
        <f>SUM(B198:R198)</f>
        <v>7077024.2999999998</v>
      </c>
    </row>
    <row r="199" spans="1:19" s="23" customFormat="1" x14ac:dyDescent="0.25">
      <c r="A199" s="57">
        <v>45273</v>
      </c>
      <c r="B199" s="31">
        <f>2104807.9+41863.2</f>
        <v>2146671.1</v>
      </c>
      <c r="C199" s="31">
        <f>1169030.5+60.4+97049.3+41623.1+234642.1</f>
        <v>1542405.4000000001</v>
      </c>
      <c r="D199" s="34">
        <f>468339.3+50821+42.9+4014.9+1801.2</f>
        <v>525019.30000000005</v>
      </c>
      <c r="E199" s="34">
        <f>102186.5+0+60.4</f>
        <v>102246.9</v>
      </c>
      <c r="F199" s="34">
        <f>70586.9+0</f>
        <v>70586.899999999994</v>
      </c>
      <c r="G199" s="34">
        <f>3020.2+0+0</f>
        <v>3020.2</v>
      </c>
      <c r="H199" s="25">
        <v>3236.9000000000005</v>
      </c>
      <c r="I199" s="25">
        <v>548</v>
      </c>
      <c r="J199" s="25">
        <v>567382.60000000009</v>
      </c>
      <c r="K199" s="31">
        <f>82532.8+5371.7+46015.1+87.7</f>
        <v>134007.30000000002</v>
      </c>
      <c r="L199" s="25">
        <v>85269</v>
      </c>
      <c r="M199" s="25">
        <f>3438.5+2.8</f>
        <v>3441.3</v>
      </c>
      <c r="N199" s="25">
        <f>782953.9+4357.9+102</f>
        <v>787413.8</v>
      </c>
      <c r="O199" s="27">
        <v>821154.60000000009</v>
      </c>
      <c r="P199" s="28">
        <v>240235.3</v>
      </c>
      <c r="Q199" s="33">
        <f>154.6+258482.5+0+0+1376.5-230446.8-5.2-313.5</f>
        <v>29248.100000000017</v>
      </c>
      <c r="R199" s="34">
        <f>176041.7+159890.2-46015.1-41863.2+6725.9</f>
        <v>254779.50000000003</v>
      </c>
      <c r="S199" s="27">
        <f t="shared" ref="S199" si="4">SUM(B199:R199)</f>
        <v>7316666.2000000002</v>
      </c>
    </row>
    <row r="200" spans="1:19" s="23" customFormat="1" x14ac:dyDescent="0.25">
      <c r="A200" s="57">
        <v>45305</v>
      </c>
      <c r="B200" s="31">
        <f>2126984.1+27870.8</f>
        <v>2154854.9</v>
      </c>
      <c r="C200" s="31">
        <f>1220248+60.4+97024.7+41486.9+192806.2</f>
        <v>1551626.1999999997</v>
      </c>
      <c r="D200" s="34">
        <f>408174.5+50736.7+42.9+4326.6+1774.8</f>
        <v>465055.5</v>
      </c>
      <c r="E200" s="34">
        <f>61876.7+0+60.5</f>
        <v>61937.2</v>
      </c>
      <c r="F200" s="34">
        <f>66937.7+0</f>
        <v>66937.7</v>
      </c>
      <c r="G200" s="34">
        <f>2077.4+854.7+0</f>
        <v>2932.1000000000004</v>
      </c>
      <c r="H200" s="25">
        <v>1845.8</v>
      </c>
      <c r="I200" s="25">
        <v>517.20000000000005</v>
      </c>
      <c r="J200" s="25">
        <v>557828.9</v>
      </c>
      <c r="K200" s="31">
        <f>89705.7+7348+41184.1+87.7</f>
        <v>138325.5</v>
      </c>
      <c r="L200" s="25">
        <v>65367.999999999993</v>
      </c>
      <c r="M200" s="25">
        <f>4463+2.7</f>
        <v>4465.7</v>
      </c>
      <c r="N200" s="25">
        <f>848927.6+4072.8+100.1</f>
        <v>853100.5</v>
      </c>
      <c r="O200" s="27">
        <v>819303.20000000007</v>
      </c>
      <c r="P200" s="28">
        <v>255004.30000000002</v>
      </c>
      <c r="Q200" s="33">
        <f>201.8+231279.2+0+0+1490.3-203843.6-0-313.5</f>
        <v>28814.199999999983</v>
      </c>
      <c r="R200" s="34">
        <f>159135.3+166072.4-41184.1-27870.8+10584</f>
        <v>266736.8</v>
      </c>
      <c r="S200" s="27">
        <f t="shared" ref="S200" si="5">SUM(B200:R200)</f>
        <v>7294653.7000000002</v>
      </c>
    </row>
    <row r="201" spans="1:19" s="23" customFormat="1" x14ac:dyDescent="0.25">
      <c r="A201" s="57" t="s">
        <v>3</v>
      </c>
      <c r="B201" s="31"/>
      <c r="C201" s="31"/>
      <c r="D201" s="34"/>
      <c r="E201" s="34"/>
      <c r="F201" s="34"/>
      <c r="G201" s="34"/>
      <c r="H201" s="25"/>
      <c r="I201" s="25"/>
      <c r="J201" s="25"/>
      <c r="K201" s="31"/>
      <c r="L201" s="25"/>
      <c r="M201" s="25"/>
      <c r="N201" s="25"/>
      <c r="O201" s="27"/>
      <c r="P201" s="28"/>
      <c r="Q201" s="33"/>
      <c r="R201" s="34"/>
      <c r="S201" s="27"/>
    </row>
    <row r="202" spans="1:19" s="23" customFormat="1" x14ac:dyDescent="0.25">
      <c r="O202" s="35"/>
      <c r="P202" s="35"/>
      <c r="Q202" s="36"/>
      <c r="R202" s="35"/>
      <c r="S202" s="35"/>
    </row>
    <row r="204" spans="1:19" x14ac:dyDescent="0.25">
      <c r="B204" s="10"/>
      <c r="C204" s="10"/>
      <c r="D204" s="10"/>
    </row>
    <row r="205" spans="1:19" x14ac:dyDescent="0.25">
      <c r="B205" s="10"/>
      <c r="C205" s="10"/>
      <c r="D205" s="10"/>
    </row>
    <row r="206" spans="1:19" x14ac:dyDescent="0.25">
      <c r="B206" s="10"/>
      <c r="C206" s="10"/>
      <c r="D206" s="10"/>
    </row>
    <row r="207" spans="1:19" x14ac:dyDescent="0.25">
      <c r="B207" s="10"/>
      <c r="C207" s="10"/>
      <c r="D207" s="10"/>
    </row>
    <row r="208" spans="1:19" x14ac:dyDescent="0.25">
      <c r="B208" s="10"/>
      <c r="C208" s="10"/>
      <c r="D208" s="10"/>
    </row>
    <row r="209" spans="2:4" x14ac:dyDescent="0.25">
      <c r="B209" s="10"/>
      <c r="C209" s="10"/>
      <c r="D209" s="10"/>
    </row>
    <row r="210" spans="2:4" x14ac:dyDescent="0.25">
      <c r="B210" s="10"/>
      <c r="C210" s="10"/>
      <c r="D210" s="10"/>
    </row>
    <row r="211" spans="2:4" x14ac:dyDescent="0.25">
      <c r="B211" s="10"/>
      <c r="C211" s="10"/>
      <c r="D211" s="10"/>
    </row>
    <row r="212" spans="2:4" x14ac:dyDescent="0.25">
      <c r="B212" s="10"/>
      <c r="C212" s="10"/>
      <c r="D212" s="10"/>
    </row>
    <row r="213" spans="2:4" x14ac:dyDescent="0.25">
      <c r="B213" s="10"/>
      <c r="C213" s="10"/>
      <c r="D213" s="10"/>
    </row>
    <row r="214" spans="2:4" x14ac:dyDescent="0.25">
      <c r="B214" s="10"/>
      <c r="C214" s="10"/>
      <c r="D214" s="10"/>
    </row>
    <row r="215" spans="2:4" x14ac:dyDescent="0.25">
      <c r="B215" s="10"/>
      <c r="C215" s="10"/>
      <c r="D215" s="10"/>
    </row>
    <row r="216" spans="2:4" x14ac:dyDescent="0.25">
      <c r="B216" s="10"/>
      <c r="C216" s="10"/>
      <c r="D216" s="10"/>
    </row>
    <row r="217" spans="2:4" x14ac:dyDescent="0.25">
      <c r="B217" s="10"/>
      <c r="C217" s="10"/>
      <c r="D217" s="10"/>
    </row>
  </sheetData>
  <mergeCells count="18"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  <ignoredErrors>
    <ignoredError sqref="S170" formula="1"/>
    <ignoredError sqref="S195:S197 S17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73"/>
  <sheetViews>
    <sheetView workbookViewId="0">
      <pane xSplit="1" ySplit="7" topLeftCell="Q65" activePane="bottomRight" state="frozen"/>
      <selection pane="topRight" activeCell="B1" sqref="B1"/>
      <selection pane="bottomLeft" activeCell="A8" sqref="A8"/>
      <selection pane="bottomRight" activeCell="A71" sqref="A71:XFD71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55" customFormat="1" ht="15" x14ac:dyDescent="0.25">
      <c r="A1" s="54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66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</row>
    <row r="5" spans="1:19" s="37" customFormat="1" ht="18.75" x14ac:dyDescent="0.3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</row>
    <row r="6" spans="1:19" s="37" customFormat="1" ht="18.75" x14ac:dyDescent="0.3">
      <c r="A6" s="69" t="s">
        <v>49</v>
      </c>
      <c r="B6" s="64" t="s">
        <v>4</v>
      </c>
      <c r="C6" s="63" t="s">
        <v>5</v>
      </c>
      <c r="D6" s="63" t="s">
        <v>41</v>
      </c>
      <c r="E6" s="71" t="s">
        <v>47</v>
      </c>
      <c r="F6" s="71"/>
      <c r="G6" s="71"/>
      <c r="H6" s="63" t="s">
        <v>7</v>
      </c>
      <c r="I6" s="63" t="s">
        <v>8</v>
      </c>
      <c r="J6" s="63" t="s">
        <v>9</v>
      </c>
      <c r="K6" s="63" t="s">
        <v>10</v>
      </c>
      <c r="L6" s="63" t="s">
        <v>45</v>
      </c>
      <c r="M6" s="63" t="s">
        <v>11</v>
      </c>
      <c r="N6" s="63" t="s">
        <v>42</v>
      </c>
      <c r="O6" s="63" t="s">
        <v>43</v>
      </c>
      <c r="P6" s="64" t="s">
        <v>12</v>
      </c>
      <c r="Q6" s="65" t="s">
        <v>13</v>
      </c>
      <c r="R6" s="63" t="s">
        <v>14</v>
      </c>
      <c r="S6" s="64" t="s">
        <v>15</v>
      </c>
    </row>
    <row r="7" spans="1:19" s="37" customFormat="1" ht="90" customHeight="1" x14ac:dyDescent="0.3">
      <c r="A7" s="70"/>
      <c r="B7" s="64"/>
      <c r="C7" s="63"/>
      <c r="D7" s="63"/>
      <c r="E7" s="48" t="s">
        <v>4</v>
      </c>
      <c r="F7" s="48" t="s">
        <v>5</v>
      </c>
      <c r="G7" s="48" t="s">
        <v>48</v>
      </c>
      <c r="H7" s="63"/>
      <c r="I7" s="63"/>
      <c r="J7" s="63"/>
      <c r="K7" s="63"/>
      <c r="L7" s="63"/>
      <c r="M7" s="63"/>
      <c r="N7" s="63"/>
      <c r="O7" s="63"/>
      <c r="P7" s="64"/>
      <c r="Q7" s="65"/>
      <c r="R7" s="63"/>
      <c r="S7" s="64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57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57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57">
        <v>43465</v>
      </c>
      <c r="B51" s="39">
        <v>768239.6</v>
      </c>
      <c r="C51" s="39">
        <v>346751.4</v>
      </c>
      <c r="D51" s="40">
        <v>141412.09999999998</v>
      </c>
      <c r="E51" s="40">
        <v>36886.5</v>
      </c>
      <c r="F51" s="40">
        <v>35997.4</v>
      </c>
      <c r="G51" s="40">
        <v>1023.4</v>
      </c>
      <c r="H51" s="41">
        <v>3637.7999999999993</v>
      </c>
      <c r="I51" s="41">
        <v>4437.6000000000004</v>
      </c>
      <c r="J51" s="41">
        <v>249568.7</v>
      </c>
      <c r="K51" s="39">
        <v>72439.7</v>
      </c>
      <c r="L51" s="41">
        <v>20202.199999999997</v>
      </c>
      <c r="M51" s="41">
        <v>960.2</v>
      </c>
      <c r="N51" s="41">
        <v>182222.7</v>
      </c>
      <c r="O51" s="42">
        <v>244861.3</v>
      </c>
      <c r="P51" s="43">
        <v>72531.399999999994</v>
      </c>
      <c r="Q51" s="44">
        <v>-1427.4999999999998</v>
      </c>
      <c r="R51" s="40">
        <v>130520.1</v>
      </c>
      <c r="S51" s="27">
        <f t="shared" ref="S51" si="2">SUM(B51:R51)</f>
        <v>2310264.5999999996</v>
      </c>
    </row>
    <row r="52" spans="1:19" s="23" customFormat="1" x14ac:dyDescent="0.25">
      <c r="A52" s="57">
        <v>43555</v>
      </c>
      <c r="B52" s="39">
        <f>830900.1+18699.4</f>
        <v>849599.5</v>
      </c>
      <c r="C52" s="39">
        <v>360524.2</v>
      </c>
      <c r="D52" s="40">
        <f>121032.6+26391</f>
        <v>147423.6</v>
      </c>
      <c r="E52" s="40">
        <f>42170+58.4</f>
        <v>42228.4</v>
      </c>
      <c r="F52" s="40">
        <v>41693.4</v>
      </c>
      <c r="G52" s="40">
        <v>773.2</v>
      </c>
      <c r="H52" s="41">
        <v>5116.8</v>
      </c>
      <c r="I52" s="41">
        <v>4523.8</v>
      </c>
      <c r="J52" s="41">
        <v>287105</v>
      </c>
      <c r="K52" s="39">
        <f>35733.8+11845.2+39025.9</f>
        <v>86604.9</v>
      </c>
      <c r="L52" s="41">
        <v>22691.9</v>
      </c>
      <c r="M52" s="41">
        <f>21.5+786.3</f>
        <v>807.8</v>
      </c>
      <c r="N52" s="41">
        <v>196903.4</v>
      </c>
      <c r="O52" s="42">
        <v>269775.5</v>
      </c>
      <c r="P52" s="43">
        <v>48614</v>
      </c>
      <c r="Q52" s="44">
        <v>3258.5</v>
      </c>
      <c r="R52" s="40">
        <f>71880.5+89003.8+3129.1-18699.4-11845.2</f>
        <v>133468.79999999999</v>
      </c>
      <c r="S52" s="27">
        <f t="shared" ref="S52" si="3">SUM(B52:R52)</f>
        <v>2501112.6999999993</v>
      </c>
    </row>
    <row r="53" spans="1:19" s="23" customFormat="1" x14ac:dyDescent="0.25">
      <c r="A53" s="57">
        <v>43617</v>
      </c>
      <c r="B53" s="39">
        <f>883112+35432.4</f>
        <v>918544.4</v>
      </c>
      <c r="C53" s="39">
        <v>384199</v>
      </c>
      <c r="D53" s="40">
        <f>21144.9+119745.4</f>
        <v>140890.29999999999</v>
      </c>
      <c r="E53" s="40">
        <f>33415.3+58.4</f>
        <v>33473.700000000004</v>
      </c>
      <c r="F53" s="40">
        <v>45316</v>
      </c>
      <c r="G53" s="40">
        <v>784.9</v>
      </c>
      <c r="H53" s="41">
        <v>5296.3</v>
      </c>
      <c r="I53" s="41">
        <v>4605</v>
      </c>
      <c r="J53" s="41">
        <v>334675.3</v>
      </c>
      <c r="K53" s="39">
        <f>29603.4+9328.2+40739.2</f>
        <v>79670.8</v>
      </c>
      <c r="L53" s="41">
        <v>23651.200000000001</v>
      </c>
      <c r="M53" s="41">
        <v>807.1</v>
      </c>
      <c r="N53" s="41">
        <v>199660</v>
      </c>
      <c r="O53" s="42">
        <v>279968.5</v>
      </c>
      <c r="P53" s="43">
        <v>64021.4</v>
      </c>
      <c r="Q53" s="44">
        <f>165.2+2000.8-381.5-2003.6-31.4-3.5</f>
        <v>-253.99999999999991</v>
      </c>
      <c r="R53" s="40">
        <f>86888.9+93900.6+1980.8-9328.2-35432.4</f>
        <v>138009.69999999998</v>
      </c>
      <c r="S53" s="27">
        <f t="shared" ref="S53" si="4">SUM(B53:R53)</f>
        <v>2653319.6</v>
      </c>
    </row>
    <row r="54" spans="1:19" s="23" customFormat="1" x14ac:dyDescent="0.25">
      <c r="A54" s="57">
        <v>43738</v>
      </c>
      <c r="B54" s="31">
        <f>940224.1+11001.8</f>
        <v>951225.9</v>
      </c>
      <c r="C54" s="31">
        <v>377943.99999999994</v>
      </c>
      <c r="D54" s="34">
        <f>20172.8+125072</f>
        <v>145244.79999999999</v>
      </c>
      <c r="E54" s="34">
        <f>33907.9+58.4</f>
        <v>33966.300000000003</v>
      </c>
      <c r="F54" s="34">
        <v>37680.5</v>
      </c>
      <c r="G54" s="34">
        <v>1051.9999999999998</v>
      </c>
      <c r="H54" s="25">
        <v>4654.6000000000004</v>
      </c>
      <c r="I54" s="25">
        <v>4591.7</v>
      </c>
      <c r="J54" s="25">
        <v>393162.60000000003</v>
      </c>
      <c r="K54" s="31">
        <f>19187.6+11457.2+41442</f>
        <v>72086.8</v>
      </c>
      <c r="L54" s="25">
        <v>20434.300000000003</v>
      </c>
      <c r="M54" s="25">
        <v>843.9</v>
      </c>
      <c r="N54" s="25">
        <v>223096</v>
      </c>
      <c r="O54" s="27">
        <v>282742.8</v>
      </c>
      <c r="P54" s="28">
        <v>96432.3</v>
      </c>
      <c r="Q54" s="33">
        <f>4759.4+0+24.3-6253.7-31.4-0.1</f>
        <v>-1501.5</v>
      </c>
      <c r="R54" s="34">
        <f>67293.7+94223.8+2985.9-11457.2-11001.8</f>
        <v>142044.4</v>
      </c>
      <c r="S54" s="27">
        <f t="shared" ref="S54" si="5">SUM(B54:R54)</f>
        <v>2785701.4</v>
      </c>
    </row>
    <row r="55" spans="1:19" s="23" customFormat="1" x14ac:dyDescent="0.25">
      <c r="A55" s="57">
        <v>43800</v>
      </c>
      <c r="B55" s="31">
        <v>889356.69999999984</v>
      </c>
      <c r="C55" s="31">
        <v>497195.6</v>
      </c>
      <c r="D55" s="34">
        <v>147319.79999999999</v>
      </c>
      <c r="E55" s="34">
        <f>42949.2+58.4</f>
        <v>43007.6</v>
      </c>
      <c r="F55" s="34">
        <v>52965.500000000007</v>
      </c>
      <c r="G55" s="34">
        <v>1109.6999999999998</v>
      </c>
      <c r="H55" s="25">
        <v>5917.9</v>
      </c>
      <c r="I55" s="25">
        <v>4674.6000000000004</v>
      </c>
      <c r="J55" s="25">
        <v>427469.4</v>
      </c>
      <c r="K55" s="31">
        <v>82888.800000000003</v>
      </c>
      <c r="L55" s="25">
        <v>32600.300000000003</v>
      </c>
      <c r="M55" s="25">
        <v>927.60000000000014</v>
      </c>
      <c r="N55" s="25">
        <v>216615.89999999997</v>
      </c>
      <c r="O55" s="27">
        <v>291528.80000000005</v>
      </c>
      <c r="P55" s="28">
        <v>120578.99999999999</v>
      </c>
      <c r="Q55" s="33">
        <f>79.8+10119.5-13.2-15220.2-31.4-0</f>
        <v>-5065.5000000000018</v>
      </c>
      <c r="R55" s="34">
        <f>72539.8+74054.3+1953-16514.7-8349.2</f>
        <v>123683.2</v>
      </c>
      <c r="S55" s="27">
        <f t="shared" ref="S55" si="6">SUM(B55:R55)</f>
        <v>2932774.8999999994</v>
      </c>
    </row>
    <row r="56" spans="1:19" s="23" customFormat="1" x14ac:dyDescent="0.25">
      <c r="A56" s="57">
        <v>43921</v>
      </c>
      <c r="B56" s="31">
        <f>880232.3+14473</f>
        <v>894705.3</v>
      </c>
      <c r="C56" s="31">
        <v>515934.60000000003</v>
      </c>
      <c r="D56" s="34">
        <f>133805+17170.8</f>
        <v>150975.79999999999</v>
      </c>
      <c r="E56" s="34">
        <f>38896.5+58.4</f>
        <v>38954.9</v>
      </c>
      <c r="F56" s="34">
        <v>55232.2</v>
      </c>
      <c r="G56" s="34">
        <v>1138.8000000000002</v>
      </c>
      <c r="H56" s="25">
        <v>2980</v>
      </c>
      <c r="I56" s="25">
        <v>2724.3</v>
      </c>
      <c r="J56" s="25">
        <v>420015.1</v>
      </c>
      <c r="K56" s="31">
        <f>65237.4+14956.4+16693.7</f>
        <v>96887.5</v>
      </c>
      <c r="L56" s="25">
        <v>31920.1</v>
      </c>
      <c r="M56" s="25">
        <v>2013.3</v>
      </c>
      <c r="N56" s="25">
        <v>261170.6</v>
      </c>
      <c r="O56" s="27">
        <v>355771</v>
      </c>
      <c r="P56" s="28">
        <v>61517.7</v>
      </c>
      <c r="Q56" s="33">
        <f>6028.1+27313.9+0+12.7-25011.2-31.4-0</f>
        <v>8312.0999999999967</v>
      </c>
      <c r="R56" s="34">
        <f>81934.8+76845+2468.1-14956.4-14473</f>
        <v>131818.5</v>
      </c>
      <c r="S56" s="27">
        <f t="shared" ref="S56" si="7">SUM(B56:R56)</f>
        <v>3032071.8000000003</v>
      </c>
    </row>
    <row r="57" spans="1:19" s="23" customFormat="1" x14ac:dyDescent="0.25">
      <c r="A57" s="57">
        <v>44012</v>
      </c>
      <c r="B57" s="31">
        <f>977338.4+22228</f>
        <v>999566.4</v>
      </c>
      <c r="C57" s="31">
        <v>544257.6</v>
      </c>
      <c r="D57" s="34">
        <f>140066.8+18516.8</f>
        <v>158583.59999999998</v>
      </c>
      <c r="E57" s="34">
        <f>38666.5+58.4</f>
        <v>38724.9</v>
      </c>
      <c r="F57" s="34">
        <v>48625.599999999999</v>
      </c>
      <c r="G57" s="34">
        <v>965.4</v>
      </c>
      <c r="H57" s="25">
        <v>12187.100000000002</v>
      </c>
      <c r="I57" s="25">
        <v>2374.9</v>
      </c>
      <c r="J57" s="25">
        <v>411333</v>
      </c>
      <c r="K57" s="31">
        <f>39095.6+11963.7+12321.6</f>
        <v>63380.9</v>
      </c>
      <c r="L57" s="25">
        <v>28888.899999999998</v>
      </c>
      <c r="M57" s="25">
        <v>1210.8999999999999</v>
      </c>
      <c r="N57" s="25">
        <v>277077.40000000002</v>
      </c>
      <c r="O57" s="27">
        <v>358684.4</v>
      </c>
      <c r="P57" s="28">
        <v>90832.3</v>
      </c>
      <c r="Q57" s="33">
        <f>11.8+2922.5+563.6-2529.2-31.4-15.9</f>
        <v>921.40000000000032</v>
      </c>
      <c r="R57" s="34">
        <f>79835.9+79765.3+2201.1-11963.7-22228</f>
        <v>127610.6</v>
      </c>
      <c r="S57" s="27">
        <f t="shared" ref="S57" si="8">SUM(B57:R57)</f>
        <v>3165225.2999999993</v>
      </c>
    </row>
    <row r="58" spans="1:19" s="23" customFormat="1" x14ac:dyDescent="0.25">
      <c r="A58" s="57">
        <v>44104</v>
      </c>
      <c r="B58" s="31">
        <f>1087600.6+17969.8</f>
        <v>1105570.4000000001</v>
      </c>
      <c r="C58" s="31">
        <f>574223.4+118.2+2167+21378.5+5392.5</f>
        <v>603279.6</v>
      </c>
      <c r="D58" s="34">
        <f>155734.1+13918+39.8+1487.6+1283.3</f>
        <v>172462.8</v>
      </c>
      <c r="E58" s="34">
        <f>34287.7+58.4</f>
        <v>34346.1</v>
      </c>
      <c r="F58" s="34">
        <v>38828.9</v>
      </c>
      <c r="G58" s="34">
        <v>845.40000000000009</v>
      </c>
      <c r="H58" s="25">
        <v>3097.2999999999997</v>
      </c>
      <c r="I58" s="25">
        <v>3666.3</v>
      </c>
      <c r="J58" s="25">
        <v>360531.8</v>
      </c>
      <c r="K58" s="31">
        <f>40194.7+13712.3+18796.8+66</f>
        <v>72769.8</v>
      </c>
      <c r="L58" s="25">
        <v>16865.2</v>
      </c>
      <c r="M58" s="25">
        <f>8692.2+17902.1</f>
        <v>26594.3</v>
      </c>
      <c r="N58" s="25">
        <f>289503.6+550+195.5</f>
        <v>290249.09999999998</v>
      </c>
      <c r="O58" s="27">
        <v>373196.39999999997</v>
      </c>
      <c r="P58" s="28">
        <v>132637.1</v>
      </c>
      <c r="Q58" s="33">
        <f>45.3+2.1+884.1-43.7-31.4-0</f>
        <v>856.4</v>
      </c>
      <c r="R58" s="34">
        <f>85068.9+84622.2+2137.4-13712.3-17969.8</f>
        <v>140146.4</v>
      </c>
      <c r="S58" s="27">
        <f t="shared" ref="S58" si="9">SUM(B58:R58)</f>
        <v>3375943.3</v>
      </c>
    </row>
    <row r="59" spans="1:19" s="23" customFormat="1" ht="15" customHeight="1" x14ac:dyDescent="0.25">
      <c r="A59" s="57">
        <v>44196</v>
      </c>
      <c r="B59" s="31">
        <f>1127406.1+14327.1</f>
        <v>1141733.2000000002</v>
      </c>
      <c r="C59" s="31">
        <f>612431.2+3166.9+2942.3+21501.2+5260.4</f>
        <v>645302</v>
      </c>
      <c r="D59" s="34">
        <f>158492+13303+71.2+7277+232.4</f>
        <v>179375.6</v>
      </c>
      <c r="E59" s="34">
        <f>87099.3+58.4</f>
        <v>87157.7</v>
      </c>
      <c r="F59" s="34">
        <v>44679.6</v>
      </c>
      <c r="G59" s="34">
        <v>899.49999999999989</v>
      </c>
      <c r="H59" s="25">
        <v>3485.6</v>
      </c>
      <c r="I59" s="25">
        <f>0+3667.1</f>
        <v>3667.1</v>
      </c>
      <c r="J59" s="25">
        <v>296859.40000000008</v>
      </c>
      <c r="K59" s="31">
        <f>53343.2+20079.5+26571.3+66</f>
        <v>100060</v>
      </c>
      <c r="L59" s="25">
        <v>22821.599999999999</v>
      </c>
      <c r="M59" s="25">
        <f>13386.5+0</f>
        <v>13386.5</v>
      </c>
      <c r="N59" s="25">
        <f>307050.9+560.2+76.7</f>
        <v>307687.80000000005</v>
      </c>
      <c r="O59" s="27">
        <v>375585</v>
      </c>
      <c r="P59" s="28">
        <v>158256</v>
      </c>
      <c r="Q59" s="33">
        <f>84.4+2023.3+600.1+0-2083.8-31.4-0</f>
        <v>592.59999999999957</v>
      </c>
      <c r="R59" s="34">
        <f>85368.1+75821.6+2271.8-20079.5-14327.1</f>
        <v>129054.9</v>
      </c>
      <c r="S59" s="27">
        <f t="shared" ref="S59" si="10">SUM(B59:R59)</f>
        <v>3510604.1000000006</v>
      </c>
    </row>
    <row r="60" spans="1:19" s="23" customFormat="1" x14ac:dyDescent="0.25">
      <c r="A60" s="57">
        <v>44286</v>
      </c>
      <c r="B60" s="31">
        <v>1202220.3</v>
      </c>
      <c r="C60" s="31">
        <v>684475.5</v>
      </c>
      <c r="D60" s="34">
        <v>188208.9</v>
      </c>
      <c r="E60" s="34">
        <v>73049.2</v>
      </c>
      <c r="F60" s="34">
        <v>52828.2</v>
      </c>
      <c r="G60" s="34">
        <v>897.49999999999989</v>
      </c>
      <c r="H60" s="25">
        <v>3049.4</v>
      </c>
      <c r="I60" s="25">
        <v>3000.6</v>
      </c>
      <c r="J60" s="25">
        <v>286862.39999999997</v>
      </c>
      <c r="K60" s="31">
        <v>99177.1</v>
      </c>
      <c r="L60" s="25">
        <v>28206.799999999996</v>
      </c>
      <c r="M60" s="25">
        <v>22145.7</v>
      </c>
      <c r="N60" s="25">
        <v>318779.09999999998</v>
      </c>
      <c r="O60" s="27">
        <v>449838.1</v>
      </c>
      <c r="P60" s="28">
        <v>90021.900000000009</v>
      </c>
      <c r="Q60" s="33">
        <v>3572.9999999999977</v>
      </c>
      <c r="R60" s="34">
        <v>136536.69999999998</v>
      </c>
      <c r="S60" s="27">
        <v>3642870.4000000004</v>
      </c>
    </row>
    <row r="61" spans="1:19" s="23" customFormat="1" x14ac:dyDescent="0.25">
      <c r="A61" s="57">
        <v>44377</v>
      </c>
      <c r="B61" s="31">
        <v>1286822.8</v>
      </c>
      <c r="C61" s="31">
        <v>721614.2</v>
      </c>
      <c r="D61" s="34">
        <v>189498.80000000002</v>
      </c>
      <c r="E61" s="34">
        <v>83296.299999999988</v>
      </c>
      <c r="F61" s="34">
        <v>68262</v>
      </c>
      <c r="G61" s="34">
        <v>928.99999999999989</v>
      </c>
      <c r="H61" s="25">
        <v>4514.8000000000011</v>
      </c>
      <c r="I61" s="25">
        <v>3152.2999999999997</v>
      </c>
      <c r="J61" s="25">
        <v>326958.8</v>
      </c>
      <c r="K61" s="31">
        <v>107062.6</v>
      </c>
      <c r="L61" s="25">
        <v>43190.3</v>
      </c>
      <c r="M61" s="25">
        <v>3815.2999999999997</v>
      </c>
      <c r="N61" s="25">
        <v>365639.5</v>
      </c>
      <c r="O61" s="27">
        <v>458055</v>
      </c>
      <c r="P61" s="28">
        <v>118526.59999999999</v>
      </c>
      <c r="Q61" s="33">
        <v>6332.5000000000018</v>
      </c>
      <c r="R61" s="34">
        <v>145309.60000000003</v>
      </c>
      <c r="S61" s="27">
        <v>3932980.399999999</v>
      </c>
    </row>
    <row r="62" spans="1:19" s="23" customFormat="1" x14ac:dyDescent="0.25">
      <c r="A62" s="57">
        <v>44469</v>
      </c>
      <c r="B62" s="31">
        <v>1356468.8</v>
      </c>
      <c r="C62" s="31">
        <v>948933.69999999984</v>
      </c>
      <c r="D62" s="34">
        <v>199716.30000000002</v>
      </c>
      <c r="E62" s="34">
        <v>66753.799999999988</v>
      </c>
      <c r="F62" s="34">
        <v>82765.8</v>
      </c>
      <c r="G62" s="34">
        <v>967.6</v>
      </c>
      <c r="H62" s="25">
        <v>1248.5999999999999</v>
      </c>
      <c r="I62" s="25">
        <v>3180.4</v>
      </c>
      <c r="J62" s="25">
        <v>405892.60000000003</v>
      </c>
      <c r="K62" s="31">
        <v>101173.6</v>
      </c>
      <c r="L62" s="25">
        <v>44536.299999999996</v>
      </c>
      <c r="M62" s="25">
        <v>5183.2</v>
      </c>
      <c r="N62" s="25">
        <v>429239.7</v>
      </c>
      <c r="O62" s="27">
        <v>490103.5</v>
      </c>
      <c r="P62" s="28">
        <v>169591.2</v>
      </c>
      <c r="Q62" s="33">
        <v>1111.5</v>
      </c>
      <c r="R62" s="34">
        <v>175004.2</v>
      </c>
      <c r="S62" s="27">
        <v>4481870.8</v>
      </c>
    </row>
    <row r="63" spans="1:19" s="23" customFormat="1" x14ac:dyDescent="0.25">
      <c r="A63" s="57">
        <v>44561</v>
      </c>
      <c r="B63" s="31">
        <v>1308690.2</v>
      </c>
      <c r="C63" s="31">
        <v>989411.8</v>
      </c>
      <c r="D63" s="34">
        <v>225857.4</v>
      </c>
      <c r="E63" s="34">
        <v>62768</v>
      </c>
      <c r="F63" s="34">
        <v>88575.900000000009</v>
      </c>
      <c r="G63" s="34">
        <v>1237.9999999999998</v>
      </c>
      <c r="H63" s="25">
        <v>2437.7999999999997</v>
      </c>
      <c r="I63" s="25">
        <v>3014.6</v>
      </c>
      <c r="J63" s="25">
        <v>512988.39999999997</v>
      </c>
      <c r="K63" s="31">
        <v>110830.1</v>
      </c>
      <c r="L63" s="25">
        <v>33877.5</v>
      </c>
      <c r="M63" s="25">
        <v>4750.2999999999993</v>
      </c>
      <c r="N63" s="25">
        <v>366326.19999999995</v>
      </c>
      <c r="O63" s="27">
        <v>488662.39999999997</v>
      </c>
      <c r="P63" s="28">
        <v>205676.69999999998</v>
      </c>
      <c r="Q63" s="33">
        <v>7861.1999999999916</v>
      </c>
      <c r="R63" s="34">
        <v>181337.30000000002</v>
      </c>
      <c r="S63" s="27">
        <v>4594303.8</v>
      </c>
    </row>
    <row r="64" spans="1:19" s="23" customFormat="1" x14ac:dyDescent="0.25">
      <c r="A64" s="57">
        <v>44651</v>
      </c>
      <c r="B64" s="31">
        <v>1438299</v>
      </c>
      <c r="C64" s="31">
        <v>1033568.9999999999</v>
      </c>
      <c r="D64" s="34">
        <v>268880</v>
      </c>
      <c r="E64" s="34">
        <v>73916.800000000003</v>
      </c>
      <c r="F64" s="34">
        <v>73966.2</v>
      </c>
      <c r="G64" s="34">
        <v>1028.0999999999999</v>
      </c>
      <c r="H64" s="25">
        <v>1517.5</v>
      </c>
      <c r="I64" s="25">
        <v>3242.1</v>
      </c>
      <c r="J64" s="25">
        <v>459748.30000000005</v>
      </c>
      <c r="K64" s="31">
        <v>125751.29999999999</v>
      </c>
      <c r="L64" s="25">
        <v>58094.9</v>
      </c>
      <c r="M64" s="25">
        <v>1431.6</v>
      </c>
      <c r="N64" s="25">
        <v>342869.8</v>
      </c>
      <c r="O64" s="27">
        <v>604713.5</v>
      </c>
      <c r="P64" s="28">
        <v>109779.3</v>
      </c>
      <c r="Q64" s="33">
        <v>-1987.9999999999914</v>
      </c>
      <c r="R64" s="34">
        <v>218478.90000000002</v>
      </c>
      <c r="S64" s="27">
        <v>4813298.3</v>
      </c>
    </row>
    <row r="65" spans="1:19" s="23" customFormat="1" x14ac:dyDescent="0.25">
      <c r="A65" s="57">
        <v>44722</v>
      </c>
      <c r="B65" s="31">
        <v>1647203</v>
      </c>
      <c r="C65" s="31">
        <v>1120414.8</v>
      </c>
      <c r="D65" s="34">
        <v>234016.59999999998</v>
      </c>
      <c r="E65" s="34">
        <v>47376.799999999996</v>
      </c>
      <c r="F65" s="34">
        <v>76096.000000000015</v>
      </c>
      <c r="G65" s="34">
        <v>877.2</v>
      </c>
      <c r="H65" s="25">
        <v>1202</v>
      </c>
      <c r="I65" s="25">
        <v>3739.3</v>
      </c>
      <c r="J65" s="25">
        <v>550425.79999999993</v>
      </c>
      <c r="K65" s="31">
        <v>122898.7</v>
      </c>
      <c r="L65" s="25">
        <v>50033.899999999994</v>
      </c>
      <c r="M65" s="25">
        <v>1154</v>
      </c>
      <c r="N65" s="25">
        <v>448858.10000000003</v>
      </c>
      <c r="O65" s="27">
        <v>621068.39999999991</v>
      </c>
      <c r="P65" s="28">
        <v>149595.20000000001</v>
      </c>
      <c r="Q65" s="33">
        <v>4301.6999999999944</v>
      </c>
      <c r="R65" s="34">
        <v>191348.5</v>
      </c>
      <c r="S65" s="27">
        <v>5270610</v>
      </c>
    </row>
    <row r="66" spans="1:19" s="23" customFormat="1" x14ac:dyDescent="0.25">
      <c r="A66" s="57">
        <v>44814</v>
      </c>
      <c r="B66" s="31">
        <v>1896482.5999999999</v>
      </c>
      <c r="C66" s="31">
        <v>1144966.8</v>
      </c>
      <c r="D66" s="34">
        <v>246467.7</v>
      </c>
      <c r="E66" s="34">
        <v>52463.199999999997</v>
      </c>
      <c r="F66" s="34">
        <v>57406.5</v>
      </c>
      <c r="G66" s="34">
        <v>908.90000000000009</v>
      </c>
      <c r="H66" s="25">
        <v>2431.8999999999996</v>
      </c>
      <c r="I66" s="25">
        <v>3906.7</v>
      </c>
      <c r="J66" s="25">
        <v>599198.80000000005</v>
      </c>
      <c r="K66" s="31">
        <v>109734.3</v>
      </c>
      <c r="L66" s="25">
        <v>46883.899999999994</v>
      </c>
      <c r="M66" s="25">
        <v>2932.9</v>
      </c>
      <c r="N66" s="25">
        <v>584494.19999999995</v>
      </c>
      <c r="O66" s="27">
        <v>621256.80000000005</v>
      </c>
      <c r="P66" s="28">
        <v>189250.2</v>
      </c>
      <c r="Q66" s="33">
        <v>32565.000000000029</v>
      </c>
      <c r="R66" s="34">
        <v>197039.39999999997</v>
      </c>
      <c r="S66" s="27">
        <v>5788389.8000000007</v>
      </c>
    </row>
    <row r="67" spans="1:19" s="23" customFormat="1" x14ac:dyDescent="0.25">
      <c r="A67" s="57">
        <v>44908</v>
      </c>
      <c r="B67" s="31">
        <v>2025031.6</v>
      </c>
      <c r="C67" s="31">
        <v>1218764.3999999999</v>
      </c>
      <c r="D67" s="34">
        <v>258313.4</v>
      </c>
      <c r="E67" s="34">
        <v>56856.200000000004</v>
      </c>
      <c r="F67" s="34">
        <v>92199.7</v>
      </c>
      <c r="G67" s="34">
        <v>1176.7</v>
      </c>
      <c r="H67" s="25">
        <v>2548.8000000000006</v>
      </c>
      <c r="I67" s="25">
        <v>3421.3</v>
      </c>
      <c r="J67" s="25">
        <v>521529.70000000007</v>
      </c>
      <c r="K67" s="31">
        <v>183817.2</v>
      </c>
      <c r="L67" s="25">
        <v>51762.1</v>
      </c>
      <c r="M67" s="25">
        <v>1430.1</v>
      </c>
      <c r="N67" s="25">
        <v>497807.3</v>
      </c>
      <c r="O67" s="27">
        <v>675149.5</v>
      </c>
      <c r="P67" s="28">
        <v>222997.10000000003</v>
      </c>
      <c r="Q67" s="33">
        <v>39409.799999999967</v>
      </c>
      <c r="R67" s="34">
        <v>184107.19999999998</v>
      </c>
      <c r="S67" s="27">
        <v>6036322.0999999987</v>
      </c>
    </row>
    <row r="68" spans="1:19" s="23" customFormat="1" x14ac:dyDescent="0.25">
      <c r="A68" s="57">
        <v>44988</v>
      </c>
      <c r="B68" s="31">
        <v>2024957.9000000001</v>
      </c>
      <c r="C68" s="31">
        <v>1267450.7</v>
      </c>
      <c r="D68" s="34">
        <v>332833.59999999992</v>
      </c>
      <c r="E68" s="34">
        <v>75522.799999999988</v>
      </c>
      <c r="F68" s="34">
        <v>73981.7</v>
      </c>
      <c r="G68" s="34">
        <v>1083</v>
      </c>
      <c r="H68" s="25">
        <v>1229.2</v>
      </c>
      <c r="I68" s="25">
        <v>3558.9</v>
      </c>
      <c r="J68" s="25">
        <v>437844</v>
      </c>
      <c r="K68" s="31">
        <v>214397.3</v>
      </c>
      <c r="L68" s="25">
        <v>43641.900000000009</v>
      </c>
      <c r="M68" s="25">
        <v>711.6</v>
      </c>
      <c r="N68" s="25">
        <v>494952.9</v>
      </c>
      <c r="O68" s="27">
        <v>747377.49999999988</v>
      </c>
      <c r="P68" s="28">
        <v>143340.5</v>
      </c>
      <c r="Q68" s="33">
        <v>39953.700000000019</v>
      </c>
      <c r="R68" s="34">
        <v>224336.9</v>
      </c>
      <c r="S68" s="27">
        <v>6127174.1000000015</v>
      </c>
    </row>
    <row r="69" spans="1:19" s="23" customFormat="1" x14ac:dyDescent="0.25">
      <c r="A69" s="57">
        <v>45081</v>
      </c>
      <c r="B69" s="31">
        <v>2119753.7000000002</v>
      </c>
      <c r="C69" s="31">
        <v>1304232.6000000001</v>
      </c>
      <c r="D69" s="34">
        <v>369019.9</v>
      </c>
      <c r="E69" s="34">
        <v>118305.5</v>
      </c>
      <c r="F69" s="34">
        <v>100698.2</v>
      </c>
      <c r="G69" s="34">
        <v>1304.5</v>
      </c>
      <c r="H69" s="25">
        <v>1680.6</v>
      </c>
      <c r="I69" s="25">
        <v>3024.9</v>
      </c>
      <c r="J69" s="25">
        <v>451110.1</v>
      </c>
      <c r="K69" s="31">
        <v>195489.19999999998</v>
      </c>
      <c r="L69" s="25">
        <v>69560.100000000006</v>
      </c>
      <c r="M69" s="25">
        <v>1663.1000000000001</v>
      </c>
      <c r="N69" s="25">
        <v>682090.8</v>
      </c>
      <c r="O69" s="27">
        <v>795864.6</v>
      </c>
      <c r="P69" s="28">
        <v>154558.29999999999</v>
      </c>
      <c r="Q69" s="33">
        <v>34248.299999999974</v>
      </c>
      <c r="R69" s="34">
        <v>207221.29999999996</v>
      </c>
      <c r="S69" s="27">
        <v>6609825.6999999983</v>
      </c>
    </row>
    <row r="70" spans="1:19" s="23" customFormat="1" x14ac:dyDescent="0.25">
      <c r="A70" s="57">
        <v>45174</v>
      </c>
      <c r="B70" s="31">
        <v>2104036.7000000002</v>
      </c>
      <c r="C70" s="31">
        <v>1327567.5</v>
      </c>
      <c r="D70" s="34">
        <v>517005.89999999997</v>
      </c>
      <c r="E70" s="34">
        <v>58263</v>
      </c>
      <c r="F70" s="34">
        <v>78740.3</v>
      </c>
      <c r="G70" s="34">
        <v>1517.7</v>
      </c>
      <c r="H70" s="25">
        <v>2128.1</v>
      </c>
      <c r="I70" s="25">
        <v>847.2</v>
      </c>
      <c r="J70" s="25">
        <v>563314.20000000007</v>
      </c>
      <c r="K70" s="31">
        <v>156505.40000000002</v>
      </c>
      <c r="L70" s="25">
        <v>69427.399999999994</v>
      </c>
      <c r="M70" s="25">
        <v>1519.8</v>
      </c>
      <c r="N70" s="25">
        <v>710613.6</v>
      </c>
      <c r="O70" s="27">
        <v>804500.10000000009</v>
      </c>
      <c r="P70" s="28">
        <v>189831.5</v>
      </c>
      <c r="Q70" s="33">
        <v>26836.099999999988</v>
      </c>
      <c r="R70" s="34">
        <v>235674.09999999998</v>
      </c>
      <c r="S70" s="27">
        <v>6848328.5999999996</v>
      </c>
    </row>
    <row r="71" spans="1:19" s="23" customFormat="1" x14ac:dyDescent="0.25">
      <c r="A71" s="57">
        <v>45273</v>
      </c>
      <c r="B71" s="31">
        <f>2104807.9+41863.2</f>
        <v>2146671.1</v>
      </c>
      <c r="C71" s="31">
        <f>1169030.5+60.4+97049.3+41623.1+234642.1</f>
        <v>1542405.4000000001</v>
      </c>
      <c r="D71" s="34">
        <f>468339.3+50821+42.9+4014.9+1801.2</f>
        <v>525019.30000000005</v>
      </c>
      <c r="E71" s="34">
        <f>102186.5+0+60.4</f>
        <v>102246.9</v>
      </c>
      <c r="F71" s="34">
        <f>70586.9+0</f>
        <v>70586.899999999994</v>
      </c>
      <c r="G71" s="34">
        <f>3020.2+0+0</f>
        <v>3020.2</v>
      </c>
      <c r="H71" s="25">
        <v>3236.9000000000005</v>
      </c>
      <c r="I71" s="25">
        <v>548</v>
      </c>
      <c r="J71" s="25">
        <v>567382.60000000009</v>
      </c>
      <c r="K71" s="31">
        <f>82532.8+5371.7+46015.1+87.7</f>
        <v>134007.30000000002</v>
      </c>
      <c r="L71" s="25">
        <v>85269</v>
      </c>
      <c r="M71" s="25">
        <f>3438.5+2.8</f>
        <v>3441.3</v>
      </c>
      <c r="N71" s="25">
        <f>782953.9+4357.9+102</f>
        <v>787413.8</v>
      </c>
      <c r="O71" s="27">
        <v>821154.60000000009</v>
      </c>
      <c r="P71" s="28">
        <v>240235.3</v>
      </c>
      <c r="Q71" s="33">
        <f>154.6+258482.5+0+0+1376.5-230446.8-5.2-313.5</f>
        <v>29248.100000000017</v>
      </c>
      <c r="R71" s="34">
        <f>176041.7+159890.2-46015.1-41863.2+6725.9</f>
        <v>254779.50000000003</v>
      </c>
      <c r="S71" s="27">
        <f t="shared" ref="S71" si="11">SUM(B71:R71)</f>
        <v>7316666.2000000002</v>
      </c>
    </row>
    <row r="72" spans="1:19" s="49" customFormat="1" ht="18.75" x14ac:dyDescent="0.3">
      <c r="A72" s="45" t="s">
        <v>3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7"/>
    </row>
    <row r="73" spans="1:19" s="23" customFormat="1" x14ac:dyDescent="0.25">
      <c r="O73" s="35"/>
      <c r="P73" s="35"/>
      <c r="Q73" s="36"/>
      <c r="R73" s="35"/>
      <c r="S73" s="35"/>
    </row>
  </sheetData>
  <mergeCells count="18"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5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23" sqref="A23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55" customFormat="1" ht="15" x14ac:dyDescent="0.25">
      <c r="A1" s="54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66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</row>
    <row r="5" spans="1:19" s="37" customFormat="1" ht="18.75" x14ac:dyDescent="0.3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</row>
    <row r="6" spans="1:19" s="37" customFormat="1" ht="18.75" x14ac:dyDescent="0.3">
      <c r="A6" s="69" t="s">
        <v>49</v>
      </c>
      <c r="B6" s="64" t="s">
        <v>4</v>
      </c>
      <c r="C6" s="63" t="s">
        <v>5</v>
      </c>
      <c r="D6" s="63" t="s">
        <v>41</v>
      </c>
      <c r="E6" s="71" t="s">
        <v>47</v>
      </c>
      <c r="F6" s="71"/>
      <c r="G6" s="71"/>
      <c r="H6" s="63" t="s">
        <v>7</v>
      </c>
      <c r="I6" s="63" t="s">
        <v>8</v>
      </c>
      <c r="J6" s="63" t="s">
        <v>9</v>
      </c>
      <c r="K6" s="63" t="s">
        <v>10</v>
      </c>
      <c r="L6" s="63" t="s">
        <v>45</v>
      </c>
      <c r="M6" s="63" t="s">
        <v>11</v>
      </c>
      <c r="N6" s="63" t="s">
        <v>42</v>
      </c>
      <c r="O6" s="63" t="s">
        <v>43</v>
      </c>
      <c r="P6" s="64" t="s">
        <v>12</v>
      </c>
      <c r="Q6" s="65" t="s">
        <v>13</v>
      </c>
      <c r="R6" s="63" t="s">
        <v>14</v>
      </c>
      <c r="S6" s="64" t="s">
        <v>15</v>
      </c>
    </row>
    <row r="7" spans="1:19" s="37" customFormat="1" ht="90" customHeight="1" x14ac:dyDescent="0.3">
      <c r="A7" s="70"/>
      <c r="B7" s="64"/>
      <c r="C7" s="63"/>
      <c r="D7" s="63"/>
      <c r="E7" s="48" t="s">
        <v>4</v>
      </c>
      <c r="F7" s="48" t="s">
        <v>5</v>
      </c>
      <c r="G7" s="48" t="s">
        <v>48</v>
      </c>
      <c r="H7" s="63"/>
      <c r="I7" s="63"/>
      <c r="J7" s="63"/>
      <c r="K7" s="63"/>
      <c r="L7" s="63"/>
      <c r="M7" s="63"/>
      <c r="N7" s="63"/>
      <c r="O7" s="63"/>
      <c r="P7" s="64"/>
      <c r="Q7" s="65"/>
      <c r="R7" s="63"/>
      <c r="S7" s="64"/>
    </row>
    <row r="8" spans="1:19" s="23" customFormat="1" x14ac:dyDescent="0.25">
      <c r="A8" s="62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2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2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2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2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2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2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2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2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2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2">
        <v>2018</v>
      </c>
      <c r="B18" s="39">
        <v>768239.6</v>
      </c>
      <c r="C18" s="39">
        <v>346751.4</v>
      </c>
      <c r="D18" s="40">
        <v>141412.09999999998</v>
      </c>
      <c r="E18" s="40">
        <v>36886.5</v>
      </c>
      <c r="F18" s="40">
        <v>35997.4</v>
      </c>
      <c r="G18" s="40">
        <v>1023.4</v>
      </c>
      <c r="H18" s="41">
        <v>3637.7999999999993</v>
      </c>
      <c r="I18" s="41">
        <v>4437.6000000000004</v>
      </c>
      <c r="J18" s="41">
        <v>249568.7</v>
      </c>
      <c r="K18" s="39">
        <v>72439.7</v>
      </c>
      <c r="L18" s="41">
        <v>20202.199999999997</v>
      </c>
      <c r="M18" s="41">
        <v>960.2</v>
      </c>
      <c r="N18" s="41">
        <v>182222.7</v>
      </c>
      <c r="O18" s="42">
        <v>244861.3</v>
      </c>
      <c r="P18" s="43">
        <v>72531.399999999994</v>
      </c>
      <c r="Q18" s="44">
        <v>-1427.4999999999998</v>
      </c>
      <c r="R18" s="40">
        <v>130520.1</v>
      </c>
      <c r="S18" s="27">
        <f t="shared" ref="S18" si="1">SUM(B18:R18)</f>
        <v>2310264.5999999996</v>
      </c>
    </row>
    <row r="19" spans="1:19" s="23" customFormat="1" x14ac:dyDescent="0.25">
      <c r="A19" s="62">
        <v>2019</v>
      </c>
      <c r="B19" s="31">
        <v>889356.69999999984</v>
      </c>
      <c r="C19" s="31">
        <v>497195.6</v>
      </c>
      <c r="D19" s="34">
        <v>147319.79999999999</v>
      </c>
      <c r="E19" s="34">
        <f>42949.2+58.4</f>
        <v>43007.6</v>
      </c>
      <c r="F19" s="34">
        <v>52965.500000000007</v>
      </c>
      <c r="G19" s="34">
        <v>1109.6999999999998</v>
      </c>
      <c r="H19" s="25">
        <v>5917.9</v>
      </c>
      <c r="I19" s="25">
        <v>4674.6000000000004</v>
      </c>
      <c r="J19" s="25">
        <v>427469.4</v>
      </c>
      <c r="K19" s="31">
        <v>82888.800000000003</v>
      </c>
      <c r="L19" s="25">
        <v>32600.300000000003</v>
      </c>
      <c r="M19" s="25">
        <v>927.60000000000014</v>
      </c>
      <c r="N19" s="25">
        <v>216615.89999999997</v>
      </c>
      <c r="O19" s="27">
        <v>291528.80000000005</v>
      </c>
      <c r="P19" s="28">
        <v>120578.99999999999</v>
      </c>
      <c r="Q19" s="33">
        <f>79.8+10119.5-13.2-15220.2-31.4-0</f>
        <v>-5065.5000000000018</v>
      </c>
      <c r="R19" s="34">
        <f>72539.8+74054.3+1953-16514.7-8349.2</f>
        <v>123683.2</v>
      </c>
      <c r="S19" s="27">
        <f t="shared" ref="S19" si="2">SUM(B19:R19)</f>
        <v>2932774.8999999994</v>
      </c>
    </row>
    <row r="20" spans="1:19" s="23" customFormat="1" ht="15" customHeight="1" x14ac:dyDescent="0.25">
      <c r="A20" s="62">
        <v>2020</v>
      </c>
      <c r="B20" s="31">
        <f>1127406.1+14327.1</f>
        <v>1141733.2000000002</v>
      </c>
      <c r="C20" s="31">
        <f>612431.2+3166.9+2942.3+21501.2+5260.4</f>
        <v>645302</v>
      </c>
      <c r="D20" s="34">
        <f>158492+13303+71.2+7277+232.4</f>
        <v>179375.6</v>
      </c>
      <c r="E20" s="34">
        <f>87099.3+58.4</f>
        <v>87157.7</v>
      </c>
      <c r="F20" s="34">
        <v>44679.6</v>
      </c>
      <c r="G20" s="34">
        <v>899.49999999999989</v>
      </c>
      <c r="H20" s="25">
        <v>3485.6</v>
      </c>
      <c r="I20" s="25">
        <f>0+3667.1</f>
        <v>3667.1</v>
      </c>
      <c r="J20" s="25">
        <v>296859.40000000008</v>
      </c>
      <c r="K20" s="31">
        <f>53343.2+20079.5+26571.3+66</f>
        <v>100060</v>
      </c>
      <c r="L20" s="25">
        <v>22821.599999999999</v>
      </c>
      <c r="M20" s="25">
        <f>13386.5+0</f>
        <v>13386.5</v>
      </c>
      <c r="N20" s="25">
        <f>307050.9+560.2+76.7</f>
        <v>307687.80000000005</v>
      </c>
      <c r="O20" s="27">
        <v>375585</v>
      </c>
      <c r="P20" s="28">
        <v>158256</v>
      </c>
      <c r="Q20" s="33">
        <f>84.4+2023.3+600.1+0-2083.8-31.4-0</f>
        <v>592.59999999999957</v>
      </c>
      <c r="R20" s="34">
        <f>85368.1+75821.6+2271.8-20079.5-14327.1</f>
        <v>129054.9</v>
      </c>
      <c r="S20" s="27">
        <f t="shared" ref="S20" si="3">SUM(B20:R20)</f>
        <v>3510604.1000000006</v>
      </c>
    </row>
    <row r="21" spans="1:19" s="23" customFormat="1" x14ac:dyDescent="0.25">
      <c r="A21" s="62">
        <v>2021</v>
      </c>
      <c r="B21" s="31">
        <v>1308690.2</v>
      </c>
      <c r="C21" s="31">
        <v>989411.8</v>
      </c>
      <c r="D21" s="34">
        <v>225857.4</v>
      </c>
      <c r="E21" s="34">
        <v>62768</v>
      </c>
      <c r="F21" s="34">
        <v>88575.900000000009</v>
      </c>
      <c r="G21" s="34">
        <v>1237.9999999999998</v>
      </c>
      <c r="H21" s="25">
        <v>2437.7999999999997</v>
      </c>
      <c r="I21" s="25">
        <v>3014.6</v>
      </c>
      <c r="J21" s="25">
        <v>512988.39999999997</v>
      </c>
      <c r="K21" s="31">
        <v>110830.1</v>
      </c>
      <c r="L21" s="25">
        <v>33877.5</v>
      </c>
      <c r="M21" s="25">
        <v>4750.2999999999993</v>
      </c>
      <c r="N21" s="25">
        <v>366326.19999999995</v>
      </c>
      <c r="O21" s="27">
        <v>488662.39999999997</v>
      </c>
      <c r="P21" s="28">
        <v>205676.69999999998</v>
      </c>
      <c r="Q21" s="33">
        <v>7861.1999999999916</v>
      </c>
      <c r="R21" s="34">
        <v>181337.30000000002</v>
      </c>
      <c r="S21" s="27">
        <v>4594303.8</v>
      </c>
    </row>
    <row r="22" spans="1:19" s="23" customFormat="1" x14ac:dyDescent="0.25">
      <c r="A22" s="62">
        <v>2022</v>
      </c>
      <c r="B22" s="31">
        <v>2025031.6</v>
      </c>
      <c r="C22" s="31">
        <v>1218764.3999999999</v>
      </c>
      <c r="D22" s="34">
        <v>258313.4</v>
      </c>
      <c r="E22" s="34">
        <v>56856.200000000004</v>
      </c>
      <c r="F22" s="34">
        <v>92199.7</v>
      </c>
      <c r="G22" s="34">
        <v>1176.7</v>
      </c>
      <c r="H22" s="25">
        <v>2548.8000000000006</v>
      </c>
      <c r="I22" s="25">
        <v>3421.3</v>
      </c>
      <c r="J22" s="25">
        <v>521529.70000000007</v>
      </c>
      <c r="K22" s="31">
        <v>183817.2</v>
      </c>
      <c r="L22" s="25">
        <v>51762.1</v>
      </c>
      <c r="M22" s="25">
        <v>1430.1</v>
      </c>
      <c r="N22" s="25">
        <v>497807.3</v>
      </c>
      <c r="O22" s="27">
        <v>675149.5</v>
      </c>
      <c r="P22" s="28">
        <v>222997.10000000003</v>
      </c>
      <c r="Q22" s="33">
        <v>39409.799999999967</v>
      </c>
      <c r="R22" s="34">
        <v>184107.19999999998</v>
      </c>
      <c r="S22" s="27">
        <v>6036322.0999999987</v>
      </c>
    </row>
    <row r="23" spans="1:19" s="23" customFormat="1" x14ac:dyDescent="0.25">
      <c r="A23" s="62">
        <v>2023</v>
      </c>
      <c r="B23" s="31">
        <f>2104807.9+41863.2</f>
        <v>2146671.1</v>
      </c>
      <c r="C23" s="31">
        <f>1169030.5+60.4+97049.3+41623.1+234642.1</f>
        <v>1542405.4000000001</v>
      </c>
      <c r="D23" s="34">
        <f>468339.3+50821+42.9+4014.9+1801.2</f>
        <v>525019.30000000005</v>
      </c>
      <c r="E23" s="34">
        <f>102186.5+0+60.4</f>
        <v>102246.9</v>
      </c>
      <c r="F23" s="34">
        <f>70586.9+0</f>
        <v>70586.899999999994</v>
      </c>
      <c r="G23" s="34">
        <f>3020.2+0+0</f>
        <v>3020.2</v>
      </c>
      <c r="H23" s="25">
        <v>3236.9000000000005</v>
      </c>
      <c r="I23" s="25">
        <v>548</v>
      </c>
      <c r="J23" s="25">
        <v>567382.60000000009</v>
      </c>
      <c r="K23" s="31">
        <f>82532.8+5371.7+46015.1+87.7</f>
        <v>134007.30000000002</v>
      </c>
      <c r="L23" s="25">
        <v>85269</v>
      </c>
      <c r="M23" s="25">
        <f>3438.5+2.8</f>
        <v>3441.3</v>
      </c>
      <c r="N23" s="25">
        <f>782953.9+4357.9+102</f>
        <v>787413.8</v>
      </c>
      <c r="O23" s="27">
        <v>821154.60000000009</v>
      </c>
      <c r="P23" s="28">
        <v>240235.3</v>
      </c>
      <c r="Q23" s="33">
        <f>154.6+258482.5+0+0+1376.5-230446.8-5.2-313.5</f>
        <v>29248.100000000017</v>
      </c>
      <c r="R23" s="34">
        <f>176041.7+159890.2-46015.1-41863.2+6725.9</f>
        <v>254779.50000000003</v>
      </c>
      <c r="S23" s="27">
        <f t="shared" ref="S23" si="4">SUM(B23:R23)</f>
        <v>7316666.2000000002</v>
      </c>
    </row>
    <row r="24" spans="1:19" s="49" customFormat="1" ht="18.75" x14ac:dyDescent="0.3">
      <c r="A24" s="45" t="s">
        <v>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</row>
    <row r="25" spans="1:19" s="23" customFormat="1" x14ac:dyDescent="0.25">
      <c r="O25" s="35"/>
      <c r="P25" s="35"/>
      <c r="Q25" s="36"/>
      <c r="R25" s="35"/>
      <c r="S25" s="35"/>
    </row>
  </sheetData>
  <mergeCells count="18"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NSENGIYUMVA Raissa Providence</cp:lastModifiedBy>
  <cp:lastPrinted>2010-03-04T18:44:39Z</cp:lastPrinted>
  <dcterms:created xsi:type="dcterms:W3CDTF">2000-09-13T05:55:37Z</dcterms:created>
  <dcterms:modified xsi:type="dcterms:W3CDTF">2024-04-05T10:05:49Z</dcterms:modified>
</cp:coreProperties>
</file>