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135" firstSheet="1" activeTab="3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20" i="3" l="1"/>
  <c r="Q20" i="3"/>
  <c r="N20" i="3"/>
  <c r="M20" i="3"/>
  <c r="K20" i="3"/>
  <c r="I20" i="3"/>
  <c r="E20" i="3"/>
  <c r="D20" i="3"/>
  <c r="C20" i="3"/>
  <c r="B20" i="3"/>
  <c r="R60" i="5"/>
  <c r="Q60" i="5"/>
  <c r="N60" i="5"/>
  <c r="M60" i="5"/>
  <c r="K60" i="5"/>
  <c r="E60" i="5"/>
  <c r="D60" i="5"/>
  <c r="C60" i="5"/>
  <c r="B60" i="5"/>
  <c r="R59" i="5"/>
  <c r="Q59" i="5"/>
  <c r="N59" i="5"/>
  <c r="M59" i="5"/>
  <c r="K59" i="5"/>
  <c r="I59" i="5"/>
  <c r="E59" i="5"/>
  <c r="D59" i="5"/>
  <c r="C59" i="5"/>
  <c r="B59" i="5"/>
  <c r="R166" i="4"/>
  <c r="Q166" i="4"/>
  <c r="N166" i="4"/>
  <c r="M166" i="4"/>
  <c r="K166" i="4"/>
  <c r="E166" i="4"/>
  <c r="D166" i="4"/>
  <c r="C166" i="4"/>
  <c r="B166" i="4"/>
  <c r="R165" i="4"/>
  <c r="Q165" i="4"/>
  <c r="N165" i="4"/>
  <c r="M165" i="4"/>
  <c r="K165" i="4"/>
  <c r="I165" i="4"/>
  <c r="E165" i="4"/>
  <c r="D165" i="4"/>
  <c r="C165" i="4"/>
  <c r="B165" i="4"/>
  <c r="R164" i="4"/>
  <c r="Q164" i="4"/>
  <c r="N164" i="4"/>
  <c r="M164" i="4"/>
  <c r="K164" i="4"/>
  <c r="I164" i="4"/>
  <c r="E164" i="4"/>
  <c r="D164" i="4"/>
  <c r="C164" i="4"/>
  <c r="B164" i="4"/>
  <c r="R163" i="4"/>
  <c r="Q163" i="4"/>
  <c r="N163" i="4"/>
  <c r="M163" i="4"/>
  <c r="K163" i="4"/>
  <c r="I163" i="4"/>
  <c r="E163" i="4"/>
  <c r="D163" i="4"/>
  <c r="C163" i="4"/>
  <c r="B163" i="4"/>
  <c r="S20" i="3" l="1"/>
  <c r="S59" i="5"/>
  <c r="S60" i="5"/>
  <c r="S163" i="4"/>
  <c r="S165" i="4"/>
  <c r="S164" i="4"/>
  <c r="S166" i="4"/>
  <c r="R162" i="4"/>
  <c r="Q162" i="4"/>
  <c r="N162" i="4"/>
  <c r="M162" i="4"/>
  <c r="K162" i="4"/>
  <c r="I162" i="4"/>
  <c r="E162" i="4"/>
  <c r="D162" i="4"/>
  <c r="C162" i="4"/>
  <c r="B162" i="4"/>
  <c r="R161" i="4"/>
  <c r="Q161" i="4"/>
  <c r="N161" i="4"/>
  <c r="M161" i="4"/>
  <c r="K161" i="4"/>
  <c r="I161" i="4"/>
  <c r="E161" i="4"/>
  <c r="D161" i="4"/>
  <c r="C161" i="4"/>
  <c r="B161" i="4"/>
  <c r="S161" i="4" l="1"/>
  <c r="S162" i="4"/>
  <c r="R58" i="5"/>
  <c r="Q58" i="5"/>
  <c r="N58" i="5"/>
  <c r="M58" i="5"/>
  <c r="K58" i="5"/>
  <c r="E58" i="5"/>
  <c r="D58" i="5"/>
  <c r="C58" i="5"/>
  <c r="B58" i="5"/>
  <c r="R160" i="4"/>
  <c r="Q160" i="4"/>
  <c r="N160" i="4"/>
  <c r="M160" i="4"/>
  <c r="K160" i="4"/>
  <c r="E160" i="4"/>
  <c r="D160" i="4"/>
  <c r="C160" i="4"/>
  <c r="B160" i="4"/>
  <c r="S160" i="4" s="1"/>
  <c r="S58" i="5" l="1"/>
  <c r="R159" i="4"/>
  <c r="Q159" i="4"/>
  <c r="K159" i="4"/>
  <c r="E159" i="4"/>
  <c r="D159" i="4"/>
  <c r="B159" i="4"/>
  <c r="S159" i="4" s="1"/>
  <c r="S158" i="4"/>
  <c r="R158" i="4"/>
  <c r="Q158" i="4"/>
  <c r="K158" i="4"/>
  <c r="E158" i="4"/>
  <c r="D158" i="4"/>
  <c r="B158" i="4"/>
  <c r="R57" i="5" l="1"/>
  <c r="Q57" i="5"/>
  <c r="K57" i="5"/>
  <c r="E57" i="5"/>
  <c r="D57" i="5"/>
  <c r="B57" i="5"/>
  <c r="S57" i="5" s="1"/>
  <c r="R157" i="4"/>
  <c r="S157" i="4" s="1"/>
  <c r="Q157" i="4"/>
  <c r="K157" i="4"/>
  <c r="E157" i="4"/>
  <c r="D157" i="4"/>
  <c r="B157" i="4"/>
  <c r="R156" i="4" l="1"/>
  <c r="Q156" i="4"/>
  <c r="K156" i="4"/>
  <c r="E156" i="4"/>
  <c r="D156" i="4"/>
  <c r="B156" i="4"/>
  <c r="S156" i="4" s="1"/>
  <c r="R155" i="4" l="1"/>
  <c r="Q155" i="4"/>
  <c r="K155" i="4"/>
  <c r="E155" i="4"/>
  <c r="D155" i="4"/>
  <c r="B155" i="4"/>
  <c r="S155" i="4" s="1"/>
  <c r="R56" i="5" l="1"/>
  <c r="Q56" i="5"/>
  <c r="K56" i="5"/>
  <c r="E56" i="5"/>
  <c r="D56" i="5"/>
  <c r="B56" i="5"/>
  <c r="R154" i="4"/>
  <c r="Q154" i="4"/>
  <c r="K154" i="4"/>
  <c r="E154" i="4"/>
  <c r="D154" i="4"/>
  <c r="B154" i="4"/>
  <c r="S56" i="5" l="1"/>
  <c r="S154" i="4"/>
  <c r="R19" i="3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l="1"/>
  <c r="R149" i="4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s="1"/>
  <c r="R53" i="5" l="1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s="1"/>
  <c r="R144" i="4" l="1"/>
  <c r="Q144" i="4"/>
  <c r="K144" i="4"/>
  <c r="E144" i="4"/>
  <c r="D144" i="4"/>
  <c r="B144" i="4"/>
  <c r="S144" i="4" l="1"/>
  <c r="R143" i="4"/>
  <c r="Q143" i="4"/>
  <c r="K143" i="4"/>
  <c r="E143" i="4"/>
  <c r="D143" i="4"/>
  <c r="B143" i="4"/>
  <c r="S143" i="4" s="1"/>
  <c r="S18" i="3" l="1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39" i="4"/>
  <c r="S140" i="4" l="1"/>
  <c r="S142" i="4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<sst xmlns="http://schemas.openxmlformats.org/spreadsheetml/2006/main" count="199" uniqueCount="52">
  <si>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</si>
  <si>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</si>
  <si>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</si>
  <si>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</si>
  <si>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</si>
  <si>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</si>
  <si>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</si>
  <si>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</si>
  <si>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</si>
  <si>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</si>
  <si>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</si>
  <si>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</si>
  <si>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</si>
  <si>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</si>
  <si>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</si>
  <si>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</si>
  <si>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</si>
  <si>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</si>
  <si>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</si>
  <si>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</si>
  <si>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</si>
  <si>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</si>
  <si>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</si>
  <si>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</si>
  <si>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</si>
  <si>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</si>
  <si>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</si>
  <si>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</si>
  <si>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</si>
  <si>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</si>
  <si>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</si>
  <si>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</si>
  <si>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</si>
  <si>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</si>
  <si>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</si>
  <si>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</si>
  <si>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</si>
  <si>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</si>
  <si>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</si>
  <si>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</si>
  <si>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</si>
  <si>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</si>
  <si>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</si>
  <si>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</si>
  <si>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</si>
  <si>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</si>
  <si>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</si>
  <si>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</si>
  <si>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</si>
  <si>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</si>
  <si>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2020</t>
  </si>
  <si>
    <t>Q1-2021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</si>
</sst>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5" borderId="8" xfId="0" applyNumberFormat="1" applyFont="1" applyFill="1" applyBorder="1" applyAlignment="1" applyProtection="1">
      <alignment horizontal="center" vertic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E14" sqref="E14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44286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51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50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83"/>
  <sheetViews>
    <sheetView workbookViewId="0">
      <pane xSplit="1" ySplit="7" topLeftCell="R158" activePane="bottomRight" state="frozen"/>
      <selection pane="topRight" activeCell="B1" sqref="B1"/>
      <selection pane="bottomLeft" activeCell="A7" sqref="A7"/>
      <selection pane="bottomRight" activeCell="S166" sqref="S166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1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0" t="s">
        <v>4</v>
      </c>
      <c r="C6" s="72" t="s">
        <v>5</v>
      </c>
      <c r="D6" s="72" t="s">
        <v>41</v>
      </c>
      <c r="E6" s="78" t="s">
        <v>47</v>
      </c>
      <c r="F6" s="78"/>
      <c r="G6" s="78"/>
      <c r="H6" s="72" t="s">
        <v>7</v>
      </c>
      <c r="I6" s="72" t="s">
        <v>8</v>
      </c>
      <c r="J6" s="72" t="s">
        <v>9</v>
      </c>
      <c r="K6" s="72" t="s">
        <v>10</v>
      </c>
      <c r="L6" s="72" t="s">
        <v>45</v>
      </c>
      <c r="M6" s="72" t="s">
        <v>11</v>
      </c>
      <c r="N6" s="72" t="s">
        <v>42</v>
      </c>
      <c r="O6" s="72" t="s">
        <v>43</v>
      </c>
      <c r="P6" s="70" t="s">
        <v>12</v>
      </c>
      <c r="Q6" s="71" t="s">
        <v>13</v>
      </c>
      <c r="R6" s="72" t="s">
        <v>14</v>
      </c>
      <c r="S6" s="70" t="s">
        <v>15</v>
      </c>
    </row>
    <row r="7" spans="1:19" s="37" customFormat="1" ht="90" customHeight="1" x14ac:dyDescent="0.3">
      <c r="A7" s="77"/>
      <c r="B7" s="70"/>
      <c r="C7" s="72"/>
      <c r="D7" s="72"/>
      <c r="E7" s="54" t="s">
        <v>4</v>
      </c>
      <c r="F7" s="54" t="s">
        <v>5</v>
      </c>
      <c r="G7" s="54" t="s">
        <v>48</v>
      </c>
      <c r="H7" s="72"/>
      <c r="I7" s="72"/>
      <c r="J7" s="72"/>
      <c r="K7" s="72"/>
      <c r="L7" s="72"/>
      <c r="M7" s="72"/>
      <c r="N7" s="72"/>
      <c r="O7" s="72"/>
      <c r="P7" s="70"/>
      <c r="Q7" s="71"/>
      <c r="R7" s="72"/>
      <c r="S7" s="70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66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64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64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64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64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64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64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64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64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64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395365.1</v>
      </c>
      <c r="K154" s="31">
        <f>65237.4+14956.4+16693.7</f>
        <v>96887.5</v>
      </c>
      <c r="L154" s="25">
        <v>31920.1</v>
      </c>
      <c r="M154" s="25">
        <v>2013.3</v>
      </c>
      <c r="N154" s="25">
        <v>281170.60000000003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3027421.8000000003</v>
      </c>
    </row>
    <row r="155" spans="1:19" s="23" customFormat="1" x14ac:dyDescent="0.25">
      <c r="A155" s="64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64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64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64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64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64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23" customFormat="1" x14ac:dyDescent="0.25">
      <c r="A161" s="64">
        <v>44135</v>
      </c>
      <c r="B161" s="31">
        <f>1073574.8+19256.1</f>
        <v>1092830.9000000001</v>
      </c>
      <c r="C161" s="31">
        <f>589405.9+118.2+2182.1+22632.4+5319.8</f>
        <v>619658.4</v>
      </c>
      <c r="D161" s="34">
        <f>155958.2+15616.7+68.8+2584.4+190.7</f>
        <v>174418.80000000002</v>
      </c>
      <c r="E161" s="34">
        <f>41615.7+58.4</f>
        <v>41674.1</v>
      </c>
      <c r="F161" s="34">
        <v>41701</v>
      </c>
      <c r="G161" s="34">
        <v>889.3</v>
      </c>
      <c r="H161" s="25">
        <v>2958.5</v>
      </c>
      <c r="I161" s="25">
        <f>0+3660.2</f>
        <v>3660.2</v>
      </c>
      <c r="J161" s="25">
        <v>325327.8</v>
      </c>
      <c r="K161" s="31">
        <f>38061+14067.3+4078.3+66</f>
        <v>56272.600000000006</v>
      </c>
      <c r="L161" s="25">
        <v>26422.3</v>
      </c>
      <c r="M161" s="25">
        <f>8683.3+17947.8</f>
        <v>26631.1</v>
      </c>
      <c r="N161" s="25">
        <f>303443+558.9+72.7</f>
        <v>304074.60000000003</v>
      </c>
      <c r="O161" s="27">
        <v>373149.7</v>
      </c>
      <c r="P161" s="28">
        <v>143089.90000000002</v>
      </c>
      <c r="Q161" s="33">
        <f>819.8+24663+801.7-23994.9-31.4-95</f>
        <v>2163.1999999999985</v>
      </c>
      <c r="R161" s="34">
        <f>84483+80490.5+2466.6-14067.3-19256.1</f>
        <v>134116.70000000001</v>
      </c>
      <c r="S161" s="27">
        <f t="shared" si="3"/>
        <v>3369039.100000001</v>
      </c>
    </row>
    <row r="162" spans="1:19" s="23" customFormat="1" x14ac:dyDescent="0.25">
      <c r="A162" s="64">
        <v>44165</v>
      </c>
      <c r="B162" s="31">
        <f>1098173.6+22237.5</f>
        <v>1120411.1000000001</v>
      </c>
      <c r="C162" s="31">
        <f>598457.1+118.2+2139.8+21280.5+5252.5</f>
        <v>627248.1</v>
      </c>
      <c r="D162" s="34">
        <f>157437.2+14397+69.9+2561.2+241.4</f>
        <v>174706.7</v>
      </c>
      <c r="E162" s="34">
        <f>45966.5+58.4</f>
        <v>46024.9</v>
      </c>
      <c r="F162" s="34">
        <v>39951.1</v>
      </c>
      <c r="G162" s="34">
        <v>774.00000000000011</v>
      </c>
      <c r="H162" s="25">
        <v>4531.3999999999996</v>
      </c>
      <c r="I162" s="25">
        <f>6000.3+3664.8</f>
        <v>9665.1</v>
      </c>
      <c r="J162" s="25">
        <v>318574.8</v>
      </c>
      <c r="K162" s="31">
        <f>42394.6+14836.2+4903.4+66</f>
        <v>62200.200000000004</v>
      </c>
      <c r="L162" s="25">
        <v>19618.599999999999</v>
      </c>
      <c r="M162" s="25">
        <f>8905.8+8826.6</f>
        <v>17732.400000000001</v>
      </c>
      <c r="N162" s="25">
        <f>322797.5+562.6+74.6</f>
        <v>323434.69999999995</v>
      </c>
      <c r="O162" s="27">
        <v>373229.09999999992</v>
      </c>
      <c r="P162" s="28">
        <v>151983.99999999997</v>
      </c>
      <c r="Q162" s="33">
        <f>84.8+12000+875+1.4-8349.5-31.4-0</f>
        <v>4580.2999999999993</v>
      </c>
      <c r="R162" s="34">
        <f>88268.9+80032+3732.5-14836.2-22237.5</f>
        <v>134959.69999999998</v>
      </c>
      <c r="S162" s="27">
        <f t="shared" si="3"/>
        <v>3429626.2000000007</v>
      </c>
    </row>
    <row r="163" spans="1:19" s="23" customFormat="1" ht="15" customHeight="1" x14ac:dyDescent="0.25">
      <c r="A163" s="64">
        <v>44196</v>
      </c>
      <c r="B163" s="31">
        <f>1127406.1+14327.1</f>
        <v>1141733.2000000002</v>
      </c>
      <c r="C163" s="31">
        <f>612431.2+3166.9+2942.3+21501.2+5260.4</f>
        <v>645302</v>
      </c>
      <c r="D163" s="34">
        <f>158492+13303+71.2+7277+232.4</f>
        <v>179375.6</v>
      </c>
      <c r="E163" s="34">
        <f>87099.3+58.4</f>
        <v>87157.7</v>
      </c>
      <c r="F163" s="34">
        <v>44679.6</v>
      </c>
      <c r="G163" s="34">
        <v>899.49999999999989</v>
      </c>
      <c r="H163" s="25">
        <v>3485.6</v>
      </c>
      <c r="I163" s="25">
        <f>0+3667.1</f>
        <v>3667.1</v>
      </c>
      <c r="J163" s="25">
        <v>296859.40000000008</v>
      </c>
      <c r="K163" s="31">
        <f>53343.2+20079.5+26571.3+66</f>
        <v>100060</v>
      </c>
      <c r="L163" s="25">
        <v>22821.599999999999</v>
      </c>
      <c r="M163" s="25">
        <f>13386.5+0</f>
        <v>13386.5</v>
      </c>
      <c r="N163" s="25">
        <f>307050.9+560.2+76.7</f>
        <v>307687.80000000005</v>
      </c>
      <c r="O163" s="27">
        <v>375585</v>
      </c>
      <c r="P163" s="28">
        <v>158256</v>
      </c>
      <c r="Q163" s="33">
        <f>84.4+2023.3+600.1+0-2083.8-31.4-0</f>
        <v>592.59999999999957</v>
      </c>
      <c r="R163" s="34">
        <f>85368.1+75821.6+2271.8-20079.5-14327.1</f>
        <v>129054.9</v>
      </c>
      <c r="S163" s="27">
        <f t="shared" si="3"/>
        <v>3510604.1000000006</v>
      </c>
    </row>
    <row r="164" spans="1:19" s="23" customFormat="1" x14ac:dyDescent="0.25">
      <c r="A164" s="64">
        <v>44227</v>
      </c>
      <c r="B164" s="31">
        <f>1156864.7+22078.1</f>
        <v>1178942.8</v>
      </c>
      <c r="C164" s="31">
        <f>611565.3+3166.9+3279.2+21221.8+5393.1</f>
        <v>644626.30000000005</v>
      </c>
      <c r="D164" s="34">
        <f>163496.6+14284.4+70.7+2631.5+232.8</f>
        <v>180716</v>
      </c>
      <c r="E164" s="34">
        <f>62265.2+58.4</f>
        <v>62323.6</v>
      </c>
      <c r="F164" s="34">
        <v>48993.5</v>
      </c>
      <c r="G164" s="34">
        <v>836.00000000000011</v>
      </c>
      <c r="H164" s="25">
        <v>3073.7</v>
      </c>
      <c r="I164" s="25">
        <f>0+3458.8</f>
        <v>3458.8</v>
      </c>
      <c r="J164" s="25">
        <v>299135.7</v>
      </c>
      <c r="K164" s="31">
        <f>52942.4+17532.6+10064.4+66</f>
        <v>80605.399999999994</v>
      </c>
      <c r="L164" s="25">
        <v>29471.5</v>
      </c>
      <c r="M164" s="25">
        <f>12980.9+3483.9</f>
        <v>16464.8</v>
      </c>
      <c r="N164" s="25">
        <f>338899.1+561.3+75.7</f>
        <v>339536.1</v>
      </c>
      <c r="O164" s="27">
        <v>381978.39999999997</v>
      </c>
      <c r="P164" s="28">
        <v>167858.40000000002</v>
      </c>
      <c r="Q164" s="33">
        <f>260.8+13036.1+666.2+0-7257.9-31.4-8000</f>
        <v>-1326.1999999999989</v>
      </c>
      <c r="R164" s="34">
        <f>92750+76211.7+2857-17532.6-22078.1</f>
        <v>132208</v>
      </c>
      <c r="S164" s="27">
        <f t="shared" si="3"/>
        <v>3568902.8</v>
      </c>
    </row>
    <row r="165" spans="1:19" s="23" customFormat="1" x14ac:dyDescent="0.25">
      <c r="A165" s="64">
        <v>44255</v>
      </c>
      <c r="B165" s="31">
        <f>1186153.3+20096.1</f>
        <v>1206249.4000000001</v>
      </c>
      <c r="C165" s="31">
        <f>630989.3+3166.9+3382.7+23513.2+5439.7</f>
        <v>666491.79999999993</v>
      </c>
      <c r="D165" s="34">
        <f>163269.2+15782.8+71+4599.2+233</f>
        <v>183955.20000000001</v>
      </c>
      <c r="E165" s="34">
        <f>58382.2+58.4</f>
        <v>58440.6</v>
      </c>
      <c r="F165" s="34">
        <v>49556.6</v>
      </c>
      <c r="G165" s="34">
        <v>1021.4</v>
      </c>
      <c r="H165" s="25">
        <v>3603.9</v>
      </c>
      <c r="I165" s="25">
        <f>0+3460.1</f>
        <v>3460.1</v>
      </c>
      <c r="J165" s="25">
        <v>293901.2</v>
      </c>
      <c r="K165" s="31">
        <f>49096.2+15275.7+8633.5+33.5</f>
        <v>73038.899999999994</v>
      </c>
      <c r="L165" s="25">
        <v>29101.7</v>
      </c>
      <c r="M165" s="25">
        <f>25902+19081.4</f>
        <v>44983.4</v>
      </c>
      <c r="N165" s="25">
        <f>328359.3+559+75.7</f>
        <v>328994</v>
      </c>
      <c r="O165" s="27">
        <v>382766.29999999993</v>
      </c>
      <c r="P165" s="28">
        <v>177366.7</v>
      </c>
      <c r="Q165" s="33">
        <f>83.8+8088.2+1133.8+0-8083.7-31.4-0</f>
        <v>1190.6999999999994</v>
      </c>
      <c r="R165" s="34">
        <f>89761.7+76663.7+4368.6-15275.7-20096.1</f>
        <v>135422.19999999998</v>
      </c>
      <c r="S165" s="27">
        <f t="shared" si="3"/>
        <v>3639544.1000000006</v>
      </c>
    </row>
    <row r="166" spans="1:19" s="23" customFormat="1" x14ac:dyDescent="0.25">
      <c r="A166" s="64">
        <v>44286</v>
      </c>
      <c r="B166" s="31">
        <f>1179405.1+22815.2</f>
        <v>1202220.3</v>
      </c>
      <c r="C166" s="31">
        <f>649243.4+3077.3+2269.7+24359.6+5525.5</f>
        <v>684475.5</v>
      </c>
      <c r="D166" s="34">
        <f>169012.1+16489.4+29.4+2310.8+367.2</f>
        <v>188208.9</v>
      </c>
      <c r="E166" s="34">
        <f>72990.8+58.4</f>
        <v>73049.2</v>
      </c>
      <c r="F166" s="34">
        <v>52828.2</v>
      </c>
      <c r="G166" s="34">
        <v>897.49999999999989</v>
      </c>
      <c r="H166" s="25">
        <v>3049.4</v>
      </c>
      <c r="I166" s="25">
        <v>3000.6</v>
      </c>
      <c r="J166" s="25">
        <v>286862.39999999997</v>
      </c>
      <c r="K166" s="31">
        <f>61106.5+15244.8+22791.8+34</f>
        <v>99177.1</v>
      </c>
      <c r="L166" s="25">
        <v>28206.799999999996</v>
      </c>
      <c r="M166" s="25">
        <f>1065.5+21080.2</f>
        <v>22145.7</v>
      </c>
      <c r="N166" s="25">
        <f>318141.6+563.7+73.8</f>
        <v>318779.09999999998</v>
      </c>
      <c r="O166" s="27">
        <v>450473</v>
      </c>
      <c r="P166" s="28">
        <v>90171.300000000017</v>
      </c>
      <c r="Q166" s="33">
        <f>19.3+18932.8+1378.7+0+96.3-16822.7-31.4-0</f>
        <v>3572.9999999999977</v>
      </c>
      <c r="R166" s="34">
        <f>93769.6+77293.7+3533.4-15244.8-22815.2</f>
        <v>136536.69999999998</v>
      </c>
      <c r="S166" s="27">
        <f t="shared" si="3"/>
        <v>3643654.7</v>
      </c>
    </row>
    <row r="167" spans="1:19" s="23" customFormat="1" x14ac:dyDescent="0.25">
      <c r="A167" s="64" t="s">
        <v>3</v>
      </c>
      <c r="B167" s="31"/>
      <c r="C167" s="31"/>
      <c r="D167" s="34"/>
      <c r="E167" s="34"/>
      <c r="F167" s="34"/>
      <c r="G167" s="34"/>
      <c r="H167" s="25"/>
      <c r="I167" s="25"/>
      <c r="J167" s="25"/>
      <c r="K167" s="31"/>
      <c r="L167" s="25"/>
      <c r="M167" s="25"/>
      <c r="N167" s="25"/>
      <c r="O167" s="27"/>
      <c r="P167" s="28"/>
      <c r="Q167" s="33"/>
      <c r="R167" s="34"/>
      <c r="S167" s="27"/>
    </row>
    <row r="168" spans="1:19" s="23" customFormat="1" x14ac:dyDescent="0.25">
      <c r="O168" s="35"/>
      <c r="P168" s="35"/>
      <c r="Q168" s="36"/>
      <c r="R168" s="35"/>
      <c r="S168" s="35"/>
    </row>
    <row r="170" spans="1:19" x14ac:dyDescent="0.25">
      <c r="B170" s="10"/>
      <c r="C170" s="10"/>
      <c r="D170" s="10"/>
    </row>
    <row r="171" spans="1:19" x14ac:dyDescent="0.25">
      <c r="B171" s="10"/>
      <c r="C171" s="10"/>
      <c r="D171" s="10"/>
    </row>
    <row r="172" spans="1:19" x14ac:dyDescent="0.25">
      <c r="B172" s="10"/>
      <c r="C172" s="10"/>
      <c r="D172" s="10"/>
    </row>
    <row r="173" spans="1:19" x14ac:dyDescent="0.25">
      <c r="B173" s="10"/>
      <c r="C173" s="10"/>
      <c r="D173" s="10"/>
    </row>
    <row r="174" spans="1:19" x14ac:dyDescent="0.25">
      <c r="B174" s="10"/>
      <c r="C174" s="10"/>
      <c r="D174" s="10"/>
    </row>
    <row r="175" spans="1:19" x14ac:dyDescent="0.25">
      <c r="B175" s="10"/>
      <c r="C175" s="10"/>
      <c r="D175" s="10"/>
    </row>
    <row r="176" spans="1:19" x14ac:dyDescent="0.25">
      <c r="B176" s="10"/>
      <c r="C176" s="10"/>
      <c r="D176" s="10"/>
    </row>
    <row r="177" spans="2:4" x14ac:dyDescent="0.25">
      <c r="B177" s="10"/>
      <c r="C177" s="10"/>
      <c r="D177" s="10"/>
    </row>
    <row r="178" spans="2:4" x14ac:dyDescent="0.25">
      <c r="B178" s="10"/>
      <c r="C178" s="10"/>
      <c r="D178" s="10"/>
    </row>
    <row r="179" spans="2:4" x14ac:dyDescent="0.25">
      <c r="B179" s="10"/>
      <c r="C179" s="10"/>
      <c r="D179" s="10"/>
    </row>
    <row r="180" spans="2:4" x14ac:dyDescent="0.25">
      <c r="B180" s="10"/>
      <c r="C180" s="10"/>
      <c r="D180" s="10"/>
    </row>
    <row r="181" spans="2:4" x14ac:dyDescent="0.25">
      <c r="B181" s="10"/>
      <c r="C181" s="10"/>
      <c r="D181" s="10"/>
    </row>
    <row r="182" spans="2:4" x14ac:dyDescent="0.25">
      <c r="B182" s="10"/>
      <c r="C182" s="10"/>
      <c r="D182" s="10"/>
    </row>
    <row r="183" spans="2:4" x14ac:dyDescent="0.25">
      <c r="B183" s="10"/>
      <c r="C183" s="10"/>
      <c r="D183" s="10"/>
    </row>
  </sheetData>
  <mergeCells count="18">
    <mergeCell ref="N6:N7"/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3"/>
  <sheetViews>
    <sheetView workbookViewId="0">
      <pane xSplit="1" ySplit="7" topLeftCell="R53" activePane="bottomRight" state="frozen"/>
      <selection pane="topRight" activeCell="B1" sqref="B1"/>
      <selection pane="bottomLeft" activeCell="A8" sqref="A8"/>
      <selection pane="bottomRight" activeCell="R62" sqref="R62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0" t="s">
        <v>4</v>
      </c>
      <c r="C6" s="72" t="s">
        <v>5</v>
      </c>
      <c r="D6" s="72" t="s">
        <v>41</v>
      </c>
      <c r="E6" s="78" t="s">
        <v>47</v>
      </c>
      <c r="F6" s="78"/>
      <c r="G6" s="78"/>
      <c r="H6" s="72" t="s">
        <v>7</v>
      </c>
      <c r="I6" s="72" t="s">
        <v>8</v>
      </c>
      <c r="J6" s="72" t="s">
        <v>9</v>
      </c>
      <c r="K6" s="72" t="s">
        <v>10</v>
      </c>
      <c r="L6" s="72" t="s">
        <v>45</v>
      </c>
      <c r="M6" s="72" t="s">
        <v>11</v>
      </c>
      <c r="N6" s="72" t="s">
        <v>42</v>
      </c>
      <c r="O6" s="72" t="s">
        <v>43</v>
      </c>
      <c r="P6" s="70" t="s">
        <v>12</v>
      </c>
      <c r="Q6" s="71" t="s">
        <v>13</v>
      </c>
      <c r="R6" s="72" t="s">
        <v>14</v>
      </c>
      <c r="S6" s="70" t="s">
        <v>15</v>
      </c>
    </row>
    <row r="7" spans="1:19" s="37" customFormat="1" ht="90" customHeight="1" x14ac:dyDescent="0.3">
      <c r="A7" s="77"/>
      <c r="B7" s="70"/>
      <c r="C7" s="72"/>
      <c r="D7" s="72"/>
      <c r="E7" s="54" t="s">
        <v>4</v>
      </c>
      <c r="F7" s="54" t="s">
        <v>5</v>
      </c>
      <c r="G7" s="54" t="s">
        <v>48</v>
      </c>
      <c r="H7" s="72"/>
      <c r="I7" s="72"/>
      <c r="J7" s="72"/>
      <c r="K7" s="72"/>
      <c r="L7" s="72"/>
      <c r="M7" s="72"/>
      <c r="N7" s="72"/>
      <c r="O7" s="72"/>
      <c r="P7" s="70"/>
      <c r="Q7" s="71"/>
      <c r="R7" s="72"/>
      <c r="S7" s="70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64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64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64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395365.1</v>
      </c>
      <c r="K56" s="31">
        <f>65237.4+14956.4+16693.7</f>
        <v>96887.5</v>
      </c>
      <c r="L56" s="25">
        <v>31920.1</v>
      </c>
      <c r="M56" s="25">
        <v>2013.3</v>
      </c>
      <c r="N56" s="25">
        <v>281170.60000000003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3027421.8000000003</v>
      </c>
    </row>
    <row r="57" spans="1:19" s="23" customFormat="1" x14ac:dyDescent="0.25">
      <c r="A57" s="64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64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23" customFormat="1" ht="15" customHeight="1" x14ac:dyDescent="0.25">
      <c r="A59" s="64">
        <v>44196</v>
      </c>
      <c r="B59" s="31">
        <f>1127406.1+14327.1</f>
        <v>1141733.2000000002</v>
      </c>
      <c r="C59" s="31">
        <f>612431.2+3166.9+2942.3+21501.2+5260.4</f>
        <v>645302</v>
      </c>
      <c r="D59" s="34">
        <f>158492+13303+71.2+7277+232.4</f>
        <v>179375.6</v>
      </c>
      <c r="E59" s="34">
        <f>87099.3+58.4</f>
        <v>87157.7</v>
      </c>
      <c r="F59" s="34">
        <v>44679.6</v>
      </c>
      <c r="G59" s="34">
        <v>899.49999999999989</v>
      </c>
      <c r="H59" s="25">
        <v>3485.6</v>
      </c>
      <c r="I59" s="25">
        <f>0+3667.1</f>
        <v>3667.1</v>
      </c>
      <c r="J59" s="25">
        <v>296859.40000000008</v>
      </c>
      <c r="K59" s="31">
        <f>53343.2+20079.5+26571.3+66</f>
        <v>100060</v>
      </c>
      <c r="L59" s="25">
        <v>22821.599999999999</v>
      </c>
      <c r="M59" s="25">
        <f>13386.5+0</f>
        <v>13386.5</v>
      </c>
      <c r="N59" s="25">
        <f>307050.9+560.2+76.7</f>
        <v>307687.80000000005</v>
      </c>
      <c r="O59" s="27">
        <v>375585</v>
      </c>
      <c r="P59" s="28">
        <v>158256</v>
      </c>
      <c r="Q59" s="33">
        <f>84.4+2023.3+600.1+0-2083.8-31.4-0</f>
        <v>592.59999999999957</v>
      </c>
      <c r="R59" s="34">
        <f>85368.1+75821.6+2271.8-20079.5-14327.1</f>
        <v>129054.9</v>
      </c>
      <c r="S59" s="27">
        <f t="shared" ref="S59:S60" si="10">SUM(B59:R59)</f>
        <v>3510604.1000000006</v>
      </c>
    </row>
    <row r="60" spans="1:19" s="23" customFormat="1" x14ac:dyDescent="0.25">
      <c r="A60" s="64">
        <v>44286</v>
      </c>
      <c r="B60" s="31">
        <f>1179405.1+22815.2</f>
        <v>1202220.3</v>
      </c>
      <c r="C60" s="31">
        <f>649243.4+3077.3+2269.7+24359.6+5525.5</f>
        <v>684475.5</v>
      </c>
      <c r="D60" s="34">
        <f>169012.1+16489.4+29.4+2310.8+367.2</f>
        <v>188208.9</v>
      </c>
      <c r="E60" s="34">
        <f>72990.8+58.4</f>
        <v>73049.2</v>
      </c>
      <c r="F60" s="34">
        <v>52828.2</v>
      </c>
      <c r="G60" s="34">
        <v>897.49999999999989</v>
      </c>
      <c r="H60" s="25">
        <v>3049.4</v>
      </c>
      <c r="I60" s="25">
        <v>3000.6</v>
      </c>
      <c r="J60" s="25">
        <v>286862.39999999997</v>
      </c>
      <c r="K60" s="31">
        <f>61106.5+15244.8+22791.8+34</f>
        <v>99177.1</v>
      </c>
      <c r="L60" s="25">
        <v>28206.799999999996</v>
      </c>
      <c r="M60" s="25">
        <f>1065.5+21080.2</f>
        <v>22145.7</v>
      </c>
      <c r="N60" s="25">
        <f>318141.6+563.7+73.8</f>
        <v>318779.09999999998</v>
      </c>
      <c r="O60" s="27">
        <v>450473</v>
      </c>
      <c r="P60" s="28">
        <v>90171.300000000017</v>
      </c>
      <c r="Q60" s="33">
        <f>19.3+18932.8+1378.7+0+96.3-16822.7-31.4-0</f>
        <v>3572.9999999999977</v>
      </c>
      <c r="R60" s="34">
        <f>93769.6+77293.7+3533.4-15244.8-22815.2</f>
        <v>136536.69999999998</v>
      </c>
      <c r="S60" s="27">
        <f t="shared" si="10"/>
        <v>3643654.7</v>
      </c>
    </row>
    <row r="61" spans="1:19" s="45" customFormat="1" x14ac:dyDescent="0.25">
      <c r="A61" s="46"/>
      <c r="B61" s="47"/>
      <c r="C61" s="48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9"/>
      <c r="P61" s="49"/>
      <c r="Q61" s="50"/>
      <c r="R61" s="49"/>
      <c r="S61" s="56"/>
    </row>
    <row r="62" spans="1:19" s="55" customFormat="1" ht="18.75" x14ac:dyDescent="0.3">
      <c r="A62" s="51" t="s">
        <v>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3"/>
    </row>
    <row r="63" spans="1:19" s="23" customFormat="1" x14ac:dyDescent="0.25">
      <c r="O63" s="35"/>
      <c r="P63" s="35"/>
      <c r="Q63" s="36"/>
      <c r="R63" s="35"/>
      <c r="S63" s="35"/>
    </row>
  </sheetData>
  <mergeCells count="18">
    <mergeCell ref="N6:N7"/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3"/>
  <sheetViews>
    <sheetView tabSelected="1" workbookViewId="0">
      <pane xSplit="1" ySplit="7" topLeftCell="S17" activePane="bottomRight" state="frozen"/>
      <selection pane="topRight" activeCell="B1" sqref="B1"/>
      <selection pane="bottomLeft" activeCell="A8" sqref="A8"/>
      <selection pane="bottomRight" activeCell="S20" sqref="S20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0" t="s">
        <v>4</v>
      </c>
      <c r="C6" s="72" t="s">
        <v>5</v>
      </c>
      <c r="D6" s="72" t="s">
        <v>41</v>
      </c>
      <c r="E6" s="78" t="s">
        <v>47</v>
      </c>
      <c r="F6" s="78"/>
      <c r="G6" s="78"/>
      <c r="H6" s="72" t="s">
        <v>7</v>
      </c>
      <c r="I6" s="72" t="s">
        <v>8</v>
      </c>
      <c r="J6" s="72" t="s">
        <v>9</v>
      </c>
      <c r="K6" s="72" t="s">
        <v>10</v>
      </c>
      <c r="L6" s="72" t="s">
        <v>45</v>
      </c>
      <c r="M6" s="72" t="s">
        <v>11</v>
      </c>
      <c r="N6" s="72" t="s">
        <v>42</v>
      </c>
      <c r="O6" s="72" t="s">
        <v>43</v>
      </c>
      <c r="P6" s="70" t="s">
        <v>12</v>
      </c>
      <c r="Q6" s="71" t="s">
        <v>13</v>
      </c>
      <c r="R6" s="72" t="s">
        <v>14</v>
      </c>
      <c r="S6" s="70" t="s">
        <v>15</v>
      </c>
    </row>
    <row r="7" spans="1:19" s="37" customFormat="1" ht="90" customHeight="1" x14ac:dyDescent="0.3">
      <c r="A7" s="77"/>
      <c r="B7" s="70"/>
      <c r="C7" s="72"/>
      <c r="D7" s="72"/>
      <c r="E7" s="54" t="s">
        <v>4</v>
      </c>
      <c r="F7" s="54" t="s">
        <v>5</v>
      </c>
      <c r="G7" s="54" t="s">
        <v>48</v>
      </c>
      <c r="H7" s="72"/>
      <c r="I7" s="72"/>
      <c r="J7" s="72"/>
      <c r="K7" s="72"/>
      <c r="L7" s="72"/>
      <c r="M7" s="72"/>
      <c r="N7" s="72"/>
      <c r="O7" s="72"/>
      <c r="P7" s="70"/>
      <c r="Q7" s="71"/>
      <c r="R7" s="72"/>
      <c r="S7" s="70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9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23" customFormat="1" ht="15" customHeight="1" x14ac:dyDescent="0.25">
      <c r="A20" s="69">
        <v>2020</v>
      </c>
      <c r="B20" s="31">
        <f>1127406.1+14327.1</f>
        <v>1141733.2000000002</v>
      </c>
      <c r="C20" s="31">
        <f>612431.2+3166.9+2942.3+21501.2+5260.4</f>
        <v>645302</v>
      </c>
      <c r="D20" s="34">
        <f>158492+13303+71.2+7277+232.4</f>
        <v>179375.6</v>
      </c>
      <c r="E20" s="34">
        <f>87099.3+58.4</f>
        <v>87157.7</v>
      </c>
      <c r="F20" s="34">
        <v>44679.6</v>
      </c>
      <c r="G20" s="34">
        <v>899.49999999999989</v>
      </c>
      <c r="H20" s="25">
        <v>3485.6</v>
      </c>
      <c r="I20" s="25">
        <f>0+3667.1</f>
        <v>3667.1</v>
      </c>
      <c r="J20" s="25">
        <v>296859.40000000008</v>
      </c>
      <c r="K20" s="31">
        <f>53343.2+20079.5+26571.3+66</f>
        <v>100060</v>
      </c>
      <c r="L20" s="25">
        <v>22821.599999999999</v>
      </c>
      <c r="M20" s="25">
        <f>13386.5+0</f>
        <v>13386.5</v>
      </c>
      <c r="N20" s="25">
        <f>307050.9+560.2+76.7</f>
        <v>307687.80000000005</v>
      </c>
      <c r="O20" s="27">
        <v>375585</v>
      </c>
      <c r="P20" s="28">
        <v>158256</v>
      </c>
      <c r="Q20" s="33">
        <f>84.4+2023.3+600.1+0-2083.8-31.4-0</f>
        <v>592.59999999999957</v>
      </c>
      <c r="R20" s="34">
        <f>85368.1+75821.6+2271.8-20079.5-14327.1</f>
        <v>129054.9</v>
      </c>
      <c r="S20" s="27">
        <f t="shared" ref="S20" si="3">SUM(B20:R20)</f>
        <v>3510604.1000000006</v>
      </c>
    </row>
    <row r="21" spans="1:19" s="45" customFormat="1" x14ac:dyDescent="0.25">
      <c r="A21" s="46"/>
      <c r="B21" s="47"/>
      <c r="C21" s="48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50"/>
      <c r="R21" s="49"/>
      <c r="S21" s="56"/>
    </row>
    <row r="22" spans="1:19" s="55" customFormat="1" ht="18.75" x14ac:dyDescent="0.3">
      <c r="A22" s="51" t="s">
        <v>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3"/>
    </row>
    <row r="23" spans="1:19" s="23" customFormat="1" x14ac:dyDescent="0.25">
      <c r="O23" s="35"/>
      <c r="P23" s="35"/>
      <c r="Q23" s="36"/>
      <c r="R23" s="35"/>
      <c r="S23" s="35"/>
    </row>
  </sheetData>
  <mergeCells count="18">
    <mergeCell ref="N6:N7"/>
    <mergeCell ref="O6:O7"/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2021-07-08T13:55:15Z</dcterms:modified>
</cp:coreProperties>
</file>