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_juin2018_français\secteur_monétaire\"/>
    </mc:Choice>
  </mc:AlternateContent>
  <bookViews>
    <workbookView xWindow="0" yWindow="0" windowWidth="24000" windowHeight="9135"/>
  </bookViews>
  <sheets>
    <sheet name="ii3-2 sitbanquepassif" sheetId="1" r:id="rId1"/>
  </sheets>
  <definedNames>
    <definedName name="_xlnm.Print_Area" localSheetId="0">'ii3-2 sitbanquepassif'!$A$1:$S$189</definedName>
    <definedName name="Zone_impres_MI">'ii3-2 sitbanquepassif'!$A$1:$S$190</definedName>
  </definedNames>
  <calcPr calcId="152511"/>
</workbook>
</file>

<file path=xl/calcChain.xml><?xml version="1.0" encoding="utf-8"?>
<calcChain xmlns="http://schemas.openxmlformats.org/spreadsheetml/2006/main">
  <c r="R49" i="1" l="1"/>
  <c r="Q49" i="1"/>
  <c r="M49" i="1"/>
  <c r="K49" i="1"/>
  <c r="E49" i="1"/>
  <c r="D49" i="1"/>
  <c r="B49" i="1"/>
  <c r="S49" i="1" s="1"/>
  <c r="Q186" i="1"/>
  <c r="B185" i="1"/>
  <c r="B186" i="1"/>
  <c r="S186" i="1"/>
  <c r="R186" i="1"/>
  <c r="M186" i="1"/>
  <c r="K186" i="1"/>
  <c r="K185" i="1"/>
  <c r="E186" i="1"/>
  <c r="D186" i="1"/>
  <c r="S185" i="1" l="1"/>
  <c r="R185" i="1"/>
  <c r="Q185" i="1"/>
  <c r="Q184" i="1"/>
  <c r="M185" i="1"/>
  <c r="E185" i="1"/>
  <c r="D185" i="1"/>
  <c r="M184" i="1" l="1"/>
  <c r="R184" i="1" l="1"/>
  <c r="K184" i="1"/>
  <c r="E184" i="1"/>
  <c r="D184" i="1"/>
  <c r="B184" i="1"/>
  <c r="S184" i="1" l="1"/>
  <c r="R48" i="1"/>
  <c r="Q48" i="1"/>
  <c r="M48" i="1"/>
  <c r="K48" i="1"/>
  <c r="E48" i="1"/>
  <c r="D48" i="1"/>
  <c r="B48" i="1"/>
  <c r="R183" i="1"/>
  <c r="Q183" i="1"/>
  <c r="M183" i="1"/>
  <c r="K183" i="1"/>
  <c r="E183" i="1"/>
  <c r="E182" i="1"/>
  <c r="D183" i="1"/>
  <c r="B183" i="1"/>
  <c r="S183" i="1" s="1"/>
  <c r="S48" i="1" l="1"/>
  <c r="B182" i="1" l="1"/>
  <c r="B181" i="1"/>
  <c r="R182" i="1"/>
  <c r="Q182" i="1"/>
  <c r="M182" i="1"/>
  <c r="K182" i="1"/>
  <c r="D182" i="1"/>
  <c r="S182" i="1" l="1"/>
  <c r="R181" i="1"/>
  <c r="Q181" i="1"/>
  <c r="M181" i="1"/>
  <c r="K181" i="1"/>
  <c r="E181" i="1"/>
  <c r="D181" i="1"/>
  <c r="S181" i="1" l="1"/>
  <c r="R25" i="1"/>
  <c r="Q25" i="1"/>
  <c r="M25" i="1"/>
  <c r="K25" i="1"/>
  <c r="E25" i="1"/>
  <c r="D25" i="1"/>
  <c r="B25" i="1"/>
  <c r="S25" i="1" s="1"/>
  <c r="R46" i="1"/>
  <c r="Q46" i="1"/>
  <c r="M46" i="1"/>
  <c r="K46" i="1"/>
  <c r="E46" i="1"/>
  <c r="D46" i="1"/>
  <c r="B46" i="1"/>
  <c r="S46" i="1" s="1"/>
  <c r="R179" i="1"/>
  <c r="Q179" i="1"/>
  <c r="M179" i="1"/>
  <c r="K179" i="1"/>
  <c r="E179" i="1"/>
  <c r="D179" i="1"/>
  <c r="B179" i="1"/>
  <c r="R45" i="1"/>
  <c r="Q45" i="1"/>
  <c r="M45" i="1"/>
  <c r="K45" i="1"/>
  <c r="E45" i="1"/>
  <c r="D45" i="1"/>
  <c r="B45" i="1"/>
  <c r="B176" i="1"/>
  <c r="S179" i="1" l="1"/>
  <c r="S45" i="1"/>
  <c r="R178" i="1"/>
  <c r="Q178" i="1"/>
  <c r="M178" i="1"/>
  <c r="K178" i="1"/>
  <c r="E178" i="1"/>
  <c r="D178" i="1"/>
  <c r="B178" i="1"/>
  <c r="S178" i="1" l="1"/>
  <c r="E177" i="1"/>
  <c r="R177" i="1"/>
  <c r="Q177" i="1"/>
  <c r="M177" i="1"/>
  <c r="K177" i="1"/>
  <c r="D177" i="1"/>
  <c r="C177" i="1"/>
  <c r="B177" i="1"/>
  <c r="S177" i="1" l="1"/>
  <c r="K176" i="1"/>
  <c r="Q176" i="1"/>
  <c r="R176" i="1"/>
  <c r="M176" i="1" l="1"/>
  <c r="E176" i="1" l="1"/>
  <c r="D176" i="1"/>
  <c r="S176" i="1" l="1"/>
  <c r="R175" i="1"/>
  <c r="Q175" i="1"/>
  <c r="M175" i="1"/>
  <c r="K175" i="1"/>
  <c r="E175" i="1"/>
  <c r="D175" i="1"/>
  <c r="B175" i="1"/>
  <c r="S175" i="1" s="1"/>
  <c r="R174" i="1" l="1"/>
  <c r="Q174" i="1" l="1"/>
  <c r="M174" i="1"/>
  <c r="K174" i="1"/>
  <c r="E174" i="1"/>
  <c r="D174" i="1"/>
  <c r="B174" i="1"/>
  <c r="S174" i="1" s="1"/>
  <c r="R44" i="1" l="1"/>
  <c r="Q44" i="1"/>
  <c r="K44" i="1"/>
  <c r="E44" i="1"/>
  <c r="D44" i="1"/>
  <c r="B44" i="1"/>
  <c r="S44" i="1" s="1"/>
  <c r="R173" i="1" l="1"/>
  <c r="Q173" i="1"/>
  <c r="K173" i="1"/>
  <c r="E173" i="1"/>
  <c r="D173" i="1"/>
  <c r="B173" i="1"/>
  <c r="S173" i="1" s="1"/>
  <c r="R172" i="1" l="1"/>
  <c r="Q172" i="1"/>
  <c r="K172" i="1"/>
  <c r="E172" i="1"/>
  <c r="D172" i="1"/>
  <c r="B172" i="1"/>
  <c r="S172" i="1" l="1"/>
  <c r="S21" i="1"/>
  <c r="S20" i="1"/>
  <c r="S28" i="1"/>
  <c r="S23" i="1"/>
  <c r="S24" i="1"/>
  <c r="S43" i="1"/>
  <c r="R171" i="1" l="1"/>
  <c r="Q171" i="1"/>
  <c r="K171" i="1"/>
  <c r="E171" i="1"/>
  <c r="D171" i="1"/>
  <c r="B171" i="1"/>
  <c r="S171" i="1" s="1"/>
  <c r="S87" i="1" l="1"/>
  <c r="S22" i="1" l="1"/>
  <c r="S170" i="1" l="1"/>
  <c r="S169" i="1" l="1"/>
  <c r="S168" i="1"/>
  <c r="S166" i="1" l="1"/>
  <c r="S165" i="1" l="1"/>
  <c r="S164" i="1" l="1"/>
  <c r="S163" i="1" l="1"/>
  <c r="S162" i="1" l="1"/>
  <c r="S161" i="1" l="1"/>
  <c r="S160" i="1" l="1"/>
  <c r="S159" i="1" l="1"/>
  <c r="S158" i="1" l="1"/>
  <c r="S157" i="1" l="1"/>
  <c r="S156" i="1" l="1"/>
  <c r="S155" i="1" l="1"/>
  <c r="S152" i="1" l="1"/>
  <c r="S151" i="1" l="1"/>
  <c r="S150" i="1" l="1"/>
  <c r="S149" i="1" l="1"/>
  <c r="S139" i="1" l="1"/>
  <c r="R19" i="1"/>
  <c r="O19" i="1"/>
  <c r="R18" i="1"/>
  <c r="O18" i="1"/>
  <c r="R17" i="1"/>
  <c r="O17" i="1"/>
  <c r="R16" i="1"/>
  <c r="O16" i="1"/>
  <c r="S16" i="1" l="1"/>
  <c r="S17" i="1"/>
  <c r="S18" i="1"/>
  <c r="S19" i="1"/>
  <c r="R86" i="1"/>
  <c r="R85" i="1"/>
  <c r="R84" i="1"/>
  <c r="R83" i="1"/>
  <c r="R82" i="1"/>
  <c r="R81" i="1"/>
  <c r="R80" i="1"/>
  <c r="R79" i="1"/>
  <c r="R78" i="1"/>
  <c r="R77" i="1"/>
  <c r="R76" i="1"/>
  <c r="O86" i="1"/>
  <c r="O85" i="1"/>
  <c r="O84" i="1"/>
  <c r="O83" i="1"/>
  <c r="O82" i="1"/>
  <c r="O81" i="1"/>
  <c r="O80" i="1"/>
  <c r="O79" i="1"/>
  <c r="O78" i="1"/>
  <c r="O77" i="1"/>
  <c r="O76" i="1"/>
  <c r="R75" i="1" l="1"/>
  <c r="R74" i="1"/>
  <c r="R73" i="1"/>
  <c r="R72" i="1"/>
  <c r="R71" i="1"/>
  <c r="R70" i="1"/>
  <c r="R69" i="1"/>
  <c r="R68" i="1"/>
  <c r="R67" i="1"/>
  <c r="R66" i="1"/>
  <c r="R65" i="1"/>
  <c r="R64" i="1"/>
  <c r="O75" i="1"/>
  <c r="O74" i="1"/>
  <c r="O73" i="1"/>
  <c r="O72" i="1"/>
  <c r="O71" i="1"/>
  <c r="O70" i="1"/>
  <c r="O69" i="1"/>
  <c r="O68" i="1"/>
  <c r="O67" i="1"/>
  <c r="O66" i="1"/>
  <c r="O65" i="1"/>
  <c r="O64" i="1"/>
  <c r="R62" i="1"/>
  <c r="R61" i="1"/>
  <c r="R60" i="1"/>
  <c r="R59" i="1"/>
  <c r="R58" i="1"/>
  <c r="R57" i="1"/>
  <c r="R56" i="1"/>
  <c r="R55" i="1"/>
  <c r="R54" i="1"/>
  <c r="R53" i="1"/>
  <c r="R52" i="1"/>
  <c r="R51" i="1"/>
  <c r="O62" i="1"/>
  <c r="O61" i="1"/>
  <c r="O60" i="1"/>
  <c r="O59" i="1"/>
  <c r="O58" i="1"/>
  <c r="O57" i="1"/>
  <c r="O56" i="1"/>
  <c r="O55" i="1"/>
  <c r="O54" i="1"/>
  <c r="O53" i="1"/>
  <c r="O52" i="1"/>
  <c r="O51" i="1"/>
  <c r="S148" i="1" l="1"/>
  <c r="S147" i="1" l="1"/>
  <c r="S146" i="1" l="1"/>
  <c r="S145" i="1" l="1"/>
  <c r="S144" i="1" l="1"/>
  <c r="S143" i="1" l="1"/>
  <c r="S142" i="1" l="1"/>
  <c r="S141" i="1" l="1"/>
  <c r="S138" i="1" l="1"/>
  <c r="S137" i="1" l="1"/>
  <c r="S136" i="1" l="1"/>
  <c r="S135" i="1" l="1"/>
  <c r="S134" i="1" l="1"/>
  <c r="S133" i="1"/>
  <c r="S132" i="1"/>
  <c r="S131" i="1" l="1"/>
  <c r="S130" i="1" l="1"/>
  <c r="S129" i="1" l="1"/>
  <c r="S124" i="1"/>
  <c r="S125" i="1"/>
  <c r="S126" i="1"/>
  <c r="S128" i="1"/>
  <c r="S52" i="1" l="1"/>
  <c r="S53" i="1"/>
  <c r="S54" i="1"/>
  <c r="S55" i="1"/>
  <c r="S56" i="1"/>
  <c r="S57" i="1"/>
  <c r="S58" i="1"/>
  <c r="S59" i="1"/>
  <c r="S60" i="1"/>
  <c r="S61" i="1"/>
  <c r="S62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9" i="1"/>
  <c r="S90" i="1"/>
  <c r="S91" i="1"/>
  <c r="S92" i="1"/>
  <c r="S93" i="1"/>
  <c r="S94" i="1"/>
  <c r="S95" i="1"/>
  <c r="S96" i="1"/>
  <c r="S97" i="1"/>
  <c r="S98" i="1"/>
  <c r="S99" i="1"/>
  <c r="S100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5" i="1"/>
  <c r="S116" i="1"/>
  <c r="S117" i="1"/>
  <c r="S118" i="1"/>
  <c r="S119" i="1"/>
  <c r="S121" i="1"/>
  <c r="S122" i="1"/>
  <c r="S123" i="1"/>
  <c r="S51" i="1" l="1"/>
</calcChain>
</file>

<file path=xl/sharedStrings.xml><?xml version="1.0" encoding="utf-8"?>
<sst xmlns="http://schemas.openxmlformats.org/spreadsheetml/2006/main" count="293" uniqueCount="149">
  <si>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</si>
  <si>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</si>
  <si>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</si>
  <si>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</si>
  <si>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</si>
  <si>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</si>
  <si>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</si>
  <si>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</si>
  <si>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</si>
  <si>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</si>
  <si>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</si>
  <si>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</si>
  <si>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</si>
  <si>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</si>
  <si>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</si>
  <si>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</si>
  <si>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</si>
  <si>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</si>
  <si>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</si>
  <si>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</si>
  <si>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</si>
  <si>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</si>
  <si>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</si>
  <si>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</si>
  <si>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</si>
  <si>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</si>
  <si>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</si>
  <si>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</si>
  <si>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</si>
  <si>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</si>
  <si>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</si>
  <si>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</si>
  <si>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</si>
  <si>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</si>
  <si>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</si>
  <si>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</si>
  <si>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</si>
  <si>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</si>
  <si>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</si>
  <si>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</si>
  <si>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</si>
  <si>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</si>
  <si>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</si>
  <si>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</si>
  <si>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</si>
  <si>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</si>
  <si>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</si>
  <si>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</si>
  <si>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</si>
  <si>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</si>
  <si>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</si>
  <si>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</si>
  <si>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</si>
  <si>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</si>
  <si>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</si>
  <si>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</si>
  <si>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</si>
  <si>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</si>
  <si>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</si>
  <si>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</si>
  <si>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</si>
  <si>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</si>
  <si>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</si>
  <si>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</si>
  <si>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</si>
  <si>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</si>
  <si>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</si>
  <si>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</si>
  <si>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</si>
  <si>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</si>
  <si>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</si>
  <si>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</si>
  <si>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</si>
  <si>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</si>
  <si>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</si>
  <si>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</si>
  <si>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</si>
  <si>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</si>
  <si>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</si>
  <si>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</si>
  <si>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</si>
  <si>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</si>
  <si>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</si>
  <si>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</si>
  <si>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</si>
  <si>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</si>
  <si>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</si>
  <si>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</si>
  <si>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</si>
  <si>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</si>
  <si>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</si>
  <si>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</si>
  <si>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</si>
  <si>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</si>
  <si>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</si>
  <si>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</si>
  <si>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</si>
  <si>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</si>
  <si>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</si>
  <si>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</si>
  <si>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</si>
  <si>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</si>
  <si>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</si>
  <si>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</si>
  <si>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</si>
  <si>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</si>
  <si>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</si>
  <si>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</si>
  <si>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</si>
  <si>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</si>
  <si>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</si>
  <si>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</si>
  <si>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</si>
  <si>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</si>
  <si>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</si>
  <si>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</si>
  <si>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</si>
  <si>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</si>
  <si>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</si>
  <si>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</si>
  <si>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</si>
  <si>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</si>
  <si>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</si>
  <si>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Dépôts des Etablissememnts de Microfinances</t>
  </si>
  <si>
    <t xml:space="preserve">            Avril</t>
  </si>
  <si>
    <t>2015 Avril</t>
  </si>
  <si>
    <t>2015 Mai</t>
  </si>
  <si>
    <t xml:space="preserve">            Mai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</si>
  <si>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</si>
  <si>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</si>
  <si>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</si>
  <si>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</si>
  <si>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</si>
  <si>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</si>
  <si>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</si>
  <si>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 xml:space="preserve">            Octobre</t>
  </si>
  <si>
    <t>2015 Octobre</t>
  </si>
  <si>
    <t xml:space="preserve">            Novembre</t>
  </si>
  <si>
    <t>2015 Novembre</t>
  </si>
  <si>
    <t xml:space="preserve">            Décembre</t>
  </si>
  <si>
    <t>2015 Décembre</t>
  </si>
  <si>
    <t>Source: Compilé sur base des données des banques commerciales</t>
  </si>
  <si>
    <t>2017</t>
  </si>
  <si>
    <t>2018 Janvier</t>
  </si>
  <si>
    <t>2016 Février</t>
  </si>
  <si>
    <t>2018 Mars</t>
  </si>
  <si>
    <t>2016 Avril</t>
  </si>
  <si>
    <t>2016  Mai</t>
  </si>
  <si>
    <t>2016 Juin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</si>
</sst>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3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NumberFormat="1" applyBorder="1" applyAlignment="1" applyProtection="1">
      <alignment horizontal="righ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10" xfId="0" applyNumberFormat="1" applyFont="1" applyFill="1" applyBorder="1" applyAlignment="1" applyProtection="1">
      <alignment horizontal="right"/>
    </xf>
    <xf numFmtId="165" fontId="0" fillId="3" borderId="5" xfId="0" applyNumberFormat="1" applyFont="1" applyFill="1" applyBorder="1" applyAlignment="1" applyProtection="1">
      <alignment horizontal="right"/>
    </xf>
    <xf numFmtId="166" fontId="0" fillId="3" borderId="10" xfId="1" applyNumberFormat="1" applyFont="1" applyFill="1" applyBorder="1" applyAlignment="1" applyProtection="1">
      <alignment horizontal="right"/>
    </xf>
    <xf numFmtId="167" fontId="0" fillId="3" borderId="10" xfId="0" applyNumberFormat="1" applyFont="1" applyFill="1" applyBorder="1" applyAlignment="1" applyProtection="1">
      <alignment horizontal="right"/>
    </xf>
    <xf numFmtId="165" fontId="0" fillId="3" borderId="0" xfId="0" applyNumberFormat="1" applyFont="1" applyFill="1" applyAlignment="1" applyProtection="1">
      <alignment horizontal="center"/>
    </xf>
    <xf numFmtId="165" fontId="0" fillId="3" borderId="0" xfId="0" applyFont="1" applyFill="1"/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4" xfId="0" quotePrefix="1" applyFont="1" applyFill="1" applyBorder="1" applyAlignment="1">
      <alignment horizontal="left"/>
    </xf>
    <xf numFmtId="165" fontId="0" fillId="2" borderId="4" xfId="0" applyFont="1" applyFill="1" applyBorder="1" applyAlignment="1">
      <alignment horizontal="left"/>
    </xf>
    <xf numFmtId="165" fontId="0" fillId="0" borderId="4" xfId="0" applyFont="1" applyBorder="1" applyAlignment="1">
      <alignment horizontal="left"/>
    </xf>
    <xf numFmtId="165" fontId="0" fillId="0" borderId="4" xfId="0" applyBorder="1" applyAlignment="1">
      <alignment horizontal="left"/>
    </xf>
    <xf numFmtId="165" fontId="0" fillId="3" borderId="4" xfId="0" applyFont="1" applyFill="1" applyBorder="1" applyAlignment="1">
      <alignment horizontal="left"/>
    </xf>
    <xf numFmtId="165" fontId="2" fillId="0" borderId="9" xfId="0" applyFont="1" applyBorder="1" applyAlignment="1">
      <alignment vertical="center"/>
    </xf>
    <xf numFmtId="165" fontId="0" fillId="0" borderId="6" xfId="0" applyFont="1" applyBorder="1" applyAlignment="1">
      <alignment vertical="center"/>
    </xf>
    <xf numFmtId="165" fontId="0" fillId="0" borderId="7" xfId="0" applyFont="1" applyBorder="1" applyAlignment="1">
      <alignment vertical="center"/>
    </xf>
    <xf numFmtId="165" fontId="0" fillId="0" borderId="8" xfId="0" applyFont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fill"/>
    </xf>
    <xf numFmtId="2" fontId="0" fillId="0" borderId="2" xfId="0" applyNumberFormat="1" applyFont="1" applyFill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  <xf numFmtId="165" fontId="0" fillId="0" borderId="1" xfId="0" applyFont="1" applyBorder="1" applyAlignment="1">
      <alignment horizontal="center" vertical="center"/>
    </xf>
    <xf numFmtId="165" fontId="0" fillId="0" borderId="2" xfId="0" applyFont="1" applyBorder="1" applyAlignment="1">
      <alignment horizontal="center" vertical="center"/>
    </xf>
    <xf numFmtId="165" fontId="0" fillId="0" borderId="3" xfId="0" applyFont="1" applyBorder="1" applyAlignment="1">
      <alignment horizontal="center" vertical="center"/>
    </xf>
    <xf numFmtId="165" fontId="0" fillId="0" borderId="4" xfId="0" applyFont="1" applyBorder="1" applyAlignment="1">
      <alignment horizontal="center" vertical="center"/>
    </xf>
    <xf numFmtId="165" fontId="0" fillId="0" borderId="0" xfId="0" applyFont="1" applyBorder="1" applyAlignment="1">
      <alignment horizontal="center" vertical="center"/>
    </xf>
    <xf numFmtId="165" fontId="0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193"/>
  <sheetViews>
    <sheetView showGridLines="0" tabSelected="1" view="pageBreakPreview" zoomScale="80" zoomScaleNormal="80" zoomScaleSheetLayoutView="80" workbookViewId="0">
      <pane xSplit="1" ySplit="14" topLeftCell="B178" activePane="bottomRight" state="frozen"/>
      <selection pane="topRight" activeCell="B1" sqref="B1"/>
      <selection pane="bottomLeft" activeCell="A15" sqref="A15"/>
      <selection pane="bottomRight" activeCell="E196" sqref="E196"/>
    </sheetView>
  </sheetViews>
  <sheetFormatPr defaultColWidth="11.5546875" defaultRowHeight="15.75" x14ac:dyDescent="0.25"/>
  <cols>
    <col min="1" max="1" width="23.5546875" style="6" customWidth="1"/>
    <col min="2" max="3" width="10.44140625" style="6" bestFit="1" customWidth="1"/>
    <col min="4" max="4" width="15.6640625" style="6" customWidth="1"/>
    <col min="5" max="6" width="14.77734375" style="72" customWidth="1"/>
    <col min="7" max="7" width="18.33203125" style="72" customWidth="1"/>
    <col min="8" max="9" width="14.33203125" style="6" bestFit="1" customWidth="1"/>
    <col min="10" max="10" width="13.44140625" style="6" bestFit="1" customWidth="1"/>
    <col min="11" max="11" width="11.21875" style="6" bestFit="1" customWidth="1"/>
    <col min="12" max="12" width="11.44140625" style="6" bestFit="1" customWidth="1"/>
    <col min="13" max="13" width="11.21875" style="6" bestFit="1" customWidth="1"/>
    <col min="14" max="14" width="10.88671875" style="6" bestFit="1" customWidth="1"/>
    <col min="15" max="15" width="10.44140625" style="44" bestFit="1" customWidth="1"/>
    <col min="16" max="16" width="12.109375" style="44" bestFit="1" customWidth="1"/>
    <col min="17" max="17" width="10.6640625" style="47" customWidth="1"/>
    <col min="18" max="18" width="10.109375" style="44" bestFit="1" customWidth="1"/>
    <col min="19" max="19" width="14" style="44" customWidth="1"/>
    <col min="20" max="20" width="12" style="6" bestFit="1" customWidth="1"/>
    <col min="21" max="21" width="21.6640625" style="6" customWidth="1"/>
    <col min="22" max="16384" width="11.5546875" style="6"/>
  </cols>
  <sheetData>
    <row r="1" spans="1: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2" spans="1:23" x14ac:dyDescent="0.25">
      <c r="A2" s="7"/>
      <c r="B2" s="8"/>
      <c r="C2" s="8"/>
      <c r="D2" s="8"/>
      <c r="E2" s="54"/>
      <c r="F2" s="54"/>
      <c r="G2" s="54"/>
      <c r="H2" s="8"/>
      <c r="I2" s="8"/>
      <c r="J2" s="8"/>
      <c r="K2" s="8"/>
      <c r="L2" s="8"/>
      <c r="M2" s="8"/>
      <c r="N2" s="8"/>
      <c r="O2" s="9"/>
      <c r="P2" s="9"/>
      <c r="Q2" s="10"/>
      <c r="R2" s="9"/>
      <c r="S2" s="11"/>
    </row>
    <row r="3" spans="1:23" x14ac:dyDescent="0.25">
      <c r="A3" s="7"/>
      <c r="B3" s="12" t="s">
        <v>2</v>
      </c>
      <c r="C3" s="8"/>
      <c r="D3" s="8"/>
      <c r="E3" s="54"/>
      <c r="F3" s="54"/>
      <c r="G3" s="54"/>
      <c r="H3" s="8"/>
      <c r="I3" s="8"/>
      <c r="J3" s="8"/>
      <c r="K3" s="8"/>
      <c r="L3" s="13" t="s">
        <v>0</v>
      </c>
      <c r="M3" s="13"/>
      <c r="N3" s="8"/>
      <c r="O3" s="9"/>
      <c r="P3" s="14"/>
      <c r="Q3" s="10"/>
      <c r="R3" s="9"/>
      <c r="S3" s="15" t="s">
        <v>1</v>
      </c>
    </row>
    <row r="4" spans="1:23" x14ac:dyDescent="0.25">
      <c r="A4" s="112" t="s">
        <v>110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</row>
    <row r="5" spans="1:23" x14ac:dyDescent="0.25">
      <c r="A5" s="112" t="s">
        <v>55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</row>
    <row r="6" spans="1:23" x14ac:dyDescent="0.25">
      <c r="A6" s="16" t="s">
        <v>0</v>
      </c>
      <c r="B6" s="17" t="s">
        <v>0</v>
      </c>
      <c r="C6" s="8"/>
      <c r="D6" s="8"/>
      <c r="E6" s="54"/>
      <c r="F6" s="54"/>
      <c r="G6" s="54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11"/>
    </row>
    <row r="7" spans="1:23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1"/>
      <c r="R7" s="20"/>
      <c r="S7" s="22"/>
      <c r="T7" s="23"/>
      <c r="U7" s="23"/>
      <c r="V7" s="23"/>
      <c r="W7" s="23"/>
    </row>
    <row r="8" spans="1:23" x14ac:dyDescent="0.25">
      <c r="A8" s="24"/>
      <c r="B8" s="105"/>
      <c r="C8" s="105"/>
      <c r="D8" s="105"/>
      <c r="E8" s="117" t="s">
        <v>123</v>
      </c>
      <c r="F8" s="118"/>
      <c r="G8" s="119"/>
      <c r="H8" s="25"/>
      <c r="I8" s="25"/>
      <c r="J8" s="25"/>
      <c r="K8" s="25"/>
      <c r="L8" s="25"/>
      <c r="M8" s="25"/>
      <c r="N8" s="26"/>
      <c r="O8" s="27"/>
      <c r="P8" s="27"/>
      <c r="Q8" s="28"/>
      <c r="R8" s="27"/>
      <c r="S8" s="27"/>
    </row>
    <row r="9" spans="1:23" x14ac:dyDescent="0.25">
      <c r="A9" s="87" t="s">
        <v>32</v>
      </c>
      <c r="B9" s="29" t="s">
        <v>4</v>
      </c>
      <c r="C9" s="29" t="s">
        <v>10</v>
      </c>
      <c r="D9" s="29" t="s">
        <v>61</v>
      </c>
      <c r="E9" s="120"/>
      <c r="F9" s="121"/>
      <c r="G9" s="122"/>
      <c r="H9" s="29" t="s">
        <v>4</v>
      </c>
      <c r="I9" s="29" t="s">
        <v>4</v>
      </c>
      <c r="J9" s="29" t="s">
        <v>3</v>
      </c>
      <c r="K9" s="29" t="s">
        <v>4</v>
      </c>
      <c r="L9" s="29" t="s">
        <v>61</v>
      </c>
      <c r="M9" s="29" t="s">
        <v>4</v>
      </c>
      <c r="N9" s="17" t="s">
        <v>5</v>
      </c>
      <c r="O9" s="31" t="s">
        <v>6</v>
      </c>
      <c r="P9" s="31" t="s">
        <v>7</v>
      </c>
      <c r="Q9" s="32" t="s">
        <v>9</v>
      </c>
      <c r="R9" s="31" t="s">
        <v>8</v>
      </c>
      <c r="S9" s="89" t="s">
        <v>24</v>
      </c>
    </row>
    <row r="10" spans="1:23" x14ac:dyDescent="0.25">
      <c r="A10" s="87"/>
      <c r="B10" s="29" t="s">
        <v>17</v>
      </c>
      <c r="C10" s="29" t="s">
        <v>18</v>
      </c>
      <c r="D10" s="29" t="s">
        <v>62</v>
      </c>
      <c r="E10" s="106"/>
      <c r="F10" s="107"/>
      <c r="G10" s="108"/>
      <c r="H10" s="29" t="s">
        <v>45</v>
      </c>
      <c r="I10" s="29" t="s">
        <v>46</v>
      </c>
      <c r="J10" s="29" t="s">
        <v>11</v>
      </c>
      <c r="K10" s="29" t="s">
        <v>12</v>
      </c>
      <c r="L10" s="29" t="s">
        <v>20</v>
      </c>
      <c r="M10" s="29" t="s">
        <v>12</v>
      </c>
      <c r="N10" s="17" t="s">
        <v>13</v>
      </c>
      <c r="O10" s="31" t="s">
        <v>14</v>
      </c>
      <c r="P10" s="31"/>
      <c r="Q10" s="32" t="s">
        <v>16</v>
      </c>
      <c r="R10" s="31" t="s">
        <v>15</v>
      </c>
      <c r="S10" s="89" t="s">
        <v>2</v>
      </c>
    </row>
    <row r="11" spans="1:23" x14ac:dyDescent="0.25">
      <c r="A11" s="87"/>
      <c r="B11" s="29" t="s">
        <v>25</v>
      </c>
      <c r="C11" s="29" t="s">
        <v>26</v>
      </c>
      <c r="D11" s="48" t="s">
        <v>66</v>
      </c>
      <c r="E11" s="29" t="s">
        <v>4</v>
      </c>
      <c r="F11" s="17" t="s">
        <v>10</v>
      </c>
      <c r="G11" s="96" t="s">
        <v>61</v>
      </c>
      <c r="H11" s="29" t="s">
        <v>42</v>
      </c>
      <c r="I11" s="29" t="s">
        <v>42</v>
      </c>
      <c r="J11" s="29" t="s">
        <v>51</v>
      </c>
      <c r="K11" s="29" t="s">
        <v>19</v>
      </c>
      <c r="L11" s="29" t="s">
        <v>28</v>
      </c>
      <c r="M11" s="29" t="s">
        <v>19</v>
      </c>
      <c r="N11" s="17" t="s">
        <v>21</v>
      </c>
      <c r="O11" s="31" t="s">
        <v>22</v>
      </c>
      <c r="P11" s="33"/>
      <c r="Q11" s="32" t="s">
        <v>23</v>
      </c>
      <c r="R11" s="33"/>
      <c r="S11" s="33"/>
      <c r="T11" s="23"/>
    </row>
    <row r="12" spans="1:23" x14ac:dyDescent="0.25">
      <c r="A12" s="87"/>
      <c r="B12" s="57"/>
      <c r="C12" s="57"/>
      <c r="D12" s="57"/>
      <c r="E12" s="29" t="s">
        <v>17</v>
      </c>
      <c r="F12" s="17" t="s">
        <v>18</v>
      </c>
      <c r="G12" s="96" t="s">
        <v>62</v>
      </c>
      <c r="H12" s="35" t="s">
        <v>43</v>
      </c>
      <c r="I12" s="35" t="s">
        <v>43</v>
      </c>
      <c r="J12" s="29" t="s">
        <v>49</v>
      </c>
      <c r="K12" s="29" t="s">
        <v>27</v>
      </c>
      <c r="L12" s="29" t="s">
        <v>30</v>
      </c>
      <c r="M12" s="29" t="s">
        <v>63</v>
      </c>
      <c r="N12" s="17"/>
      <c r="O12" s="31"/>
      <c r="P12" s="33"/>
      <c r="Q12" s="32" t="s">
        <v>29</v>
      </c>
      <c r="R12" s="33"/>
      <c r="S12" s="33"/>
      <c r="T12" s="23"/>
    </row>
    <row r="13" spans="1:23" x14ac:dyDescent="0.25">
      <c r="A13" s="87" t="s">
        <v>33</v>
      </c>
      <c r="B13" s="57"/>
      <c r="C13" s="57"/>
      <c r="D13" s="57"/>
      <c r="E13" s="29" t="s">
        <v>25</v>
      </c>
      <c r="F13" s="17" t="s">
        <v>26</v>
      </c>
      <c r="G13" s="97"/>
      <c r="H13" s="35" t="s">
        <v>44</v>
      </c>
      <c r="I13" s="35" t="s">
        <v>44</v>
      </c>
      <c r="J13" s="30" t="s">
        <v>50</v>
      </c>
      <c r="K13" s="34"/>
      <c r="L13" s="29"/>
      <c r="M13" s="29" t="s">
        <v>64</v>
      </c>
      <c r="N13" s="17"/>
      <c r="O13" s="31"/>
      <c r="P13" s="33"/>
      <c r="Q13" s="32" t="s">
        <v>31</v>
      </c>
      <c r="R13" s="33"/>
      <c r="S13" s="33"/>
    </row>
    <row r="14" spans="1:23" x14ac:dyDescent="0.25">
      <c r="A14" s="5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9"/>
      <c r="O14" s="37"/>
      <c r="P14" s="37"/>
      <c r="Q14" s="21"/>
      <c r="R14" s="37"/>
      <c r="S14" s="37"/>
      <c r="T14" s="23"/>
    </row>
    <row r="15" spans="1:23" x14ac:dyDescent="0.25">
      <c r="A15" s="24"/>
      <c r="B15" s="57"/>
      <c r="C15" s="25"/>
      <c r="D15" s="57"/>
      <c r="E15" s="57"/>
      <c r="F15" s="57"/>
      <c r="G15" s="57"/>
      <c r="H15" s="34"/>
      <c r="I15" s="34"/>
      <c r="J15" s="34"/>
      <c r="K15" s="34"/>
      <c r="L15" s="34"/>
      <c r="M15" s="34"/>
      <c r="N15" s="25"/>
      <c r="O15" s="11"/>
      <c r="P15" s="33"/>
      <c r="Q15" s="50"/>
      <c r="R15" s="11"/>
      <c r="S15" s="33"/>
    </row>
    <row r="16" spans="1:23" hidden="1" x14ac:dyDescent="0.25">
      <c r="A16" s="100" t="s">
        <v>65</v>
      </c>
      <c r="B16" s="81">
        <v>191381.50000000003</v>
      </c>
      <c r="C16" s="81">
        <v>99286.999999999985</v>
      </c>
      <c r="D16" s="81">
        <v>62928.999999999956</v>
      </c>
      <c r="E16" s="81"/>
      <c r="F16" s="81"/>
      <c r="G16" s="81"/>
      <c r="H16" s="58">
        <v>603.5</v>
      </c>
      <c r="I16" s="58">
        <v>550</v>
      </c>
      <c r="J16" s="39" t="s">
        <v>41</v>
      </c>
      <c r="K16" s="58">
        <v>14305</v>
      </c>
      <c r="L16" s="58">
        <v>5052.6000000000004</v>
      </c>
      <c r="M16" s="58">
        <v>24400</v>
      </c>
      <c r="N16" s="58">
        <v>30009.400000000009</v>
      </c>
      <c r="O16" s="49">
        <f>87503.4-45586.6</f>
        <v>41916.799999999996</v>
      </c>
      <c r="P16" s="59">
        <v>18433.2</v>
      </c>
      <c r="Q16" s="51">
        <v>311.60000000000002</v>
      </c>
      <c r="R16" s="49">
        <f>27363.4+45586.6</f>
        <v>72950</v>
      </c>
      <c r="S16" s="82">
        <f t="shared" ref="S16:S18" si="0">SUM(B16:R16)</f>
        <v>562129.59999999986</v>
      </c>
      <c r="T16" s="52"/>
      <c r="U16" s="17"/>
      <c r="V16" s="56"/>
      <c r="W16" s="56"/>
    </row>
    <row r="17" spans="1:26" hidden="1" x14ac:dyDescent="0.25">
      <c r="A17" s="100" t="s">
        <v>84</v>
      </c>
      <c r="B17" s="81">
        <v>226504.30000000002</v>
      </c>
      <c r="C17" s="81">
        <v>116535.90000000001</v>
      </c>
      <c r="D17" s="81">
        <v>81175.299999999988</v>
      </c>
      <c r="E17" s="81"/>
      <c r="F17" s="81"/>
      <c r="G17" s="81"/>
      <c r="H17" s="58">
        <v>1234.8999999999999</v>
      </c>
      <c r="I17" s="58">
        <v>400</v>
      </c>
      <c r="J17" s="39" t="s">
        <v>41</v>
      </c>
      <c r="K17" s="58">
        <v>23913.5</v>
      </c>
      <c r="L17" s="58">
        <v>8608.5999999999985</v>
      </c>
      <c r="M17" s="58">
        <v>33663.599999999999</v>
      </c>
      <c r="N17" s="58">
        <v>36237.599999999999</v>
      </c>
      <c r="O17" s="49">
        <f>111536.2-41841.2</f>
        <v>69695</v>
      </c>
      <c r="P17" s="59">
        <v>21190.100000000002</v>
      </c>
      <c r="Q17" s="51">
        <v>1123.9000000000001</v>
      </c>
      <c r="R17" s="49">
        <f>27186.8+41841.2</f>
        <v>69028</v>
      </c>
      <c r="S17" s="82">
        <f t="shared" si="0"/>
        <v>689310.7</v>
      </c>
      <c r="T17" s="56"/>
      <c r="U17" s="56"/>
      <c r="V17" s="56"/>
      <c r="W17" s="56"/>
    </row>
    <row r="18" spans="1:26" hidden="1" x14ac:dyDescent="0.25">
      <c r="A18" s="100" t="s">
        <v>85</v>
      </c>
      <c r="B18" s="81">
        <v>290409</v>
      </c>
      <c r="C18" s="81">
        <v>143615.40000000002</v>
      </c>
      <c r="D18" s="81">
        <v>89591.3</v>
      </c>
      <c r="E18" s="90">
        <v>2849.9</v>
      </c>
      <c r="F18" s="90">
        <v>1812.4</v>
      </c>
      <c r="G18" s="90">
        <v>0</v>
      </c>
      <c r="H18" s="58">
        <v>1128.8</v>
      </c>
      <c r="I18" s="58">
        <v>530</v>
      </c>
      <c r="J18" s="39" t="s">
        <v>41</v>
      </c>
      <c r="K18" s="58">
        <v>30906.599999999988</v>
      </c>
      <c r="L18" s="58">
        <v>5456.4</v>
      </c>
      <c r="M18" s="58">
        <v>27042.2</v>
      </c>
      <c r="N18" s="58">
        <v>50485.599999999991</v>
      </c>
      <c r="O18" s="49">
        <f>138109.5-40746.7</f>
        <v>97362.8</v>
      </c>
      <c r="P18" s="59">
        <v>22695.399999999998</v>
      </c>
      <c r="Q18" s="51">
        <v>113.79999999999987</v>
      </c>
      <c r="R18" s="49">
        <f>40462.9+40746.7</f>
        <v>81209.600000000006</v>
      </c>
      <c r="S18" s="82">
        <f t="shared" si="0"/>
        <v>845209.20000000007</v>
      </c>
      <c r="T18" s="56"/>
      <c r="U18" s="56"/>
      <c r="V18" s="56"/>
      <c r="W18" s="56"/>
    </row>
    <row r="19" spans="1:26" s="43" customFormat="1" hidden="1" x14ac:dyDescent="0.25">
      <c r="A19" s="100" t="s">
        <v>68</v>
      </c>
      <c r="B19" s="42">
        <v>283537.99999999994</v>
      </c>
      <c r="C19" s="42">
        <v>178588.99999999997</v>
      </c>
      <c r="D19" s="42">
        <v>89107.6</v>
      </c>
      <c r="E19" s="42">
        <v>3654.7</v>
      </c>
      <c r="F19" s="42">
        <v>3786.4</v>
      </c>
      <c r="G19" s="42">
        <v>0</v>
      </c>
      <c r="H19" s="42">
        <v>570.1</v>
      </c>
      <c r="I19" s="42">
        <v>230</v>
      </c>
      <c r="J19" s="42">
        <v>23887.599999999999</v>
      </c>
      <c r="K19" s="42">
        <v>32980.200000000004</v>
      </c>
      <c r="L19" s="42">
        <v>6981.7999999999993</v>
      </c>
      <c r="M19" s="42">
        <v>38665.200000000004</v>
      </c>
      <c r="N19" s="42">
        <v>50036.000000000007</v>
      </c>
      <c r="O19" s="49">
        <f>160199.8-42543.1</f>
        <v>117656.69999999998</v>
      </c>
      <c r="P19" s="59">
        <v>30401</v>
      </c>
      <c r="Q19" s="51">
        <v>617.30000000000041</v>
      </c>
      <c r="R19" s="49">
        <f>40944.6+42543.1</f>
        <v>83487.7</v>
      </c>
      <c r="S19" s="82">
        <f t="shared" ref="S19" si="1">SUM(B19:R19)</f>
        <v>944189.2999999997</v>
      </c>
      <c r="T19" s="56"/>
      <c r="U19" s="56"/>
      <c r="V19" s="56"/>
      <c r="W19" s="56"/>
      <c r="Y19" s="6"/>
      <c r="Z19" s="6"/>
    </row>
    <row r="20" spans="1:26" s="43" customFormat="1" hidden="1" x14ac:dyDescent="0.25">
      <c r="A20" s="100" t="s">
        <v>59</v>
      </c>
      <c r="B20" s="42">
        <v>293628.7</v>
      </c>
      <c r="C20" s="42">
        <v>175495.9</v>
      </c>
      <c r="D20" s="42">
        <v>125922.79999999999</v>
      </c>
      <c r="E20" s="42">
        <v>7559.4</v>
      </c>
      <c r="F20" s="42">
        <v>17126.100000000002</v>
      </c>
      <c r="G20" s="42">
        <v>170.1</v>
      </c>
      <c r="H20" s="42">
        <v>1801.0000000000002</v>
      </c>
      <c r="I20" s="42">
        <v>430</v>
      </c>
      <c r="J20" s="75" t="s">
        <v>41</v>
      </c>
      <c r="K20" s="42">
        <v>33328.200000000004</v>
      </c>
      <c r="L20" s="42">
        <v>9660.5</v>
      </c>
      <c r="M20" s="42">
        <v>32270.799999999999</v>
      </c>
      <c r="N20" s="42">
        <v>62960.799999999996</v>
      </c>
      <c r="O20" s="84">
        <v>162470.70000000001</v>
      </c>
      <c r="P20" s="83">
        <v>20813.100000000002</v>
      </c>
      <c r="Q20" s="85">
        <v>4114.6000000000004</v>
      </c>
      <c r="R20" s="84">
        <v>96931.400000000009</v>
      </c>
      <c r="S20" s="82">
        <f t="shared" ref="S20:S21" si="2">SUM(B20:R20)</f>
        <v>1044684.1</v>
      </c>
      <c r="T20" s="56"/>
      <c r="U20" s="56"/>
      <c r="V20" s="56"/>
      <c r="W20" s="56"/>
      <c r="Y20" s="6"/>
      <c r="Z20" s="6"/>
    </row>
    <row r="21" spans="1:26" x14ac:dyDescent="0.25">
      <c r="A21" s="100" t="s">
        <v>60</v>
      </c>
      <c r="B21" s="81">
        <v>335552.69999999995</v>
      </c>
      <c r="C21" s="81">
        <v>211763.9</v>
      </c>
      <c r="D21" s="81">
        <v>134315.39999999997</v>
      </c>
      <c r="E21" s="81">
        <v>9698.1999999999989</v>
      </c>
      <c r="F21" s="81">
        <v>11803.2</v>
      </c>
      <c r="G21" s="81">
        <v>246.1</v>
      </c>
      <c r="H21" s="81">
        <v>1446.5</v>
      </c>
      <c r="I21" s="81">
        <v>430</v>
      </c>
      <c r="J21" s="75" t="s">
        <v>41</v>
      </c>
      <c r="K21" s="81">
        <v>50992.200000000004</v>
      </c>
      <c r="L21" s="81">
        <v>9056.5</v>
      </c>
      <c r="M21" s="81">
        <v>22059.600000000002</v>
      </c>
      <c r="N21" s="81">
        <v>89787.400000000009</v>
      </c>
      <c r="O21" s="84">
        <v>185759.6</v>
      </c>
      <c r="P21" s="83">
        <v>21766.899999999998</v>
      </c>
      <c r="Q21" s="85">
        <v>-198.70000000000019</v>
      </c>
      <c r="R21" s="84">
        <v>133537.29999999999</v>
      </c>
      <c r="S21" s="82">
        <f t="shared" si="2"/>
        <v>1218016.7999999998</v>
      </c>
      <c r="T21" s="56"/>
      <c r="U21" s="56"/>
      <c r="V21" s="56"/>
      <c r="W21" s="56"/>
    </row>
    <row r="22" spans="1:26" s="72" customFormat="1" x14ac:dyDescent="0.25">
      <c r="A22" s="100" t="s">
        <v>67</v>
      </c>
      <c r="B22" s="57">
        <v>384656.60000000003</v>
      </c>
      <c r="C22" s="57">
        <v>227786.60000000003</v>
      </c>
      <c r="D22" s="57">
        <v>163209.70000000004</v>
      </c>
      <c r="E22" s="57">
        <v>15905.7</v>
      </c>
      <c r="F22" s="57">
        <v>12998.199999999999</v>
      </c>
      <c r="G22" s="57">
        <v>0</v>
      </c>
      <c r="H22" s="81">
        <v>1669.5</v>
      </c>
      <c r="I22" s="81">
        <v>230</v>
      </c>
      <c r="J22" s="75" t="s">
        <v>41</v>
      </c>
      <c r="K22" s="54">
        <v>48639.1</v>
      </c>
      <c r="L22" s="81">
        <v>9410.5</v>
      </c>
      <c r="M22" s="81">
        <v>17620.400000000001</v>
      </c>
      <c r="N22" s="81">
        <v>147751.79999999999</v>
      </c>
      <c r="O22" s="55">
        <v>205273.59999999995</v>
      </c>
      <c r="P22" s="83">
        <v>25746.6</v>
      </c>
      <c r="Q22" s="60">
        <v>-2380.1999999999975</v>
      </c>
      <c r="R22" s="55">
        <v>142120.29999999999</v>
      </c>
      <c r="S22" s="82">
        <f t="shared" ref="S22:S24" si="3">SUM(B22:R22)</f>
        <v>1400638.4000000001</v>
      </c>
      <c r="T22" s="73"/>
      <c r="U22" s="73"/>
      <c r="V22" s="73"/>
      <c r="W22" s="73"/>
    </row>
    <row r="23" spans="1:26" s="72" customFormat="1" x14ac:dyDescent="0.25">
      <c r="A23" s="100" t="s">
        <v>103</v>
      </c>
      <c r="B23" s="57">
        <v>383820.99999999994</v>
      </c>
      <c r="C23" s="57">
        <v>244640.30000000008</v>
      </c>
      <c r="D23" s="98">
        <v>135171.70000000001</v>
      </c>
      <c r="E23" s="98">
        <v>22882.2</v>
      </c>
      <c r="F23" s="98">
        <v>27827.9</v>
      </c>
      <c r="G23" s="98">
        <v>1256.3</v>
      </c>
      <c r="H23" s="81">
        <v>5303.8</v>
      </c>
      <c r="I23" s="81">
        <v>8529.9000000000015</v>
      </c>
      <c r="J23" s="81">
        <v>19805</v>
      </c>
      <c r="K23" s="54">
        <v>54292.999999999993</v>
      </c>
      <c r="L23" s="81">
        <v>8972.2999999999993</v>
      </c>
      <c r="M23" s="81">
        <v>6801.5</v>
      </c>
      <c r="N23" s="81">
        <v>149973.5</v>
      </c>
      <c r="O23" s="55">
        <v>222014.39999999997</v>
      </c>
      <c r="P23" s="83">
        <v>15971.3</v>
      </c>
      <c r="Q23" s="60">
        <v>-5932.1999999999989</v>
      </c>
      <c r="R23" s="79">
        <v>154248.5</v>
      </c>
      <c r="S23" s="82">
        <f t="shared" si="3"/>
        <v>1455580.4000000001</v>
      </c>
      <c r="T23" s="73"/>
      <c r="U23" s="73"/>
      <c r="V23" s="73"/>
      <c r="W23" s="73"/>
    </row>
    <row r="24" spans="1:26" s="72" customFormat="1" x14ac:dyDescent="0.25">
      <c r="A24" s="100" t="s">
        <v>116</v>
      </c>
      <c r="B24" s="57">
        <v>473463.40000000014</v>
      </c>
      <c r="C24" s="57">
        <v>235254.40000000002</v>
      </c>
      <c r="D24" s="98">
        <v>93961.800000000017</v>
      </c>
      <c r="E24" s="98">
        <v>24043.8</v>
      </c>
      <c r="F24" s="98">
        <v>20378.800000000003</v>
      </c>
      <c r="G24" s="98">
        <v>985.80000000000007</v>
      </c>
      <c r="H24" s="81">
        <v>2909.7000000000003</v>
      </c>
      <c r="I24" s="81">
        <v>8653</v>
      </c>
      <c r="J24" s="81">
        <v>87064.099999999991</v>
      </c>
      <c r="K24" s="54">
        <v>58899.3</v>
      </c>
      <c r="L24" s="81">
        <v>16378.7</v>
      </c>
      <c r="M24" s="81">
        <v>973.70000000000016</v>
      </c>
      <c r="N24" s="81">
        <v>139935.4</v>
      </c>
      <c r="O24" s="52">
        <v>224498.3</v>
      </c>
      <c r="P24" s="83">
        <v>26055.199999999993</v>
      </c>
      <c r="Q24" s="60">
        <v>-829.10000000000616</v>
      </c>
      <c r="R24" s="79">
        <v>194069.49999999994</v>
      </c>
      <c r="S24" s="82">
        <f t="shared" si="3"/>
        <v>1606695.8</v>
      </c>
      <c r="T24" s="80"/>
      <c r="U24" s="80"/>
      <c r="V24" s="80"/>
      <c r="W24" s="80"/>
    </row>
    <row r="25" spans="1:26" s="72" customFormat="1" hidden="1" x14ac:dyDescent="0.25">
      <c r="A25" s="100" t="s">
        <v>142</v>
      </c>
      <c r="B25" s="57">
        <f>597211.3+9262.8</f>
        <v>606474.10000000009</v>
      </c>
      <c r="C25" s="57">
        <v>283463</v>
      </c>
      <c r="D25" s="98">
        <f>99981.2+19693.8</f>
        <v>119675</v>
      </c>
      <c r="E25" s="98">
        <f>110.9+31864.7</f>
        <v>31975.600000000002</v>
      </c>
      <c r="F25" s="98">
        <v>34803.1</v>
      </c>
      <c r="G25" s="98">
        <v>923.6</v>
      </c>
      <c r="H25" s="81">
        <v>4126.2</v>
      </c>
      <c r="I25" s="81">
        <v>8711.4</v>
      </c>
      <c r="J25" s="81">
        <v>160080.29999999999</v>
      </c>
      <c r="K25" s="54">
        <f>16746.1+39463.3+10620.1</f>
        <v>66829.5</v>
      </c>
      <c r="L25" s="81">
        <v>19650.5</v>
      </c>
      <c r="M25" s="81">
        <f>714.4+68.2</f>
        <v>782.6</v>
      </c>
      <c r="N25" s="81">
        <v>156052.6</v>
      </c>
      <c r="O25" s="52">
        <v>230717.9</v>
      </c>
      <c r="P25" s="83">
        <v>47407.8</v>
      </c>
      <c r="Q25" s="60">
        <f>19.7+3575.2-683.6-12-3575.8-31.4-4.5</f>
        <v>-712.40000000000043</v>
      </c>
      <c r="R25" s="79">
        <f>64997.9-10620.1-9262.8+1838.7+104563.8</f>
        <v>151517.5</v>
      </c>
      <c r="S25" s="82">
        <f t="shared" ref="S25" si="4">SUM(B25:R25)</f>
        <v>1922478.3000000003</v>
      </c>
      <c r="T25" s="80"/>
      <c r="U25" s="80"/>
      <c r="V25" s="80"/>
      <c r="W25" s="80"/>
    </row>
    <row r="26" spans="1:26" s="72" customFormat="1" x14ac:dyDescent="0.25">
      <c r="A26" s="100" t="s">
        <v>142</v>
      </c>
      <c r="B26" s="57">
        <v>606474.10000000009</v>
      </c>
      <c r="C26" s="57">
        <v>283463</v>
      </c>
      <c r="D26" s="98">
        <v>119675</v>
      </c>
      <c r="E26" s="98">
        <v>31975.600000000002</v>
      </c>
      <c r="F26" s="98">
        <v>34803.1</v>
      </c>
      <c r="G26" s="98">
        <v>923.6</v>
      </c>
      <c r="H26" s="81">
        <v>4126.2</v>
      </c>
      <c r="I26" s="81">
        <v>8711.4</v>
      </c>
      <c r="J26" s="81">
        <v>160080.29999999999</v>
      </c>
      <c r="K26" s="54">
        <v>66829.5</v>
      </c>
      <c r="L26" s="81">
        <v>19650.5</v>
      </c>
      <c r="M26" s="81">
        <v>782.6</v>
      </c>
      <c r="N26" s="81">
        <v>156052.6</v>
      </c>
      <c r="O26" s="52">
        <v>230717.9</v>
      </c>
      <c r="P26" s="83">
        <v>47407.8</v>
      </c>
      <c r="Q26" s="60">
        <v>-712.40000000000043</v>
      </c>
      <c r="R26" s="79">
        <v>151517.5</v>
      </c>
      <c r="S26" s="82">
        <v>1922478.3000000003</v>
      </c>
      <c r="T26" s="80"/>
      <c r="U26" s="80"/>
      <c r="V26" s="80"/>
      <c r="W26" s="80"/>
    </row>
    <row r="27" spans="1:26" s="72" customFormat="1" x14ac:dyDescent="0.25">
      <c r="A27" s="100"/>
      <c r="B27" s="57"/>
      <c r="C27" s="57"/>
      <c r="D27" s="98"/>
      <c r="E27" s="98"/>
      <c r="F27" s="98"/>
      <c r="G27" s="98"/>
      <c r="H27" s="81"/>
      <c r="I27" s="81"/>
      <c r="J27" s="81"/>
      <c r="K27" s="54"/>
      <c r="L27" s="81"/>
      <c r="M27" s="81"/>
      <c r="N27" s="81"/>
      <c r="O27" s="52"/>
      <c r="P27" s="83"/>
      <c r="Q27" s="60"/>
      <c r="R27" s="79"/>
      <c r="S27" s="82"/>
      <c r="T27" s="80"/>
      <c r="U27" s="80"/>
      <c r="V27" s="80"/>
      <c r="W27" s="80"/>
    </row>
    <row r="28" spans="1:26" hidden="1" x14ac:dyDescent="0.25">
      <c r="A28" s="101" t="s">
        <v>72</v>
      </c>
      <c r="B28" s="57">
        <v>327186.89999999997</v>
      </c>
      <c r="C28" s="57">
        <v>230375.10000000003</v>
      </c>
      <c r="D28" s="57">
        <v>149215.09999999989</v>
      </c>
      <c r="E28" s="57">
        <v>7228.7999999999993</v>
      </c>
      <c r="F28" s="57">
        <v>12602.2</v>
      </c>
      <c r="G28" s="57">
        <v>299.7</v>
      </c>
      <c r="H28" s="81">
        <v>1164.5999999999999</v>
      </c>
      <c r="I28" s="81">
        <v>430</v>
      </c>
      <c r="J28" s="75" t="s">
        <v>41</v>
      </c>
      <c r="K28" s="54">
        <v>44396.2</v>
      </c>
      <c r="L28" s="81">
        <v>7987.7</v>
      </c>
      <c r="M28" s="81">
        <v>28923.399999999998</v>
      </c>
      <c r="N28" s="81">
        <v>100768.70000000001</v>
      </c>
      <c r="O28" s="55">
        <v>189667.8</v>
      </c>
      <c r="P28" s="83">
        <v>16072.599999999999</v>
      </c>
      <c r="Q28" s="60">
        <v>-3172.1999999999994</v>
      </c>
      <c r="R28" s="55">
        <v>131176.70000000001</v>
      </c>
      <c r="S28" s="82">
        <f t="shared" ref="S28" si="5">SUM(B28:R28)</f>
        <v>1244323.2999999998</v>
      </c>
      <c r="T28" s="56"/>
      <c r="U28" s="56"/>
      <c r="V28" s="56"/>
      <c r="W28" s="56"/>
    </row>
    <row r="29" spans="1:26" s="72" customFormat="1" hidden="1" x14ac:dyDescent="0.25">
      <c r="A29" s="102" t="s">
        <v>69</v>
      </c>
      <c r="B29" s="57">
        <v>364010.4</v>
      </c>
      <c r="C29" s="57">
        <v>242972.59999999998</v>
      </c>
      <c r="D29" s="57">
        <v>145441.80000000002</v>
      </c>
      <c r="E29" s="57">
        <v>11827.5</v>
      </c>
      <c r="F29" s="57">
        <v>10918.8</v>
      </c>
      <c r="G29" s="75" t="s">
        <v>41</v>
      </c>
      <c r="H29" s="81">
        <v>1983.8</v>
      </c>
      <c r="I29" s="81">
        <v>250</v>
      </c>
      <c r="J29" s="75" t="s">
        <v>41</v>
      </c>
      <c r="K29" s="54">
        <v>46972.9</v>
      </c>
      <c r="L29" s="81">
        <v>8690.2999999999993</v>
      </c>
      <c r="M29" s="81">
        <v>19697.099999999999</v>
      </c>
      <c r="N29" s="81">
        <v>102707.09999999999</v>
      </c>
      <c r="O29" s="55">
        <v>193171.39999999997</v>
      </c>
      <c r="P29" s="83">
        <v>16946.699999999997</v>
      </c>
      <c r="Q29" s="60">
        <v>-3933.8000000000015</v>
      </c>
      <c r="R29" s="55">
        <v>143366.29999999999</v>
      </c>
      <c r="S29" s="82">
        <v>1282276.6000000001</v>
      </c>
      <c r="T29" s="80"/>
      <c r="U29" s="94"/>
      <c r="V29" s="80"/>
      <c r="W29" s="80"/>
    </row>
    <row r="30" spans="1:26" s="72" customFormat="1" hidden="1" x14ac:dyDescent="0.25">
      <c r="A30" s="102" t="s">
        <v>113</v>
      </c>
      <c r="B30" s="57">
        <v>349378.5</v>
      </c>
      <c r="C30" s="57">
        <v>236491.9</v>
      </c>
      <c r="D30" s="57">
        <v>148158.49999999988</v>
      </c>
      <c r="E30" s="57">
        <v>8632.8000000000011</v>
      </c>
      <c r="F30" s="57">
        <v>11457.199999999999</v>
      </c>
      <c r="G30" s="75" t="s">
        <v>41</v>
      </c>
      <c r="H30" s="81">
        <v>2127.3000000000002</v>
      </c>
      <c r="I30" s="81">
        <v>230</v>
      </c>
      <c r="J30" s="75" t="s">
        <v>41</v>
      </c>
      <c r="K30" s="54">
        <v>52172.800000000003</v>
      </c>
      <c r="L30" s="81">
        <v>9825.5</v>
      </c>
      <c r="M30" s="81">
        <v>14050.2</v>
      </c>
      <c r="N30" s="81">
        <v>123900.5</v>
      </c>
      <c r="O30" s="55">
        <v>193246.40000000002</v>
      </c>
      <c r="P30" s="83">
        <v>23804.1</v>
      </c>
      <c r="Q30" s="60">
        <v>-6415.5000000000018</v>
      </c>
      <c r="R30" s="55">
        <v>163481.60000000001</v>
      </c>
      <c r="S30" s="82">
        <v>1310451.8000000003</v>
      </c>
      <c r="T30" s="80"/>
      <c r="U30" s="94"/>
      <c r="V30" s="80"/>
      <c r="W30" s="80"/>
    </row>
    <row r="31" spans="1:26" s="72" customFormat="1" hidden="1" x14ac:dyDescent="0.25">
      <c r="A31" s="102" t="s">
        <v>117</v>
      </c>
      <c r="B31" s="57">
        <v>384656.60000000003</v>
      </c>
      <c r="C31" s="57">
        <v>227786.60000000003</v>
      </c>
      <c r="D31" s="57">
        <v>163209.70000000004</v>
      </c>
      <c r="E31" s="57">
        <v>15905.7</v>
      </c>
      <c r="F31" s="57">
        <v>12998.199999999999</v>
      </c>
      <c r="G31" s="57">
        <v>0</v>
      </c>
      <c r="H31" s="81">
        <v>1669.5</v>
      </c>
      <c r="I31" s="81">
        <v>230</v>
      </c>
      <c r="J31" s="75" t="s">
        <v>41</v>
      </c>
      <c r="K31" s="54">
        <v>48639.1</v>
      </c>
      <c r="L31" s="81">
        <v>9410.5</v>
      </c>
      <c r="M31" s="81">
        <v>17620.400000000001</v>
      </c>
      <c r="N31" s="81">
        <v>147751.79999999999</v>
      </c>
      <c r="O31" s="55">
        <v>205273.59999999995</v>
      </c>
      <c r="P31" s="83">
        <v>25746.6</v>
      </c>
      <c r="Q31" s="60">
        <v>-2380.1999999999975</v>
      </c>
      <c r="R31" s="55">
        <v>142120.29999999999</v>
      </c>
      <c r="S31" s="82">
        <v>1400638.4000000001</v>
      </c>
      <c r="T31" s="80"/>
      <c r="U31" s="94"/>
      <c r="V31" s="80"/>
      <c r="W31" s="80"/>
    </row>
    <row r="32" spans="1:26" hidden="1" x14ac:dyDescent="0.25">
      <c r="A32" s="103"/>
      <c r="B32" s="57"/>
      <c r="C32" s="57"/>
      <c r="D32" s="57"/>
      <c r="E32" s="57"/>
      <c r="F32" s="57"/>
      <c r="G32" s="75"/>
      <c r="H32" s="58"/>
      <c r="I32" s="58"/>
      <c r="J32" s="61"/>
      <c r="K32" s="54"/>
      <c r="L32" s="58"/>
      <c r="M32" s="58"/>
      <c r="N32" s="58"/>
      <c r="O32" s="55"/>
      <c r="P32" s="59"/>
      <c r="Q32" s="60"/>
      <c r="R32" s="55"/>
      <c r="S32" s="82"/>
      <c r="T32" s="56"/>
      <c r="U32" s="56"/>
      <c r="V32" s="56"/>
      <c r="W32" s="56"/>
    </row>
    <row r="33" spans="1:23" s="72" customFormat="1" x14ac:dyDescent="0.25">
      <c r="A33" s="102" t="s">
        <v>73</v>
      </c>
      <c r="B33" s="57">
        <v>356175.89999999997</v>
      </c>
      <c r="C33" s="57">
        <v>247836.60000000003</v>
      </c>
      <c r="D33" s="57">
        <v>148154.4</v>
      </c>
      <c r="E33" s="57">
        <v>11731.800000000001</v>
      </c>
      <c r="F33" s="57">
        <v>8849.7999999999993</v>
      </c>
      <c r="G33" s="75" t="s">
        <v>41</v>
      </c>
      <c r="H33" s="81">
        <v>1196</v>
      </c>
      <c r="I33" s="81">
        <v>1133.5999999999999</v>
      </c>
      <c r="J33" s="81">
        <v>1123.2</v>
      </c>
      <c r="K33" s="54">
        <v>52869.700000000004</v>
      </c>
      <c r="L33" s="81">
        <v>10155.5</v>
      </c>
      <c r="M33" s="81">
        <v>14779.000000000002</v>
      </c>
      <c r="N33" s="81">
        <v>146198.79999999999</v>
      </c>
      <c r="O33" s="55">
        <v>215597.59999999998</v>
      </c>
      <c r="P33" s="83">
        <v>11497.699999999999</v>
      </c>
      <c r="Q33" s="60">
        <v>-4355.6000000000022</v>
      </c>
      <c r="R33" s="55">
        <v>156675.29999999999</v>
      </c>
      <c r="S33" s="82">
        <v>1359037.6999999997</v>
      </c>
      <c r="T33" s="80"/>
      <c r="U33" s="94"/>
      <c r="V33" s="80"/>
      <c r="W33" s="80"/>
    </row>
    <row r="34" spans="1:23" s="72" customFormat="1" x14ac:dyDescent="0.25">
      <c r="A34" s="102" t="s">
        <v>69</v>
      </c>
      <c r="B34" s="57">
        <v>370979.79999999987</v>
      </c>
      <c r="C34" s="57">
        <v>256613.29999999993</v>
      </c>
      <c r="D34" s="57">
        <v>135754.29999999996</v>
      </c>
      <c r="E34" s="57">
        <v>11068.599999999999</v>
      </c>
      <c r="F34" s="57">
        <v>14518.000000000002</v>
      </c>
      <c r="G34" s="75" t="s">
        <v>41</v>
      </c>
      <c r="H34" s="81">
        <v>4973.3000000000011</v>
      </c>
      <c r="I34" s="81">
        <v>2203.8000000000002</v>
      </c>
      <c r="J34" s="81">
        <v>20000</v>
      </c>
      <c r="K34" s="54">
        <v>43348.600000000006</v>
      </c>
      <c r="L34" s="81">
        <v>10359.799999999999</v>
      </c>
      <c r="M34" s="81">
        <v>13963.300000000001</v>
      </c>
      <c r="N34" s="81">
        <v>139562.5</v>
      </c>
      <c r="O34" s="55">
        <v>215514.19999999998</v>
      </c>
      <c r="P34" s="83">
        <v>19632</v>
      </c>
      <c r="Q34" s="60">
        <v>-8004.4000000000015</v>
      </c>
      <c r="R34" s="55">
        <v>158401.5</v>
      </c>
      <c r="S34" s="82">
        <v>1383302</v>
      </c>
      <c r="T34" s="80"/>
      <c r="U34" s="94"/>
      <c r="V34" s="80"/>
      <c r="W34" s="80"/>
    </row>
    <row r="35" spans="1:23" s="72" customFormat="1" x14ac:dyDescent="0.25">
      <c r="A35" s="102" t="s">
        <v>70</v>
      </c>
      <c r="B35" s="57">
        <v>392207.5</v>
      </c>
      <c r="C35" s="57">
        <v>258303</v>
      </c>
      <c r="D35" s="57">
        <v>140973.39999999991</v>
      </c>
      <c r="E35" s="57">
        <v>10390.800000000001</v>
      </c>
      <c r="F35" s="57">
        <v>15110.100000000002</v>
      </c>
      <c r="G35" s="75" t="s">
        <v>41</v>
      </c>
      <c r="H35" s="81">
        <v>4632.1000000000004</v>
      </c>
      <c r="I35" s="81">
        <v>2466.6999999999998</v>
      </c>
      <c r="J35" s="81">
        <v>5849.9</v>
      </c>
      <c r="K35" s="54">
        <v>38020.800000000003</v>
      </c>
      <c r="L35" s="81">
        <v>10291.799999999999</v>
      </c>
      <c r="M35" s="81">
        <v>8875.3000000000011</v>
      </c>
      <c r="N35" s="81">
        <v>135266.6</v>
      </c>
      <c r="O35" s="55">
        <v>215438.7</v>
      </c>
      <c r="P35" s="83">
        <v>26685.299999999996</v>
      </c>
      <c r="Q35" s="60">
        <v>-7733.7000000000016</v>
      </c>
      <c r="R35" s="55">
        <v>168768.2</v>
      </c>
      <c r="S35" s="82">
        <v>1400045.6</v>
      </c>
      <c r="T35" s="80"/>
      <c r="U35" s="94"/>
      <c r="V35" s="80"/>
      <c r="W35" s="80"/>
    </row>
    <row r="36" spans="1:23" s="72" customFormat="1" x14ac:dyDescent="0.25">
      <c r="A36" s="102" t="s">
        <v>71</v>
      </c>
      <c r="B36" s="57">
        <v>406703.19999999995</v>
      </c>
      <c r="C36" s="57">
        <v>272468.20000000007</v>
      </c>
      <c r="D36" s="98">
        <v>136428</v>
      </c>
      <c r="E36" s="98">
        <v>22882.2</v>
      </c>
      <c r="F36" s="98">
        <v>27827.9</v>
      </c>
      <c r="G36" s="98">
        <v>1256.3</v>
      </c>
      <c r="H36" s="81">
        <v>5303.8</v>
      </c>
      <c r="I36" s="81">
        <v>8529.9000000000015</v>
      </c>
      <c r="J36" s="81">
        <v>19805</v>
      </c>
      <c r="K36" s="54">
        <v>54292.999999999993</v>
      </c>
      <c r="L36" s="81">
        <v>8972.2999999999993</v>
      </c>
      <c r="M36" s="81">
        <v>6801.5</v>
      </c>
      <c r="N36" s="81">
        <v>149973.5</v>
      </c>
      <c r="O36" s="55">
        <v>222014.39999999997</v>
      </c>
      <c r="P36" s="83">
        <v>15971.3</v>
      </c>
      <c r="Q36" s="60">
        <v>-5932.1999999999989</v>
      </c>
      <c r="R36" s="79">
        <v>154248.5</v>
      </c>
      <c r="S36" s="82">
        <v>1455580.4000000001</v>
      </c>
      <c r="T36" s="80"/>
      <c r="U36" s="94"/>
      <c r="V36" s="80"/>
      <c r="W36" s="80"/>
    </row>
    <row r="37" spans="1:23" s="72" customFormat="1" x14ac:dyDescent="0.25">
      <c r="A37" s="102"/>
      <c r="B37" s="57"/>
      <c r="C37" s="57"/>
      <c r="D37" s="98"/>
      <c r="E37" s="98"/>
      <c r="F37" s="98"/>
      <c r="G37" s="98"/>
      <c r="H37" s="81"/>
      <c r="I37" s="81"/>
      <c r="J37" s="81"/>
      <c r="K37" s="54"/>
      <c r="L37" s="81"/>
      <c r="M37" s="81"/>
      <c r="N37" s="81"/>
      <c r="O37" s="55"/>
      <c r="P37" s="83"/>
      <c r="Q37" s="60"/>
      <c r="R37" s="79"/>
      <c r="S37" s="82"/>
      <c r="T37" s="80"/>
      <c r="U37" s="94"/>
      <c r="V37" s="80"/>
      <c r="W37" s="80"/>
    </row>
    <row r="38" spans="1:23" s="72" customFormat="1" x14ac:dyDescent="0.25">
      <c r="A38" s="102" t="s">
        <v>105</v>
      </c>
      <c r="B38" s="57">
        <v>396552.5</v>
      </c>
      <c r="C38" s="57">
        <v>276029.99999999994</v>
      </c>
      <c r="D38" s="98">
        <v>119698.69999999998</v>
      </c>
      <c r="E38" s="98">
        <v>17631.5</v>
      </c>
      <c r="F38" s="98">
        <v>29819</v>
      </c>
      <c r="G38" s="98">
        <v>1303.6000000000001</v>
      </c>
      <c r="H38" s="81">
        <v>5382</v>
      </c>
      <c r="I38" s="81">
        <v>8565.2000000000007</v>
      </c>
      <c r="J38" s="81">
        <v>71864.5</v>
      </c>
      <c r="K38" s="54">
        <v>56605</v>
      </c>
      <c r="L38" s="81">
        <v>9451.0000000000018</v>
      </c>
      <c r="M38" s="81">
        <v>7517.2</v>
      </c>
      <c r="N38" s="81">
        <v>148879.5</v>
      </c>
      <c r="O38" s="55">
        <v>222189.39999999997</v>
      </c>
      <c r="P38" s="83">
        <v>11870.400000000001</v>
      </c>
      <c r="Q38" s="60">
        <v>-6615.1000000000049</v>
      </c>
      <c r="R38" s="79">
        <v>159337.79999999999</v>
      </c>
      <c r="S38" s="82">
        <v>1487328.0999999996</v>
      </c>
      <c r="T38" s="80"/>
      <c r="U38" s="94"/>
      <c r="V38" s="80"/>
      <c r="W38" s="80"/>
    </row>
    <row r="39" spans="1:23" s="72" customFormat="1" x14ac:dyDescent="0.25">
      <c r="A39" s="102" t="s">
        <v>69</v>
      </c>
      <c r="B39" s="57">
        <v>414931.7</v>
      </c>
      <c r="C39" s="57">
        <v>269610.3</v>
      </c>
      <c r="D39" s="98">
        <v>115399.09999999999</v>
      </c>
      <c r="E39" s="98">
        <v>34010.699999999997</v>
      </c>
      <c r="F39" s="98">
        <v>21476.999999999996</v>
      </c>
      <c r="G39" s="98">
        <v>1446.4000000000003</v>
      </c>
      <c r="H39" s="81">
        <v>1924.6000000000001</v>
      </c>
      <c r="I39" s="81">
        <v>8610.4</v>
      </c>
      <c r="J39" s="81">
        <v>101025.7</v>
      </c>
      <c r="K39" s="54">
        <v>47685.400000000009</v>
      </c>
      <c r="L39" s="81">
        <v>17003.600000000002</v>
      </c>
      <c r="M39" s="81">
        <v>2654.6</v>
      </c>
      <c r="N39" s="81">
        <v>143107</v>
      </c>
      <c r="O39" s="82">
        <v>224810.5</v>
      </c>
      <c r="P39" s="83">
        <v>17493.3</v>
      </c>
      <c r="Q39" s="60">
        <v>-6318.3999999999915</v>
      </c>
      <c r="R39" s="79">
        <v>181984.3</v>
      </c>
      <c r="S39" s="82">
        <v>1539922.1</v>
      </c>
      <c r="U39" s="94"/>
      <c r="V39" s="80"/>
      <c r="W39" s="80"/>
    </row>
    <row r="40" spans="1:23" s="72" customFormat="1" x14ac:dyDescent="0.25">
      <c r="A40" s="102" t="s">
        <v>70</v>
      </c>
      <c r="B40" s="57">
        <v>440229.89999999997</v>
      </c>
      <c r="C40" s="57">
        <v>260904.4</v>
      </c>
      <c r="D40" s="98">
        <v>108028.2</v>
      </c>
      <c r="E40" s="98">
        <v>15867.100000000002</v>
      </c>
      <c r="F40" s="98">
        <v>18024.399999999998</v>
      </c>
      <c r="G40" s="98">
        <v>984.5</v>
      </c>
      <c r="H40" s="81">
        <v>3677.6000000000004</v>
      </c>
      <c r="I40" s="81">
        <v>9113.9</v>
      </c>
      <c r="J40" s="81">
        <v>118763.79999999999</v>
      </c>
      <c r="K40" s="54">
        <v>51358.6</v>
      </c>
      <c r="L40" s="81">
        <v>13416.9</v>
      </c>
      <c r="M40" s="81">
        <v>934</v>
      </c>
      <c r="N40" s="81">
        <v>139965.09999999998</v>
      </c>
      <c r="O40" s="52">
        <v>224794.99999999997</v>
      </c>
      <c r="P40" s="83">
        <v>21976.800000000003</v>
      </c>
      <c r="Q40" s="60">
        <v>-905.90000000000089</v>
      </c>
      <c r="R40" s="79">
        <v>187480</v>
      </c>
      <c r="S40" s="82">
        <v>1579738.3</v>
      </c>
      <c r="U40" s="94"/>
      <c r="V40" s="80"/>
      <c r="W40" s="80"/>
    </row>
    <row r="41" spans="1:23" s="72" customFormat="1" x14ac:dyDescent="0.25">
      <c r="A41" s="102" t="s">
        <v>71</v>
      </c>
      <c r="B41" s="57">
        <v>497507.20000000013</v>
      </c>
      <c r="C41" s="57">
        <v>255633.2</v>
      </c>
      <c r="D41" s="98">
        <v>94947.60000000002</v>
      </c>
      <c r="E41" s="98">
        <v>24043.8</v>
      </c>
      <c r="F41" s="98">
        <v>20378.800000000003</v>
      </c>
      <c r="G41" s="98">
        <v>985.80000000000007</v>
      </c>
      <c r="H41" s="81">
        <v>2909.7000000000003</v>
      </c>
      <c r="I41" s="81">
        <v>8653</v>
      </c>
      <c r="J41" s="81">
        <v>87064.099999999991</v>
      </c>
      <c r="K41" s="54">
        <v>58899.3</v>
      </c>
      <c r="L41" s="81">
        <v>16378.7</v>
      </c>
      <c r="M41" s="81">
        <v>973.70000000000016</v>
      </c>
      <c r="N41" s="81">
        <v>139935.4</v>
      </c>
      <c r="O41" s="52">
        <v>224498.3</v>
      </c>
      <c r="P41" s="83">
        <v>26055.199999999993</v>
      </c>
      <c r="Q41" s="60">
        <v>-829.10000000000616</v>
      </c>
      <c r="R41" s="79">
        <v>194069.49999999994</v>
      </c>
      <c r="S41" s="82">
        <v>1606695.7999999998</v>
      </c>
      <c r="U41" s="94"/>
      <c r="V41" s="80"/>
      <c r="W41" s="80"/>
    </row>
    <row r="42" spans="1:23" s="72" customFormat="1" x14ac:dyDescent="0.25">
      <c r="A42" s="102"/>
      <c r="B42" s="57"/>
      <c r="C42" s="57"/>
      <c r="D42" s="98"/>
      <c r="E42" s="98"/>
      <c r="F42" s="98"/>
      <c r="G42" s="98"/>
      <c r="H42" s="81"/>
      <c r="I42" s="81"/>
      <c r="J42" s="81"/>
      <c r="K42" s="54"/>
      <c r="L42" s="81"/>
      <c r="M42" s="81"/>
      <c r="N42" s="81"/>
      <c r="O42" s="52"/>
      <c r="P42" s="83"/>
      <c r="Q42" s="60"/>
      <c r="R42" s="79"/>
      <c r="S42" s="82"/>
      <c r="U42" s="94"/>
      <c r="V42" s="80"/>
      <c r="W42" s="80"/>
    </row>
    <row r="43" spans="1:23" s="72" customFormat="1" x14ac:dyDescent="0.25">
      <c r="A43" s="102" t="s">
        <v>122</v>
      </c>
      <c r="B43" s="57">
        <v>516686.20000000007</v>
      </c>
      <c r="C43" s="57">
        <v>253722.5</v>
      </c>
      <c r="D43" s="98">
        <v>97050.9</v>
      </c>
      <c r="E43" s="98">
        <v>23270.600000000002</v>
      </c>
      <c r="F43" s="98">
        <v>19964.5</v>
      </c>
      <c r="G43" s="98">
        <v>824.19999999999993</v>
      </c>
      <c r="H43" s="81">
        <v>4699.3</v>
      </c>
      <c r="I43" s="81">
        <v>8556.9</v>
      </c>
      <c r="J43" s="81">
        <v>87865.1</v>
      </c>
      <c r="K43" s="54">
        <v>65740.799999999988</v>
      </c>
      <c r="L43" s="81">
        <v>13207.499999999998</v>
      </c>
      <c r="M43" s="81">
        <v>1005.3000000000001</v>
      </c>
      <c r="N43" s="81">
        <v>150057.70000000001</v>
      </c>
      <c r="O43" s="52">
        <v>229646.59999999998</v>
      </c>
      <c r="P43" s="83">
        <v>19404.099999999999</v>
      </c>
      <c r="Q43" s="60">
        <v>-652.9</v>
      </c>
      <c r="R43" s="79">
        <v>124308.99999999999</v>
      </c>
      <c r="S43" s="82">
        <f t="shared" ref="S43:S44" si="6">SUM(B43:R43)</f>
        <v>1615358.3000000003</v>
      </c>
      <c r="U43" s="94"/>
      <c r="V43" s="80"/>
      <c r="W43" s="80"/>
    </row>
    <row r="44" spans="1:23" s="72" customFormat="1" x14ac:dyDescent="0.25">
      <c r="A44" s="102" t="s">
        <v>128</v>
      </c>
      <c r="B44" s="57">
        <f>513296.1+25974.3</f>
        <v>539270.40000000002</v>
      </c>
      <c r="C44" s="57">
        <v>255875.8</v>
      </c>
      <c r="D44" s="98">
        <f>88612+15038.3</f>
        <v>103650.3</v>
      </c>
      <c r="E44" s="98">
        <f>102974.5+110.8</f>
        <v>103085.3</v>
      </c>
      <c r="F44" s="98">
        <v>23391</v>
      </c>
      <c r="G44" s="98">
        <v>744.2</v>
      </c>
      <c r="H44" s="81">
        <v>4639.5</v>
      </c>
      <c r="I44" s="81">
        <v>6586</v>
      </c>
      <c r="J44" s="81">
        <v>75531.600000000006</v>
      </c>
      <c r="K44" s="54">
        <f>8861.9+38205.1+8526.1</f>
        <v>55593.1</v>
      </c>
      <c r="L44" s="81">
        <v>13076.1</v>
      </c>
      <c r="M44" s="81">
        <v>992.7</v>
      </c>
      <c r="N44" s="81">
        <v>166549</v>
      </c>
      <c r="O44" s="52">
        <v>229730</v>
      </c>
      <c r="P44" s="83">
        <v>31643.4</v>
      </c>
      <c r="Q44" s="60">
        <f>6.3+20506+5240.4-1441.7-31.4-5240.4-13515.9</f>
        <v>5523.2999999999975</v>
      </c>
      <c r="R44" s="79">
        <f>95628.1+70337-8526.1-25974.3+5955.7</f>
        <v>137420.40000000002</v>
      </c>
      <c r="S44" s="82">
        <f t="shared" si="6"/>
        <v>1753302.1</v>
      </c>
      <c r="U44" s="94"/>
      <c r="V44" s="80"/>
      <c r="W44" s="80"/>
    </row>
    <row r="45" spans="1:23" s="72" customFormat="1" x14ac:dyDescent="0.25">
      <c r="A45" s="102" t="s">
        <v>134</v>
      </c>
      <c r="B45" s="57">
        <f>563652.8+18195.8</f>
        <v>581848.60000000009</v>
      </c>
      <c r="C45" s="57">
        <v>264591.2</v>
      </c>
      <c r="D45" s="98">
        <f>87196.8+13813.1</f>
        <v>101009.90000000001</v>
      </c>
      <c r="E45" s="98">
        <f>23599.1+110.9</f>
        <v>23710</v>
      </c>
      <c r="F45" s="98">
        <v>29580.2</v>
      </c>
      <c r="G45" s="98">
        <v>819.9</v>
      </c>
      <c r="H45" s="81">
        <v>3154.4</v>
      </c>
      <c r="I45" s="81">
        <v>8703.6</v>
      </c>
      <c r="J45" s="81">
        <v>123220.7</v>
      </c>
      <c r="K45" s="54">
        <f>33913.7+9804.3+6007.1</f>
        <v>49725.1</v>
      </c>
      <c r="L45" s="81">
        <v>13260.6</v>
      </c>
      <c r="M45" s="81">
        <f>961.2+48.5</f>
        <v>1009.7</v>
      </c>
      <c r="N45" s="81">
        <v>184125.7</v>
      </c>
      <c r="O45" s="52">
        <v>230902.9</v>
      </c>
      <c r="P45" s="83">
        <v>44365</v>
      </c>
      <c r="Q45" s="60">
        <f>202.4+6000.9+3516.2-1005.3-8.1-31.4-3515.6-6562.4</f>
        <v>-1403.2999999999993</v>
      </c>
      <c r="R45" s="79">
        <f>103203.5+69140.6-9804.3-18195.8+2834.4</f>
        <v>147178.40000000002</v>
      </c>
      <c r="S45" s="82">
        <f t="shared" ref="S45:S46" si="7">SUM(B45:R45)</f>
        <v>1805802.6</v>
      </c>
      <c r="U45" s="94"/>
      <c r="V45" s="80"/>
      <c r="W45" s="80"/>
    </row>
    <row r="46" spans="1:23" s="72" customFormat="1" x14ac:dyDescent="0.25">
      <c r="A46" s="102" t="s">
        <v>139</v>
      </c>
      <c r="B46" s="57">
        <f>597211.3+9262.8</f>
        <v>606474.10000000009</v>
      </c>
      <c r="C46" s="57">
        <v>283463</v>
      </c>
      <c r="D46" s="98">
        <f>99981.2+19693.8</f>
        <v>119675</v>
      </c>
      <c r="E46" s="98">
        <f>110.9+31864.7</f>
        <v>31975.600000000002</v>
      </c>
      <c r="F46" s="98">
        <v>34803.1</v>
      </c>
      <c r="G46" s="98">
        <v>923.6</v>
      </c>
      <c r="H46" s="81">
        <v>4126.2</v>
      </c>
      <c r="I46" s="81">
        <v>8711.4</v>
      </c>
      <c r="J46" s="81">
        <v>160080.29999999999</v>
      </c>
      <c r="K46" s="54">
        <f>16746.1+39463.3+10620.1</f>
        <v>66829.5</v>
      </c>
      <c r="L46" s="81">
        <v>19650.5</v>
      </c>
      <c r="M46" s="81">
        <f>714.4+68.2</f>
        <v>782.6</v>
      </c>
      <c r="N46" s="81">
        <v>156052.6</v>
      </c>
      <c r="O46" s="52">
        <v>230717.9</v>
      </c>
      <c r="P46" s="83">
        <v>47407.8</v>
      </c>
      <c r="Q46" s="60">
        <f>19.7+3575.2-683.6-12-3575.8-31.4-4.5</f>
        <v>-712.40000000000043</v>
      </c>
      <c r="R46" s="79">
        <f>64997.9-10620.1-9262.8+1838.7+104563.8</f>
        <v>151517.5</v>
      </c>
      <c r="S46" s="82">
        <f t="shared" si="7"/>
        <v>1922478.3000000003</v>
      </c>
      <c r="U46" s="94"/>
      <c r="V46" s="80"/>
      <c r="W46" s="80"/>
    </row>
    <row r="47" spans="1:23" s="72" customFormat="1" x14ac:dyDescent="0.25">
      <c r="A47" s="102"/>
      <c r="B47" s="57"/>
      <c r="C47" s="57"/>
      <c r="D47" s="98"/>
      <c r="E47" s="98"/>
      <c r="F47" s="98"/>
      <c r="G47" s="98"/>
      <c r="H47" s="81"/>
      <c r="I47" s="81"/>
      <c r="J47" s="81"/>
      <c r="K47" s="54"/>
      <c r="L47" s="81"/>
      <c r="M47" s="81"/>
      <c r="N47" s="81"/>
      <c r="O47" s="52"/>
      <c r="P47" s="83"/>
      <c r="Q47" s="60"/>
      <c r="R47" s="79"/>
      <c r="S47" s="82"/>
      <c r="U47" s="94"/>
      <c r="V47" s="80"/>
      <c r="W47" s="80"/>
    </row>
    <row r="48" spans="1:23" s="72" customFormat="1" x14ac:dyDescent="0.25">
      <c r="A48" s="102" t="s">
        <v>145</v>
      </c>
      <c r="B48" s="57">
        <f>615513.3+12839.6</f>
        <v>628352.9</v>
      </c>
      <c r="C48" s="57">
        <v>299742.40000000002</v>
      </c>
      <c r="D48" s="98">
        <f>114174+20897.7</f>
        <v>135071.70000000001</v>
      </c>
      <c r="E48" s="98">
        <f>40057.8+110.8</f>
        <v>40168.600000000006</v>
      </c>
      <c r="F48" s="98">
        <v>34318</v>
      </c>
      <c r="G48" s="98">
        <v>687.3</v>
      </c>
      <c r="H48" s="81">
        <v>2878.2</v>
      </c>
      <c r="I48" s="81">
        <v>8758.7999999999993</v>
      </c>
      <c r="J48" s="81">
        <v>182298.8</v>
      </c>
      <c r="K48" s="54">
        <f>33417.3+25417.3+7494.6</f>
        <v>66329.200000000012</v>
      </c>
      <c r="L48" s="81">
        <v>22087.8</v>
      </c>
      <c r="M48" s="81">
        <f>727.4+16.4</f>
        <v>743.8</v>
      </c>
      <c r="N48" s="81">
        <v>158712.29999999999</v>
      </c>
      <c r="O48" s="52">
        <v>242144.9</v>
      </c>
      <c r="P48" s="83">
        <v>34920.199999999997</v>
      </c>
      <c r="Q48" s="60">
        <f>26.4+5335.3-590.1-6.3-5348.4-31.4-20.5</f>
        <v>-635.00000000000034</v>
      </c>
      <c r="R48" s="79">
        <f>69008.2+105101.1+4262.6-12839.6-7494.6</f>
        <v>158037.69999999998</v>
      </c>
      <c r="S48" s="82">
        <f t="shared" ref="S48" si="8">SUM(B48:R48)</f>
        <v>2014617.6000000001</v>
      </c>
      <c r="U48" s="94"/>
      <c r="V48" s="80"/>
      <c r="W48" s="80"/>
    </row>
    <row r="49" spans="1:23" s="72" customFormat="1" x14ac:dyDescent="0.25">
      <c r="A49" s="102" t="s">
        <v>128</v>
      </c>
      <c r="B49" s="57">
        <f>625318.4+33608.8</f>
        <v>658927.20000000007</v>
      </c>
      <c r="C49" s="57">
        <v>314557.7</v>
      </c>
      <c r="D49" s="98">
        <f>105811.3+19743.5</f>
        <v>125554.8</v>
      </c>
      <c r="E49" s="98">
        <f>25059.9+110.7</f>
        <v>25170.600000000002</v>
      </c>
      <c r="F49" s="98">
        <v>39256.699999999997</v>
      </c>
      <c r="G49" s="98">
        <v>558.4</v>
      </c>
      <c r="H49" s="81">
        <v>3577.9</v>
      </c>
      <c r="I49" s="81">
        <v>8806</v>
      </c>
      <c r="J49" s="81">
        <v>286106</v>
      </c>
      <c r="K49" s="54">
        <f>36546.4+9858.7+10597.4</f>
        <v>57002.500000000007</v>
      </c>
      <c r="L49" s="81">
        <v>18952.900000000001</v>
      </c>
      <c r="M49" s="81">
        <f>1083.4+12.1</f>
        <v>1095.5</v>
      </c>
      <c r="N49" s="81">
        <v>198291.5</v>
      </c>
      <c r="O49" s="52">
        <v>243166</v>
      </c>
      <c r="P49" s="83">
        <v>46697.1</v>
      </c>
      <c r="Q49" s="60">
        <f>50.1+3606.7+900.1-1264.3-906.5-3606.7-31.4-8.4</f>
        <v>-1260.4000000000005</v>
      </c>
      <c r="R49" s="79">
        <f>78494.8+107357.9+1953.1-33608.8-10597.4</f>
        <v>143599.6</v>
      </c>
      <c r="S49" s="82">
        <f t="shared" ref="S49" si="9">SUM(B49:R49)</f>
        <v>2170060</v>
      </c>
      <c r="U49" s="94"/>
      <c r="V49" s="80"/>
      <c r="W49" s="80"/>
    </row>
    <row r="50" spans="1:23" s="72" customFormat="1" x14ac:dyDescent="0.25">
      <c r="A50" s="102"/>
      <c r="B50" s="57"/>
      <c r="C50" s="57"/>
      <c r="D50" s="98"/>
      <c r="E50" s="98"/>
      <c r="F50" s="98"/>
      <c r="G50" s="98"/>
      <c r="H50" s="81"/>
      <c r="I50" s="81"/>
      <c r="J50" s="81"/>
      <c r="K50" s="54"/>
      <c r="L50" s="81"/>
      <c r="M50" s="81"/>
      <c r="N50" s="81"/>
      <c r="O50" s="82"/>
      <c r="P50" s="83"/>
      <c r="Q50" s="60"/>
      <c r="R50" s="79"/>
      <c r="S50" s="82"/>
      <c r="T50" s="80"/>
      <c r="U50" s="80"/>
      <c r="V50" s="80"/>
      <c r="W50" s="80"/>
    </row>
    <row r="51" spans="1:23" hidden="1" x14ac:dyDescent="0.25">
      <c r="A51" s="102" t="s">
        <v>52</v>
      </c>
      <c r="B51" s="81">
        <v>147133.20000000001</v>
      </c>
      <c r="C51" s="81">
        <v>85917.499999999985</v>
      </c>
      <c r="D51" s="81">
        <v>43196.1</v>
      </c>
      <c r="E51" s="81"/>
      <c r="F51" s="81"/>
      <c r="G51" s="81"/>
      <c r="H51" s="58">
        <v>644.9</v>
      </c>
      <c r="I51" s="58">
        <v>44</v>
      </c>
      <c r="J51" s="58">
        <v>1804</v>
      </c>
      <c r="K51" s="58">
        <v>8605.0999999999985</v>
      </c>
      <c r="L51" s="58">
        <v>6646.2999999999993</v>
      </c>
      <c r="M51" s="58">
        <v>12638.900000000001</v>
      </c>
      <c r="N51" s="58">
        <v>23113.4</v>
      </c>
      <c r="O51" s="49">
        <f>78188.9-45364</f>
        <v>32824.899999999994</v>
      </c>
      <c r="P51" s="59">
        <v>14695.8</v>
      </c>
      <c r="Q51" s="51">
        <v>-475.59999999999997</v>
      </c>
      <c r="R51" s="49">
        <f>13618.2+45364</f>
        <v>58982.2</v>
      </c>
      <c r="S51" s="82">
        <f t="shared" ref="S51:S91" si="10">SUM(B51:R51)</f>
        <v>435770.70000000007</v>
      </c>
      <c r="T51" s="52"/>
      <c r="U51" s="17"/>
      <c r="V51" s="56"/>
      <c r="W51" s="56"/>
    </row>
    <row r="52" spans="1:23" hidden="1" x14ac:dyDescent="0.25">
      <c r="A52" s="102" t="s">
        <v>86</v>
      </c>
      <c r="B52" s="81">
        <v>146632.79999999993</v>
      </c>
      <c r="C52" s="81">
        <v>88840.799999999988</v>
      </c>
      <c r="D52" s="81">
        <v>51628.89999999998</v>
      </c>
      <c r="E52" s="81"/>
      <c r="F52" s="81"/>
      <c r="G52" s="81"/>
      <c r="H52" s="58">
        <v>1226.8999999999999</v>
      </c>
      <c r="I52" s="58">
        <v>294</v>
      </c>
      <c r="J52" s="58">
        <v>1000</v>
      </c>
      <c r="K52" s="58">
        <v>8390.2000000000007</v>
      </c>
      <c r="L52" s="58">
        <v>5328.1</v>
      </c>
      <c r="M52" s="58">
        <v>13198.7</v>
      </c>
      <c r="N52" s="58">
        <v>21733.699999999997</v>
      </c>
      <c r="O52" s="49">
        <f>78086.5-43265.1</f>
        <v>34821.4</v>
      </c>
      <c r="P52" s="59">
        <v>14327.099999999999</v>
      </c>
      <c r="Q52" s="51">
        <v>-118.10000000000002</v>
      </c>
      <c r="R52" s="49">
        <f>15892.8+43265.1</f>
        <v>59157.899999999994</v>
      </c>
      <c r="S52" s="82">
        <f t="shared" si="10"/>
        <v>446462.39999999991</v>
      </c>
      <c r="T52" s="52"/>
      <c r="U52" s="17"/>
      <c r="V52" s="56"/>
      <c r="W52" s="56"/>
    </row>
    <row r="53" spans="1:23" hidden="1" x14ac:dyDescent="0.25">
      <c r="A53" s="102" t="s">
        <v>87</v>
      </c>
      <c r="B53" s="81">
        <v>158956.1</v>
      </c>
      <c r="C53" s="81">
        <v>88787.5</v>
      </c>
      <c r="D53" s="81">
        <v>59399.799999999988</v>
      </c>
      <c r="E53" s="81"/>
      <c r="F53" s="81"/>
      <c r="G53" s="81"/>
      <c r="H53" s="58">
        <v>798.5</v>
      </c>
      <c r="I53" s="58">
        <v>294</v>
      </c>
      <c r="J53" s="58">
        <v>1000</v>
      </c>
      <c r="K53" s="58">
        <v>8187.2000000000007</v>
      </c>
      <c r="L53" s="58">
        <v>5997.5</v>
      </c>
      <c r="M53" s="58">
        <v>11842.8</v>
      </c>
      <c r="N53" s="58">
        <v>27821.300000000003</v>
      </c>
      <c r="O53" s="49">
        <f>79545.8-44202.7</f>
        <v>35343.100000000006</v>
      </c>
      <c r="P53" s="59">
        <v>14042.7</v>
      </c>
      <c r="Q53" s="51">
        <v>88.30000000000004</v>
      </c>
      <c r="R53" s="49">
        <f>13704.3+44202.7</f>
        <v>57907</v>
      </c>
      <c r="S53" s="82">
        <f t="shared" si="10"/>
        <v>470465.80000000005</v>
      </c>
      <c r="T53" s="52"/>
      <c r="U53" s="17"/>
      <c r="V53" s="56"/>
      <c r="W53" s="56"/>
    </row>
    <row r="54" spans="1:23" hidden="1" x14ac:dyDescent="0.25">
      <c r="A54" s="102" t="s">
        <v>88</v>
      </c>
      <c r="B54" s="81">
        <v>151552.40000000002</v>
      </c>
      <c r="C54" s="81">
        <v>88117.100000000035</v>
      </c>
      <c r="D54" s="81">
        <v>54265.899999999994</v>
      </c>
      <c r="E54" s="81"/>
      <c r="F54" s="81"/>
      <c r="G54" s="81"/>
      <c r="H54" s="58">
        <v>944.89999999999986</v>
      </c>
      <c r="I54" s="58">
        <v>294</v>
      </c>
      <c r="J54" s="58">
        <v>1000</v>
      </c>
      <c r="K54" s="58">
        <v>10565.8</v>
      </c>
      <c r="L54" s="58">
        <v>6503.8</v>
      </c>
      <c r="M54" s="58">
        <v>12215.2</v>
      </c>
      <c r="N54" s="58">
        <v>25249.1</v>
      </c>
      <c r="O54" s="49">
        <f>81909.7-44889.3</f>
        <v>37020.399999999994</v>
      </c>
      <c r="P54" s="59">
        <v>8965.7000000000007</v>
      </c>
      <c r="Q54" s="51">
        <v>183.80000000000004</v>
      </c>
      <c r="R54" s="49">
        <f>20169.5+44889.3</f>
        <v>65058.8</v>
      </c>
      <c r="S54" s="82">
        <f t="shared" si="10"/>
        <v>461936.89999999997</v>
      </c>
      <c r="T54" s="52"/>
      <c r="U54" s="17"/>
      <c r="V54" s="56"/>
      <c r="W54" s="56"/>
    </row>
    <row r="55" spans="1:23" hidden="1" x14ac:dyDescent="0.25">
      <c r="A55" s="102" t="s">
        <v>89</v>
      </c>
      <c r="B55" s="81">
        <v>147094.6</v>
      </c>
      <c r="C55" s="81">
        <v>89354.3</v>
      </c>
      <c r="D55" s="81">
        <v>51391.599999999984</v>
      </c>
      <c r="E55" s="81"/>
      <c r="F55" s="81"/>
      <c r="G55" s="81"/>
      <c r="H55" s="58">
        <v>872.80000000000007</v>
      </c>
      <c r="I55" s="58">
        <v>294</v>
      </c>
      <c r="J55" s="39" t="s">
        <v>41</v>
      </c>
      <c r="K55" s="58">
        <v>12115.5</v>
      </c>
      <c r="L55" s="58">
        <v>4997.4000000000005</v>
      </c>
      <c r="M55" s="58">
        <v>16610.400000000001</v>
      </c>
      <c r="N55" s="58">
        <v>24010.900000000005</v>
      </c>
      <c r="O55" s="49">
        <f>82776.2-45119.4</f>
        <v>37656.799999999996</v>
      </c>
      <c r="P55" s="59">
        <v>10311.200000000001</v>
      </c>
      <c r="Q55" s="51">
        <v>-228.89999999999964</v>
      </c>
      <c r="R55" s="49">
        <f>18225.8+45119.4</f>
        <v>63345.2</v>
      </c>
      <c r="S55" s="82">
        <f t="shared" si="10"/>
        <v>457825.80000000005</v>
      </c>
      <c r="T55" s="52"/>
      <c r="U55" s="17"/>
      <c r="V55" s="56"/>
      <c r="W55" s="56"/>
    </row>
    <row r="56" spans="1:23" hidden="1" x14ac:dyDescent="0.25">
      <c r="A56" s="102" t="s">
        <v>90</v>
      </c>
      <c r="B56" s="81">
        <v>152474.20000000001</v>
      </c>
      <c r="C56" s="81">
        <v>86596.6</v>
      </c>
      <c r="D56" s="81">
        <v>53258.199999999983</v>
      </c>
      <c r="E56" s="81"/>
      <c r="F56" s="81"/>
      <c r="G56" s="81"/>
      <c r="H56" s="58">
        <v>1239</v>
      </c>
      <c r="I56" s="58">
        <v>250</v>
      </c>
      <c r="J56" s="58">
        <v>1474.9</v>
      </c>
      <c r="K56" s="58">
        <v>12477.300000000003</v>
      </c>
      <c r="L56" s="58">
        <v>5614.9</v>
      </c>
      <c r="M56" s="58">
        <v>15336.5</v>
      </c>
      <c r="N56" s="58">
        <v>28737.400000000005</v>
      </c>
      <c r="O56" s="49">
        <f>83065.6-45410.1</f>
        <v>37655.500000000007</v>
      </c>
      <c r="P56" s="59">
        <v>12540</v>
      </c>
      <c r="Q56" s="51">
        <v>518.50000000000023</v>
      </c>
      <c r="R56" s="49">
        <f>22083.9+45410.1</f>
        <v>67494</v>
      </c>
      <c r="S56" s="82">
        <f t="shared" si="10"/>
        <v>475667.00000000006</v>
      </c>
      <c r="T56" s="52"/>
      <c r="U56" s="17"/>
      <c r="V56" s="56"/>
      <c r="W56" s="56"/>
    </row>
    <row r="57" spans="1:23" hidden="1" x14ac:dyDescent="0.25">
      <c r="A57" s="102" t="s">
        <v>91</v>
      </c>
      <c r="B57" s="81">
        <v>157957.39999999997</v>
      </c>
      <c r="C57" s="81">
        <v>90365.2</v>
      </c>
      <c r="D57" s="81">
        <v>53263.299999999959</v>
      </c>
      <c r="E57" s="81"/>
      <c r="F57" s="81"/>
      <c r="G57" s="81"/>
      <c r="H57" s="58">
        <v>635.6</v>
      </c>
      <c r="I57" s="58">
        <v>844</v>
      </c>
      <c r="J57" s="58">
        <v>2806.3</v>
      </c>
      <c r="K57" s="58">
        <v>12129.999999999996</v>
      </c>
      <c r="L57" s="58">
        <v>5507.2999999999993</v>
      </c>
      <c r="M57" s="58">
        <v>15168.7</v>
      </c>
      <c r="N57" s="58">
        <v>28529.1</v>
      </c>
      <c r="O57" s="49">
        <f>85342.685-46220.7</f>
        <v>39121.985000000001</v>
      </c>
      <c r="P57" s="59">
        <v>13785.399999999998</v>
      </c>
      <c r="Q57" s="51">
        <v>-33.999999999999993</v>
      </c>
      <c r="R57" s="49">
        <f>19822.8+46220.7</f>
        <v>66043.5</v>
      </c>
      <c r="S57" s="82">
        <f t="shared" si="10"/>
        <v>486123.78499999986</v>
      </c>
      <c r="T57" s="52"/>
      <c r="U57" s="17"/>
      <c r="V57" s="56"/>
      <c r="W57" s="56"/>
    </row>
    <row r="58" spans="1:23" hidden="1" x14ac:dyDescent="0.25">
      <c r="A58" s="102" t="s">
        <v>92</v>
      </c>
      <c r="B58" s="81">
        <v>167207</v>
      </c>
      <c r="C58" s="81">
        <v>91903.89999999998</v>
      </c>
      <c r="D58" s="81">
        <v>58606.800000000054</v>
      </c>
      <c r="E58" s="81"/>
      <c r="F58" s="81"/>
      <c r="G58" s="81"/>
      <c r="H58" s="58">
        <v>1006.6</v>
      </c>
      <c r="I58" s="58">
        <v>900</v>
      </c>
      <c r="J58" s="58">
        <v>6000</v>
      </c>
      <c r="K58" s="58">
        <v>14529.100000000002</v>
      </c>
      <c r="L58" s="58">
        <v>4611.7</v>
      </c>
      <c r="M58" s="58">
        <v>14884.099999999999</v>
      </c>
      <c r="N58" s="58">
        <v>27114.2</v>
      </c>
      <c r="O58" s="49">
        <f>85257.7-46140.4</f>
        <v>39117.299999999996</v>
      </c>
      <c r="P58" s="59">
        <v>15193.600000000002</v>
      </c>
      <c r="Q58" s="51">
        <v>-1619.7999999999997</v>
      </c>
      <c r="R58" s="49">
        <f>20243.9+46140.4</f>
        <v>66384.3</v>
      </c>
      <c r="S58" s="82">
        <f t="shared" si="10"/>
        <v>505838.79999999993</v>
      </c>
      <c r="T58" s="52"/>
      <c r="U58" s="17"/>
      <c r="V58" s="56"/>
      <c r="W58" s="56"/>
    </row>
    <row r="59" spans="1:23" hidden="1" x14ac:dyDescent="0.25">
      <c r="A59" s="102" t="s">
        <v>93</v>
      </c>
      <c r="B59" s="81">
        <v>172053.90000000002</v>
      </c>
      <c r="C59" s="81">
        <v>93967.900000000009</v>
      </c>
      <c r="D59" s="81">
        <v>63151.69999999999</v>
      </c>
      <c r="E59" s="81"/>
      <c r="F59" s="81"/>
      <c r="G59" s="81"/>
      <c r="H59" s="58">
        <v>383.4</v>
      </c>
      <c r="I59" s="58">
        <v>550</v>
      </c>
      <c r="J59" s="58">
        <v>10622.1</v>
      </c>
      <c r="K59" s="58">
        <v>12500.700000000004</v>
      </c>
      <c r="L59" s="58">
        <v>4075.7</v>
      </c>
      <c r="M59" s="58">
        <v>32357.599999999999</v>
      </c>
      <c r="N59" s="58">
        <v>27827.299999999996</v>
      </c>
      <c r="O59" s="49">
        <f>85440.5-46326.9</f>
        <v>39113.599999999999</v>
      </c>
      <c r="P59" s="59">
        <v>17031</v>
      </c>
      <c r="Q59" s="51">
        <v>-179.09999999999994</v>
      </c>
      <c r="R59" s="49">
        <f>22846.6+46326.9</f>
        <v>69173.5</v>
      </c>
      <c r="S59" s="82">
        <f t="shared" si="10"/>
        <v>542629.30000000005</v>
      </c>
      <c r="T59" s="52"/>
      <c r="U59" s="17"/>
      <c r="V59" s="56"/>
      <c r="W59" s="56"/>
    </row>
    <row r="60" spans="1:23" hidden="1" x14ac:dyDescent="0.25">
      <c r="A60" s="102" t="s">
        <v>94</v>
      </c>
      <c r="B60" s="81">
        <v>175966.6</v>
      </c>
      <c r="C60" s="81">
        <v>95961.4</v>
      </c>
      <c r="D60" s="81">
        <v>59571.199999999997</v>
      </c>
      <c r="E60" s="81"/>
      <c r="F60" s="81"/>
      <c r="G60" s="81"/>
      <c r="H60" s="58">
        <v>1511.6999999999998</v>
      </c>
      <c r="I60" s="58">
        <v>550</v>
      </c>
      <c r="J60" s="58">
        <v>5778.8</v>
      </c>
      <c r="K60" s="58">
        <v>11713.700000000004</v>
      </c>
      <c r="L60" s="58">
        <v>4883.1000000000004</v>
      </c>
      <c r="M60" s="58">
        <v>29204</v>
      </c>
      <c r="N60" s="58">
        <v>27742.3</v>
      </c>
      <c r="O60" s="49">
        <f>86077.8-46968.7</f>
        <v>39109.100000000006</v>
      </c>
      <c r="P60" s="59">
        <v>19111.300000000003</v>
      </c>
      <c r="Q60" s="51">
        <v>70.899999999999935</v>
      </c>
      <c r="R60" s="49">
        <f>26170+46968.7</f>
        <v>73138.7</v>
      </c>
      <c r="S60" s="82">
        <f t="shared" si="10"/>
        <v>544312.80000000005</v>
      </c>
      <c r="T60" s="52"/>
      <c r="U60" s="17"/>
      <c r="V60" s="56"/>
      <c r="W60" s="56"/>
    </row>
    <row r="61" spans="1:23" hidden="1" x14ac:dyDescent="0.25">
      <c r="A61" s="102" t="s">
        <v>95</v>
      </c>
      <c r="B61" s="81">
        <v>177066</v>
      </c>
      <c r="C61" s="81">
        <v>98628.900000000009</v>
      </c>
      <c r="D61" s="81">
        <v>63066.3</v>
      </c>
      <c r="E61" s="81"/>
      <c r="F61" s="81"/>
      <c r="G61" s="81"/>
      <c r="H61" s="58">
        <v>606.30000000000007</v>
      </c>
      <c r="I61" s="58">
        <v>550</v>
      </c>
      <c r="J61" s="58">
        <v>5508.8</v>
      </c>
      <c r="K61" s="58">
        <v>12718.699999999997</v>
      </c>
      <c r="L61" s="58">
        <v>5170.8999999999996</v>
      </c>
      <c r="M61" s="58">
        <v>22880.800000000003</v>
      </c>
      <c r="N61" s="58">
        <v>29356.899999999998</v>
      </c>
      <c r="O61" s="49">
        <f>86086-46976.3</f>
        <v>39109.699999999997</v>
      </c>
      <c r="P61" s="59">
        <v>20951.600000000006</v>
      </c>
      <c r="Q61" s="51">
        <v>151.6</v>
      </c>
      <c r="R61" s="49">
        <f>26587.1+46976.3</f>
        <v>73563.399999999994</v>
      </c>
      <c r="S61" s="82">
        <f t="shared" si="10"/>
        <v>549329.9</v>
      </c>
      <c r="T61" s="52"/>
      <c r="U61" s="17"/>
      <c r="V61" s="56"/>
      <c r="W61" s="56"/>
    </row>
    <row r="62" spans="1:23" hidden="1" x14ac:dyDescent="0.25">
      <c r="A62" s="102" t="s">
        <v>96</v>
      </c>
      <c r="B62" s="81">
        <v>191381.50000000003</v>
      </c>
      <c r="C62" s="81">
        <v>99286.999999999985</v>
      </c>
      <c r="D62" s="81">
        <v>62928.999999999956</v>
      </c>
      <c r="E62" s="81"/>
      <c r="F62" s="81"/>
      <c r="G62" s="81"/>
      <c r="H62" s="58">
        <v>603.5</v>
      </c>
      <c r="I62" s="58">
        <v>550</v>
      </c>
      <c r="J62" s="39" t="s">
        <v>41</v>
      </c>
      <c r="K62" s="58">
        <v>14305</v>
      </c>
      <c r="L62" s="58">
        <v>5052.6000000000004</v>
      </c>
      <c r="M62" s="58">
        <v>24400</v>
      </c>
      <c r="N62" s="58">
        <v>30009.400000000009</v>
      </c>
      <c r="O62" s="49">
        <f>87503.4-45586.6</f>
        <v>41916.799999999996</v>
      </c>
      <c r="P62" s="59">
        <v>18433.2</v>
      </c>
      <c r="Q62" s="51">
        <v>311.60000000000002</v>
      </c>
      <c r="R62" s="49">
        <f>27363.4+45586.6</f>
        <v>72950</v>
      </c>
      <c r="S62" s="82">
        <f t="shared" si="10"/>
        <v>562129.59999999986</v>
      </c>
      <c r="T62" s="52"/>
      <c r="U62" s="17"/>
      <c r="V62" s="56"/>
      <c r="W62" s="56"/>
    </row>
    <row r="63" spans="1:23" s="72" customFormat="1" hidden="1" x14ac:dyDescent="0.25">
      <c r="A63" s="102"/>
      <c r="B63" s="81"/>
      <c r="C63" s="81"/>
      <c r="D63" s="81"/>
      <c r="E63" s="81"/>
      <c r="F63" s="81"/>
      <c r="G63" s="81"/>
      <c r="H63" s="81"/>
      <c r="I63" s="81"/>
      <c r="J63" s="75"/>
      <c r="K63" s="81"/>
      <c r="L63" s="81"/>
      <c r="M63" s="81"/>
      <c r="N63" s="81"/>
      <c r="O63" s="84"/>
      <c r="P63" s="83"/>
      <c r="Q63" s="85"/>
      <c r="R63" s="84"/>
      <c r="S63" s="82"/>
      <c r="T63" s="52"/>
      <c r="U63" s="17"/>
      <c r="V63" s="80"/>
      <c r="W63" s="80"/>
    </row>
    <row r="64" spans="1:23" hidden="1" x14ac:dyDescent="0.25">
      <c r="A64" s="102" t="s">
        <v>53</v>
      </c>
      <c r="B64" s="81">
        <v>189029.30000000005</v>
      </c>
      <c r="C64" s="81">
        <v>98272.999999999985</v>
      </c>
      <c r="D64" s="81">
        <v>63087.999999999985</v>
      </c>
      <c r="E64" s="81"/>
      <c r="F64" s="81"/>
      <c r="G64" s="81"/>
      <c r="H64" s="38">
        <v>822.1</v>
      </c>
      <c r="I64" s="38">
        <v>250</v>
      </c>
      <c r="J64" s="39" t="s">
        <v>41</v>
      </c>
      <c r="K64" s="38">
        <v>16240.700000000004</v>
      </c>
      <c r="L64" s="38">
        <v>5416.2999999999993</v>
      </c>
      <c r="M64" s="38">
        <v>20570.199999999997</v>
      </c>
      <c r="N64" s="38">
        <v>27662.7</v>
      </c>
      <c r="O64" s="49">
        <f>87989.5-46077.2</f>
        <v>41912.300000000003</v>
      </c>
      <c r="P64" s="59">
        <v>20037.8</v>
      </c>
      <c r="Q64" s="51">
        <v>-425.29999999999995</v>
      </c>
      <c r="R64" s="49">
        <f>26185.3+46077.2</f>
        <v>72262.5</v>
      </c>
      <c r="S64" s="82">
        <f t="shared" si="10"/>
        <v>555139.60000000009</v>
      </c>
      <c r="T64" s="23"/>
      <c r="U64" s="23"/>
      <c r="V64" s="23"/>
      <c r="W64" s="23"/>
    </row>
    <row r="65" spans="1:26" hidden="1" x14ac:dyDescent="0.25">
      <c r="A65" s="102" t="s">
        <v>97</v>
      </c>
      <c r="B65" s="81">
        <v>185013.2</v>
      </c>
      <c r="C65" s="81">
        <v>100057.7</v>
      </c>
      <c r="D65" s="81">
        <v>63707</v>
      </c>
      <c r="E65" s="81"/>
      <c r="F65" s="81"/>
      <c r="G65" s="81"/>
      <c r="H65" s="38">
        <v>513.09999999999991</v>
      </c>
      <c r="I65" s="38">
        <v>250</v>
      </c>
      <c r="J65" s="39" t="s">
        <v>41</v>
      </c>
      <c r="K65" s="38">
        <v>18072.8</v>
      </c>
      <c r="L65" s="38">
        <v>5613.6</v>
      </c>
      <c r="M65" s="38">
        <v>20922.100000000002</v>
      </c>
      <c r="N65" s="38">
        <v>27916.6</v>
      </c>
      <c r="O65" s="49">
        <f>87793.3-45885.1</f>
        <v>41908.200000000004</v>
      </c>
      <c r="P65" s="59">
        <v>21148.7</v>
      </c>
      <c r="Q65" s="51">
        <v>297.3</v>
      </c>
      <c r="R65" s="49">
        <f>26307.3+45885.1</f>
        <v>72192.399999999994</v>
      </c>
      <c r="S65" s="82">
        <f t="shared" si="10"/>
        <v>557612.69999999995</v>
      </c>
      <c r="T65" s="23"/>
      <c r="U65" s="23"/>
      <c r="V65" s="23"/>
      <c r="W65" s="23"/>
    </row>
    <row r="66" spans="1:26" hidden="1" x14ac:dyDescent="0.25">
      <c r="A66" s="102" t="s">
        <v>98</v>
      </c>
      <c r="B66" s="81">
        <v>193487.00000000003</v>
      </c>
      <c r="C66" s="81">
        <v>99341.599999999991</v>
      </c>
      <c r="D66" s="81">
        <v>67743</v>
      </c>
      <c r="E66" s="81"/>
      <c r="F66" s="81"/>
      <c r="G66" s="81"/>
      <c r="H66" s="38">
        <v>596.49999999999989</v>
      </c>
      <c r="I66" s="38">
        <v>650</v>
      </c>
      <c r="J66" s="39" t="s">
        <v>41</v>
      </c>
      <c r="K66" s="38">
        <v>17668.999999999993</v>
      </c>
      <c r="L66" s="38">
        <v>6239.7999999999993</v>
      </c>
      <c r="M66" s="38">
        <v>17902.900000000001</v>
      </c>
      <c r="N66" s="38">
        <v>28111.9</v>
      </c>
      <c r="O66" s="49">
        <f>95444.8-46286</f>
        <v>49158.8</v>
      </c>
      <c r="P66" s="59">
        <v>10940.9</v>
      </c>
      <c r="Q66" s="51">
        <v>704.4</v>
      </c>
      <c r="R66" s="49">
        <f>21767.4+46286</f>
        <v>68053.399999999994</v>
      </c>
      <c r="S66" s="82">
        <f t="shared" si="10"/>
        <v>560599.20000000007</v>
      </c>
      <c r="T66" s="23"/>
      <c r="U66" s="23"/>
      <c r="V66" s="23"/>
      <c r="W66" s="23"/>
    </row>
    <row r="67" spans="1:26" hidden="1" x14ac:dyDescent="0.25">
      <c r="A67" s="102" t="s">
        <v>34</v>
      </c>
      <c r="B67" s="81">
        <v>188760.3</v>
      </c>
      <c r="C67" s="81">
        <v>102392.59999999999</v>
      </c>
      <c r="D67" s="81">
        <v>69117.299999999974</v>
      </c>
      <c r="E67" s="81"/>
      <c r="F67" s="81"/>
      <c r="G67" s="81"/>
      <c r="H67" s="38">
        <v>473.50000000000006</v>
      </c>
      <c r="I67" s="38">
        <v>250</v>
      </c>
      <c r="J67" s="39" t="s">
        <v>41</v>
      </c>
      <c r="K67" s="38">
        <v>17006.8</v>
      </c>
      <c r="L67" s="38">
        <v>5937.3</v>
      </c>
      <c r="M67" s="38">
        <v>16534.8</v>
      </c>
      <c r="N67" s="38">
        <v>36224.19999999999</v>
      </c>
      <c r="O67" s="49">
        <f>94605-45444.9</f>
        <v>49160.1</v>
      </c>
      <c r="P67" s="59">
        <v>13386.5</v>
      </c>
      <c r="Q67" s="51">
        <v>208.7000000000009</v>
      </c>
      <c r="R67" s="49">
        <f>22670+45444.9</f>
        <v>68114.899999999994</v>
      </c>
      <c r="S67" s="82">
        <f t="shared" si="10"/>
        <v>567566.99999999988</v>
      </c>
      <c r="T67" s="23"/>
      <c r="U67" s="23"/>
      <c r="V67" s="23"/>
      <c r="W67" s="23"/>
    </row>
    <row r="68" spans="1:26" hidden="1" x14ac:dyDescent="0.25">
      <c r="A68" s="102" t="s">
        <v>35</v>
      </c>
      <c r="B68" s="81">
        <v>187407.80000000005</v>
      </c>
      <c r="C68" s="81">
        <v>105164.2</v>
      </c>
      <c r="D68" s="81">
        <v>68803.400000000023</v>
      </c>
      <c r="E68" s="81"/>
      <c r="F68" s="81"/>
      <c r="G68" s="81"/>
      <c r="H68" s="38">
        <v>585.6</v>
      </c>
      <c r="I68" s="38">
        <v>250</v>
      </c>
      <c r="J68" s="39" t="s">
        <v>41</v>
      </c>
      <c r="K68" s="38">
        <v>20411.300000000003</v>
      </c>
      <c r="L68" s="38">
        <v>5181.6000000000004</v>
      </c>
      <c r="M68" s="38">
        <v>18313.5</v>
      </c>
      <c r="N68" s="38">
        <v>34014</v>
      </c>
      <c r="O68" s="49">
        <f>95521.4-44670.9</f>
        <v>50850.499999999993</v>
      </c>
      <c r="P68" s="59">
        <v>12562.6</v>
      </c>
      <c r="Q68" s="51">
        <v>432.6</v>
      </c>
      <c r="R68" s="49">
        <f>25348.2+44670.9</f>
        <v>70019.100000000006</v>
      </c>
      <c r="S68" s="82">
        <f t="shared" si="10"/>
        <v>573996.19999999995</v>
      </c>
      <c r="T68" s="23"/>
      <c r="U68" s="23"/>
      <c r="V68" s="23"/>
      <c r="W68" s="23"/>
    </row>
    <row r="69" spans="1:26" hidden="1" x14ac:dyDescent="0.25">
      <c r="A69" s="102" t="s">
        <v>36</v>
      </c>
      <c r="B69" s="81">
        <v>189677.49999999997</v>
      </c>
      <c r="C69" s="81">
        <v>106663.59999999998</v>
      </c>
      <c r="D69" s="81">
        <v>68982.700000000012</v>
      </c>
      <c r="E69" s="81"/>
      <c r="F69" s="81"/>
      <c r="G69" s="81"/>
      <c r="H69" s="38">
        <v>509.40000000000003</v>
      </c>
      <c r="I69" s="38">
        <v>250</v>
      </c>
      <c r="J69" s="39" t="s">
        <v>41</v>
      </c>
      <c r="K69" s="38">
        <v>21121.899999999998</v>
      </c>
      <c r="L69" s="38">
        <v>7416.3</v>
      </c>
      <c r="M69" s="38">
        <v>16926.8</v>
      </c>
      <c r="N69" s="38">
        <v>37042.699999999997</v>
      </c>
      <c r="O69" s="49">
        <f>104517.3-44164.4</f>
        <v>60352.9</v>
      </c>
      <c r="P69" s="59">
        <v>15173.199999999999</v>
      </c>
      <c r="Q69" s="51">
        <v>890.00000000000023</v>
      </c>
      <c r="R69" s="49">
        <f>22786.6+44164.4</f>
        <v>66951</v>
      </c>
      <c r="S69" s="82">
        <f t="shared" si="10"/>
        <v>591958.00000000012</v>
      </c>
      <c r="T69" s="23"/>
      <c r="U69" s="23"/>
      <c r="V69" s="23"/>
      <c r="W69" s="23"/>
    </row>
    <row r="70" spans="1:26" s="43" customFormat="1" hidden="1" x14ac:dyDescent="0.25">
      <c r="A70" s="102" t="s">
        <v>37</v>
      </c>
      <c r="B70" s="42">
        <v>187572.40000000002</v>
      </c>
      <c r="C70" s="42">
        <v>107222.40000000001</v>
      </c>
      <c r="D70" s="42">
        <v>70338.299999999988</v>
      </c>
      <c r="E70" s="42"/>
      <c r="F70" s="42"/>
      <c r="G70" s="42"/>
      <c r="H70" s="42">
        <v>397.7</v>
      </c>
      <c r="I70" s="42">
        <v>250</v>
      </c>
      <c r="J70" s="39" t="s">
        <v>41</v>
      </c>
      <c r="K70" s="42">
        <v>20394.200000000004</v>
      </c>
      <c r="L70" s="42">
        <v>7058.2</v>
      </c>
      <c r="M70" s="42">
        <v>16754</v>
      </c>
      <c r="N70" s="42">
        <v>31841.699999999997</v>
      </c>
      <c r="O70" s="49">
        <f>105794.9-44451.4</f>
        <v>61343.499999999993</v>
      </c>
      <c r="P70" s="59">
        <v>14673.1</v>
      </c>
      <c r="Q70" s="51">
        <v>615.1000000000007</v>
      </c>
      <c r="R70" s="49">
        <f>22409.2+44451.4</f>
        <v>66860.600000000006</v>
      </c>
      <c r="S70" s="82">
        <f t="shared" si="10"/>
        <v>585321.20000000007</v>
      </c>
      <c r="T70" s="23"/>
      <c r="U70" s="23"/>
      <c r="V70" s="23"/>
      <c r="W70" s="23"/>
      <c r="Y70" s="6"/>
      <c r="Z70" s="6"/>
    </row>
    <row r="71" spans="1:26" hidden="1" x14ac:dyDescent="0.25">
      <c r="A71" s="102" t="s">
        <v>38</v>
      </c>
      <c r="B71" s="81">
        <v>196651.80000000002</v>
      </c>
      <c r="C71" s="81">
        <v>105039.89999999998</v>
      </c>
      <c r="D71" s="81">
        <v>71610.799999999988</v>
      </c>
      <c r="E71" s="81"/>
      <c r="F71" s="81"/>
      <c r="G71" s="81"/>
      <c r="H71" s="38">
        <v>571.1</v>
      </c>
      <c r="I71" s="38">
        <v>250</v>
      </c>
      <c r="J71" s="39" t="s">
        <v>41</v>
      </c>
      <c r="K71" s="38">
        <v>20792.5</v>
      </c>
      <c r="L71" s="38">
        <v>7525.7</v>
      </c>
      <c r="M71" s="38">
        <v>15730.4</v>
      </c>
      <c r="N71" s="38">
        <v>34910.100000000006</v>
      </c>
      <c r="O71" s="49">
        <f>107331.1-43279.4</f>
        <v>64051.700000000004</v>
      </c>
      <c r="P71" s="59">
        <v>16460.8</v>
      </c>
      <c r="Q71" s="51">
        <v>434.9</v>
      </c>
      <c r="R71" s="49">
        <f>22134.4+43279.4</f>
        <v>65413.8</v>
      </c>
      <c r="S71" s="82">
        <f t="shared" si="10"/>
        <v>599443.50000000012</v>
      </c>
      <c r="T71" s="23"/>
      <c r="U71" s="23"/>
      <c r="V71" s="23"/>
      <c r="W71" s="23"/>
    </row>
    <row r="72" spans="1:26" hidden="1" x14ac:dyDescent="0.25">
      <c r="A72" s="102" t="s">
        <v>39</v>
      </c>
      <c r="B72" s="81">
        <v>218751.30000000005</v>
      </c>
      <c r="C72" s="81">
        <v>101272.9</v>
      </c>
      <c r="D72" s="81">
        <v>70998.700000000012</v>
      </c>
      <c r="E72" s="81"/>
      <c r="F72" s="81"/>
      <c r="G72" s="81"/>
      <c r="H72" s="38">
        <v>567.19999999999993</v>
      </c>
      <c r="I72" s="38">
        <v>250</v>
      </c>
      <c r="J72" s="39" t="s">
        <v>41</v>
      </c>
      <c r="K72" s="38">
        <v>21198.800000000003</v>
      </c>
      <c r="L72" s="38">
        <v>7648.5000000000009</v>
      </c>
      <c r="M72" s="38">
        <v>14750.699999999999</v>
      </c>
      <c r="N72" s="38">
        <v>37309.800000000003</v>
      </c>
      <c r="O72" s="49">
        <f>107646.3-43385</f>
        <v>64261.3</v>
      </c>
      <c r="P72" s="59">
        <v>18787.999999999996</v>
      </c>
      <c r="Q72" s="51">
        <v>729.79999999999984</v>
      </c>
      <c r="R72" s="49">
        <f>23935.6+43385</f>
        <v>67320.600000000006</v>
      </c>
      <c r="S72" s="82">
        <f t="shared" si="10"/>
        <v>623847.60000000009</v>
      </c>
      <c r="T72" s="23"/>
      <c r="U72" s="23"/>
      <c r="V72" s="23"/>
      <c r="W72" s="23"/>
    </row>
    <row r="73" spans="1:26" hidden="1" x14ac:dyDescent="0.25">
      <c r="A73" s="102" t="s">
        <v>40</v>
      </c>
      <c r="B73" s="81">
        <v>208587.40000000002</v>
      </c>
      <c r="C73" s="81">
        <v>110084.7</v>
      </c>
      <c r="D73" s="81">
        <v>78159.5</v>
      </c>
      <c r="E73" s="81"/>
      <c r="F73" s="81"/>
      <c r="G73" s="81"/>
      <c r="H73" s="38">
        <v>937.19999999999993</v>
      </c>
      <c r="I73" s="38">
        <v>250</v>
      </c>
      <c r="J73" s="39" t="s">
        <v>41</v>
      </c>
      <c r="K73" s="38">
        <v>21230.6</v>
      </c>
      <c r="L73" s="38">
        <v>6992.2999999999993</v>
      </c>
      <c r="M73" s="38">
        <v>11770.199999999999</v>
      </c>
      <c r="N73" s="38">
        <v>37126.300000000003</v>
      </c>
      <c r="O73" s="49">
        <f>107609-43352</f>
        <v>64257</v>
      </c>
      <c r="P73" s="59">
        <v>20748.8</v>
      </c>
      <c r="Q73" s="51">
        <v>-971.89999999999964</v>
      </c>
      <c r="R73" s="49">
        <f>26259.1+43352</f>
        <v>69611.100000000006</v>
      </c>
      <c r="S73" s="82">
        <f t="shared" si="10"/>
        <v>628783.19999999995</v>
      </c>
      <c r="T73" s="23"/>
      <c r="U73" s="23"/>
      <c r="V73" s="23"/>
      <c r="W73" s="23"/>
    </row>
    <row r="74" spans="1:26" hidden="1" x14ac:dyDescent="0.25">
      <c r="A74" s="102" t="s">
        <v>47</v>
      </c>
      <c r="B74" s="81">
        <v>199910.80000000002</v>
      </c>
      <c r="C74" s="81">
        <v>115495.1</v>
      </c>
      <c r="D74" s="81">
        <v>78415.100000000006</v>
      </c>
      <c r="E74" s="81"/>
      <c r="F74" s="81"/>
      <c r="G74" s="81"/>
      <c r="H74" s="38">
        <v>1000.5999999999999</v>
      </c>
      <c r="I74" s="38">
        <v>250</v>
      </c>
      <c r="J74" s="39" t="s">
        <v>41</v>
      </c>
      <c r="K74" s="38">
        <v>23258.600000000002</v>
      </c>
      <c r="L74" s="38">
        <v>9097.2000000000007</v>
      </c>
      <c r="M74" s="38">
        <v>21657.3</v>
      </c>
      <c r="N74" s="38">
        <v>37392.799999999996</v>
      </c>
      <c r="O74" s="49">
        <f>107568.2-43406.7</f>
        <v>64161.5</v>
      </c>
      <c r="P74" s="59">
        <v>22811.799999999996</v>
      </c>
      <c r="Q74" s="51">
        <v>-1843.7999999999995</v>
      </c>
      <c r="R74" s="49">
        <f>27200.3+43406.7</f>
        <v>70607</v>
      </c>
      <c r="S74" s="82">
        <f t="shared" si="10"/>
        <v>642214</v>
      </c>
      <c r="T74" s="23"/>
      <c r="U74" s="23"/>
      <c r="V74" s="23"/>
      <c r="W74" s="23"/>
    </row>
    <row r="75" spans="1:26" hidden="1" x14ac:dyDescent="0.25">
      <c r="A75" s="102" t="s">
        <v>48</v>
      </c>
      <c r="B75" s="81">
        <v>226504.30000000002</v>
      </c>
      <c r="C75" s="81">
        <v>116535.90000000001</v>
      </c>
      <c r="D75" s="81">
        <v>81175.299999999988</v>
      </c>
      <c r="E75" s="81"/>
      <c r="F75" s="81"/>
      <c r="G75" s="81"/>
      <c r="H75" s="38">
        <v>1234.8999999999999</v>
      </c>
      <c r="I75" s="38">
        <v>400</v>
      </c>
      <c r="J75" s="39" t="s">
        <v>41</v>
      </c>
      <c r="K75" s="38">
        <v>23913.5</v>
      </c>
      <c r="L75" s="38">
        <v>8608.5999999999985</v>
      </c>
      <c r="M75" s="38">
        <v>33663.599999999999</v>
      </c>
      <c r="N75" s="38">
        <v>36237.599999999999</v>
      </c>
      <c r="O75" s="49">
        <f>111536.2-41841.2</f>
        <v>69695</v>
      </c>
      <c r="P75" s="59">
        <v>21190.100000000002</v>
      </c>
      <c r="Q75" s="51">
        <v>1123.9000000000001</v>
      </c>
      <c r="R75" s="49">
        <f>27186.8+41841.2</f>
        <v>69028</v>
      </c>
      <c r="S75" s="82">
        <f t="shared" si="10"/>
        <v>689310.7</v>
      </c>
      <c r="T75" s="23"/>
      <c r="U75" s="23"/>
      <c r="V75" s="23"/>
      <c r="W75" s="23"/>
    </row>
    <row r="76" spans="1:26" hidden="1" x14ac:dyDescent="0.25">
      <c r="A76" s="102" t="s">
        <v>54</v>
      </c>
      <c r="B76" s="81">
        <v>226785.69999999995</v>
      </c>
      <c r="C76" s="81">
        <v>115031.49999999999</v>
      </c>
      <c r="D76" s="81">
        <v>83433.399999999994</v>
      </c>
      <c r="E76" s="81"/>
      <c r="F76" s="81"/>
      <c r="G76" s="81"/>
      <c r="H76" s="38">
        <v>1327.3</v>
      </c>
      <c r="I76" s="38">
        <v>700</v>
      </c>
      <c r="J76" s="39" t="s">
        <v>41</v>
      </c>
      <c r="K76" s="38">
        <v>23544.199999999997</v>
      </c>
      <c r="L76" s="38">
        <v>7594.2000000000007</v>
      </c>
      <c r="M76" s="38">
        <v>30691.9</v>
      </c>
      <c r="N76" s="38">
        <v>35732.400000000009</v>
      </c>
      <c r="O76" s="49">
        <f>110726.3-41020</f>
        <v>69706.3</v>
      </c>
      <c r="P76" s="59">
        <v>22144.2</v>
      </c>
      <c r="Q76" s="51">
        <v>1334.9</v>
      </c>
      <c r="R76" s="49">
        <f>29451.9+41020</f>
        <v>70471.899999999994</v>
      </c>
      <c r="S76" s="82">
        <f t="shared" si="10"/>
        <v>688497.9</v>
      </c>
      <c r="T76" s="23"/>
      <c r="U76" s="23"/>
      <c r="V76" s="23"/>
      <c r="W76" s="23"/>
    </row>
    <row r="77" spans="1:26" hidden="1" x14ac:dyDescent="0.25">
      <c r="A77" s="102" t="s">
        <v>97</v>
      </c>
      <c r="B77" s="81">
        <v>230514.80000000008</v>
      </c>
      <c r="C77" s="81">
        <v>116386.20000000003</v>
      </c>
      <c r="D77" s="81">
        <v>83596.400000000023</v>
      </c>
      <c r="E77" s="81"/>
      <c r="F77" s="81"/>
      <c r="G77" s="81"/>
      <c r="H77" s="38">
        <v>1141.8</v>
      </c>
      <c r="I77" s="38">
        <v>700</v>
      </c>
      <c r="J77" s="39" t="s">
        <v>41</v>
      </c>
      <c r="K77" s="38">
        <v>25529</v>
      </c>
      <c r="L77" s="38">
        <v>8040.2999999999993</v>
      </c>
      <c r="M77" s="38">
        <v>30818</v>
      </c>
      <c r="N77" s="38">
        <v>35653.4</v>
      </c>
      <c r="O77" s="49">
        <f>114176.2-40941.4</f>
        <v>73234.799999999988</v>
      </c>
      <c r="P77" s="59">
        <v>15912.8</v>
      </c>
      <c r="Q77" s="51">
        <v>906</v>
      </c>
      <c r="R77" s="49">
        <f>32009.6+40941.4</f>
        <v>72951</v>
      </c>
      <c r="S77" s="82">
        <f t="shared" si="10"/>
        <v>695384.50000000023</v>
      </c>
      <c r="T77" s="23"/>
      <c r="U77" s="23"/>
      <c r="V77" s="23"/>
      <c r="W77" s="23"/>
    </row>
    <row r="78" spans="1:26" hidden="1" x14ac:dyDescent="0.25">
      <c r="A78" s="102" t="s">
        <v>98</v>
      </c>
      <c r="B78" s="81">
        <v>243881.79999999996</v>
      </c>
      <c r="C78" s="81">
        <v>121262.00000000001</v>
      </c>
      <c r="D78" s="81">
        <v>82919.399999999907</v>
      </c>
      <c r="E78" s="81"/>
      <c r="F78" s="81"/>
      <c r="G78" s="81"/>
      <c r="H78" s="38">
        <v>1962.6</v>
      </c>
      <c r="I78" s="38">
        <v>1120</v>
      </c>
      <c r="J78" s="38">
        <v>30.6</v>
      </c>
      <c r="K78" s="38">
        <v>25001.8</v>
      </c>
      <c r="L78" s="38">
        <v>9623.5</v>
      </c>
      <c r="M78" s="38">
        <v>32319.000000000004</v>
      </c>
      <c r="N78" s="38">
        <v>33546.700000000004</v>
      </c>
      <c r="O78" s="49">
        <f>118513.1-41010.8</f>
        <v>77502.3</v>
      </c>
      <c r="P78" s="59">
        <v>10329.4</v>
      </c>
      <c r="Q78" s="51">
        <v>1438.3</v>
      </c>
      <c r="R78" s="49">
        <f>26909.1+41010.8</f>
        <v>67919.899999999994</v>
      </c>
      <c r="S78" s="82">
        <f t="shared" si="10"/>
        <v>708857.29999999993</v>
      </c>
      <c r="T78" s="23"/>
      <c r="U78" s="23"/>
      <c r="V78" s="23"/>
      <c r="W78" s="23"/>
    </row>
    <row r="79" spans="1:26" hidden="1" x14ac:dyDescent="0.25">
      <c r="A79" s="102" t="s">
        <v>34</v>
      </c>
      <c r="B79" s="81">
        <v>235781.09999999998</v>
      </c>
      <c r="C79" s="81">
        <v>124560.40000000004</v>
      </c>
      <c r="D79" s="81">
        <v>81903.400000000009</v>
      </c>
      <c r="E79" s="81"/>
      <c r="F79" s="81"/>
      <c r="G79" s="81"/>
      <c r="H79" s="38">
        <v>1355.6999999999998</v>
      </c>
      <c r="I79" s="38">
        <v>1050</v>
      </c>
      <c r="J79" s="39" t="s">
        <v>41</v>
      </c>
      <c r="K79" s="38">
        <v>26065.900000000005</v>
      </c>
      <c r="L79" s="38">
        <v>9237.9000000000015</v>
      </c>
      <c r="M79" s="38">
        <v>29731.600000000002</v>
      </c>
      <c r="N79" s="38">
        <v>40011.5</v>
      </c>
      <c r="O79" s="49">
        <f>122262.4-41046.1</f>
        <v>81216.299999999988</v>
      </c>
      <c r="P79" s="59">
        <v>5652</v>
      </c>
      <c r="Q79" s="51">
        <v>1642.6000000000006</v>
      </c>
      <c r="R79" s="49">
        <f>27308.3+41046.1</f>
        <v>68354.399999999994</v>
      </c>
      <c r="S79" s="82">
        <f t="shared" si="10"/>
        <v>706562.8</v>
      </c>
      <c r="T79" s="23"/>
      <c r="U79" s="23"/>
      <c r="V79" s="23"/>
      <c r="W79" s="23"/>
    </row>
    <row r="80" spans="1:26" hidden="1" x14ac:dyDescent="0.25">
      <c r="A80" s="102" t="s">
        <v>35</v>
      </c>
      <c r="B80" s="81">
        <v>225789.7</v>
      </c>
      <c r="C80" s="81">
        <v>121514.30000000002</v>
      </c>
      <c r="D80" s="81">
        <v>82362.099999999962</v>
      </c>
      <c r="E80" s="81"/>
      <c r="F80" s="81"/>
      <c r="G80" s="81"/>
      <c r="H80" s="38">
        <v>1393.5</v>
      </c>
      <c r="I80" s="38">
        <v>1550</v>
      </c>
      <c r="J80" s="39" t="s">
        <v>41</v>
      </c>
      <c r="K80" s="38">
        <v>23800.9</v>
      </c>
      <c r="L80" s="38">
        <v>9214.2000000000007</v>
      </c>
      <c r="M80" s="38">
        <v>23896.199999999997</v>
      </c>
      <c r="N80" s="38">
        <v>35952.400000000001</v>
      </c>
      <c r="O80" s="49">
        <f>122472.4-41266.9</f>
        <v>81205.5</v>
      </c>
      <c r="P80" s="59">
        <v>6902.7</v>
      </c>
      <c r="Q80" s="51">
        <v>-550.39999999999941</v>
      </c>
      <c r="R80" s="49">
        <f>29260.7+41266.9</f>
        <v>70527.600000000006</v>
      </c>
      <c r="S80" s="82">
        <f t="shared" si="10"/>
        <v>683558.7</v>
      </c>
      <c r="T80" s="23"/>
      <c r="U80" s="23"/>
      <c r="V80" s="23"/>
      <c r="W80" s="23"/>
    </row>
    <row r="81" spans="1:26" hidden="1" x14ac:dyDescent="0.25">
      <c r="A81" s="102" t="s">
        <v>36</v>
      </c>
      <c r="B81" s="81">
        <v>238376.80000000005</v>
      </c>
      <c r="C81" s="81">
        <v>126025.79999999997</v>
      </c>
      <c r="D81" s="81">
        <v>86114.9</v>
      </c>
      <c r="E81" s="81"/>
      <c r="F81" s="81"/>
      <c r="G81" s="81"/>
      <c r="H81" s="38">
        <v>1492</v>
      </c>
      <c r="I81" s="38">
        <v>1050</v>
      </c>
      <c r="J81" s="39" t="s">
        <v>41</v>
      </c>
      <c r="K81" s="38">
        <v>24223.999999999993</v>
      </c>
      <c r="L81" s="38">
        <v>8547.6000000000022</v>
      </c>
      <c r="M81" s="38">
        <v>24891</v>
      </c>
      <c r="N81" s="38">
        <v>37032.600000000006</v>
      </c>
      <c r="O81" s="49">
        <f>127943.6-42122.6</f>
        <v>85821</v>
      </c>
      <c r="P81" s="59">
        <v>8391.7999999999993</v>
      </c>
      <c r="Q81" s="51">
        <v>181.8</v>
      </c>
      <c r="R81" s="49">
        <f>28829.7+42122.6</f>
        <v>70952.3</v>
      </c>
      <c r="S81" s="82">
        <f t="shared" si="10"/>
        <v>713101.60000000009</v>
      </c>
      <c r="T81" s="23"/>
      <c r="U81" s="23"/>
      <c r="V81" s="23"/>
      <c r="W81" s="23"/>
    </row>
    <row r="82" spans="1:26" s="44" customFormat="1" hidden="1" x14ac:dyDescent="0.25">
      <c r="A82" s="102" t="s">
        <v>37</v>
      </c>
      <c r="B82" s="82">
        <v>246537.7</v>
      </c>
      <c r="C82" s="82">
        <v>129963</v>
      </c>
      <c r="D82" s="82">
        <v>85926.399999999994</v>
      </c>
      <c r="E82" s="82"/>
      <c r="F82" s="82"/>
      <c r="G82" s="82"/>
      <c r="H82" s="40">
        <v>1078.3999999999999</v>
      </c>
      <c r="I82" s="40">
        <v>1450</v>
      </c>
      <c r="J82" s="40">
        <v>127.1</v>
      </c>
      <c r="K82" s="40">
        <v>22486.300000000003</v>
      </c>
      <c r="L82" s="40">
        <v>10740.2</v>
      </c>
      <c r="M82" s="40">
        <v>29026.800000000003</v>
      </c>
      <c r="N82" s="40">
        <v>39069.899999999994</v>
      </c>
      <c r="O82" s="49">
        <f>127254.1-41444.3</f>
        <v>85809.8</v>
      </c>
      <c r="P82" s="59">
        <v>11443.999999999998</v>
      </c>
      <c r="Q82" s="51">
        <v>68.299999999999983</v>
      </c>
      <c r="R82" s="49">
        <f>29453+41444.3</f>
        <v>70897.3</v>
      </c>
      <c r="S82" s="82">
        <f t="shared" si="10"/>
        <v>734625.20000000019</v>
      </c>
      <c r="T82" s="23"/>
      <c r="U82" s="23"/>
      <c r="V82" s="23"/>
      <c r="W82" s="23"/>
      <c r="Y82" s="6"/>
      <c r="Z82" s="6"/>
    </row>
    <row r="83" spans="1:26" s="43" customFormat="1" hidden="1" x14ac:dyDescent="0.25">
      <c r="A83" s="102" t="s">
        <v>38</v>
      </c>
      <c r="B83" s="42">
        <v>260957.19999999995</v>
      </c>
      <c r="C83" s="42">
        <v>134263.90000000002</v>
      </c>
      <c r="D83" s="42">
        <v>84036</v>
      </c>
      <c r="E83" s="42"/>
      <c r="F83" s="42"/>
      <c r="G83" s="42"/>
      <c r="H83" s="42">
        <v>1163.6000000000001</v>
      </c>
      <c r="I83" s="42">
        <v>950</v>
      </c>
      <c r="J83" s="42">
        <v>598.6</v>
      </c>
      <c r="K83" s="42">
        <v>23271.4</v>
      </c>
      <c r="L83" s="42">
        <v>8351.2000000000007</v>
      </c>
      <c r="M83" s="42">
        <v>27179.4</v>
      </c>
      <c r="N83" s="42">
        <v>36289.300000000003</v>
      </c>
      <c r="O83" s="49">
        <f>127452.4-41687.3</f>
        <v>85765.099999999991</v>
      </c>
      <c r="P83" s="59">
        <v>13484.4</v>
      </c>
      <c r="Q83" s="51">
        <v>-345.19999999999948</v>
      </c>
      <c r="R83" s="49">
        <f>35514.3+41687.3</f>
        <v>77201.600000000006</v>
      </c>
      <c r="S83" s="82">
        <f t="shared" si="10"/>
        <v>753166.5</v>
      </c>
      <c r="T83" s="23"/>
      <c r="U83" s="23"/>
      <c r="V83" s="23"/>
      <c r="W83" s="23"/>
      <c r="Y83" s="6"/>
      <c r="Z83" s="6"/>
    </row>
    <row r="84" spans="1:26" hidden="1" x14ac:dyDescent="0.25">
      <c r="A84" s="102" t="s">
        <v>39</v>
      </c>
      <c r="B84" s="81">
        <v>266036.5</v>
      </c>
      <c r="C84" s="81">
        <v>134944.70000000001</v>
      </c>
      <c r="D84" s="81">
        <v>87639.60000000002</v>
      </c>
      <c r="E84" s="81"/>
      <c r="F84" s="81"/>
      <c r="G84" s="81"/>
      <c r="H84" s="38">
        <v>1671.4000000000003</v>
      </c>
      <c r="I84" s="38">
        <v>550</v>
      </c>
      <c r="J84" s="39" t="s">
        <v>41</v>
      </c>
      <c r="K84" s="38">
        <v>24892.799999999999</v>
      </c>
      <c r="L84" s="38">
        <v>8200.6</v>
      </c>
      <c r="M84" s="38">
        <v>26983.399999999998</v>
      </c>
      <c r="N84" s="38">
        <v>37379.599999999999</v>
      </c>
      <c r="O84" s="49">
        <f>128544.5-42788.1</f>
        <v>85756.4</v>
      </c>
      <c r="P84" s="59">
        <v>15328.399999999998</v>
      </c>
      <c r="Q84" s="51">
        <v>965.1</v>
      </c>
      <c r="R84" s="49">
        <f>33081.9+42788.1</f>
        <v>75870</v>
      </c>
      <c r="S84" s="82">
        <f t="shared" si="10"/>
        <v>766218.5</v>
      </c>
      <c r="T84" s="23"/>
      <c r="U84" s="23"/>
      <c r="V84" s="23"/>
      <c r="W84" s="23"/>
    </row>
    <row r="85" spans="1:26" hidden="1" x14ac:dyDescent="0.25">
      <c r="A85" s="102" t="s">
        <v>40</v>
      </c>
      <c r="B85" s="81">
        <v>259714.99999999994</v>
      </c>
      <c r="C85" s="81">
        <v>138672.1</v>
      </c>
      <c r="D85" s="81">
        <v>85571.400000000023</v>
      </c>
      <c r="E85" s="81"/>
      <c r="F85" s="81"/>
      <c r="G85" s="81"/>
      <c r="H85" s="38">
        <v>689.6</v>
      </c>
      <c r="I85" s="38">
        <v>610</v>
      </c>
      <c r="J85" s="38">
        <v>3740.2</v>
      </c>
      <c r="K85" s="38">
        <v>26282.9</v>
      </c>
      <c r="L85" s="38">
        <v>7967.1</v>
      </c>
      <c r="M85" s="38">
        <v>28540.700000000004</v>
      </c>
      <c r="N85" s="38">
        <v>40353.199999999997</v>
      </c>
      <c r="O85" s="49">
        <f>127963.3-42217.4</f>
        <v>85745.9</v>
      </c>
      <c r="P85" s="59">
        <v>18416.7</v>
      </c>
      <c r="Q85" s="51">
        <v>1238.3000000000009</v>
      </c>
      <c r="R85" s="49">
        <f>38935.7+42217.4</f>
        <v>81153.100000000006</v>
      </c>
      <c r="S85" s="82">
        <f t="shared" si="10"/>
        <v>778696.2</v>
      </c>
      <c r="T85" s="23"/>
      <c r="U85" s="23"/>
      <c r="V85" s="23"/>
      <c r="W85" s="23"/>
    </row>
    <row r="86" spans="1:26" hidden="1" x14ac:dyDescent="0.25">
      <c r="A86" s="102" t="s">
        <v>47</v>
      </c>
      <c r="B86" s="81">
        <v>270386.2</v>
      </c>
      <c r="C86" s="81">
        <v>136402.20000000001</v>
      </c>
      <c r="D86" s="81">
        <v>88843.6</v>
      </c>
      <c r="E86" s="81"/>
      <c r="F86" s="81"/>
      <c r="G86" s="81"/>
      <c r="H86" s="38">
        <v>1802.6000000000001</v>
      </c>
      <c r="I86" s="38">
        <v>610</v>
      </c>
      <c r="J86" s="39" t="s">
        <v>41</v>
      </c>
      <c r="K86" s="38">
        <v>25964.399999999994</v>
      </c>
      <c r="L86" s="38">
        <v>7609.7</v>
      </c>
      <c r="M86" s="38">
        <v>24621.9</v>
      </c>
      <c r="N86" s="38">
        <v>46726.1</v>
      </c>
      <c r="O86" s="49">
        <f>127779.2-42044.4</f>
        <v>85734.799999999988</v>
      </c>
      <c r="P86" s="59">
        <v>21176.799999999999</v>
      </c>
      <c r="Q86" s="51">
        <v>1812.1</v>
      </c>
      <c r="R86" s="49">
        <f>40123.7+42044.4</f>
        <v>82168.100000000006</v>
      </c>
      <c r="S86" s="82">
        <f t="shared" si="10"/>
        <v>793858.5</v>
      </c>
      <c r="T86" s="23"/>
      <c r="U86" s="23"/>
      <c r="V86" s="23"/>
      <c r="W86" s="23"/>
    </row>
    <row r="87" spans="1:26" s="95" customFormat="1" hidden="1" x14ac:dyDescent="0.25">
      <c r="A87" s="104" t="s">
        <v>48</v>
      </c>
      <c r="B87" s="90">
        <v>273222.09999999998</v>
      </c>
      <c r="C87" s="90">
        <v>140294.30000000002</v>
      </c>
      <c r="D87" s="90">
        <v>89591.3</v>
      </c>
      <c r="E87" s="90">
        <v>2849.9</v>
      </c>
      <c r="F87" s="90">
        <v>1812.4</v>
      </c>
      <c r="G87" s="90">
        <v>0</v>
      </c>
      <c r="H87" s="90">
        <v>1128.8</v>
      </c>
      <c r="I87" s="90">
        <v>530</v>
      </c>
      <c r="J87" s="75" t="s">
        <v>41</v>
      </c>
      <c r="K87" s="90">
        <v>30800.699999999997</v>
      </c>
      <c r="L87" s="90">
        <v>5456.4</v>
      </c>
      <c r="M87" s="90">
        <v>27042.2</v>
      </c>
      <c r="N87" s="90">
        <v>50485.599999999991</v>
      </c>
      <c r="O87" s="91">
        <v>97362.8</v>
      </c>
      <c r="P87" s="92">
        <v>22695.399999999998</v>
      </c>
      <c r="Q87" s="93">
        <v>-98.600000000000051</v>
      </c>
      <c r="R87" s="91">
        <v>97373.599999999991</v>
      </c>
      <c r="S87" s="90">
        <f>SUM(B87:R87)</f>
        <v>840546.9</v>
      </c>
      <c r="T87" s="94"/>
      <c r="U87" s="94"/>
      <c r="V87" s="94"/>
      <c r="W87" s="94"/>
    </row>
    <row r="88" spans="1:26" s="95" customFormat="1" hidden="1" x14ac:dyDescent="0.25">
      <c r="A88" s="104"/>
      <c r="B88" s="90"/>
      <c r="C88" s="90"/>
      <c r="D88" s="90"/>
      <c r="E88" s="90"/>
      <c r="F88" s="90"/>
      <c r="G88" s="90"/>
      <c r="H88" s="90"/>
      <c r="I88" s="90"/>
      <c r="J88" s="75"/>
      <c r="K88" s="90"/>
      <c r="L88" s="90"/>
      <c r="M88" s="90"/>
      <c r="N88" s="90"/>
      <c r="O88" s="91"/>
      <c r="P88" s="92"/>
      <c r="Q88" s="93"/>
      <c r="R88" s="91"/>
      <c r="S88" s="90"/>
      <c r="T88" s="94"/>
      <c r="U88" s="94"/>
      <c r="V88" s="94"/>
      <c r="W88" s="94"/>
    </row>
    <row r="89" spans="1:26" s="43" customFormat="1" hidden="1" x14ac:dyDescent="0.25">
      <c r="A89" s="101" t="s">
        <v>56</v>
      </c>
      <c r="B89" s="42">
        <v>271793.90000000002</v>
      </c>
      <c r="C89" s="42">
        <v>137579.29999999999</v>
      </c>
      <c r="D89" s="42">
        <v>72736.799999999988</v>
      </c>
      <c r="E89" s="42">
        <v>1578.1</v>
      </c>
      <c r="F89" s="42">
        <v>4862.3999999999996</v>
      </c>
      <c r="G89" s="42">
        <v>0</v>
      </c>
      <c r="H89" s="42">
        <v>2248.7000000000003</v>
      </c>
      <c r="I89" s="42">
        <v>230</v>
      </c>
      <c r="J89" s="75" t="s">
        <v>41</v>
      </c>
      <c r="K89" s="42">
        <v>33611.1</v>
      </c>
      <c r="L89" s="42">
        <v>4751.6000000000004</v>
      </c>
      <c r="M89" s="42">
        <v>41326.6</v>
      </c>
      <c r="N89" s="42">
        <v>44614.499999999993</v>
      </c>
      <c r="O89" s="69">
        <v>97456.7</v>
      </c>
      <c r="P89" s="41">
        <v>24765.699999999997</v>
      </c>
      <c r="Q89" s="51">
        <v>299.69999999999993</v>
      </c>
      <c r="R89" s="69">
        <v>98164.199999999983</v>
      </c>
      <c r="S89" s="82">
        <f t="shared" si="10"/>
        <v>836019.29999999981</v>
      </c>
      <c r="T89" s="23"/>
      <c r="U89" s="94"/>
      <c r="V89" s="23"/>
      <c r="W89" s="23"/>
      <c r="Y89" s="6"/>
      <c r="Z89" s="6"/>
    </row>
    <row r="90" spans="1:26" s="43" customFormat="1" hidden="1" x14ac:dyDescent="0.25">
      <c r="A90" s="101" t="s">
        <v>97</v>
      </c>
      <c r="B90" s="42">
        <v>273343.59999999998</v>
      </c>
      <c r="C90" s="42">
        <v>136883.6</v>
      </c>
      <c r="D90" s="42">
        <v>75994.3</v>
      </c>
      <c r="E90" s="42">
        <v>1683.8000000000002</v>
      </c>
      <c r="F90" s="42">
        <v>5429.9</v>
      </c>
      <c r="G90" s="42">
        <v>0</v>
      </c>
      <c r="H90" s="42">
        <v>1700</v>
      </c>
      <c r="I90" s="42">
        <v>230</v>
      </c>
      <c r="J90" s="42">
        <v>1723.4</v>
      </c>
      <c r="K90" s="42">
        <v>31971.1</v>
      </c>
      <c r="L90" s="42">
        <v>4930.3</v>
      </c>
      <c r="M90" s="42">
        <v>35054.399999999994</v>
      </c>
      <c r="N90" s="42">
        <v>49423.19999999999</v>
      </c>
      <c r="O90" s="49">
        <v>100368.1</v>
      </c>
      <c r="P90" s="59">
        <v>19326.399999999998</v>
      </c>
      <c r="Q90" s="51">
        <v>1114.1999999999985</v>
      </c>
      <c r="R90" s="49">
        <v>102607.7</v>
      </c>
      <c r="S90" s="82">
        <f t="shared" si="10"/>
        <v>841783.99999999988</v>
      </c>
      <c r="T90" s="23"/>
      <c r="U90" s="94"/>
      <c r="V90" s="23"/>
      <c r="W90" s="23"/>
      <c r="Y90" s="6"/>
      <c r="Z90" s="6"/>
    </row>
    <row r="91" spans="1:26" s="43" customFormat="1" hidden="1" x14ac:dyDescent="0.25">
      <c r="A91" s="101" t="s">
        <v>98</v>
      </c>
      <c r="B91" s="42">
        <v>265379.09999999998</v>
      </c>
      <c r="C91" s="42">
        <v>141656.20000000001</v>
      </c>
      <c r="D91" s="42">
        <v>73793.099999999948</v>
      </c>
      <c r="E91" s="42">
        <v>1806.8</v>
      </c>
      <c r="F91" s="42">
        <v>5417.5</v>
      </c>
      <c r="G91" s="42">
        <v>0</v>
      </c>
      <c r="H91" s="42">
        <v>1290.3</v>
      </c>
      <c r="I91" s="42">
        <v>230</v>
      </c>
      <c r="J91" s="42">
        <v>3410.3</v>
      </c>
      <c r="K91" s="42">
        <v>31775.899999999998</v>
      </c>
      <c r="L91" s="42">
        <v>5617.3</v>
      </c>
      <c r="M91" s="42">
        <v>29368</v>
      </c>
      <c r="N91" s="42">
        <v>39002.5</v>
      </c>
      <c r="O91" s="49">
        <v>116593.8</v>
      </c>
      <c r="P91" s="59">
        <v>12874.099999999999</v>
      </c>
      <c r="Q91" s="51">
        <v>2459.6999999999994</v>
      </c>
      <c r="R91" s="49">
        <v>114898.1</v>
      </c>
      <c r="S91" s="82">
        <f t="shared" si="10"/>
        <v>845572.69999999984</v>
      </c>
      <c r="T91" s="23"/>
      <c r="U91" s="94"/>
      <c r="V91" s="23"/>
      <c r="W91" s="23"/>
      <c r="Y91" s="6"/>
      <c r="Z91" s="6"/>
    </row>
    <row r="92" spans="1:26" s="43" customFormat="1" hidden="1" x14ac:dyDescent="0.25">
      <c r="A92" s="101" t="s">
        <v>34</v>
      </c>
      <c r="B92" s="42">
        <v>278397.2</v>
      </c>
      <c r="C92" s="42">
        <v>140400.4</v>
      </c>
      <c r="D92" s="42">
        <v>73402.400000000009</v>
      </c>
      <c r="E92" s="42">
        <v>1161.8</v>
      </c>
      <c r="F92" s="42">
        <v>6029.9</v>
      </c>
      <c r="G92" s="42">
        <v>0</v>
      </c>
      <c r="H92" s="42">
        <v>1990.2999999999997</v>
      </c>
      <c r="I92" s="42">
        <v>230</v>
      </c>
      <c r="J92" s="42">
        <v>4017</v>
      </c>
      <c r="K92" s="42">
        <v>28636.100000000002</v>
      </c>
      <c r="L92" s="42">
        <v>7165.1999999999989</v>
      </c>
      <c r="M92" s="42">
        <v>32355.199999999997</v>
      </c>
      <c r="N92" s="42">
        <v>43570.299999999996</v>
      </c>
      <c r="O92" s="49">
        <v>117737.7</v>
      </c>
      <c r="P92" s="59">
        <v>11700.6</v>
      </c>
      <c r="Q92" s="51">
        <v>590.4000000000002</v>
      </c>
      <c r="R92" s="49">
        <v>92608.800000000017</v>
      </c>
      <c r="S92" s="82">
        <f t="shared" ref="S92:S128" si="11">SUM(B92:R92)</f>
        <v>839993.29999999993</v>
      </c>
      <c r="T92" s="23"/>
      <c r="U92" s="94"/>
      <c r="V92" s="23"/>
      <c r="W92" s="23"/>
      <c r="Y92" s="6"/>
      <c r="Z92" s="6"/>
    </row>
    <row r="93" spans="1:26" s="43" customFormat="1" hidden="1" x14ac:dyDescent="0.25">
      <c r="A93" s="101" t="s">
        <v>35</v>
      </c>
      <c r="B93" s="42">
        <v>275079.59999999992</v>
      </c>
      <c r="C93" s="42">
        <v>144697.29999999999</v>
      </c>
      <c r="D93" s="42">
        <v>72428.700000000041</v>
      </c>
      <c r="E93" s="42">
        <v>1036.3</v>
      </c>
      <c r="F93" s="42">
        <v>6236.4</v>
      </c>
      <c r="G93" s="42">
        <v>0</v>
      </c>
      <c r="H93" s="42">
        <v>1634.3</v>
      </c>
      <c r="I93" s="42">
        <v>230</v>
      </c>
      <c r="J93" s="42">
        <v>8850.7999999999993</v>
      </c>
      <c r="K93" s="42">
        <v>30900.999999999993</v>
      </c>
      <c r="L93" s="42">
        <v>6206.9</v>
      </c>
      <c r="M93" s="42">
        <v>33662.700000000004</v>
      </c>
      <c r="N93" s="42">
        <v>41594.699999999997</v>
      </c>
      <c r="O93" s="49">
        <v>117729.1</v>
      </c>
      <c r="P93" s="59">
        <v>14594.6</v>
      </c>
      <c r="Q93" s="51">
        <v>3195.1</v>
      </c>
      <c r="R93" s="49">
        <v>97211.4</v>
      </c>
      <c r="S93" s="82">
        <f t="shared" si="11"/>
        <v>855288.89999999979</v>
      </c>
      <c r="T93" s="23"/>
      <c r="U93" s="94"/>
      <c r="V93" s="23"/>
      <c r="W93" s="23"/>
      <c r="Y93" s="6"/>
      <c r="Z93" s="6"/>
    </row>
    <row r="94" spans="1:26" s="43" customFormat="1" hidden="1" x14ac:dyDescent="0.25">
      <c r="A94" s="101" t="s">
        <v>36</v>
      </c>
      <c r="B94" s="42">
        <v>272670.90000000002</v>
      </c>
      <c r="C94" s="42">
        <v>153379.6</v>
      </c>
      <c r="D94" s="42">
        <v>77435.999999999985</v>
      </c>
      <c r="E94" s="42">
        <v>1403.7</v>
      </c>
      <c r="F94" s="42">
        <v>4336.3999999999996</v>
      </c>
      <c r="G94" s="42">
        <v>0</v>
      </c>
      <c r="H94" s="42">
        <v>1811.1</v>
      </c>
      <c r="I94" s="42">
        <v>230</v>
      </c>
      <c r="J94" s="42">
        <v>21978.1</v>
      </c>
      <c r="K94" s="42">
        <v>29656.899999999998</v>
      </c>
      <c r="L94" s="42">
        <v>6361.1</v>
      </c>
      <c r="M94" s="42">
        <v>28131.5</v>
      </c>
      <c r="N94" s="42">
        <v>39056.400000000001</v>
      </c>
      <c r="O94" s="49">
        <v>117718.90000000001</v>
      </c>
      <c r="P94" s="59">
        <v>17607.399999999998</v>
      </c>
      <c r="Q94" s="51">
        <v>3184.1000000000026</v>
      </c>
      <c r="R94" s="49">
        <v>97087.6</v>
      </c>
      <c r="S94" s="82">
        <f t="shared" si="11"/>
        <v>872049.70000000007</v>
      </c>
      <c r="T94" s="23"/>
      <c r="U94" s="94"/>
      <c r="V94" s="23"/>
      <c r="W94" s="23"/>
      <c r="Y94" s="6"/>
      <c r="Z94" s="6"/>
    </row>
    <row r="95" spans="1:26" s="43" customFormat="1" hidden="1" x14ac:dyDescent="0.25">
      <c r="A95" s="101" t="s">
        <v>37</v>
      </c>
      <c r="B95" s="42">
        <v>274926.90000000002</v>
      </c>
      <c r="C95" s="42">
        <v>158305.4</v>
      </c>
      <c r="D95" s="42">
        <v>91316.500000000015</v>
      </c>
      <c r="E95" s="42">
        <v>767.80000000000007</v>
      </c>
      <c r="F95" s="42">
        <v>4136.3999999999996</v>
      </c>
      <c r="G95" s="42">
        <v>0</v>
      </c>
      <c r="H95" s="42">
        <v>661.6</v>
      </c>
      <c r="I95" s="42">
        <v>230</v>
      </c>
      <c r="J95" s="42">
        <v>28323</v>
      </c>
      <c r="K95" s="42">
        <v>31714.600000000002</v>
      </c>
      <c r="L95" s="42">
        <v>7435.7</v>
      </c>
      <c r="M95" s="42">
        <v>22824.6</v>
      </c>
      <c r="N95" s="42">
        <v>42413.599999999999</v>
      </c>
      <c r="O95" s="49">
        <v>117709.1</v>
      </c>
      <c r="P95" s="59">
        <v>20758.199999999997</v>
      </c>
      <c r="Q95" s="51">
        <v>-63.700000000001772</v>
      </c>
      <c r="R95" s="49">
        <v>97576.5</v>
      </c>
      <c r="S95" s="82">
        <f t="shared" si="11"/>
        <v>899036.2</v>
      </c>
      <c r="T95" s="23"/>
      <c r="U95" s="94"/>
      <c r="V95" s="23"/>
      <c r="W95" s="23"/>
      <c r="Y95" s="6"/>
      <c r="Z95" s="6"/>
    </row>
    <row r="96" spans="1:26" s="43" customFormat="1" hidden="1" x14ac:dyDescent="0.25">
      <c r="A96" s="101" t="s">
        <v>38</v>
      </c>
      <c r="B96" s="42">
        <v>275833.79999999993</v>
      </c>
      <c r="C96" s="42">
        <v>164701.79999999996</v>
      </c>
      <c r="D96" s="42">
        <v>86856.8</v>
      </c>
      <c r="E96" s="42">
        <v>1500.9</v>
      </c>
      <c r="F96" s="42">
        <v>4036.4</v>
      </c>
      <c r="G96" s="42">
        <v>0</v>
      </c>
      <c r="H96" s="42">
        <v>1011.4999999999999</v>
      </c>
      <c r="I96" s="42">
        <v>230</v>
      </c>
      <c r="J96" s="42">
        <v>30701.8</v>
      </c>
      <c r="K96" s="42">
        <v>30946.1</v>
      </c>
      <c r="L96" s="42">
        <v>8465</v>
      </c>
      <c r="M96" s="42">
        <v>27124.500000000004</v>
      </c>
      <c r="N96" s="42">
        <v>41757.4</v>
      </c>
      <c r="O96" s="49">
        <v>117698.50000000001</v>
      </c>
      <c r="P96" s="59">
        <v>24366</v>
      </c>
      <c r="Q96" s="51">
        <v>-61.500000000002181</v>
      </c>
      <c r="R96" s="49">
        <v>100242.4</v>
      </c>
      <c r="S96" s="82">
        <f t="shared" si="11"/>
        <v>915411.4</v>
      </c>
      <c r="T96" s="23"/>
      <c r="U96" s="94"/>
      <c r="V96" s="23"/>
      <c r="W96" s="23"/>
      <c r="Y96" s="6"/>
      <c r="Z96" s="6"/>
    </row>
    <row r="97" spans="1:26" s="43" customFormat="1" hidden="1" x14ac:dyDescent="0.25">
      <c r="A97" s="101" t="s">
        <v>39</v>
      </c>
      <c r="B97" s="42">
        <v>257023.60000000003</v>
      </c>
      <c r="C97" s="42">
        <v>166744.29999999999</v>
      </c>
      <c r="D97" s="42">
        <v>83235.099999999991</v>
      </c>
      <c r="E97" s="42">
        <v>1358.0000000000002</v>
      </c>
      <c r="F97" s="42">
        <v>4086.4</v>
      </c>
      <c r="G97" s="42">
        <v>0</v>
      </c>
      <c r="H97" s="42">
        <v>1928.8999999999999</v>
      </c>
      <c r="I97" s="42">
        <v>230</v>
      </c>
      <c r="J97" s="42">
        <v>41135.1</v>
      </c>
      <c r="K97" s="42">
        <v>30672.800000000003</v>
      </c>
      <c r="L97" s="42">
        <v>8199.5</v>
      </c>
      <c r="M97" s="42">
        <v>30423.899999999998</v>
      </c>
      <c r="N97" s="42">
        <v>41451.9</v>
      </c>
      <c r="O97" s="49">
        <v>117688.70000000001</v>
      </c>
      <c r="P97" s="59">
        <v>27652.300000000003</v>
      </c>
      <c r="Q97" s="51">
        <v>242.30000000000288</v>
      </c>
      <c r="R97" s="49">
        <v>98128.2</v>
      </c>
      <c r="S97" s="82">
        <f t="shared" si="11"/>
        <v>910201.00000000023</v>
      </c>
      <c r="T97" s="23"/>
      <c r="U97" s="94"/>
      <c r="V97" s="23"/>
      <c r="W97" s="23"/>
      <c r="Y97" s="6"/>
      <c r="Z97" s="6"/>
    </row>
    <row r="98" spans="1:26" s="43" customFormat="1" hidden="1" x14ac:dyDescent="0.25">
      <c r="A98" s="101" t="s">
        <v>40</v>
      </c>
      <c r="B98" s="42">
        <v>255311.9</v>
      </c>
      <c r="C98" s="42">
        <v>165659.1</v>
      </c>
      <c r="D98" s="42">
        <v>83808.899999999994</v>
      </c>
      <c r="E98" s="42">
        <v>2081.4</v>
      </c>
      <c r="F98" s="42">
        <v>3586.4</v>
      </c>
      <c r="G98" s="42">
        <v>0</v>
      </c>
      <c r="H98" s="42">
        <v>1231.5</v>
      </c>
      <c r="I98" s="42">
        <v>230</v>
      </c>
      <c r="J98" s="42">
        <v>34479.800000000003</v>
      </c>
      <c r="K98" s="42">
        <v>35131.4</v>
      </c>
      <c r="L98" s="42">
        <v>9151.2000000000007</v>
      </c>
      <c r="M98" s="42">
        <v>29507.8</v>
      </c>
      <c r="N98" s="42">
        <v>46516</v>
      </c>
      <c r="O98" s="49">
        <v>117677.90000000001</v>
      </c>
      <c r="P98" s="59">
        <v>31090.799999999999</v>
      </c>
      <c r="Q98" s="51">
        <v>698.2000000000013</v>
      </c>
      <c r="R98" s="49">
        <v>110142.1</v>
      </c>
      <c r="S98" s="82">
        <f t="shared" si="11"/>
        <v>926304.40000000014</v>
      </c>
      <c r="T98" s="23"/>
      <c r="U98" s="94"/>
      <c r="V98" s="23"/>
      <c r="W98" s="23"/>
      <c r="Y98" s="6"/>
      <c r="Z98" s="6"/>
    </row>
    <row r="99" spans="1:26" s="43" customFormat="1" hidden="1" x14ac:dyDescent="0.25">
      <c r="A99" s="101" t="s">
        <v>47</v>
      </c>
      <c r="B99" s="42">
        <v>246334.99999999997</v>
      </c>
      <c r="C99" s="42">
        <v>169673.40000000002</v>
      </c>
      <c r="D99" s="42">
        <v>85868.799999999974</v>
      </c>
      <c r="E99" s="42">
        <v>2504.5</v>
      </c>
      <c r="F99" s="42">
        <v>4286.3999999999996</v>
      </c>
      <c r="G99" s="42">
        <v>0</v>
      </c>
      <c r="H99" s="42">
        <v>765.20000000000016</v>
      </c>
      <c r="I99" s="42">
        <v>230</v>
      </c>
      <c r="J99" s="42">
        <v>38992.799999999996</v>
      </c>
      <c r="K99" s="42">
        <v>36892.799999999996</v>
      </c>
      <c r="L99" s="42">
        <v>9256.7000000000007</v>
      </c>
      <c r="M99" s="42">
        <v>34346.299999999996</v>
      </c>
      <c r="N99" s="42">
        <v>54900.000000000007</v>
      </c>
      <c r="O99" s="49">
        <v>117667.6</v>
      </c>
      <c r="P99" s="59">
        <v>33981.200000000004</v>
      </c>
      <c r="Q99" s="51">
        <v>752.20000000000221</v>
      </c>
      <c r="R99" s="49">
        <v>103487.2</v>
      </c>
      <c r="S99" s="82">
        <f t="shared" si="11"/>
        <v>939940.1</v>
      </c>
      <c r="T99" s="23"/>
      <c r="U99" s="94"/>
      <c r="V99" s="23"/>
      <c r="W99" s="23"/>
      <c r="Y99" s="6"/>
      <c r="Z99" s="6"/>
    </row>
    <row r="100" spans="1:26" s="43" customFormat="1" hidden="1" x14ac:dyDescent="0.25">
      <c r="A100" s="101" t="s">
        <v>48</v>
      </c>
      <c r="B100" s="42">
        <v>263857.99999999994</v>
      </c>
      <c r="C100" s="42">
        <v>173056.09999999998</v>
      </c>
      <c r="D100" s="42">
        <v>89107.6</v>
      </c>
      <c r="E100" s="42">
        <v>3654.7</v>
      </c>
      <c r="F100" s="42">
        <v>3786.4</v>
      </c>
      <c r="G100" s="42">
        <v>0</v>
      </c>
      <c r="H100" s="42">
        <v>570.1</v>
      </c>
      <c r="I100" s="42">
        <v>230</v>
      </c>
      <c r="J100" s="42">
        <v>23887.599999999999</v>
      </c>
      <c r="K100" s="42">
        <v>32739.100000000006</v>
      </c>
      <c r="L100" s="42">
        <v>6981.7999999999993</v>
      </c>
      <c r="M100" s="42">
        <v>38665.200000000004</v>
      </c>
      <c r="N100" s="42">
        <v>50033.100000000006</v>
      </c>
      <c r="O100" s="49">
        <v>117656.70000000001</v>
      </c>
      <c r="P100" s="59">
        <v>30401</v>
      </c>
      <c r="Q100" s="51">
        <v>563.60000000000093</v>
      </c>
      <c r="R100" s="49">
        <v>101557.2</v>
      </c>
      <c r="S100" s="82">
        <f t="shared" si="11"/>
        <v>936748.19999999984</v>
      </c>
      <c r="T100" s="23"/>
      <c r="U100" s="94"/>
      <c r="V100" s="23"/>
      <c r="W100" s="23"/>
      <c r="Y100" s="6"/>
      <c r="Z100" s="6"/>
    </row>
    <row r="101" spans="1:26" s="43" customFormat="1" hidden="1" x14ac:dyDescent="0.25">
      <c r="A101" s="10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84"/>
      <c r="P101" s="83"/>
      <c r="Q101" s="85"/>
      <c r="R101" s="84"/>
      <c r="S101" s="82"/>
      <c r="T101" s="80"/>
      <c r="U101" s="94"/>
      <c r="V101" s="80"/>
      <c r="W101" s="80"/>
      <c r="Y101" s="72"/>
      <c r="Z101" s="72"/>
    </row>
    <row r="102" spans="1:26" s="43" customFormat="1" hidden="1" x14ac:dyDescent="0.25">
      <c r="A102" s="101" t="s">
        <v>57</v>
      </c>
      <c r="B102" s="42">
        <v>270523.30000000005</v>
      </c>
      <c r="C102" s="42">
        <v>162535.4</v>
      </c>
      <c r="D102" s="42">
        <v>97165.6</v>
      </c>
      <c r="E102" s="42">
        <v>3550.7000000000003</v>
      </c>
      <c r="F102" s="42">
        <v>4416.3999999999996</v>
      </c>
      <c r="G102" s="42">
        <v>0</v>
      </c>
      <c r="H102" s="42">
        <v>855.69999999999993</v>
      </c>
      <c r="I102" s="42">
        <v>230</v>
      </c>
      <c r="J102" s="42">
        <v>17905.5</v>
      </c>
      <c r="K102" s="42">
        <v>37725.600000000006</v>
      </c>
      <c r="L102" s="42">
        <v>8935.9000000000015</v>
      </c>
      <c r="M102" s="42">
        <v>35210.9</v>
      </c>
      <c r="N102" s="42">
        <v>53880.600000000006</v>
      </c>
      <c r="O102" s="49">
        <v>117646.3</v>
      </c>
      <c r="P102" s="59">
        <v>33758.199999999997</v>
      </c>
      <c r="Q102" s="51">
        <v>650.00000000000148</v>
      </c>
      <c r="R102" s="49">
        <v>104221</v>
      </c>
      <c r="S102" s="82">
        <f t="shared" si="11"/>
        <v>949211.1</v>
      </c>
      <c r="T102" s="23"/>
      <c r="U102" s="94"/>
      <c r="V102" s="23"/>
      <c r="W102" s="23"/>
      <c r="Y102" s="6"/>
      <c r="Z102" s="6"/>
    </row>
    <row r="103" spans="1:26" s="43" customFormat="1" hidden="1" x14ac:dyDescent="0.25">
      <c r="A103" s="102" t="s">
        <v>80</v>
      </c>
      <c r="B103" s="42">
        <v>269505.20000000007</v>
      </c>
      <c r="C103" s="42">
        <v>159791.1</v>
      </c>
      <c r="D103" s="42">
        <v>100592.29999999999</v>
      </c>
      <c r="E103" s="42">
        <v>3181.2</v>
      </c>
      <c r="F103" s="42">
        <v>6576.4</v>
      </c>
      <c r="G103" s="42">
        <v>0</v>
      </c>
      <c r="H103" s="42">
        <v>1134</v>
      </c>
      <c r="I103" s="42">
        <v>230</v>
      </c>
      <c r="J103" s="42">
        <v>28977.9</v>
      </c>
      <c r="K103" s="42">
        <v>40219.500000000007</v>
      </c>
      <c r="L103" s="42">
        <v>8492.0999999999985</v>
      </c>
      <c r="M103" s="42">
        <v>28885.1</v>
      </c>
      <c r="N103" s="42">
        <v>56915.9</v>
      </c>
      <c r="O103" s="49">
        <v>122193.60000000001</v>
      </c>
      <c r="P103" s="59">
        <v>26064.9</v>
      </c>
      <c r="Q103" s="51">
        <v>733.00000000000102</v>
      </c>
      <c r="R103" s="49">
        <v>106414.5</v>
      </c>
      <c r="S103" s="82">
        <f t="shared" si="11"/>
        <v>959906.70000000007</v>
      </c>
      <c r="T103" s="23"/>
      <c r="U103" s="94"/>
      <c r="V103" s="23"/>
      <c r="W103" s="23"/>
      <c r="Y103" s="6"/>
      <c r="Z103" s="6"/>
    </row>
    <row r="104" spans="1:26" s="43" customFormat="1" hidden="1" x14ac:dyDescent="0.25">
      <c r="A104" s="102" t="s">
        <v>81</v>
      </c>
      <c r="B104" s="42">
        <v>259706.40000000002</v>
      </c>
      <c r="C104" s="42">
        <v>164708.70000000001</v>
      </c>
      <c r="D104" s="42">
        <v>93403.200000000012</v>
      </c>
      <c r="E104" s="42">
        <v>1646.7</v>
      </c>
      <c r="F104" s="42">
        <v>5864</v>
      </c>
      <c r="G104" s="42">
        <v>0</v>
      </c>
      <c r="H104" s="42">
        <v>717.99999999999989</v>
      </c>
      <c r="I104" s="42">
        <v>230</v>
      </c>
      <c r="J104" s="42">
        <v>31870.5</v>
      </c>
      <c r="K104" s="42">
        <v>55936.899999999994</v>
      </c>
      <c r="L104" s="42">
        <v>10091.099999999999</v>
      </c>
      <c r="M104" s="42">
        <v>27345.300000000003</v>
      </c>
      <c r="N104" s="42">
        <v>62203.799999999996</v>
      </c>
      <c r="O104" s="49">
        <v>134289.1</v>
      </c>
      <c r="P104" s="59">
        <v>7570.6</v>
      </c>
      <c r="Q104" s="51">
        <v>-36.500000000000135</v>
      </c>
      <c r="R104" s="49">
        <v>103463</v>
      </c>
      <c r="S104" s="82">
        <f t="shared" si="11"/>
        <v>959010.8</v>
      </c>
      <c r="T104" s="23"/>
      <c r="U104" s="94"/>
      <c r="V104" s="23"/>
      <c r="W104" s="23"/>
      <c r="Y104" s="6"/>
      <c r="Z104" s="6"/>
    </row>
    <row r="105" spans="1:26" s="43" customFormat="1" hidden="1" x14ac:dyDescent="0.25">
      <c r="A105" s="102" t="s">
        <v>82</v>
      </c>
      <c r="B105" s="42">
        <v>264156.5</v>
      </c>
      <c r="C105" s="42">
        <v>165197.4</v>
      </c>
      <c r="D105" s="42">
        <v>96935.8</v>
      </c>
      <c r="E105" s="42">
        <v>2098.1999999999998</v>
      </c>
      <c r="F105" s="42">
        <v>5904</v>
      </c>
      <c r="G105" s="42">
        <v>0</v>
      </c>
      <c r="H105" s="42">
        <v>628.69999999999993</v>
      </c>
      <c r="I105" s="42">
        <v>230</v>
      </c>
      <c r="J105" s="42">
        <v>42523.3</v>
      </c>
      <c r="K105" s="42">
        <v>34431.399999999994</v>
      </c>
      <c r="L105" s="42">
        <v>10053.099999999999</v>
      </c>
      <c r="M105" s="42">
        <v>25979.200000000004</v>
      </c>
      <c r="N105" s="42">
        <v>70678.399999999994</v>
      </c>
      <c r="O105" s="49">
        <v>134278.40000000002</v>
      </c>
      <c r="P105" s="59">
        <v>9105</v>
      </c>
      <c r="Q105" s="51">
        <v>128.49999999999849</v>
      </c>
      <c r="R105" s="49">
        <v>90626.5</v>
      </c>
      <c r="S105" s="82">
        <f t="shared" si="11"/>
        <v>952954.4</v>
      </c>
      <c r="T105" s="23"/>
      <c r="U105" s="94"/>
      <c r="V105" s="23"/>
      <c r="W105" s="23"/>
      <c r="Y105" s="6"/>
      <c r="Z105" s="6"/>
    </row>
    <row r="106" spans="1:26" s="43" customFormat="1" hidden="1" x14ac:dyDescent="0.25">
      <c r="A106" s="102" t="s">
        <v>74</v>
      </c>
      <c r="B106" s="42">
        <v>262428</v>
      </c>
      <c r="C106" s="42">
        <v>156027.6</v>
      </c>
      <c r="D106" s="42">
        <v>97569.299999999901</v>
      </c>
      <c r="E106" s="42">
        <v>4906</v>
      </c>
      <c r="F106" s="42">
        <v>13097.6</v>
      </c>
      <c r="G106" s="42">
        <v>70.599999999999994</v>
      </c>
      <c r="H106" s="42">
        <v>1425.7</v>
      </c>
      <c r="I106" s="42">
        <v>1230</v>
      </c>
      <c r="J106" s="42">
        <v>52308</v>
      </c>
      <c r="K106" s="42">
        <v>32454.100000000002</v>
      </c>
      <c r="L106" s="42">
        <v>6547.5000000000009</v>
      </c>
      <c r="M106" s="42">
        <v>22903.100000000002</v>
      </c>
      <c r="N106" s="42">
        <v>68415.7</v>
      </c>
      <c r="O106" s="49">
        <v>134269.1</v>
      </c>
      <c r="P106" s="59">
        <v>11060.199999999999</v>
      </c>
      <c r="Q106" s="51">
        <v>-37.39999999999727</v>
      </c>
      <c r="R106" s="49">
        <v>94169</v>
      </c>
      <c r="S106" s="82">
        <f t="shared" si="11"/>
        <v>958844.09999999963</v>
      </c>
      <c r="T106" s="23"/>
      <c r="U106" s="94"/>
      <c r="V106" s="23"/>
      <c r="W106" s="23"/>
      <c r="Y106" s="6"/>
      <c r="Z106" s="6"/>
    </row>
    <row r="107" spans="1:26" s="43" customFormat="1" hidden="1" x14ac:dyDescent="0.25">
      <c r="A107" s="102" t="s">
        <v>69</v>
      </c>
      <c r="B107" s="42">
        <v>256612.00000000003</v>
      </c>
      <c r="C107" s="42">
        <v>159523.6</v>
      </c>
      <c r="D107" s="42">
        <v>101943.79999999997</v>
      </c>
      <c r="E107" s="42">
        <v>6724.0999999999985</v>
      </c>
      <c r="F107" s="42">
        <v>11967.6</v>
      </c>
      <c r="G107" s="42">
        <v>72</v>
      </c>
      <c r="H107" s="42">
        <v>1338.3</v>
      </c>
      <c r="I107" s="42">
        <v>730</v>
      </c>
      <c r="J107" s="42">
        <v>60060.100000000006</v>
      </c>
      <c r="K107" s="42">
        <v>31556.400000000001</v>
      </c>
      <c r="L107" s="42">
        <v>7214.2000000000007</v>
      </c>
      <c r="M107" s="42">
        <v>22638.800000000003</v>
      </c>
      <c r="N107" s="42">
        <v>78002.399999999994</v>
      </c>
      <c r="O107" s="49">
        <v>134259.40000000002</v>
      </c>
      <c r="P107" s="59">
        <v>12766.1</v>
      </c>
      <c r="Q107" s="51">
        <v>85.599999999997266</v>
      </c>
      <c r="R107" s="49">
        <v>97022.399999999994</v>
      </c>
      <c r="S107" s="82">
        <f t="shared" si="11"/>
        <v>982516.8</v>
      </c>
      <c r="T107" s="23"/>
      <c r="U107" s="94"/>
      <c r="V107" s="23"/>
      <c r="W107" s="23"/>
      <c r="Y107" s="6"/>
      <c r="Z107" s="6"/>
    </row>
    <row r="108" spans="1:26" s="43" customFormat="1" hidden="1" x14ac:dyDescent="0.25">
      <c r="A108" s="102" t="s">
        <v>75</v>
      </c>
      <c r="B108" s="42">
        <v>262242.09999999998</v>
      </c>
      <c r="C108" s="42">
        <v>157920.69999999998</v>
      </c>
      <c r="D108" s="42">
        <v>110734.2</v>
      </c>
      <c r="E108" s="42">
        <v>6075.8999999999987</v>
      </c>
      <c r="F108" s="42">
        <v>10711</v>
      </c>
      <c r="G108" s="42">
        <v>73.3</v>
      </c>
      <c r="H108" s="42">
        <v>1059</v>
      </c>
      <c r="I108" s="42">
        <v>730</v>
      </c>
      <c r="J108" s="42">
        <v>54159.9</v>
      </c>
      <c r="K108" s="42">
        <v>35590.100000000006</v>
      </c>
      <c r="L108" s="42">
        <v>8429</v>
      </c>
      <c r="M108" s="42">
        <v>19663.100000000002</v>
      </c>
      <c r="N108" s="42">
        <v>66653.899999999994</v>
      </c>
      <c r="O108" s="49">
        <v>145442.40000000002</v>
      </c>
      <c r="P108" s="59">
        <v>14668</v>
      </c>
      <c r="Q108" s="51">
        <v>-1479.1</v>
      </c>
      <c r="R108" s="49">
        <v>101018.79999999999</v>
      </c>
      <c r="S108" s="82">
        <f t="shared" si="11"/>
        <v>993692.3</v>
      </c>
      <c r="T108" s="23"/>
      <c r="U108" s="94"/>
      <c r="V108" s="23"/>
      <c r="W108" s="23"/>
      <c r="Y108" s="6"/>
      <c r="Z108" s="6"/>
    </row>
    <row r="109" spans="1:26" s="43" customFormat="1" hidden="1" x14ac:dyDescent="0.25">
      <c r="A109" s="102" t="s">
        <v>76</v>
      </c>
      <c r="B109" s="42">
        <v>274197.00000000006</v>
      </c>
      <c r="C109" s="42">
        <v>157815.89999999997</v>
      </c>
      <c r="D109" s="42">
        <v>122459.39999999992</v>
      </c>
      <c r="E109" s="42">
        <v>3786</v>
      </c>
      <c r="F109" s="42">
        <v>11262.6</v>
      </c>
      <c r="G109" s="42">
        <v>73.7</v>
      </c>
      <c r="H109" s="42">
        <v>890.59999999999991</v>
      </c>
      <c r="I109" s="42">
        <v>730</v>
      </c>
      <c r="J109" s="42">
        <v>42538</v>
      </c>
      <c r="K109" s="42">
        <v>30768.7</v>
      </c>
      <c r="L109" s="42">
        <v>8883.2000000000007</v>
      </c>
      <c r="M109" s="42">
        <v>17402.400000000001</v>
      </c>
      <c r="N109" s="42">
        <v>71435.899999999994</v>
      </c>
      <c r="O109" s="49">
        <v>145432.70000000001</v>
      </c>
      <c r="P109" s="59">
        <v>16709.7</v>
      </c>
      <c r="Q109" s="51">
        <v>-1289.5000000000005</v>
      </c>
      <c r="R109" s="49">
        <v>104142.19999999998</v>
      </c>
      <c r="S109" s="82">
        <f t="shared" si="11"/>
        <v>1007238.4999999998</v>
      </c>
      <c r="T109" s="23"/>
      <c r="U109" s="94"/>
      <c r="V109" s="23"/>
      <c r="W109" s="23"/>
      <c r="Y109" s="6"/>
      <c r="Z109" s="6"/>
    </row>
    <row r="110" spans="1:26" s="43" customFormat="1" hidden="1" x14ac:dyDescent="0.25">
      <c r="A110" s="102" t="s">
        <v>70</v>
      </c>
      <c r="B110" s="42">
        <v>276735.60000000009</v>
      </c>
      <c r="C110" s="42">
        <v>154764.19999999998</v>
      </c>
      <c r="D110" s="42">
        <v>125419.49999999999</v>
      </c>
      <c r="E110" s="42">
        <v>5107.3999999999996</v>
      </c>
      <c r="F110" s="42">
        <v>13347.2</v>
      </c>
      <c r="G110" s="42">
        <v>73.900000000000006</v>
      </c>
      <c r="H110" s="42">
        <v>898.90000000000009</v>
      </c>
      <c r="I110" s="42">
        <v>500</v>
      </c>
      <c r="J110" s="42">
        <v>29462.9</v>
      </c>
      <c r="K110" s="42">
        <v>31357.000000000004</v>
      </c>
      <c r="L110" s="42">
        <v>10100.700000000001</v>
      </c>
      <c r="M110" s="42">
        <v>14680.300000000001</v>
      </c>
      <c r="N110" s="42">
        <v>60492.30000000001</v>
      </c>
      <c r="O110" s="49">
        <v>145422.80000000002</v>
      </c>
      <c r="P110" s="59">
        <v>18133.500000000004</v>
      </c>
      <c r="Q110" s="51">
        <v>-706.49999999999488</v>
      </c>
      <c r="R110" s="49">
        <v>102133.90000000002</v>
      </c>
      <c r="S110" s="82">
        <f t="shared" si="11"/>
        <v>987923.60000000021</v>
      </c>
      <c r="T110" s="23"/>
      <c r="U110" s="94"/>
      <c r="V110" s="23"/>
      <c r="W110" s="23"/>
      <c r="Y110" s="6"/>
      <c r="Z110" s="6"/>
    </row>
    <row r="111" spans="1:26" s="43" customFormat="1" hidden="1" x14ac:dyDescent="0.25">
      <c r="A111" s="102" t="s">
        <v>77</v>
      </c>
      <c r="B111" s="42">
        <v>268884.39999999997</v>
      </c>
      <c r="C111" s="42">
        <v>158843.20000000001</v>
      </c>
      <c r="D111" s="42">
        <v>123174.50000000009</v>
      </c>
      <c r="E111" s="42">
        <v>6670.9999999999991</v>
      </c>
      <c r="F111" s="42">
        <v>13767.3</v>
      </c>
      <c r="G111" s="42">
        <v>67.8</v>
      </c>
      <c r="H111" s="42">
        <v>1079.9000000000001</v>
      </c>
      <c r="I111" s="42">
        <v>730</v>
      </c>
      <c r="J111" s="42">
        <v>15843.4</v>
      </c>
      <c r="K111" s="42">
        <v>45764.399999999994</v>
      </c>
      <c r="L111" s="42">
        <v>8197.4</v>
      </c>
      <c r="M111" s="42">
        <v>19189.199999999997</v>
      </c>
      <c r="N111" s="42">
        <v>64807.700000000012</v>
      </c>
      <c r="O111" s="49">
        <v>145412.40000000002</v>
      </c>
      <c r="P111" s="59">
        <v>19170</v>
      </c>
      <c r="Q111" s="51">
        <v>850.19999999999857</v>
      </c>
      <c r="R111" s="49">
        <v>108481.9</v>
      </c>
      <c r="S111" s="82">
        <f t="shared" si="11"/>
        <v>1000934.7000000002</v>
      </c>
      <c r="T111" s="23"/>
      <c r="U111" s="94"/>
      <c r="V111" s="23"/>
      <c r="W111" s="23"/>
      <c r="Y111" s="6"/>
      <c r="Z111" s="6"/>
    </row>
    <row r="112" spans="1:26" s="43" customFormat="1" hidden="1" x14ac:dyDescent="0.25">
      <c r="A112" s="102" t="s">
        <v>78</v>
      </c>
      <c r="B112" s="42">
        <v>274410.7</v>
      </c>
      <c r="C112" s="42">
        <v>166721.40000000002</v>
      </c>
      <c r="D112" s="42">
        <v>118407.09999999999</v>
      </c>
      <c r="E112" s="42">
        <v>6775.5</v>
      </c>
      <c r="F112" s="42">
        <v>16514.2</v>
      </c>
      <c r="G112" s="42">
        <v>69</v>
      </c>
      <c r="H112" s="42">
        <v>1863.1</v>
      </c>
      <c r="I112" s="42">
        <v>430</v>
      </c>
      <c r="J112" s="42">
        <v>9145.9</v>
      </c>
      <c r="K112" s="42">
        <v>31930.5</v>
      </c>
      <c r="L112" s="42">
        <v>9095.6</v>
      </c>
      <c r="M112" s="42">
        <v>30171.7</v>
      </c>
      <c r="N112" s="42">
        <v>69365.899999999994</v>
      </c>
      <c r="O112" s="49">
        <v>145402</v>
      </c>
      <c r="P112" s="59">
        <v>20646.900000000001</v>
      </c>
      <c r="Q112" s="51">
        <v>3804.5999999999981</v>
      </c>
      <c r="R112" s="49">
        <v>104669.19999999998</v>
      </c>
      <c r="S112" s="82">
        <f t="shared" si="11"/>
        <v>1009423.2999999999</v>
      </c>
      <c r="T112" s="23"/>
      <c r="U112" s="94"/>
      <c r="V112" s="23"/>
      <c r="W112" s="23"/>
      <c r="Y112" s="6"/>
      <c r="Z112" s="6"/>
    </row>
    <row r="113" spans="1:26" s="43" customFormat="1" hidden="1" x14ac:dyDescent="0.25">
      <c r="A113" s="102" t="s">
        <v>71</v>
      </c>
      <c r="B113" s="42">
        <v>293628.7</v>
      </c>
      <c r="C113" s="42">
        <v>175495.9</v>
      </c>
      <c r="D113" s="42">
        <v>125922.79999999999</v>
      </c>
      <c r="E113" s="42">
        <v>7559.4</v>
      </c>
      <c r="F113" s="42">
        <v>17126.100000000002</v>
      </c>
      <c r="G113" s="42">
        <v>170.1</v>
      </c>
      <c r="H113" s="42">
        <v>1801.0000000000002</v>
      </c>
      <c r="I113" s="42">
        <v>430</v>
      </c>
      <c r="J113" s="75" t="s">
        <v>41</v>
      </c>
      <c r="K113" s="42">
        <v>33328.200000000004</v>
      </c>
      <c r="L113" s="42">
        <v>9660.5</v>
      </c>
      <c r="M113" s="42">
        <v>32270.799999999999</v>
      </c>
      <c r="N113" s="42">
        <v>62960.799999999996</v>
      </c>
      <c r="O113" s="49">
        <v>162470.70000000001</v>
      </c>
      <c r="P113" s="59">
        <v>20813.100000000002</v>
      </c>
      <c r="Q113" s="51">
        <v>4114.6000000000004</v>
      </c>
      <c r="R113" s="49">
        <v>96931.400000000009</v>
      </c>
      <c r="S113" s="82">
        <f t="shared" si="11"/>
        <v>1044684.1</v>
      </c>
      <c r="T113" s="73"/>
      <c r="U113" s="94"/>
      <c r="V113" s="23"/>
      <c r="W113" s="23"/>
      <c r="Y113" s="6"/>
      <c r="Z113" s="6"/>
    </row>
    <row r="114" spans="1:26" s="43" customFormat="1" hidden="1" x14ac:dyDescent="0.25">
      <c r="A114" s="102"/>
      <c r="B114" s="42"/>
      <c r="C114" s="42"/>
      <c r="D114" s="42"/>
      <c r="E114" s="42"/>
      <c r="F114" s="42"/>
      <c r="G114" s="42"/>
      <c r="H114" s="42"/>
      <c r="I114" s="42"/>
      <c r="J114" s="75"/>
      <c r="K114" s="42"/>
      <c r="L114" s="42"/>
      <c r="M114" s="42"/>
      <c r="N114" s="42"/>
      <c r="O114" s="84"/>
      <c r="P114" s="83"/>
      <c r="Q114" s="85"/>
      <c r="R114" s="84"/>
      <c r="S114" s="82"/>
      <c r="T114" s="80"/>
      <c r="U114" s="94"/>
      <c r="V114" s="80"/>
      <c r="W114" s="80"/>
      <c r="Y114" s="72"/>
      <c r="Z114" s="72"/>
    </row>
    <row r="115" spans="1:26" hidden="1" x14ac:dyDescent="0.25">
      <c r="A115" s="102" t="s">
        <v>58</v>
      </c>
      <c r="B115" s="81">
        <v>293968.59999999998</v>
      </c>
      <c r="C115" s="81">
        <v>177234.6</v>
      </c>
      <c r="D115" s="81">
        <v>131812.79999999996</v>
      </c>
      <c r="E115" s="81">
        <v>8135.4</v>
      </c>
      <c r="F115" s="81">
        <v>17800.099999999999</v>
      </c>
      <c r="G115" s="81">
        <v>176.1</v>
      </c>
      <c r="H115" s="38">
        <v>1106.8000000000002</v>
      </c>
      <c r="I115" s="38">
        <v>430</v>
      </c>
      <c r="J115" s="38">
        <v>586.9</v>
      </c>
      <c r="K115" s="38">
        <v>33955</v>
      </c>
      <c r="L115" s="38">
        <v>13243.399999999998</v>
      </c>
      <c r="M115" s="38">
        <v>31935.7</v>
      </c>
      <c r="N115" s="38">
        <v>68552.5</v>
      </c>
      <c r="O115" s="49">
        <v>162460.10000000003</v>
      </c>
      <c r="P115" s="59">
        <v>22701.600000000002</v>
      </c>
      <c r="Q115" s="51">
        <v>496.29999999999711</v>
      </c>
      <c r="R115" s="49">
        <v>104613.5</v>
      </c>
      <c r="S115" s="82">
        <f t="shared" si="11"/>
        <v>1069209.3999999999</v>
      </c>
      <c r="T115" s="23"/>
      <c r="U115" s="94"/>
      <c r="V115" s="23"/>
      <c r="W115" s="23"/>
    </row>
    <row r="116" spans="1:26" hidden="1" x14ac:dyDescent="0.25">
      <c r="A116" s="102" t="s">
        <v>80</v>
      </c>
      <c r="B116" s="81">
        <v>299521.1999999999</v>
      </c>
      <c r="C116" s="81">
        <v>175462.29999999996</v>
      </c>
      <c r="D116" s="81">
        <v>146775.79999999996</v>
      </c>
      <c r="E116" s="81">
        <v>9477.9</v>
      </c>
      <c r="F116" s="81">
        <v>16387.900000000001</v>
      </c>
      <c r="G116" s="81">
        <v>183.6</v>
      </c>
      <c r="H116" s="38">
        <v>1023.4000000000001</v>
      </c>
      <c r="I116" s="38">
        <v>430</v>
      </c>
      <c r="J116" s="38">
        <v>11950.7</v>
      </c>
      <c r="K116" s="38">
        <v>26738.9</v>
      </c>
      <c r="L116" s="38">
        <v>13352.4</v>
      </c>
      <c r="M116" s="38">
        <v>31572.800000000003</v>
      </c>
      <c r="N116" s="38">
        <v>69485.899999999994</v>
      </c>
      <c r="O116" s="49">
        <v>162448.9</v>
      </c>
      <c r="P116" s="59">
        <v>24801.3</v>
      </c>
      <c r="Q116" s="51">
        <v>4562.7999999999993</v>
      </c>
      <c r="R116" s="49">
        <v>110507</v>
      </c>
      <c r="S116" s="82">
        <f t="shared" si="11"/>
        <v>1104682.8</v>
      </c>
      <c r="T116" s="23"/>
      <c r="U116" s="94"/>
      <c r="V116" s="23"/>
      <c r="W116" s="23"/>
    </row>
    <row r="117" spans="1:26" hidden="1" x14ac:dyDescent="0.25">
      <c r="A117" s="102" t="s">
        <v>81</v>
      </c>
      <c r="B117" s="81">
        <v>297310.70000000007</v>
      </c>
      <c r="C117" s="81">
        <v>182175.3</v>
      </c>
      <c r="D117" s="81">
        <v>137848.39999999997</v>
      </c>
      <c r="E117" s="81">
        <v>11026.3</v>
      </c>
      <c r="F117" s="81">
        <v>15997.7</v>
      </c>
      <c r="G117" s="81">
        <v>168</v>
      </c>
      <c r="H117" s="38">
        <v>1118.7000000000003</v>
      </c>
      <c r="I117" s="38">
        <v>430</v>
      </c>
      <c r="J117" s="38">
        <v>7591.1</v>
      </c>
      <c r="K117" s="38">
        <v>48713.799999999996</v>
      </c>
      <c r="L117" s="38">
        <v>11006.099999999999</v>
      </c>
      <c r="M117" s="38">
        <v>28700.899999999998</v>
      </c>
      <c r="N117" s="38">
        <v>64117.1</v>
      </c>
      <c r="O117" s="49">
        <v>172005</v>
      </c>
      <c r="P117" s="59">
        <v>8212.7000000000007</v>
      </c>
      <c r="Q117" s="51">
        <v>2939.7000000000021</v>
      </c>
      <c r="R117" s="49">
        <v>109756.29999999999</v>
      </c>
      <c r="S117" s="82">
        <f t="shared" si="11"/>
        <v>1099117.7999999998</v>
      </c>
      <c r="T117" s="23"/>
      <c r="U117" s="94"/>
      <c r="V117" s="23"/>
      <c r="W117" s="23"/>
    </row>
    <row r="118" spans="1:26" hidden="1" x14ac:dyDescent="0.25">
      <c r="A118" s="102" t="s">
        <v>82</v>
      </c>
      <c r="B118" s="81">
        <v>303375.03999999998</v>
      </c>
      <c r="C118" s="81">
        <v>193839.39999999997</v>
      </c>
      <c r="D118" s="81">
        <v>144332.80000000002</v>
      </c>
      <c r="E118" s="81">
        <v>11133.46</v>
      </c>
      <c r="F118" s="81">
        <v>15251</v>
      </c>
      <c r="G118" s="81">
        <v>166.1</v>
      </c>
      <c r="H118" s="38">
        <v>1135.3</v>
      </c>
      <c r="I118" s="38">
        <v>430</v>
      </c>
      <c r="J118" s="38">
        <v>710.4</v>
      </c>
      <c r="K118" s="38">
        <v>31010.3</v>
      </c>
      <c r="L118" s="38">
        <v>11371.4</v>
      </c>
      <c r="M118" s="38">
        <v>24906.100000000002</v>
      </c>
      <c r="N118" s="38">
        <v>57229.700000000004</v>
      </c>
      <c r="O118" s="49">
        <v>171993.90000000002</v>
      </c>
      <c r="P118" s="59">
        <v>10963.900000000001</v>
      </c>
      <c r="Q118" s="51">
        <v>-66.7</v>
      </c>
      <c r="R118" s="49">
        <v>102555.6</v>
      </c>
      <c r="S118" s="82">
        <f t="shared" si="11"/>
        <v>1080337.7000000002</v>
      </c>
      <c r="T118" s="23"/>
      <c r="U118" s="94"/>
      <c r="V118" s="23"/>
      <c r="W118" s="23"/>
    </row>
    <row r="119" spans="1:26" s="72" customFormat="1" hidden="1" x14ac:dyDescent="0.25">
      <c r="A119" s="102" t="s">
        <v>74</v>
      </c>
      <c r="B119" s="81">
        <v>312706.90000000002</v>
      </c>
      <c r="C119" s="81">
        <v>193415.3</v>
      </c>
      <c r="D119" s="81">
        <v>137910.30000000002</v>
      </c>
      <c r="E119" s="81">
        <v>7611.7</v>
      </c>
      <c r="F119" s="81">
        <v>15336</v>
      </c>
      <c r="G119" s="81">
        <v>164.6</v>
      </c>
      <c r="H119" s="74">
        <v>1457.7</v>
      </c>
      <c r="I119" s="74">
        <v>430</v>
      </c>
      <c r="J119" s="75" t="s">
        <v>41</v>
      </c>
      <c r="K119" s="74">
        <v>34013</v>
      </c>
      <c r="L119" s="74">
        <v>9097.2000000000007</v>
      </c>
      <c r="M119" s="74">
        <v>23383.099999999995</v>
      </c>
      <c r="N119" s="74">
        <v>62875</v>
      </c>
      <c r="O119" s="77">
        <v>171985</v>
      </c>
      <c r="P119" s="76">
        <v>13824.600000000002</v>
      </c>
      <c r="Q119" s="78">
        <v>530.3999999999993</v>
      </c>
      <c r="R119" s="77">
        <v>105621.00000000001</v>
      </c>
      <c r="S119" s="82">
        <f t="shared" si="11"/>
        <v>1090361.7999999998</v>
      </c>
      <c r="T119" s="23"/>
      <c r="U119" s="94"/>
      <c r="V119" s="73"/>
      <c r="W119" s="73"/>
    </row>
    <row r="120" spans="1:26" s="70" customFormat="1" hidden="1" x14ac:dyDescent="0.25">
      <c r="A120" s="101" t="s">
        <v>69</v>
      </c>
      <c r="B120" s="81">
        <v>302894.09999999986</v>
      </c>
      <c r="C120" s="81">
        <v>192693.69999999998</v>
      </c>
      <c r="D120" s="81">
        <v>135016.69999999998</v>
      </c>
      <c r="E120" s="81">
        <v>7689.9000000000005</v>
      </c>
      <c r="F120" s="81">
        <v>12098.2</v>
      </c>
      <c r="G120" s="81">
        <v>164.29999999999998</v>
      </c>
      <c r="H120" s="74">
        <v>1608.3</v>
      </c>
      <c r="I120" s="74">
        <v>1204.8</v>
      </c>
      <c r="J120" s="75" t="s">
        <v>41</v>
      </c>
      <c r="K120" s="74">
        <v>47467.1</v>
      </c>
      <c r="L120" s="74">
        <v>8442.7999999999993</v>
      </c>
      <c r="M120" s="74">
        <v>22174.100000000002</v>
      </c>
      <c r="N120" s="74">
        <v>64026.799999999996</v>
      </c>
      <c r="O120" s="77">
        <v>173133.90000000002</v>
      </c>
      <c r="P120" s="76">
        <v>15155.099999999999</v>
      </c>
      <c r="Q120" s="78">
        <v>-4453.4000000000005</v>
      </c>
      <c r="R120" s="77">
        <v>113979.19999999998</v>
      </c>
      <c r="S120" s="82">
        <v>1093295.5999999999</v>
      </c>
      <c r="T120" s="23"/>
      <c r="U120" s="94"/>
      <c r="V120" s="73"/>
      <c r="W120" s="73"/>
      <c r="X120" s="71"/>
      <c r="Y120" s="71"/>
      <c r="Z120" s="71"/>
    </row>
    <row r="121" spans="1:26" hidden="1" x14ac:dyDescent="0.25">
      <c r="A121" s="102" t="s">
        <v>75</v>
      </c>
      <c r="B121" s="81">
        <v>311460.20000000013</v>
      </c>
      <c r="C121" s="81">
        <v>189804</v>
      </c>
      <c r="D121" s="81">
        <v>139324.1</v>
      </c>
      <c r="E121" s="81">
        <v>6444.0999999999995</v>
      </c>
      <c r="F121" s="81">
        <v>10509.300000000001</v>
      </c>
      <c r="G121" s="81">
        <v>151.6</v>
      </c>
      <c r="H121" s="38">
        <v>1271.1000000000001</v>
      </c>
      <c r="I121" s="38">
        <v>430</v>
      </c>
      <c r="J121" s="75" t="s">
        <v>41</v>
      </c>
      <c r="K121" s="38">
        <v>37548.6</v>
      </c>
      <c r="L121" s="38">
        <v>9384</v>
      </c>
      <c r="M121" s="38">
        <v>27952.999999999996</v>
      </c>
      <c r="N121" s="38">
        <v>93180.60000000002</v>
      </c>
      <c r="O121" s="49">
        <v>173123.90000000002</v>
      </c>
      <c r="P121" s="59">
        <v>16218.6</v>
      </c>
      <c r="Q121" s="51">
        <v>4661.8999999999996</v>
      </c>
      <c r="R121" s="49">
        <v>126674.79999999999</v>
      </c>
      <c r="S121" s="82">
        <f t="shared" si="11"/>
        <v>1148139.8</v>
      </c>
      <c r="T121" s="23"/>
      <c r="U121" s="94"/>
      <c r="V121" s="23"/>
      <c r="W121" s="23"/>
    </row>
    <row r="122" spans="1:26" hidden="1" x14ac:dyDescent="0.25">
      <c r="A122" s="102" t="s">
        <v>76</v>
      </c>
      <c r="B122" s="81">
        <v>323671.8</v>
      </c>
      <c r="C122" s="81">
        <v>197353.00000000003</v>
      </c>
      <c r="D122" s="81">
        <v>133701.70000000001</v>
      </c>
      <c r="E122" s="81">
        <v>7276.8</v>
      </c>
      <c r="F122" s="81">
        <v>9316.7999999999993</v>
      </c>
      <c r="G122" s="81">
        <v>151.79999999999998</v>
      </c>
      <c r="H122" s="38">
        <v>821.90000000000009</v>
      </c>
      <c r="I122" s="38">
        <v>430</v>
      </c>
      <c r="J122" s="75" t="s">
        <v>41</v>
      </c>
      <c r="K122" s="38">
        <v>36128.5</v>
      </c>
      <c r="L122" s="38">
        <v>8481.4</v>
      </c>
      <c r="M122" s="38">
        <v>26682.2</v>
      </c>
      <c r="N122" s="38">
        <v>97175</v>
      </c>
      <c r="O122" s="49">
        <v>173114.40000000002</v>
      </c>
      <c r="P122" s="59">
        <v>18653.5</v>
      </c>
      <c r="Q122" s="51">
        <v>-881.1000000000007</v>
      </c>
      <c r="R122" s="49">
        <v>130304.49999999999</v>
      </c>
      <c r="S122" s="82">
        <f t="shared" si="11"/>
        <v>1162382.2000000002</v>
      </c>
      <c r="T122" s="23"/>
      <c r="U122" s="94"/>
      <c r="V122" s="23"/>
      <c r="W122" s="23"/>
    </row>
    <row r="123" spans="1:26" hidden="1" x14ac:dyDescent="0.25">
      <c r="A123" s="102" t="s">
        <v>99</v>
      </c>
      <c r="B123" s="81">
        <v>323653.39999999997</v>
      </c>
      <c r="C123" s="81">
        <v>204700</v>
      </c>
      <c r="D123" s="81">
        <v>132655.39999999997</v>
      </c>
      <c r="E123" s="81">
        <v>7023.2</v>
      </c>
      <c r="F123" s="81">
        <v>8873.7999999999993</v>
      </c>
      <c r="G123" s="81">
        <v>251.89999999999998</v>
      </c>
      <c r="H123" s="38">
        <v>1411.8</v>
      </c>
      <c r="I123" s="38">
        <v>200</v>
      </c>
      <c r="J123" s="75" t="s">
        <v>41</v>
      </c>
      <c r="K123" s="38">
        <v>46894</v>
      </c>
      <c r="L123" s="38">
        <v>8065.6</v>
      </c>
      <c r="M123" s="38">
        <v>23839.200000000001</v>
      </c>
      <c r="N123" s="38">
        <v>97072.7</v>
      </c>
      <c r="O123" s="49">
        <v>173085.40000000002</v>
      </c>
      <c r="P123" s="59">
        <v>20594.5</v>
      </c>
      <c r="Q123" s="51">
        <v>-33.20000000000018</v>
      </c>
      <c r="R123" s="49">
        <v>135024.29999999999</v>
      </c>
      <c r="S123" s="82">
        <f t="shared" si="11"/>
        <v>1183311.9999999998</v>
      </c>
      <c r="T123" s="23"/>
      <c r="U123" s="94"/>
      <c r="V123" s="23"/>
      <c r="W123" s="23"/>
    </row>
    <row r="124" spans="1:26" hidden="1" x14ac:dyDescent="0.25">
      <c r="A124" s="102" t="s">
        <v>100</v>
      </c>
      <c r="B124" s="81">
        <v>329694.80000000005</v>
      </c>
      <c r="C124" s="81">
        <v>204328.00000000003</v>
      </c>
      <c r="D124" s="81">
        <v>135679.39999999988</v>
      </c>
      <c r="E124" s="81">
        <v>10347.099999999999</v>
      </c>
      <c r="F124" s="81">
        <v>7869.2</v>
      </c>
      <c r="G124" s="81">
        <v>251.89999999999998</v>
      </c>
      <c r="H124" s="38">
        <v>1657.5000000000002</v>
      </c>
      <c r="I124" s="38">
        <v>430</v>
      </c>
      <c r="J124" s="75" t="s">
        <v>41</v>
      </c>
      <c r="K124" s="38">
        <v>29490.199999999997</v>
      </c>
      <c r="L124" s="38">
        <v>9945</v>
      </c>
      <c r="M124" s="38">
        <v>26203.8</v>
      </c>
      <c r="N124" s="38">
        <v>93786.4</v>
      </c>
      <c r="O124" s="49">
        <v>173073.80000000002</v>
      </c>
      <c r="P124" s="59">
        <v>22401.499999999996</v>
      </c>
      <c r="Q124" s="51">
        <v>-914.99999999999852</v>
      </c>
      <c r="R124" s="49">
        <v>134823</v>
      </c>
      <c r="S124" s="82">
        <f t="shared" si="11"/>
        <v>1179066.6000000001</v>
      </c>
      <c r="T124" s="23"/>
      <c r="U124" s="94"/>
      <c r="V124" s="23"/>
      <c r="W124" s="23"/>
    </row>
    <row r="125" spans="1:26" hidden="1" x14ac:dyDescent="0.25">
      <c r="A125" s="102" t="s">
        <v>101</v>
      </c>
      <c r="B125" s="81">
        <v>323440.09999999986</v>
      </c>
      <c r="C125" s="81">
        <v>210015.90000000002</v>
      </c>
      <c r="D125" s="81">
        <v>132202.79999999993</v>
      </c>
      <c r="E125" s="81">
        <v>11080.3</v>
      </c>
      <c r="F125" s="81">
        <v>9822.2999999999993</v>
      </c>
      <c r="G125" s="81">
        <v>245.5</v>
      </c>
      <c r="H125" s="38">
        <v>1156.8</v>
      </c>
      <c r="I125" s="38">
        <v>430</v>
      </c>
      <c r="J125" s="75" t="s">
        <v>41</v>
      </c>
      <c r="K125" s="38">
        <v>37931.500000000007</v>
      </c>
      <c r="L125" s="38">
        <v>10511.900000000001</v>
      </c>
      <c r="M125" s="38">
        <v>24332.000000000004</v>
      </c>
      <c r="N125" s="38">
        <v>94731.5</v>
      </c>
      <c r="O125" s="49">
        <v>175995.2</v>
      </c>
      <c r="P125" s="59">
        <v>24831.399999999998</v>
      </c>
      <c r="Q125" s="51">
        <v>104.09999999999818</v>
      </c>
      <c r="R125" s="49">
        <v>131531.70000000001</v>
      </c>
      <c r="S125" s="82">
        <f t="shared" si="11"/>
        <v>1188363</v>
      </c>
      <c r="T125" s="56"/>
      <c r="U125" s="94"/>
      <c r="V125" s="23"/>
      <c r="W125" s="23"/>
    </row>
    <row r="126" spans="1:26" hidden="1" x14ac:dyDescent="0.25">
      <c r="A126" s="102" t="s">
        <v>102</v>
      </c>
      <c r="B126" s="81">
        <v>335552.69999999995</v>
      </c>
      <c r="C126" s="81">
        <v>211763.9</v>
      </c>
      <c r="D126" s="81">
        <v>134315.39999999997</v>
      </c>
      <c r="E126" s="81">
        <v>9698.1999999999989</v>
      </c>
      <c r="F126" s="81">
        <v>11803.2</v>
      </c>
      <c r="G126" s="81">
        <v>246.1</v>
      </c>
      <c r="H126" s="38">
        <v>1446.5</v>
      </c>
      <c r="I126" s="38">
        <v>430</v>
      </c>
      <c r="J126" s="75" t="s">
        <v>41</v>
      </c>
      <c r="K126" s="38">
        <v>50992.200000000004</v>
      </c>
      <c r="L126" s="38">
        <v>9056.5</v>
      </c>
      <c r="M126" s="38">
        <v>22059.600000000002</v>
      </c>
      <c r="N126" s="38">
        <v>89787.400000000009</v>
      </c>
      <c r="O126" s="49">
        <v>185759.6</v>
      </c>
      <c r="P126" s="59">
        <v>21766.899999999998</v>
      </c>
      <c r="Q126" s="51">
        <v>-198.70000000000019</v>
      </c>
      <c r="R126" s="49">
        <v>133537.29999999999</v>
      </c>
      <c r="S126" s="82">
        <f t="shared" si="11"/>
        <v>1218016.7999999998</v>
      </c>
      <c r="T126" s="56"/>
      <c r="U126" s="94"/>
      <c r="V126" s="23"/>
      <c r="W126" s="23"/>
    </row>
    <row r="127" spans="1:26" s="72" customFormat="1" hidden="1" x14ac:dyDescent="0.25">
      <c r="A127" s="102"/>
      <c r="B127" s="81"/>
      <c r="C127" s="81"/>
      <c r="D127" s="81"/>
      <c r="E127" s="81"/>
      <c r="F127" s="81"/>
      <c r="G127" s="81"/>
      <c r="H127" s="81"/>
      <c r="I127" s="81"/>
      <c r="J127" s="75"/>
      <c r="K127" s="81"/>
      <c r="L127" s="81"/>
      <c r="M127" s="81"/>
      <c r="N127" s="81"/>
      <c r="O127" s="84"/>
      <c r="P127" s="83"/>
      <c r="Q127" s="85"/>
      <c r="R127" s="84"/>
      <c r="S127" s="82"/>
      <c r="T127" s="80"/>
      <c r="U127" s="94"/>
      <c r="V127" s="80"/>
      <c r="W127" s="80"/>
    </row>
    <row r="128" spans="1:26" hidden="1" x14ac:dyDescent="0.25">
      <c r="A128" s="102" t="s">
        <v>79</v>
      </c>
      <c r="B128" s="81">
        <v>321921.59999999998</v>
      </c>
      <c r="C128" s="81">
        <v>215563.1</v>
      </c>
      <c r="D128" s="81">
        <v>136896.5</v>
      </c>
      <c r="E128" s="81">
        <v>6911.0999999999985</v>
      </c>
      <c r="F128" s="81">
        <v>13787.1</v>
      </c>
      <c r="G128" s="81">
        <v>246.3</v>
      </c>
      <c r="H128" s="38">
        <v>979</v>
      </c>
      <c r="I128" s="38">
        <v>430</v>
      </c>
      <c r="J128" s="75" t="s">
        <v>41</v>
      </c>
      <c r="K128" s="38">
        <v>36370.699999999997</v>
      </c>
      <c r="L128" s="38">
        <v>10394.200000000001</v>
      </c>
      <c r="M128" s="38">
        <v>23963.999999999996</v>
      </c>
      <c r="N128" s="38">
        <v>99764.5</v>
      </c>
      <c r="O128" s="49">
        <v>185457.7</v>
      </c>
      <c r="P128" s="59">
        <v>23367.8</v>
      </c>
      <c r="Q128" s="51">
        <v>-535.9000000000018</v>
      </c>
      <c r="R128" s="49">
        <v>138828.9</v>
      </c>
      <c r="S128" s="82">
        <f t="shared" si="11"/>
        <v>1214346.5999999999</v>
      </c>
      <c r="T128" s="56"/>
      <c r="U128" s="94"/>
      <c r="V128" s="23"/>
      <c r="W128" s="23"/>
    </row>
    <row r="129" spans="1:23" hidden="1" x14ac:dyDescent="0.25">
      <c r="A129" s="102" t="s">
        <v>104</v>
      </c>
      <c r="B129" s="57">
        <v>313123.20000000013</v>
      </c>
      <c r="C129" s="57">
        <v>230217.49999999997</v>
      </c>
      <c r="D129" s="57">
        <v>147004.29999999993</v>
      </c>
      <c r="E129" s="57">
        <v>6707.5999999999995</v>
      </c>
      <c r="F129" s="57">
        <v>12377.2</v>
      </c>
      <c r="G129" s="57">
        <v>288</v>
      </c>
      <c r="H129" s="38">
        <v>836.4</v>
      </c>
      <c r="I129" s="38">
        <v>430</v>
      </c>
      <c r="J129" s="39">
        <v>100.9</v>
      </c>
      <c r="K129" s="8">
        <v>36731</v>
      </c>
      <c r="L129" s="38">
        <v>7641.8</v>
      </c>
      <c r="M129" s="38">
        <v>36611.300000000003</v>
      </c>
      <c r="N129" s="38">
        <v>92448.099999999991</v>
      </c>
      <c r="O129" s="55">
        <v>185426.9</v>
      </c>
      <c r="P129" s="59">
        <v>24084.3</v>
      </c>
      <c r="Q129" s="60">
        <v>6371.5999999999967</v>
      </c>
      <c r="R129" s="55">
        <v>137081.70000000001</v>
      </c>
      <c r="S129" s="82">
        <f t="shared" ref="S129" si="12">SUM(B129:R129)</f>
        <v>1237481.8</v>
      </c>
      <c r="T129" s="56"/>
      <c r="U129" s="94"/>
      <c r="V129" s="23"/>
      <c r="W129" s="23"/>
    </row>
    <row r="130" spans="1:23" hidden="1" x14ac:dyDescent="0.25">
      <c r="A130" s="102" t="s">
        <v>72</v>
      </c>
      <c r="B130" s="57">
        <v>327186.89999999997</v>
      </c>
      <c r="C130" s="57">
        <v>230375.10000000003</v>
      </c>
      <c r="D130" s="57">
        <v>149215.09999999989</v>
      </c>
      <c r="E130" s="57">
        <v>7228.7999999999993</v>
      </c>
      <c r="F130" s="57">
        <v>12602.2</v>
      </c>
      <c r="G130" s="57">
        <v>299.7</v>
      </c>
      <c r="H130" s="38">
        <v>1164.5999999999999</v>
      </c>
      <c r="I130" s="38">
        <v>430</v>
      </c>
      <c r="J130" s="75" t="s">
        <v>41</v>
      </c>
      <c r="K130" s="8">
        <v>44396.2</v>
      </c>
      <c r="L130" s="38">
        <v>7987.7</v>
      </c>
      <c r="M130" s="38">
        <v>28923.399999999998</v>
      </c>
      <c r="N130" s="38">
        <v>100768.70000000001</v>
      </c>
      <c r="O130" s="55">
        <v>189667.8</v>
      </c>
      <c r="P130" s="59">
        <v>16072.599999999999</v>
      </c>
      <c r="Q130" s="60">
        <v>-3172.1999999999994</v>
      </c>
      <c r="R130" s="55">
        <v>131176.70000000001</v>
      </c>
      <c r="S130" s="82">
        <f t="shared" ref="S130" si="13">SUM(B130:R130)</f>
        <v>1244323.2999999998</v>
      </c>
      <c r="T130" s="56"/>
      <c r="U130" s="94"/>
      <c r="V130" s="23"/>
      <c r="W130" s="23"/>
    </row>
    <row r="131" spans="1:23" hidden="1" x14ac:dyDescent="0.25">
      <c r="A131" s="102" t="s">
        <v>106</v>
      </c>
      <c r="B131" s="57">
        <v>335300.59999999992</v>
      </c>
      <c r="C131" s="57">
        <v>234447.6</v>
      </c>
      <c r="D131" s="57">
        <v>161728.20000000004</v>
      </c>
      <c r="E131" s="57">
        <v>10572.9</v>
      </c>
      <c r="F131" s="57">
        <v>11776.6</v>
      </c>
      <c r="G131" s="57">
        <v>287.89999999999998</v>
      </c>
      <c r="H131" s="38">
        <v>1392.1</v>
      </c>
      <c r="I131" s="38">
        <v>430</v>
      </c>
      <c r="J131" s="75" t="s">
        <v>41</v>
      </c>
      <c r="K131" s="8">
        <v>37615.9</v>
      </c>
      <c r="L131" s="38">
        <v>7479.0999999999995</v>
      </c>
      <c r="M131" s="38">
        <v>23495.599999999999</v>
      </c>
      <c r="N131" s="38">
        <v>107327.5</v>
      </c>
      <c r="O131" s="55">
        <v>190120.80000000002</v>
      </c>
      <c r="P131" s="59">
        <v>15472.3</v>
      </c>
      <c r="Q131" s="60">
        <v>720.49999999999966</v>
      </c>
      <c r="R131" s="55">
        <v>135707.09999999998</v>
      </c>
      <c r="S131" s="82">
        <f t="shared" ref="S131:S134" si="14">SUM(B131:R131)</f>
        <v>1273874.7000000002</v>
      </c>
      <c r="T131" s="56"/>
      <c r="U131" s="94"/>
      <c r="V131" s="23"/>
      <c r="W131" s="23"/>
    </row>
    <row r="132" spans="1:23" hidden="1" x14ac:dyDescent="0.25">
      <c r="A132" s="102" t="s">
        <v>107</v>
      </c>
      <c r="B132" s="57">
        <v>336505.39999999997</v>
      </c>
      <c r="C132" s="57">
        <v>235632.09999999998</v>
      </c>
      <c r="D132" s="57">
        <v>147762.20000000007</v>
      </c>
      <c r="E132" s="57">
        <v>9806.7999999999993</v>
      </c>
      <c r="F132" s="57">
        <v>10787.1</v>
      </c>
      <c r="G132" s="57">
        <v>0</v>
      </c>
      <c r="H132" s="58">
        <v>1045</v>
      </c>
      <c r="I132" s="58">
        <v>480</v>
      </c>
      <c r="J132" s="75" t="s">
        <v>41</v>
      </c>
      <c r="K132" s="54">
        <v>36020.999999999993</v>
      </c>
      <c r="L132" s="58">
        <v>6780.4</v>
      </c>
      <c r="M132" s="58">
        <v>25618.3</v>
      </c>
      <c r="N132" s="58">
        <v>101540</v>
      </c>
      <c r="O132" s="55">
        <v>190121.3</v>
      </c>
      <c r="P132" s="59">
        <v>17198.5</v>
      </c>
      <c r="Q132" s="60">
        <v>-2080.0000000000005</v>
      </c>
      <c r="R132" s="55">
        <v>138727.9</v>
      </c>
      <c r="S132" s="82">
        <f t="shared" si="14"/>
        <v>1255946</v>
      </c>
      <c r="T132" s="56"/>
      <c r="U132" s="94"/>
      <c r="V132" s="56"/>
      <c r="W132" s="56"/>
    </row>
    <row r="133" spans="1:23" s="72" customFormat="1" hidden="1" x14ac:dyDescent="0.25">
      <c r="A133" s="102" t="s">
        <v>109</v>
      </c>
      <c r="B133" s="57">
        <v>352182.9</v>
      </c>
      <c r="C133" s="57">
        <v>232053.8</v>
      </c>
      <c r="D133" s="57">
        <v>145441.80000000002</v>
      </c>
      <c r="E133" s="57">
        <v>11827.5</v>
      </c>
      <c r="F133" s="57">
        <v>10918.8</v>
      </c>
      <c r="G133" s="57">
        <v>0</v>
      </c>
      <c r="H133" s="81">
        <v>1983.8</v>
      </c>
      <c r="I133" s="81">
        <v>250</v>
      </c>
      <c r="J133" s="75" t="s">
        <v>41</v>
      </c>
      <c r="K133" s="54">
        <v>46972.9</v>
      </c>
      <c r="L133" s="81">
        <v>8690.2999999999993</v>
      </c>
      <c r="M133" s="81">
        <v>19697.099999999999</v>
      </c>
      <c r="N133" s="81">
        <v>102707.09999999999</v>
      </c>
      <c r="O133" s="55">
        <v>193171.39999999997</v>
      </c>
      <c r="P133" s="83">
        <v>16946.699999999997</v>
      </c>
      <c r="Q133" s="60">
        <v>-3933.8000000000015</v>
      </c>
      <c r="R133" s="55">
        <v>143366.29999999999</v>
      </c>
      <c r="S133" s="82">
        <f t="shared" si="14"/>
        <v>1282276.6000000001</v>
      </c>
      <c r="T133" s="80"/>
      <c r="U133" s="94"/>
      <c r="V133" s="80"/>
      <c r="W133" s="80"/>
    </row>
    <row r="134" spans="1:23" hidden="1" x14ac:dyDescent="0.25">
      <c r="A134" s="102" t="s">
        <v>112</v>
      </c>
      <c r="B134" s="57">
        <v>355902.89999999991</v>
      </c>
      <c r="C134" s="57">
        <v>239370.50000000003</v>
      </c>
      <c r="D134" s="57">
        <v>167466.59999999995</v>
      </c>
      <c r="E134" s="57">
        <v>8413.3000000000011</v>
      </c>
      <c r="F134" s="57">
        <v>11728.1</v>
      </c>
      <c r="G134" s="57">
        <v>0</v>
      </c>
      <c r="H134" s="58">
        <v>1297.8</v>
      </c>
      <c r="I134" s="58">
        <v>280</v>
      </c>
      <c r="J134" s="75" t="s">
        <v>41</v>
      </c>
      <c r="K134" s="54">
        <v>42318.3</v>
      </c>
      <c r="L134" s="58">
        <v>9695.1</v>
      </c>
      <c r="M134" s="58">
        <v>21321.7</v>
      </c>
      <c r="N134" s="58">
        <v>108563.80000000002</v>
      </c>
      <c r="O134" s="55">
        <v>193278.19999999998</v>
      </c>
      <c r="P134" s="59">
        <v>18872.8</v>
      </c>
      <c r="Q134" s="60">
        <v>-4907.3</v>
      </c>
      <c r="R134" s="55">
        <v>147930.20000000001</v>
      </c>
      <c r="S134" s="82">
        <f t="shared" si="14"/>
        <v>1321532</v>
      </c>
      <c r="T134" s="56"/>
      <c r="U134" s="94"/>
      <c r="V134" s="56"/>
      <c r="W134" s="56"/>
    </row>
    <row r="135" spans="1:23" hidden="1" x14ac:dyDescent="0.25">
      <c r="A135" s="102" t="s">
        <v>111</v>
      </c>
      <c r="B135" s="57">
        <v>362399.60000000003</v>
      </c>
      <c r="C135" s="57">
        <v>238744.6</v>
      </c>
      <c r="D135" s="57">
        <v>159011.39999999994</v>
      </c>
      <c r="E135" s="57">
        <v>9923.7999999999993</v>
      </c>
      <c r="F135" s="57">
        <v>11156.599999999999</v>
      </c>
      <c r="G135" s="57">
        <v>0</v>
      </c>
      <c r="H135" s="58">
        <v>1441.4</v>
      </c>
      <c r="I135" s="58">
        <v>280</v>
      </c>
      <c r="J135" s="75" t="s">
        <v>41</v>
      </c>
      <c r="K135" s="54">
        <v>43264.9</v>
      </c>
      <c r="L135" s="58">
        <v>6237.9</v>
      </c>
      <c r="M135" s="58">
        <v>15180.1</v>
      </c>
      <c r="N135" s="58">
        <v>125444.30000000002</v>
      </c>
      <c r="O135" s="55">
        <v>193266.9</v>
      </c>
      <c r="P135" s="59">
        <v>21790.5</v>
      </c>
      <c r="Q135" s="60">
        <v>-4975.2</v>
      </c>
      <c r="R135" s="55">
        <v>145338.5</v>
      </c>
      <c r="S135" s="82">
        <f t="shared" ref="S135" si="15">SUM(B135:R135)</f>
        <v>1328505.3</v>
      </c>
      <c r="U135" s="94"/>
      <c r="V135" s="56"/>
      <c r="W135" s="56"/>
    </row>
    <row r="136" spans="1:23" hidden="1" x14ac:dyDescent="0.25">
      <c r="A136" s="102" t="s">
        <v>113</v>
      </c>
      <c r="B136" s="57">
        <v>340745.7</v>
      </c>
      <c r="C136" s="57">
        <v>225034.69999999998</v>
      </c>
      <c r="D136" s="57">
        <v>148158.49999999988</v>
      </c>
      <c r="E136" s="57">
        <v>8632.8000000000011</v>
      </c>
      <c r="F136" s="57">
        <v>11457.199999999999</v>
      </c>
      <c r="G136" s="57">
        <v>0</v>
      </c>
      <c r="H136" s="58">
        <v>2127.3000000000002</v>
      </c>
      <c r="I136" s="58">
        <v>230</v>
      </c>
      <c r="J136" s="75" t="s">
        <v>41</v>
      </c>
      <c r="K136" s="54">
        <v>52172.800000000003</v>
      </c>
      <c r="L136" s="58">
        <v>9825.5</v>
      </c>
      <c r="M136" s="58">
        <v>14050.2</v>
      </c>
      <c r="N136" s="58">
        <v>123900.5</v>
      </c>
      <c r="O136" s="55">
        <v>193246.40000000002</v>
      </c>
      <c r="P136" s="59">
        <v>23804.1</v>
      </c>
      <c r="Q136" s="60">
        <v>-6415.5000000000018</v>
      </c>
      <c r="R136" s="55">
        <v>163481.60000000001</v>
      </c>
      <c r="S136" s="82">
        <f t="shared" ref="S136" si="16">SUM(B136:R136)</f>
        <v>1310451.8000000003</v>
      </c>
      <c r="T136" s="56"/>
      <c r="U136" s="94"/>
      <c r="V136" s="56"/>
      <c r="W136" s="56"/>
    </row>
    <row r="137" spans="1:23" hidden="1" x14ac:dyDescent="0.25">
      <c r="A137" s="102" t="s">
        <v>114</v>
      </c>
      <c r="B137" s="57">
        <v>383785.00000000006</v>
      </c>
      <c r="C137" s="57">
        <v>223373.09999999998</v>
      </c>
      <c r="D137" s="57">
        <v>154115.89999999988</v>
      </c>
      <c r="E137" s="57">
        <v>12270.2</v>
      </c>
      <c r="F137" s="57">
        <v>13231.9</v>
      </c>
      <c r="G137" s="57">
        <v>0</v>
      </c>
      <c r="H137" s="58">
        <v>2114.6000000000004</v>
      </c>
      <c r="I137" s="58">
        <v>230</v>
      </c>
      <c r="J137" s="75" t="s">
        <v>41</v>
      </c>
      <c r="K137" s="54">
        <v>40593.699999999997</v>
      </c>
      <c r="L137" s="58">
        <v>11710.6</v>
      </c>
      <c r="M137" s="58">
        <v>16765.2</v>
      </c>
      <c r="N137" s="58">
        <v>126248.49999999999</v>
      </c>
      <c r="O137" s="55">
        <v>195355.19999999998</v>
      </c>
      <c r="P137" s="59">
        <v>25230</v>
      </c>
      <c r="Q137" s="60">
        <v>-5665.9</v>
      </c>
      <c r="R137" s="55">
        <v>148996</v>
      </c>
      <c r="S137" s="82">
        <f t="shared" ref="S137" si="17">SUM(B137:R137)</f>
        <v>1348354</v>
      </c>
      <c r="T137" s="56"/>
      <c r="U137" s="94"/>
      <c r="V137" s="56"/>
      <c r="W137" s="56"/>
    </row>
    <row r="138" spans="1:23" hidden="1" x14ac:dyDescent="0.25">
      <c r="A138" s="102" t="s">
        <v>115</v>
      </c>
      <c r="B138" s="57">
        <v>369014.29999999993</v>
      </c>
      <c r="C138" s="57">
        <v>221357.8</v>
      </c>
      <c r="D138" s="57">
        <v>145251.5</v>
      </c>
      <c r="E138" s="57">
        <v>12303.999999999998</v>
      </c>
      <c r="F138" s="57">
        <v>14878.9</v>
      </c>
      <c r="G138" s="57">
        <v>0</v>
      </c>
      <c r="H138" s="58">
        <v>2101.8000000000006</v>
      </c>
      <c r="I138" s="58">
        <v>230</v>
      </c>
      <c r="J138" s="58">
        <v>1537.5</v>
      </c>
      <c r="K138" s="54">
        <v>44404.200000000004</v>
      </c>
      <c r="L138" s="58">
        <v>10074.700000000001</v>
      </c>
      <c r="M138" s="58">
        <v>15167.600000000002</v>
      </c>
      <c r="N138" s="58">
        <v>119263.00000000001</v>
      </c>
      <c r="O138" s="55">
        <v>196825.79999999996</v>
      </c>
      <c r="P138" s="59">
        <v>27592.400000000001</v>
      </c>
      <c r="Q138" s="60">
        <v>-5717.4000000000015</v>
      </c>
      <c r="R138" s="55">
        <v>151168.9</v>
      </c>
      <c r="S138" s="82">
        <f t="shared" ref="S138" si="18">SUM(B138:R138)</f>
        <v>1325454.9999999998</v>
      </c>
      <c r="T138" s="56"/>
      <c r="U138" s="94"/>
      <c r="V138" s="56"/>
      <c r="W138" s="56"/>
    </row>
    <row r="139" spans="1:23" hidden="1" x14ac:dyDescent="0.25">
      <c r="A139" s="102" t="s">
        <v>117</v>
      </c>
      <c r="B139" s="57">
        <v>384656.60000000003</v>
      </c>
      <c r="C139" s="57">
        <v>227786.60000000003</v>
      </c>
      <c r="D139" s="57">
        <v>163209.70000000004</v>
      </c>
      <c r="E139" s="57">
        <v>15905.7</v>
      </c>
      <c r="F139" s="57">
        <v>12998.199999999999</v>
      </c>
      <c r="G139" s="57">
        <v>0</v>
      </c>
      <c r="H139" s="58">
        <v>1669.5</v>
      </c>
      <c r="I139" s="58">
        <v>230</v>
      </c>
      <c r="J139" s="75" t="s">
        <v>41</v>
      </c>
      <c r="K139" s="54">
        <v>48639.1</v>
      </c>
      <c r="L139" s="58">
        <v>9410.5</v>
      </c>
      <c r="M139" s="58">
        <v>17620.400000000001</v>
      </c>
      <c r="N139" s="58">
        <v>147751.79999999999</v>
      </c>
      <c r="O139" s="55">
        <v>205273.59999999995</v>
      </c>
      <c r="P139" s="59">
        <v>25746.6</v>
      </c>
      <c r="Q139" s="60">
        <v>-2380.1999999999975</v>
      </c>
      <c r="R139" s="55">
        <v>142120.29999999999</v>
      </c>
      <c r="S139" s="82">
        <f t="shared" ref="S139" si="19">SUM(B139:R139)</f>
        <v>1400638.4000000001</v>
      </c>
      <c r="T139" s="56"/>
      <c r="U139" s="94"/>
      <c r="V139" s="56"/>
      <c r="W139" s="56"/>
    </row>
    <row r="140" spans="1:23" s="72" customFormat="1" hidden="1" x14ac:dyDescent="0.25">
      <c r="A140" s="102"/>
      <c r="B140" s="57"/>
      <c r="C140" s="57"/>
      <c r="D140" s="57"/>
      <c r="E140" s="57"/>
      <c r="F140" s="57"/>
      <c r="G140" s="57"/>
      <c r="H140" s="81"/>
      <c r="I140" s="81"/>
      <c r="J140" s="75"/>
      <c r="K140" s="54"/>
      <c r="L140" s="81"/>
      <c r="M140" s="81"/>
      <c r="N140" s="81"/>
      <c r="O140" s="55"/>
      <c r="P140" s="83"/>
      <c r="Q140" s="60"/>
      <c r="R140" s="55"/>
      <c r="S140" s="82"/>
      <c r="T140" s="80"/>
      <c r="U140" s="94"/>
      <c r="V140" s="80"/>
      <c r="W140" s="80"/>
    </row>
    <row r="141" spans="1:23" hidden="1" x14ac:dyDescent="0.25">
      <c r="A141" s="102" t="s">
        <v>83</v>
      </c>
      <c r="B141" s="57">
        <v>377092.1</v>
      </c>
      <c r="C141" s="57">
        <v>227743.40000000002</v>
      </c>
      <c r="D141" s="57">
        <v>157848.29999999999</v>
      </c>
      <c r="E141" s="57">
        <v>11765.9</v>
      </c>
      <c r="F141" s="57">
        <v>12887.900000000001</v>
      </c>
      <c r="G141" s="57">
        <v>0</v>
      </c>
      <c r="H141" s="58">
        <v>1257.5</v>
      </c>
      <c r="I141" s="58">
        <v>230</v>
      </c>
      <c r="J141" s="58">
        <v>462.2</v>
      </c>
      <c r="K141" s="54">
        <v>37217</v>
      </c>
      <c r="L141" s="58">
        <v>10765</v>
      </c>
      <c r="M141" s="58">
        <v>14643.7</v>
      </c>
      <c r="N141" s="58">
        <v>141155.80000000002</v>
      </c>
      <c r="O141" s="55">
        <v>205212.79999999999</v>
      </c>
      <c r="P141" s="59">
        <v>29053.4</v>
      </c>
      <c r="Q141" s="60">
        <v>-7358.5999999999967</v>
      </c>
      <c r="R141" s="55">
        <v>140232.5</v>
      </c>
      <c r="S141" s="82">
        <f t="shared" ref="S141:S142" si="20">SUM(B141:R141)</f>
        <v>1360208.9</v>
      </c>
      <c r="T141" s="56"/>
      <c r="U141" s="94"/>
      <c r="V141" s="56"/>
      <c r="W141" s="56"/>
    </row>
    <row r="142" spans="1:23" hidden="1" x14ac:dyDescent="0.25">
      <c r="A142" s="102" t="s">
        <v>120</v>
      </c>
      <c r="B142" s="57">
        <v>371144.59999999992</v>
      </c>
      <c r="C142" s="57">
        <v>233963.3</v>
      </c>
      <c r="D142" s="57">
        <v>153754.09999999995</v>
      </c>
      <c r="E142" s="57">
        <v>10802.000000000002</v>
      </c>
      <c r="F142" s="57">
        <v>13780.2</v>
      </c>
      <c r="G142" s="57">
        <v>0</v>
      </c>
      <c r="H142" s="58">
        <v>1416.6</v>
      </c>
      <c r="I142" s="58">
        <v>630</v>
      </c>
      <c r="J142" s="75" t="s">
        <v>41</v>
      </c>
      <c r="K142" s="54">
        <v>36743.599999999999</v>
      </c>
      <c r="L142" s="58">
        <v>11042.300000000001</v>
      </c>
      <c r="M142" s="58">
        <v>16076</v>
      </c>
      <c r="N142" s="58">
        <v>147645.9</v>
      </c>
      <c r="O142" s="55">
        <v>210500.89999999997</v>
      </c>
      <c r="P142" s="59">
        <v>23074.299999999996</v>
      </c>
      <c r="Q142" s="60">
        <v>-5337.8000000000011</v>
      </c>
      <c r="R142" s="55">
        <v>149373.9</v>
      </c>
      <c r="S142" s="82">
        <f t="shared" si="20"/>
        <v>1374609.8999999997</v>
      </c>
      <c r="T142" s="56"/>
      <c r="U142" s="94"/>
      <c r="V142" s="56"/>
      <c r="W142" s="56"/>
    </row>
    <row r="143" spans="1:23" hidden="1" x14ac:dyDescent="0.25">
      <c r="A143" s="102" t="s">
        <v>73</v>
      </c>
      <c r="B143" s="57">
        <v>344444.1</v>
      </c>
      <c r="C143" s="57">
        <v>238986.80000000005</v>
      </c>
      <c r="D143" s="57">
        <v>148154.4</v>
      </c>
      <c r="E143" s="57">
        <v>11731.800000000001</v>
      </c>
      <c r="F143" s="57">
        <v>8849.7999999999993</v>
      </c>
      <c r="G143" s="75" t="s">
        <v>41</v>
      </c>
      <c r="H143" s="58">
        <v>1196</v>
      </c>
      <c r="I143" s="58">
        <v>1133.5999999999999</v>
      </c>
      <c r="J143" s="58">
        <v>1123.2</v>
      </c>
      <c r="K143" s="54">
        <v>52869.700000000004</v>
      </c>
      <c r="L143" s="58">
        <v>10155.5</v>
      </c>
      <c r="M143" s="58">
        <v>14779.000000000002</v>
      </c>
      <c r="N143" s="58">
        <v>146198.79999999999</v>
      </c>
      <c r="O143" s="55">
        <v>215597.59999999998</v>
      </c>
      <c r="P143" s="59">
        <v>11497.699999999999</v>
      </c>
      <c r="Q143" s="60">
        <v>-4355.6000000000022</v>
      </c>
      <c r="R143" s="55">
        <v>156675.29999999999</v>
      </c>
      <c r="S143" s="82">
        <f t="shared" ref="S143" si="21">SUM(B143:R143)</f>
        <v>1359037.6999999997</v>
      </c>
      <c r="T143" s="73"/>
      <c r="U143" s="94"/>
      <c r="V143" s="56"/>
      <c r="W143" s="56"/>
    </row>
    <row r="144" spans="1:23" hidden="1" x14ac:dyDescent="0.25">
      <c r="A144" s="102" t="s">
        <v>125</v>
      </c>
      <c r="B144" s="57">
        <v>365938.00000000006</v>
      </c>
      <c r="C144" s="57">
        <v>240662.00000000003</v>
      </c>
      <c r="D144" s="57">
        <v>156577.30000000002</v>
      </c>
      <c r="E144" s="57">
        <v>12946.199999999999</v>
      </c>
      <c r="F144" s="57">
        <v>13013.9</v>
      </c>
      <c r="G144" s="75" t="s">
        <v>41</v>
      </c>
      <c r="H144" s="58">
        <v>4460.1000000000004</v>
      </c>
      <c r="I144" s="58">
        <v>930</v>
      </c>
      <c r="J144" s="58">
        <v>10000</v>
      </c>
      <c r="K144" s="54">
        <v>34515.500000000007</v>
      </c>
      <c r="L144" s="58">
        <v>11071.300000000001</v>
      </c>
      <c r="M144" s="58">
        <v>16144.000000000002</v>
      </c>
      <c r="N144" s="58">
        <v>147867.09999999998</v>
      </c>
      <c r="O144" s="55">
        <v>215585.69999999995</v>
      </c>
      <c r="P144" s="59">
        <v>14661.499999999996</v>
      </c>
      <c r="Q144" s="60">
        <v>-5117.5000000000009</v>
      </c>
      <c r="R144" s="55">
        <v>147134.79999999999</v>
      </c>
      <c r="S144" s="82">
        <f t="shared" ref="S144" si="22">SUM(B144:R144)</f>
        <v>1386389.9000000001</v>
      </c>
      <c r="T144" s="73"/>
      <c r="U144" s="94"/>
      <c r="V144" s="56"/>
      <c r="W144" s="56"/>
    </row>
    <row r="145" spans="1:23" hidden="1" x14ac:dyDescent="0.25">
      <c r="A145" s="102" t="s">
        <v>126</v>
      </c>
      <c r="B145" s="57">
        <v>384802.5</v>
      </c>
      <c r="C145" s="57">
        <v>239634.70000000004</v>
      </c>
      <c r="D145" s="57">
        <v>142297.59999999998</v>
      </c>
      <c r="E145" s="57">
        <v>13355.800000000001</v>
      </c>
      <c r="F145" s="57">
        <v>13178.300000000001</v>
      </c>
      <c r="G145" s="75" t="s">
        <v>41</v>
      </c>
      <c r="H145" s="58">
        <v>5451</v>
      </c>
      <c r="I145" s="58">
        <v>1433.8</v>
      </c>
      <c r="J145" s="58">
        <v>1260.5</v>
      </c>
      <c r="K145" s="54">
        <v>32965.699999999997</v>
      </c>
      <c r="L145" s="58">
        <v>10273.6</v>
      </c>
      <c r="M145" s="58">
        <v>15287.400000000001</v>
      </c>
      <c r="N145" s="58">
        <v>136900.59999999998</v>
      </c>
      <c r="O145" s="55">
        <v>215586.99999999997</v>
      </c>
      <c r="P145" s="59">
        <v>16481.2</v>
      </c>
      <c r="Q145" s="60">
        <v>-5653.6000000000013</v>
      </c>
      <c r="R145" s="55">
        <v>150382.79999999999</v>
      </c>
      <c r="S145" s="82">
        <f t="shared" ref="S145" si="23">SUM(B145:R145)</f>
        <v>1373638.9</v>
      </c>
      <c r="T145" s="73"/>
      <c r="U145" s="94"/>
      <c r="V145" s="56"/>
      <c r="W145" s="56"/>
    </row>
    <row r="146" spans="1:23" hidden="1" x14ac:dyDescent="0.25">
      <c r="A146" s="102" t="s">
        <v>129</v>
      </c>
      <c r="B146" s="57">
        <v>359911.1999999999</v>
      </c>
      <c r="C146" s="57">
        <v>242095.29999999993</v>
      </c>
      <c r="D146" s="57">
        <v>135754.29999999996</v>
      </c>
      <c r="E146" s="57">
        <v>11068.599999999999</v>
      </c>
      <c r="F146" s="57">
        <v>14518.000000000002</v>
      </c>
      <c r="G146" s="75" t="s">
        <v>41</v>
      </c>
      <c r="H146" s="58">
        <v>4973.3000000000011</v>
      </c>
      <c r="I146" s="58">
        <v>2203.8000000000002</v>
      </c>
      <c r="J146" s="58">
        <v>20000</v>
      </c>
      <c r="K146" s="54">
        <v>43348.600000000006</v>
      </c>
      <c r="L146" s="58">
        <v>10359.799999999999</v>
      </c>
      <c r="M146" s="58">
        <v>13963.300000000001</v>
      </c>
      <c r="N146" s="58">
        <v>139562.5</v>
      </c>
      <c r="O146" s="55">
        <v>215514.19999999998</v>
      </c>
      <c r="P146" s="59">
        <v>19632</v>
      </c>
      <c r="Q146" s="60">
        <v>-8004.4000000000015</v>
      </c>
      <c r="R146" s="55">
        <v>158401.5</v>
      </c>
      <c r="S146" s="82">
        <f t="shared" ref="S146" si="24">SUM(B146:R146)</f>
        <v>1383302</v>
      </c>
      <c r="T146" s="73"/>
      <c r="U146" s="94"/>
      <c r="V146" s="56"/>
      <c r="W146" s="56"/>
    </row>
    <row r="147" spans="1:23" hidden="1" x14ac:dyDescent="0.25">
      <c r="A147" s="102" t="s">
        <v>131</v>
      </c>
      <c r="B147" s="57">
        <v>369553</v>
      </c>
      <c r="C147" s="57">
        <v>245168.7</v>
      </c>
      <c r="D147" s="57">
        <v>143495.79999999993</v>
      </c>
      <c r="E147" s="57">
        <v>11991</v>
      </c>
      <c r="F147" s="57">
        <v>16419.100000000002</v>
      </c>
      <c r="G147" s="75" t="s">
        <v>41</v>
      </c>
      <c r="H147" s="58">
        <v>3761.9</v>
      </c>
      <c r="I147" s="58">
        <v>2433.9</v>
      </c>
      <c r="J147" s="58">
        <v>6000</v>
      </c>
      <c r="K147" s="54">
        <v>39988.899999999994</v>
      </c>
      <c r="L147" s="58">
        <v>11731.099999999999</v>
      </c>
      <c r="M147" s="58">
        <v>12530.8</v>
      </c>
      <c r="N147" s="58">
        <v>135310.6</v>
      </c>
      <c r="O147" s="55">
        <v>215504.19999999998</v>
      </c>
      <c r="P147" s="59">
        <v>22518.600000000002</v>
      </c>
      <c r="Q147" s="60">
        <v>-7789.4</v>
      </c>
      <c r="R147" s="55">
        <v>160539.09999999998</v>
      </c>
      <c r="S147" s="82">
        <f t="shared" ref="S147" si="25">SUM(B147:R147)</f>
        <v>1389157.3000000003</v>
      </c>
      <c r="T147" s="73"/>
      <c r="U147" s="94"/>
      <c r="V147" s="56"/>
      <c r="W147" s="56"/>
    </row>
    <row r="148" spans="1:23" hidden="1" x14ac:dyDescent="0.25">
      <c r="A148" s="102" t="s">
        <v>133</v>
      </c>
      <c r="B148" s="57">
        <v>381300.8</v>
      </c>
      <c r="C148" s="57">
        <v>241425.90000000005</v>
      </c>
      <c r="D148" s="57">
        <v>148982.19999999992</v>
      </c>
      <c r="E148" s="57">
        <v>11356.5</v>
      </c>
      <c r="F148" s="57">
        <v>17564.3</v>
      </c>
      <c r="G148" s="75" t="s">
        <v>41</v>
      </c>
      <c r="H148" s="58">
        <v>6117.3</v>
      </c>
      <c r="I148" s="58">
        <v>2434.6</v>
      </c>
      <c r="J148" s="58">
        <v>8000</v>
      </c>
      <c r="K148" s="54">
        <v>34422.199999999997</v>
      </c>
      <c r="L148" s="58">
        <v>11551.8</v>
      </c>
      <c r="M148" s="58">
        <v>12551</v>
      </c>
      <c r="N148" s="58">
        <v>142073</v>
      </c>
      <c r="O148" s="55">
        <v>215449.9</v>
      </c>
      <c r="P148" s="59">
        <v>23313</v>
      </c>
      <c r="Q148" s="60">
        <v>-3912.2999999999993</v>
      </c>
      <c r="R148" s="55">
        <v>161469.00000000003</v>
      </c>
      <c r="S148" s="82">
        <f t="shared" ref="S148" si="26">SUM(B148:R148)</f>
        <v>1414099.2</v>
      </c>
      <c r="T148" s="80"/>
      <c r="U148" s="94"/>
      <c r="V148" s="56"/>
      <c r="W148" s="56"/>
    </row>
    <row r="149" spans="1:23" s="72" customFormat="1" hidden="1" x14ac:dyDescent="0.25">
      <c r="A149" s="102" t="s">
        <v>70</v>
      </c>
      <c r="B149" s="57">
        <v>381816.7</v>
      </c>
      <c r="C149" s="57">
        <v>243192.9</v>
      </c>
      <c r="D149" s="57">
        <v>140973.39999999991</v>
      </c>
      <c r="E149" s="57">
        <v>10390.800000000001</v>
      </c>
      <c r="F149" s="57">
        <v>15110.100000000002</v>
      </c>
      <c r="G149" s="75" t="s">
        <v>41</v>
      </c>
      <c r="H149" s="74">
        <v>4632.1000000000004</v>
      </c>
      <c r="I149" s="74">
        <v>2466.6999999999998</v>
      </c>
      <c r="J149" s="74">
        <v>5849.9</v>
      </c>
      <c r="K149" s="54">
        <v>38020.800000000003</v>
      </c>
      <c r="L149" s="74">
        <v>10291.799999999999</v>
      </c>
      <c r="M149" s="74">
        <v>8875.3000000000011</v>
      </c>
      <c r="N149" s="74">
        <v>135266.6</v>
      </c>
      <c r="O149" s="55">
        <v>215438.7</v>
      </c>
      <c r="P149" s="76">
        <v>26685.299999999996</v>
      </c>
      <c r="Q149" s="60">
        <v>-7733.7000000000016</v>
      </c>
      <c r="R149" s="55">
        <v>168768.2</v>
      </c>
      <c r="S149" s="82">
        <f t="shared" ref="S149" si="27">SUM(B149:R149)</f>
        <v>1400045.6</v>
      </c>
      <c r="T149" s="80"/>
      <c r="U149" s="94"/>
      <c r="V149" s="73"/>
      <c r="W149" s="73"/>
    </row>
    <row r="150" spans="1:23" s="72" customFormat="1" hidden="1" x14ac:dyDescent="0.25">
      <c r="A150" s="102" t="s">
        <v>136</v>
      </c>
      <c r="B150" s="57">
        <v>412455.90000000008</v>
      </c>
      <c r="C150" s="57">
        <v>247517.80000000005</v>
      </c>
      <c r="D150" s="57">
        <v>135456.09999999992</v>
      </c>
      <c r="E150" s="57">
        <v>13165.2</v>
      </c>
      <c r="F150" s="57">
        <v>17647.3</v>
      </c>
      <c r="G150" s="75" t="s">
        <v>41</v>
      </c>
      <c r="H150" s="74">
        <v>4735.1000000000004</v>
      </c>
      <c r="I150" s="74">
        <v>2471.1</v>
      </c>
      <c r="J150" s="74">
        <v>1000</v>
      </c>
      <c r="K150" s="54">
        <v>33996.999999999993</v>
      </c>
      <c r="L150" s="74">
        <v>10711.6</v>
      </c>
      <c r="M150" s="74">
        <v>5914.8</v>
      </c>
      <c r="N150" s="74">
        <v>132616.09999999998</v>
      </c>
      <c r="O150" s="55">
        <v>215393.49999999997</v>
      </c>
      <c r="P150" s="76">
        <v>30989.8</v>
      </c>
      <c r="Q150" s="60">
        <v>-7059.4000000000015</v>
      </c>
      <c r="R150" s="55">
        <v>173002.7</v>
      </c>
      <c r="S150" s="82">
        <f t="shared" ref="S150" si="28">SUM(B150:R150)</f>
        <v>1430014.6</v>
      </c>
      <c r="T150" s="80"/>
      <c r="U150" s="94"/>
      <c r="V150" s="73"/>
      <c r="W150" s="73"/>
    </row>
    <row r="151" spans="1:23" s="72" customFormat="1" hidden="1" x14ac:dyDescent="0.25">
      <c r="A151" s="102" t="s">
        <v>138</v>
      </c>
      <c r="B151" s="57">
        <v>379489.90000000008</v>
      </c>
      <c r="C151" s="57">
        <v>240166.90000000005</v>
      </c>
      <c r="D151" s="98">
        <v>142088.59999999998</v>
      </c>
      <c r="E151" s="98">
        <v>21745.300000000003</v>
      </c>
      <c r="F151" s="98">
        <v>24820.400000000001</v>
      </c>
      <c r="G151" s="98">
        <v>1353.2</v>
      </c>
      <c r="H151" s="74">
        <v>2557.5000000000005</v>
      </c>
      <c r="I151" s="74">
        <v>7496.9000000000005</v>
      </c>
      <c r="J151" s="74">
        <v>16192.3</v>
      </c>
      <c r="K151" s="54">
        <v>43312.6</v>
      </c>
      <c r="L151" s="74">
        <v>9363.9</v>
      </c>
      <c r="M151" s="74">
        <v>5820.6</v>
      </c>
      <c r="N151" s="74">
        <v>154302.79999999999</v>
      </c>
      <c r="O151" s="55">
        <v>217801.9</v>
      </c>
      <c r="P151" s="76">
        <v>20422.600000000002</v>
      </c>
      <c r="Q151" s="60">
        <v>-2715</v>
      </c>
      <c r="R151" s="79">
        <v>144959.5</v>
      </c>
      <c r="S151" s="82">
        <f t="shared" ref="S151" si="29">SUM(B151:R151)</f>
        <v>1429179.9000000001</v>
      </c>
      <c r="T151" s="80"/>
      <c r="U151" s="94"/>
      <c r="V151" s="73"/>
      <c r="W151" s="73"/>
    </row>
    <row r="152" spans="1:23" s="72" customFormat="1" hidden="1" x14ac:dyDescent="0.25">
      <c r="A152" s="102" t="s">
        <v>140</v>
      </c>
      <c r="B152" s="57">
        <v>383820.99999999994</v>
      </c>
      <c r="C152" s="57">
        <v>244640.30000000008</v>
      </c>
      <c r="D152" s="98">
        <v>135171.70000000001</v>
      </c>
      <c r="E152" s="98">
        <v>22882.2</v>
      </c>
      <c r="F152" s="98">
        <v>27827.9</v>
      </c>
      <c r="G152" s="98">
        <v>1256.3</v>
      </c>
      <c r="H152" s="74">
        <v>5303.8</v>
      </c>
      <c r="I152" s="74">
        <v>8529.9000000000015</v>
      </c>
      <c r="J152" s="74">
        <v>19805</v>
      </c>
      <c r="K152" s="54">
        <v>54292.999999999993</v>
      </c>
      <c r="L152" s="74">
        <v>8972.2999999999993</v>
      </c>
      <c r="M152" s="74">
        <v>6801.5</v>
      </c>
      <c r="N152" s="74">
        <v>149973.5</v>
      </c>
      <c r="O152" s="55">
        <v>222014.39999999997</v>
      </c>
      <c r="P152" s="76">
        <v>15971.3</v>
      </c>
      <c r="Q152" s="60">
        <v>-5932.1999999999989</v>
      </c>
      <c r="R152" s="79">
        <v>154248.5</v>
      </c>
      <c r="S152" s="82">
        <f t="shared" ref="S152" si="30">SUM(B152:R152)</f>
        <v>1455580.4000000001</v>
      </c>
      <c r="T152" s="80"/>
      <c r="U152" s="94"/>
      <c r="V152" s="73"/>
      <c r="W152" s="73"/>
    </row>
    <row r="153" spans="1:23" s="72" customFormat="1" hidden="1" x14ac:dyDescent="0.25">
      <c r="A153" s="102"/>
      <c r="B153" s="57"/>
      <c r="C153" s="57"/>
      <c r="D153" s="98"/>
      <c r="E153" s="98"/>
      <c r="F153" s="98"/>
      <c r="G153" s="98"/>
      <c r="H153" s="81"/>
      <c r="I153" s="81"/>
      <c r="J153" s="81"/>
      <c r="K153" s="54"/>
      <c r="L153" s="81"/>
      <c r="M153" s="81"/>
      <c r="N153" s="81"/>
      <c r="O153" s="55"/>
      <c r="P153" s="83"/>
      <c r="Q153" s="60"/>
      <c r="R153" s="79"/>
      <c r="S153" s="82"/>
      <c r="T153" s="80"/>
      <c r="U153" s="94"/>
      <c r="V153" s="80"/>
      <c r="W153" s="80"/>
    </row>
    <row r="154" spans="1:23" s="72" customFormat="1" hidden="1" x14ac:dyDescent="0.25">
      <c r="A154" s="102"/>
      <c r="B154" s="57"/>
      <c r="C154" s="57"/>
      <c r="D154" s="98"/>
      <c r="E154" s="98"/>
      <c r="F154" s="98"/>
      <c r="G154" s="98"/>
      <c r="H154" s="81"/>
      <c r="I154" s="81"/>
      <c r="J154" s="81"/>
      <c r="K154" s="54"/>
      <c r="L154" s="81"/>
      <c r="M154" s="81"/>
      <c r="N154" s="81"/>
      <c r="O154" s="55"/>
      <c r="P154" s="83"/>
      <c r="Q154" s="60"/>
      <c r="R154" s="79"/>
      <c r="S154" s="82"/>
      <c r="T154" s="80"/>
      <c r="U154" s="94"/>
      <c r="V154" s="80"/>
      <c r="W154" s="80"/>
    </row>
    <row r="155" spans="1:23" s="72" customFormat="1" hidden="1" x14ac:dyDescent="0.25">
      <c r="A155" s="102" t="s">
        <v>108</v>
      </c>
      <c r="B155" s="57">
        <v>381742.5</v>
      </c>
      <c r="C155" s="57">
        <v>240521</v>
      </c>
      <c r="D155" s="98">
        <v>134764.69999999998</v>
      </c>
      <c r="E155" s="98">
        <v>20739.000000000004</v>
      </c>
      <c r="F155" s="98">
        <v>26735.7</v>
      </c>
      <c r="G155" s="98">
        <v>1403.1000000000001</v>
      </c>
      <c r="H155" s="74">
        <v>3483.2000000000003</v>
      </c>
      <c r="I155" s="74">
        <v>8541.4000000000015</v>
      </c>
      <c r="J155" s="74">
        <v>37716.6</v>
      </c>
      <c r="K155" s="54">
        <v>44790.3</v>
      </c>
      <c r="L155" s="74">
        <v>10289.5</v>
      </c>
      <c r="M155" s="74">
        <v>7911.8</v>
      </c>
      <c r="N155" s="74">
        <v>147014.70000000001</v>
      </c>
      <c r="O155" s="55">
        <v>217321.99999999997</v>
      </c>
      <c r="P155" s="76">
        <v>21439.599999999999</v>
      </c>
      <c r="Q155" s="60">
        <v>-9348.0999999999985</v>
      </c>
      <c r="R155" s="79">
        <v>152198.5</v>
      </c>
      <c r="S155" s="82">
        <f t="shared" ref="S155" si="31">SUM(B155:R155)</f>
        <v>1447265.5</v>
      </c>
      <c r="T155" s="80"/>
      <c r="U155" s="94"/>
      <c r="V155" s="73"/>
      <c r="W155" s="73"/>
    </row>
    <row r="156" spans="1:23" s="72" customFormat="1" hidden="1" x14ac:dyDescent="0.25">
      <c r="A156" s="102" t="s">
        <v>144</v>
      </c>
      <c r="B156" s="57">
        <v>390403.6</v>
      </c>
      <c r="C156" s="57">
        <v>233480.69999999998</v>
      </c>
      <c r="D156" s="98">
        <v>135746.1</v>
      </c>
      <c r="E156" s="98">
        <v>15291.699999999997</v>
      </c>
      <c r="F156" s="98">
        <v>28538.7</v>
      </c>
      <c r="G156" s="98">
        <v>1341.8000000000002</v>
      </c>
      <c r="H156" s="74">
        <v>3770.8</v>
      </c>
      <c r="I156" s="74">
        <v>8535.4</v>
      </c>
      <c r="J156" s="74">
        <v>44452.799999999996</v>
      </c>
      <c r="K156" s="54">
        <v>48553.8</v>
      </c>
      <c r="L156" s="74">
        <v>10591.800000000001</v>
      </c>
      <c r="M156" s="74">
        <v>8703.4000000000015</v>
      </c>
      <c r="N156" s="74">
        <v>144711</v>
      </c>
      <c r="O156" s="55">
        <v>216346.39999999997</v>
      </c>
      <c r="P156" s="76">
        <v>22465.700000000004</v>
      </c>
      <c r="Q156" s="60">
        <v>-7072.3000000000029</v>
      </c>
      <c r="R156" s="79">
        <v>154623.09999999998</v>
      </c>
      <c r="S156" s="82">
        <f t="shared" ref="S156" si="32">SUM(B156:R156)</f>
        <v>1460484.5</v>
      </c>
      <c r="T156" s="80"/>
      <c r="U156" s="94"/>
      <c r="V156" s="73"/>
      <c r="W156" s="73"/>
    </row>
    <row r="157" spans="1:23" s="72" customFormat="1" hidden="1" x14ac:dyDescent="0.25">
      <c r="A157" s="102" t="s">
        <v>105</v>
      </c>
      <c r="B157" s="57">
        <v>378921</v>
      </c>
      <c r="C157" s="57">
        <v>246210.99999999994</v>
      </c>
      <c r="D157" s="98">
        <v>118395.09999999998</v>
      </c>
      <c r="E157" s="98">
        <v>17631.5</v>
      </c>
      <c r="F157" s="98">
        <v>29819</v>
      </c>
      <c r="G157" s="98">
        <v>1303.6000000000001</v>
      </c>
      <c r="H157" s="74">
        <v>5382</v>
      </c>
      <c r="I157" s="74">
        <v>8565.2000000000007</v>
      </c>
      <c r="J157" s="74">
        <v>71864.5</v>
      </c>
      <c r="K157" s="54">
        <v>56605</v>
      </c>
      <c r="L157" s="74">
        <v>9451.0000000000018</v>
      </c>
      <c r="M157" s="74">
        <v>7517.2</v>
      </c>
      <c r="N157" s="74">
        <v>148879.5</v>
      </c>
      <c r="O157" s="55">
        <v>222189.39999999997</v>
      </c>
      <c r="P157" s="76">
        <v>11870.400000000001</v>
      </c>
      <c r="Q157" s="60">
        <v>-6615.1000000000049</v>
      </c>
      <c r="R157" s="79">
        <v>159337.79999999999</v>
      </c>
      <c r="S157" s="82">
        <f t="shared" ref="S157" si="33">SUM(B157:R157)</f>
        <v>1487328.0999999996</v>
      </c>
      <c r="T157" s="80"/>
      <c r="U157" s="94"/>
      <c r="V157" s="73"/>
      <c r="W157" s="73"/>
    </row>
    <row r="158" spans="1:23" s="72" customFormat="1" hidden="1" x14ac:dyDescent="0.25">
      <c r="A158" s="102" t="s">
        <v>146</v>
      </c>
      <c r="B158" s="57">
        <v>386454.6999999999</v>
      </c>
      <c r="C158" s="57">
        <v>246235.80000000005</v>
      </c>
      <c r="D158" s="98">
        <v>123001.59999999998</v>
      </c>
      <c r="E158" s="98">
        <v>21093.599999999999</v>
      </c>
      <c r="F158" s="98">
        <v>26535.499999999996</v>
      </c>
      <c r="G158" s="98">
        <v>1098.8000000000002</v>
      </c>
      <c r="H158" s="81">
        <v>4183.8</v>
      </c>
      <c r="I158" s="81">
        <v>9276.3000000000011</v>
      </c>
      <c r="J158" s="81">
        <v>75220.3</v>
      </c>
      <c r="K158" s="54">
        <v>45477.500000000007</v>
      </c>
      <c r="L158" s="81">
        <v>10415.5</v>
      </c>
      <c r="M158" s="81">
        <v>2945.7000000000003</v>
      </c>
      <c r="N158" s="81">
        <v>151565.19999999998</v>
      </c>
      <c r="O158" s="55">
        <v>217768.3</v>
      </c>
      <c r="P158" s="83">
        <v>15811.7</v>
      </c>
      <c r="Q158" s="60">
        <v>-5407.699999999998</v>
      </c>
      <c r="R158" s="79">
        <v>163380.09999999998</v>
      </c>
      <c r="S158" s="82">
        <f t="shared" ref="S158" si="34">SUM(B158:R158)</f>
        <v>1495056.7000000002</v>
      </c>
      <c r="T158" s="80"/>
      <c r="U158" s="94"/>
      <c r="V158" s="80"/>
      <c r="W158" s="80"/>
    </row>
    <row r="159" spans="1:23" s="72" customFormat="1" hidden="1" x14ac:dyDescent="0.25">
      <c r="A159" s="102" t="s">
        <v>147</v>
      </c>
      <c r="B159" s="57">
        <v>385184.30000000005</v>
      </c>
      <c r="C159" s="57">
        <v>254373.2</v>
      </c>
      <c r="D159" s="98">
        <v>111745.29999999999</v>
      </c>
      <c r="E159" s="98">
        <v>15836.399999999998</v>
      </c>
      <c r="F159" s="98">
        <v>24170</v>
      </c>
      <c r="G159" s="98">
        <v>1212.5999999999999</v>
      </c>
      <c r="H159" s="81">
        <v>3384.3</v>
      </c>
      <c r="I159" s="81">
        <v>9295.2000000000007</v>
      </c>
      <c r="J159" s="81">
        <v>90016</v>
      </c>
      <c r="K159" s="54">
        <v>48198</v>
      </c>
      <c r="L159" s="81">
        <v>15243.3</v>
      </c>
      <c r="M159" s="81">
        <v>2725.4</v>
      </c>
      <c r="N159" s="81">
        <v>155149.9</v>
      </c>
      <c r="O159" s="55">
        <v>217726.3</v>
      </c>
      <c r="P159" s="83">
        <v>18578.400000000001</v>
      </c>
      <c r="Q159" s="60">
        <v>-6310.0999999999967</v>
      </c>
      <c r="R159" s="79">
        <v>163570.29999999996</v>
      </c>
      <c r="S159" s="82">
        <f t="shared" ref="S159:S168" si="35">SUM(B159:R159)</f>
        <v>1510098.8</v>
      </c>
      <c r="T159" s="56"/>
      <c r="U159" s="94"/>
      <c r="V159" s="80"/>
      <c r="W159" s="80"/>
    </row>
    <row r="160" spans="1:23" s="72" customFormat="1" x14ac:dyDescent="0.25">
      <c r="A160" s="102" t="s">
        <v>148</v>
      </c>
      <c r="B160" s="57">
        <v>380921</v>
      </c>
      <c r="C160" s="57">
        <v>248133.3</v>
      </c>
      <c r="D160" s="98">
        <v>113952.7</v>
      </c>
      <c r="E160" s="98">
        <v>34010.699999999997</v>
      </c>
      <c r="F160" s="98">
        <v>21476.999999999996</v>
      </c>
      <c r="G160" s="98">
        <v>1446.4000000000003</v>
      </c>
      <c r="H160" s="81">
        <v>1924.6000000000001</v>
      </c>
      <c r="I160" s="81">
        <v>8610.4</v>
      </c>
      <c r="J160" s="81">
        <v>101025.7</v>
      </c>
      <c r="K160" s="54">
        <v>47685.400000000009</v>
      </c>
      <c r="L160" s="81">
        <v>17003.600000000002</v>
      </c>
      <c r="M160" s="81">
        <v>2654.6</v>
      </c>
      <c r="N160" s="81">
        <v>143107</v>
      </c>
      <c r="O160" s="82">
        <v>224810.5</v>
      </c>
      <c r="P160" s="83">
        <v>17493.3</v>
      </c>
      <c r="Q160" s="60">
        <v>-6318.3999999999915</v>
      </c>
      <c r="R160" s="79">
        <v>181984.3</v>
      </c>
      <c r="S160" s="82">
        <f t="shared" si="35"/>
        <v>1539922.1</v>
      </c>
      <c r="T160" s="6"/>
      <c r="U160" s="94"/>
      <c r="V160" s="80"/>
      <c r="W160" s="80"/>
    </row>
    <row r="161" spans="1:23" s="72" customFormat="1" x14ac:dyDescent="0.25">
      <c r="A161" s="102" t="s">
        <v>75</v>
      </c>
      <c r="B161" s="57">
        <v>393320.80000000005</v>
      </c>
      <c r="C161" s="57">
        <v>238477.60000000009</v>
      </c>
      <c r="D161" s="98">
        <v>108225.90000000001</v>
      </c>
      <c r="E161" s="98">
        <v>16855.300000000003</v>
      </c>
      <c r="F161" s="98">
        <v>19746.800000000003</v>
      </c>
      <c r="G161" s="98">
        <v>1417.3000000000002</v>
      </c>
      <c r="H161" s="81">
        <v>1132.5000000000002</v>
      </c>
      <c r="I161" s="81">
        <v>9780.1999999999989</v>
      </c>
      <c r="J161" s="81">
        <v>112764.5</v>
      </c>
      <c r="K161" s="54">
        <v>53369.1</v>
      </c>
      <c r="L161" s="81">
        <v>17794.800000000003</v>
      </c>
      <c r="M161" s="81">
        <v>2250.6999999999998</v>
      </c>
      <c r="N161" s="81">
        <v>143986.80000000002</v>
      </c>
      <c r="O161" s="52">
        <v>225543.19999999998</v>
      </c>
      <c r="P161" s="83">
        <v>20988.2</v>
      </c>
      <c r="Q161" s="60">
        <v>-6607.9999999999973</v>
      </c>
      <c r="R161" s="79">
        <v>177676.59999999998</v>
      </c>
      <c r="S161" s="82">
        <f t="shared" si="35"/>
        <v>1536722.3000000003</v>
      </c>
      <c r="T161" s="56"/>
      <c r="U161" s="94"/>
      <c r="V161" s="80"/>
      <c r="W161" s="80"/>
    </row>
    <row r="162" spans="1:23" s="72" customFormat="1" x14ac:dyDescent="0.25">
      <c r="A162" s="102" t="s">
        <v>76</v>
      </c>
      <c r="B162" s="57">
        <v>420997.09999999992</v>
      </c>
      <c r="C162" s="57">
        <v>235186.10000000006</v>
      </c>
      <c r="D162" s="98">
        <v>102155.49999999999</v>
      </c>
      <c r="E162" s="98">
        <v>16968.600000000002</v>
      </c>
      <c r="F162" s="98">
        <v>17632.8</v>
      </c>
      <c r="G162" s="98">
        <v>889.5</v>
      </c>
      <c r="H162" s="81">
        <v>2169.7000000000003</v>
      </c>
      <c r="I162" s="81">
        <v>9844.6</v>
      </c>
      <c r="J162" s="81">
        <v>101933.5</v>
      </c>
      <c r="K162" s="54">
        <v>49018.100000000006</v>
      </c>
      <c r="L162" s="81">
        <v>16660.8</v>
      </c>
      <c r="M162" s="81">
        <v>916.6</v>
      </c>
      <c r="N162" s="81">
        <v>137165.50000000003</v>
      </c>
      <c r="O162" s="52">
        <v>225003.09999999998</v>
      </c>
      <c r="P162" s="83">
        <v>24325.7</v>
      </c>
      <c r="Q162" s="60">
        <v>-9028.9000000000033</v>
      </c>
      <c r="R162" s="79">
        <v>182122.7</v>
      </c>
      <c r="S162" s="82">
        <f t="shared" si="35"/>
        <v>1533961</v>
      </c>
      <c r="T162" s="6"/>
      <c r="U162" s="94"/>
      <c r="V162" s="80"/>
      <c r="W162" s="80"/>
    </row>
    <row r="163" spans="1:23" s="72" customFormat="1" x14ac:dyDescent="0.25">
      <c r="A163" s="102" t="s">
        <v>70</v>
      </c>
      <c r="B163" s="57">
        <v>424362.8</v>
      </c>
      <c r="C163" s="57">
        <v>242880</v>
      </c>
      <c r="D163" s="98">
        <v>107043.7</v>
      </c>
      <c r="E163" s="98">
        <v>15867.100000000002</v>
      </c>
      <c r="F163" s="98">
        <v>18024.399999999998</v>
      </c>
      <c r="G163" s="98">
        <v>984.5</v>
      </c>
      <c r="H163" s="81">
        <v>3677.6000000000004</v>
      </c>
      <c r="I163" s="81">
        <v>9113.9</v>
      </c>
      <c r="J163" s="81">
        <v>118763.79999999999</v>
      </c>
      <c r="K163" s="54">
        <v>51358.6</v>
      </c>
      <c r="L163" s="81">
        <v>13416.9</v>
      </c>
      <c r="M163" s="81">
        <v>934</v>
      </c>
      <c r="N163" s="81">
        <v>139965.09999999998</v>
      </c>
      <c r="O163" s="52">
        <v>224794.99999999997</v>
      </c>
      <c r="P163" s="83">
        <v>21976.800000000003</v>
      </c>
      <c r="Q163" s="60">
        <v>-905.90000000000089</v>
      </c>
      <c r="R163" s="79">
        <v>187480</v>
      </c>
      <c r="S163" s="82">
        <f t="shared" si="35"/>
        <v>1579738.3</v>
      </c>
      <c r="T163" s="6"/>
      <c r="U163" s="94"/>
      <c r="V163" s="80"/>
      <c r="W163" s="80"/>
    </row>
    <row r="164" spans="1:23" s="72" customFormat="1" x14ac:dyDescent="0.25">
      <c r="A164" s="102" t="s">
        <v>77</v>
      </c>
      <c r="B164" s="57">
        <v>426022.1</v>
      </c>
      <c r="C164" s="57">
        <v>246717.5</v>
      </c>
      <c r="D164" s="98">
        <v>102526.49999999999</v>
      </c>
      <c r="E164" s="98">
        <v>19916.2</v>
      </c>
      <c r="F164" s="98">
        <v>17906.8</v>
      </c>
      <c r="G164" s="98">
        <v>936.1</v>
      </c>
      <c r="H164" s="81">
        <v>2861.2999999999993</v>
      </c>
      <c r="I164" s="81">
        <v>9018.9</v>
      </c>
      <c r="J164" s="81">
        <v>102986.79999999999</v>
      </c>
      <c r="K164" s="54">
        <v>45399.7</v>
      </c>
      <c r="L164" s="81">
        <v>14489.5</v>
      </c>
      <c r="M164" s="81">
        <v>945.6</v>
      </c>
      <c r="N164" s="81">
        <v>142544.60000000003</v>
      </c>
      <c r="O164" s="52">
        <v>224774.2</v>
      </c>
      <c r="P164" s="83">
        <v>24782.199999999997</v>
      </c>
      <c r="Q164" s="60">
        <v>-852.20000000000289</v>
      </c>
      <c r="R164" s="79">
        <v>188211.7</v>
      </c>
      <c r="S164" s="82">
        <f t="shared" si="35"/>
        <v>1569187.4999999998</v>
      </c>
      <c r="T164" s="6"/>
      <c r="U164" s="94"/>
      <c r="V164" s="80"/>
      <c r="W164" s="80"/>
    </row>
    <row r="165" spans="1:23" s="72" customFormat="1" x14ac:dyDescent="0.25">
      <c r="A165" s="102" t="s">
        <v>78</v>
      </c>
      <c r="B165" s="57">
        <v>448920.99999999988</v>
      </c>
      <c r="C165" s="57">
        <v>239190.1</v>
      </c>
      <c r="D165" s="98">
        <v>101459.39999999998</v>
      </c>
      <c r="E165" s="98">
        <v>24014.400000000005</v>
      </c>
      <c r="F165" s="98">
        <v>16280.300000000001</v>
      </c>
      <c r="G165" s="98">
        <v>875</v>
      </c>
      <c r="H165" s="81">
        <v>1931.3000000000002</v>
      </c>
      <c r="I165" s="81">
        <v>10236</v>
      </c>
      <c r="J165" s="81">
        <v>102347.09999999999</v>
      </c>
      <c r="K165" s="54">
        <v>49029.700000000004</v>
      </c>
      <c r="L165" s="81">
        <v>15706.600000000002</v>
      </c>
      <c r="M165" s="81">
        <v>944.10000000000014</v>
      </c>
      <c r="N165" s="81">
        <v>150685.4</v>
      </c>
      <c r="O165" s="52">
        <v>225240.8</v>
      </c>
      <c r="P165" s="83">
        <v>28733.5</v>
      </c>
      <c r="Q165" s="60">
        <v>-2151.3000000000043</v>
      </c>
      <c r="R165" s="79">
        <v>188856.4</v>
      </c>
      <c r="S165" s="82">
        <f t="shared" si="35"/>
        <v>1602299.7999999998</v>
      </c>
      <c r="T165" s="6"/>
      <c r="U165" s="94"/>
      <c r="V165" s="80"/>
      <c r="W165" s="80"/>
    </row>
    <row r="166" spans="1:23" s="72" customFormat="1" x14ac:dyDescent="0.25">
      <c r="A166" s="102" t="s">
        <v>71</v>
      </c>
      <c r="B166" s="57">
        <v>473463.40000000014</v>
      </c>
      <c r="C166" s="57">
        <v>235254.40000000002</v>
      </c>
      <c r="D166" s="98">
        <v>93961.800000000017</v>
      </c>
      <c r="E166" s="98">
        <v>24043.8</v>
      </c>
      <c r="F166" s="98">
        <v>20378.800000000003</v>
      </c>
      <c r="G166" s="98">
        <v>985.80000000000007</v>
      </c>
      <c r="H166" s="81">
        <v>2909.7000000000003</v>
      </c>
      <c r="I166" s="81">
        <v>8653</v>
      </c>
      <c r="J166" s="81">
        <v>87064.099999999991</v>
      </c>
      <c r="K166" s="54">
        <v>58899.3</v>
      </c>
      <c r="L166" s="81">
        <v>16378.7</v>
      </c>
      <c r="M166" s="81">
        <v>973.70000000000016</v>
      </c>
      <c r="N166" s="81">
        <v>139935.4</v>
      </c>
      <c r="O166" s="52">
        <v>224498.3</v>
      </c>
      <c r="P166" s="83">
        <v>26055.199999999993</v>
      </c>
      <c r="Q166" s="60">
        <v>-829.10000000000616</v>
      </c>
      <c r="R166" s="79">
        <v>194069.49999999994</v>
      </c>
      <c r="S166" s="82">
        <f t="shared" si="35"/>
        <v>1606695.8</v>
      </c>
      <c r="T166" s="6"/>
      <c r="U166" s="94"/>
      <c r="V166" s="80"/>
      <c r="W166" s="80"/>
    </row>
    <row r="167" spans="1:23" s="72" customFormat="1" x14ac:dyDescent="0.25">
      <c r="A167" s="102"/>
      <c r="B167" s="57"/>
      <c r="C167" s="57"/>
      <c r="D167" s="98"/>
      <c r="E167" s="98"/>
      <c r="F167" s="98"/>
      <c r="G167" s="98"/>
      <c r="H167" s="81"/>
      <c r="I167" s="81"/>
      <c r="J167" s="81"/>
      <c r="K167" s="54"/>
      <c r="L167" s="81"/>
      <c r="M167" s="81"/>
      <c r="N167" s="81"/>
      <c r="O167" s="52"/>
      <c r="P167" s="83"/>
      <c r="Q167" s="60"/>
      <c r="R167" s="79"/>
      <c r="S167" s="82"/>
      <c r="U167" s="94"/>
      <c r="V167" s="80"/>
      <c r="W167" s="80"/>
    </row>
    <row r="168" spans="1:23" s="72" customFormat="1" x14ac:dyDescent="0.25">
      <c r="A168" s="102" t="s">
        <v>118</v>
      </c>
      <c r="B168" s="57">
        <v>485241.89999999997</v>
      </c>
      <c r="C168" s="57">
        <v>250275.89999999997</v>
      </c>
      <c r="D168" s="98">
        <v>94328.900000000023</v>
      </c>
      <c r="E168" s="98">
        <v>20507.8</v>
      </c>
      <c r="F168" s="98">
        <v>18012.2</v>
      </c>
      <c r="G168" s="98">
        <v>883.4</v>
      </c>
      <c r="H168" s="81">
        <v>1957.8999999999999</v>
      </c>
      <c r="I168" s="81">
        <v>8500.8000000000011</v>
      </c>
      <c r="J168" s="81">
        <v>85600.3</v>
      </c>
      <c r="K168" s="54">
        <v>55281.600000000006</v>
      </c>
      <c r="L168" s="81">
        <v>15883.499999999996</v>
      </c>
      <c r="M168" s="81">
        <v>979.2</v>
      </c>
      <c r="N168" s="81">
        <v>145736.79999999999</v>
      </c>
      <c r="O168" s="52">
        <v>220394.09999999998</v>
      </c>
      <c r="P168" s="83">
        <v>28144.300000000003</v>
      </c>
      <c r="Q168" s="60">
        <v>-2471.3000000000006</v>
      </c>
      <c r="R168" s="79">
        <v>197838.09999999998</v>
      </c>
      <c r="S168" s="82">
        <f t="shared" si="35"/>
        <v>1627095.4</v>
      </c>
      <c r="T168" s="6"/>
      <c r="U168" s="94"/>
      <c r="V168" s="80"/>
      <c r="W168" s="80"/>
    </row>
    <row r="169" spans="1:23" s="72" customFormat="1" x14ac:dyDescent="0.25">
      <c r="A169" s="102" t="s">
        <v>119</v>
      </c>
      <c r="B169" s="57">
        <v>510866.99999999988</v>
      </c>
      <c r="C169" s="57">
        <v>242976.70000000004</v>
      </c>
      <c r="D169" s="98">
        <v>96146.9</v>
      </c>
      <c r="E169" s="98">
        <v>22134</v>
      </c>
      <c r="F169" s="98">
        <v>19355.100000000002</v>
      </c>
      <c r="G169" s="98">
        <v>1054.5</v>
      </c>
      <c r="H169" s="81">
        <v>3033.6000000000004</v>
      </c>
      <c r="I169" s="81">
        <v>8526.1999999999989</v>
      </c>
      <c r="J169" s="81">
        <v>95156.1</v>
      </c>
      <c r="K169" s="54">
        <v>49746.3</v>
      </c>
      <c r="L169" s="81">
        <v>14152.300000000001</v>
      </c>
      <c r="M169" s="81">
        <v>859.3</v>
      </c>
      <c r="N169" s="81">
        <v>151954.29999999999</v>
      </c>
      <c r="O169" s="52">
        <v>226492.59999999998</v>
      </c>
      <c r="P169" s="83">
        <v>29597</v>
      </c>
      <c r="Q169" s="60">
        <v>337.9000000000093</v>
      </c>
      <c r="R169" s="79">
        <v>141217.19999999998</v>
      </c>
      <c r="S169" s="82">
        <f t="shared" ref="S169:S186" si="36">SUM(B169:R169)</f>
        <v>1613606.9999999998</v>
      </c>
      <c r="T169" s="6"/>
      <c r="U169" s="94"/>
      <c r="V169" s="80"/>
      <c r="W169" s="80"/>
    </row>
    <row r="170" spans="1:23" s="72" customFormat="1" x14ac:dyDescent="0.25">
      <c r="A170" s="102" t="s">
        <v>121</v>
      </c>
      <c r="B170" s="57">
        <v>516686.20000000007</v>
      </c>
      <c r="C170" s="57">
        <v>253722.5</v>
      </c>
      <c r="D170" s="98">
        <v>97050.9</v>
      </c>
      <c r="E170" s="98">
        <v>23270.600000000002</v>
      </c>
      <c r="F170" s="98">
        <v>19964.5</v>
      </c>
      <c r="G170" s="98">
        <v>824.19999999999993</v>
      </c>
      <c r="H170" s="81">
        <v>4699.3</v>
      </c>
      <c r="I170" s="81">
        <v>8556.9</v>
      </c>
      <c r="J170" s="81">
        <v>87865.1</v>
      </c>
      <c r="K170" s="54">
        <v>65740.799999999988</v>
      </c>
      <c r="L170" s="81">
        <v>13207.499999999998</v>
      </c>
      <c r="M170" s="81">
        <v>1005.3000000000001</v>
      </c>
      <c r="N170" s="81">
        <v>150057.70000000001</v>
      </c>
      <c r="O170" s="52">
        <v>229646.59999999998</v>
      </c>
      <c r="P170" s="83">
        <v>19404.099999999999</v>
      </c>
      <c r="Q170" s="60">
        <v>-652.9</v>
      </c>
      <c r="R170" s="79">
        <v>124308.99999999999</v>
      </c>
      <c r="S170" s="82">
        <f t="shared" si="36"/>
        <v>1615358.3000000003</v>
      </c>
      <c r="T170" s="6"/>
      <c r="U170" s="94"/>
      <c r="V170" s="80"/>
      <c r="W170" s="80"/>
    </row>
    <row r="171" spans="1:23" s="72" customFormat="1" x14ac:dyDescent="0.25">
      <c r="A171" s="102" t="s">
        <v>124</v>
      </c>
      <c r="B171" s="57">
        <f>520719.7+22312.2</f>
        <v>543031.9</v>
      </c>
      <c r="C171" s="57">
        <v>244433.2</v>
      </c>
      <c r="D171" s="98">
        <f>85622.9+11835</f>
        <v>97457.9</v>
      </c>
      <c r="E171" s="98">
        <f>23130.5+111</f>
        <v>23241.5</v>
      </c>
      <c r="F171" s="98">
        <v>19732.900000000001</v>
      </c>
      <c r="G171" s="98">
        <v>897.6</v>
      </c>
      <c r="H171" s="81">
        <v>5002.3</v>
      </c>
      <c r="I171" s="81">
        <v>8568.9</v>
      </c>
      <c r="J171" s="81">
        <v>100060</v>
      </c>
      <c r="K171" s="54">
        <f>7842.7+5658.4+35025.8</f>
        <v>48526.9</v>
      </c>
      <c r="L171" s="81">
        <v>13890.1</v>
      </c>
      <c r="M171" s="81">
        <v>973.2</v>
      </c>
      <c r="N171" s="81">
        <v>152411.79999999999</v>
      </c>
      <c r="O171" s="52">
        <v>230304.5</v>
      </c>
      <c r="P171" s="83">
        <v>19878.400000000001</v>
      </c>
      <c r="Q171" s="60">
        <f>105238.2-100060-1768.9-31.4-5171.8-3.5</f>
        <v>-1797.4000000000033</v>
      </c>
      <c r="R171" s="79">
        <f>1606.6+67945.7-22312.2-7842.7+93876.9</f>
        <v>133274.29999999999</v>
      </c>
      <c r="S171" s="82">
        <f t="shared" si="36"/>
        <v>1639888.0000000002</v>
      </c>
      <c r="U171" s="94"/>
      <c r="V171" s="80"/>
      <c r="W171" s="80"/>
    </row>
    <row r="172" spans="1:23" s="72" customFormat="1" x14ac:dyDescent="0.25">
      <c r="A172" s="102" t="s">
        <v>127</v>
      </c>
      <c r="B172" s="57">
        <f>530027.3+13899.6</f>
        <v>543926.9</v>
      </c>
      <c r="C172" s="57">
        <v>245136</v>
      </c>
      <c r="D172" s="98">
        <f>87842.4+11852.7</f>
        <v>99695.099999999991</v>
      </c>
      <c r="E172" s="98">
        <f>71462.4+111</f>
        <v>71573.399999999994</v>
      </c>
      <c r="F172" s="98">
        <v>23123.5</v>
      </c>
      <c r="G172" s="98">
        <v>845.2</v>
      </c>
      <c r="H172" s="81">
        <v>6615.1</v>
      </c>
      <c r="I172" s="81">
        <v>8608.2999999999993</v>
      </c>
      <c r="J172" s="81">
        <v>99453.6</v>
      </c>
      <c r="K172" s="54">
        <f>6883.1+39313.5+7567.9</f>
        <v>53764.5</v>
      </c>
      <c r="L172" s="81">
        <v>12962.2</v>
      </c>
      <c r="M172" s="81">
        <v>993</v>
      </c>
      <c r="N172" s="81">
        <v>160420.20000000001</v>
      </c>
      <c r="O172" s="52">
        <v>230366</v>
      </c>
      <c r="P172" s="83">
        <v>22072.2</v>
      </c>
      <c r="Q172" s="60">
        <f>6.1+5204.1-130.4-3579-5205.4-31.4</f>
        <v>-3735.9999999999986</v>
      </c>
      <c r="R172" s="79">
        <f>94416.9+49877.4-7567.9-13899.6+2457.6</f>
        <v>125284.4</v>
      </c>
      <c r="S172" s="82">
        <f t="shared" si="36"/>
        <v>1701103.5999999999</v>
      </c>
      <c r="U172" s="94"/>
      <c r="V172" s="80"/>
      <c r="W172" s="80"/>
    </row>
    <row r="173" spans="1:23" s="72" customFormat="1" x14ac:dyDescent="0.25">
      <c r="A173" s="102" t="s">
        <v>128</v>
      </c>
      <c r="B173" s="57">
        <f>513296.1+25974.3</f>
        <v>539270.40000000002</v>
      </c>
      <c r="C173" s="57">
        <v>255875.8</v>
      </c>
      <c r="D173" s="98">
        <f>88612+15038.3</f>
        <v>103650.3</v>
      </c>
      <c r="E173" s="98">
        <f>102974.5+110.8</f>
        <v>103085.3</v>
      </c>
      <c r="F173" s="98">
        <v>23391</v>
      </c>
      <c r="G173" s="98">
        <v>744.2</v>
      </c>
      <c r="H173" s="81">
        <v>4639.5</v>
      </c>
      <c r="I173" s="81">
        <v>6586</v>
      </c>
      <c r="J173" s="81">
        <v>75531.600000000006</v>
      </c>
      <c r="K173" s="54">
        <f>8861.9+38205.1+8526.1</f>
        <v>55593.1</v>
      </c>
      <c r="L173" s="81">
        <v>13076.1</v>
      </c>
      <c r="M173" s="81">
        <v>992.7</v>
      </c>
      <c r="N173" s="81">
        <v>166549</v>
      </c>
      <c r="O173" s="52">
        <v>229730</v>
      </c>
      <c r="P173" s="83">
        <v>31643.4</v>
      </c>
      <c r="Q173" s="60">
        <f>6.3+20506+5240.4-1441.7-31.4-5240.4-13515.9</f>
        <v>5523.2999999999975</v>
      </c>
      <c r="R173" s="79">
        <f>95628.1+70337-8526.1-25974.3+5955.7</f>
        <v>137420.40000000002</v>
      </c>
      <c r="S173" s="82">
        <f t="shared" si="36"/>
        <v>1753302.1</v>
      </c>
      <c r="U173" s="94"/>
      <c r="V173" s="80"/>
      <c r="W173" s="80"/>
    </row>
    <row r="174" spans="1:23" s="72" customFormat="1" x14ac:dyDescent="0.25">
      <c r="A174" s="102" t="s">
        <v>130</v>
      </c>
      <c r="B174" s="57">
        <f>521828.6+17159.4</f>
        <v>538988</v>
      </c>
      <c r="C174" s="57">
        <v>266566.8</v>
      </c>
      <c r="D174" s="98">
        <f>93467.7+16113.3</f>
        <v>109581</v>
      </c>
      <c r="E174" s="98">
        <f>43498.3+110.9</f>
        <v>43609.200000000004</v>
      </c>
      <c r="F174" s="98">
        <v>26268.5</v>
      </c>
      <c r="G174" s="98">
        <v>993.1</v>
      </c>
      <c r="H174" s="81">
        <v>5147.1000000000004</v>
      </c>
      <c r="I174" s="81">
        <v>7675.8</v>
      </c>
      <c r="J174" s="81">
        <v>117631.6</v>
      </c>
      <c r="K174" s="54">
        <f>4681.6+33703.5+8504.6</f>
        <v>46889.7</v>
      </c>
      <c r="L174" s="81">
        <v>14293.5</v>
      </c>
      <c r="M174" s="81">
        <f>57.7+946.9</f>
        <v>1004.6</v>
      </c>
      <c r="N174" s="81">
        <v>164117.6</v>
      </c>
      <c r="O174" s="52">
        <v>229390.5</v>
      </c>
      <c r="P174" s="83">
        <v>35976.1</v>
      </c>
      <c r="Q174" s="60">
        <f>12.4+6500+5276.9-3981.5-7506-5276.9-31.4</f>
        <v>-5006.5</v>
      </c>
      <c r="R174" s="79">
        <f>95951.5+61876.8-8504.6-17159.4+2651.3</f>
        <v>134815.59999999998</v>
      </c>
      <c r="S174" s="82">
        <f t="shared" si="36"/>
        <v>1737942.2000000002</v>
      </c>
      <c r="U174" s="94"/>
      <c r="V174" s="80"/>
      <c r="W174" s="80"/>
    </row>
    <row r="175" spans="1:23" s="72" customFormat="1" x14ac:dyDescent="0.25">
      <c r="A175" s="102" t="s">
        <v>132</v>
      </c>
      <c r="B175" s="57">
        <f>13650.4+551447.6</f>
        <v>565098</v>
      </c>
      <c r="C175" s="57">
        <v>265277.8</v>
      </c>
      <c r="D175" s="98">
        <f>91298.7+14061</f>
        <v>105359.7</v>
      </c>
      <c r="E175" s="98">
        <f>23779.2+110.9</f>
        <v>23890.100000000002</v>
      </c>
      <c r="F175" s="98">
        <v>32965.9</v>
      </c>
      <c r="G175" s="98">
        <v>1012.2</v>
      </c>
      <c r="H175" s="81">
        <v>3783.9</v>
      </c>
      <c r="I175" s="81">
        <v>7620.8</v>
      </c>
      <c r="J175" s="81">
        <v>108316.9</v>
      </c>
      <c r="K175" s="54">
        <f>6252.2+34092.1+9550.4</f>
        <v>49894.7</v>
      </c>
      <c r="L175" s="81">
        <v>13647.3</v>
      </c>
      <c r="M175" s="81">
        <f>995.5+43.5</f>
        <v>1039</v>
      </c>
      <c r="N175" s="81">
        <v>174781.7</v>
      </c>
      <c r="O175" s="52">
        <v>230665.9</v>
      </c>
      <c r="P175" s="83">
        <v>41288.300000000003</v>
      </c>
      <c r="Q175" s="60">
        <f>197.8+5260.9-1560.3-555.3-5260.9-31.4</f>
        <v>-1949.2000000000003</v>
      </c>
      <c r="R175" s="79">
        <f>67309.1-9550.4-13650.4+2273.4+97394.7</f>
        <v>143776.4</v>
      </c>
      <c r="S175" s="82">
        <f t="shared" si="36"/>
        <v>1766469.4</v>
      </c>
      <c r="U175" s="94"/>
      <c r="V175" s="80"/>
      <c r="W175" s="80"/>
    </row>
    <row r="176" spans="1:23" s="72" customFormat="1" x14ac:dyDescent="0.25">
      <c r="A176" s="102" t="s">
        <v>134</v>
      </c>
      <c r="B176" s="57">
        <f>563652.8+18195.8</f>
        <v>581848.60000000009</v>
      </c>
      <c r="C176" s="57">
        <v>264591.2</v>
      </c>
      <c r="D176" s="98">
        <f>87196.8+13813.1</f>
        <v>101009.90000000001</v>
      </c>
      <c r="E176" s="98">
        <f>23599.1+110.9</f>
        <v>23710</v>
      </c>
      <c r="F176" s="98">
        <v>29580.2</v>
      </c>
      <c r="G176" s="98">
        <v>819.9</v>
      </c>
      <c r="H176" s="81">
        <v>3154.4</v>
      </c>
      <c r="I176" s="81">
        <v>8703.6</v>
      </c>
      <c r="J176" s="81">
        <v>123220.7</v>
      </c>
      <c r="K176" s="54">
        <f>33913.7+9804.3+6007.1</f>
        <v>49725.1</v>
      </c>
      <c r="L176" s="81">
        <v>13260.6</v>
      </c>
      <c r="M176" s="81">
        <f>961.2+48.5</f>
        <v>1009.7</v>
      </c>
      <c r="N176" s="81">
        <v>184125.7</v>
      </c>
      <c r="O176" s="52">
        <v>230902.9</v>
      </c>
      <c r="P176" s="83">
        <v>44365</v>
      </c>
      <c r="Q176" s="60">
        <f>202.4+6000.9+3516.2-1005.3-8.1-31.4-3515.6-6562.4</f>
        <v>-1403.2999999999993</v>
      </c>
      <c r="R176" s="79">
        <f>103203.5+69140.6-9804.3-18195.8+2834.4</f>
        <v>147178.40000000002</v>
      </c>
      <c r="S176" s="82">
        <f t="shared" si="36"/>
        <v>1805802.6</v>
      </c>
      <c r="U176" s="94"/>
      <c r="V176" s="80"/>
      <c r="W176" s="80"/>
    </row>
    <row r="177" spans="1:23" s="72" customFormat="1" x14ac:dyDescent="0.25">
      <c r="A177" s="102" t="s">
        <v>135</v>
      </c>
      <c r="B177" s="57">
        <f>567002+12846.2</f>
        <v>579848.19999999995</v>
      </c>
      <c r="C177" s="57">
        <f>282650.9</f>
        <v>282650.90000000002</v>
      </c>
      <c r="D177" s="98">
        <f>95753.2+19725</f>
        <v>115478.2</v>
      </c>
      <c r="E177" s="98">
        <f>110.9+20036.8</f>
        <v>20147.7</v>
      </c>
      <c r="F177" s="98">
        <v>29719.5</v>
      </c>
      <c r="G177" s="98">
        <v>795.9</v>
      </c>
      <c r="H177" s="81">
        <v>3416.3</v>
      </c>
      <c r="I177" s="81">
        <v>8669.7999999999993</v>
      </c>
      <c r="J177" s="81">
        <v>118903.3</v>
      </c>
      <c r="K177" s="54">
        <f>32852.3+6401.8+9948.3</f>
        <v>49202.400000000009</v>
      </c>
      <c r="L177" s="81">
        <v>16253.3</v>
      </c>
      <c r="M177" s="81">
        <f>39454.2+57</f>
        <v>39511.199999999997</v>
      </c>
      <c r="N177" s="81">
        <v>165526.39999999999</v>
      </c>
      <c r="O177" s="52">
        <v>232005.2</v>
      </c>
      <c r="P177" s="83">
        <v>45711.6</v>
      </c>
      <c r="Q177" s="60">
        <f>3537.3+35-1229-4.6-31.4-567.8-3536.7</f>
        <v>-1797.1999999999996</v>
      </c>
      <c r="R177" s="79">
        <f>64250-9948.3+107147.2+1902.7-12846.2</f>
        <v>150505.4</v>
      </c>
      <c r="S177" s="82">
        <f t="shared" si="36"/>
        <v>1856548.0999999999</v>
      </c>
      <c r="U177" s="94"/>
      <c r="V177" s="80"/>
      <c r="W177" s="80"/>
    </row>
    <row r="178" spans="1:23" s="72" customFormat="1" x14ac:dyDescent="0.25">
      <c r="A178" s="102" t="s">
        <v>137</v>
      </c>
      <c r="B178" s="57">
        <f>566891.5+14440.3</f>
        <v>581331.80000000005</v>
      </c>
      <c r="C178" s="57">
        <v>288118.90000000002</v>
      </c>
      <c r="D178" s="98">
        <f>103034.5+21596.9</f>
        <v>124631.4</v>
      </c>
      <c r="E178" s="98">
        <f>36864.9+110.9</f>
        <v>36975.800000000003</v>
      </c>
      <c r="F178" s="98">
        <v>27999.4</v>
      </c>
      <c r="G178" s="98">
        <v>720.2</v>
      </c>
      <c r="H178" s="81">
        <v>4067.3</v>
      </c>
      <c r="I178" s="81">
        <v>8696.7000000000007</v>
      </c>
      <c r="J178" s="81">
        <v>134262.9</v>
      </c>
      <c r="K178" s="54">
        <f>10599.7+33813+4487.7</f>
        <v>48900.399999999994</v>
      </c>
      <c r="L178" s="81">
        <v>17088.400000000001</v>
      </c>
      <c r="M178" s="81">
        <f>1232.4+45.5</f>
        <v>1277.9000000000001</v>
      </c>
      <c r="N178" s="81">
        <v>159454.70000000001</v>
      </c>
      <c r="O178" s="52">
        <v>230783.5</v>
      </c>
      <c r="P178" s="83">
        <v>50530.2</v>
      </c>
      <c r="Q178" s="60">
        <f>19+3558.4-420.9-12.5-3558.6-31.4-4.1</f>
        <v>-450.09999999999991</v>
      </c>
      <c r="R178" s="79">
        <f>103450.7+66670.5-10599.7-14440.3+2448.9</f>
        <v>147530.1</v>
      </c>
      <c r="S178" s="82">
        <f t="shared" si="36"/>
        <v>1861919.4999999995</v>
      </c>
      <c r="U178" s="94"/>
      <c r="V178" s="80"/>
      <c r="W178" s="80"/>
    </row>
    <row r="179" spans="1:23" s="72" customFormat="1" x14ac:dyDescent="0.25">
      <c r="A179" s="102" t="s">
        <v>139</v>
      </c>
      <c r="B179" s="57">
        <f>597211.3+9262.8</f>
        <v>606474.10000000009</v>
      </c>
      <c r="C179" s="57">
        <v>283463</v>
      </c>
      <c r="D179" s="98">
        <f>99981.2+19693.8</f>
        <v>119675</v>
      </c>
      <c r="E179" s="98">
        <f>110.9+31864.7</f>
        <v>31975.600000000002</v>
      </c>
      <c r="F179" s="98">
        <v>34803.1</v>
      </c>
      <c r="G179" s="98">
        <v>923.6</v>
      </c>
      <c r="H179" s="81">
        <v>4126.2</v>
      </c>
      <c r="I179" s="81">
        <v>8711.4</v>
      </c>
      <c r="J179" s="81">
        <v>160080.29999999999</v>
      </c>
      <c r="K179" s="54">
        <f>16746.1+39463.3+10620.1</f>
        <v>66829.5</v>
      </c>
      <c r="L179" s="81">
        <v>19650.5</v>
      </c>
      <c r="M179" s="81">
        <f>714.4+68.2</f>
        <v>782.6</v>
      </c>
      <c r="N179" s="81">
        <v>156052.6</v>
      </c>
      <c r="O179" s="52">
        <v>230717.9</v>
      </c>
      <c r="P179" s="83">
        <v>47407.8</v>
      </c>
      <c r="Q179" s="60">
        <f>19.7+3575.2-683.6-12-3575.8-31.4-4.5</f>
        <v>-712.40000000000043</v>
      </c>
      <c r="R179" s="79">
        <f>64997.9-10620.1-9262.8+1838.7+104563.8</f>
        <v>151517.5</v>
      </c>
      <c r="S179" s="82">
        <f t="shared" si="36"/>
        <v>1922478.3000000003</v>
      </c>
      <c r="U179" s="94"/>
      <c r="V179" s="80"/>
      <c r="W179" s="80"/>
    </row>
    <row r="180" spans="1:23" s="72" customFormat="1" x14ac:dyDescent="0.25">
      <c r="A180" s="102"/>
      <c r="B180" s="57"/>
      <c r="C180" s="57"/>
      <c r="D180" s="98"/>
      <c r="E180" s="98"/>
      <c r="F180" s="98"/>
      <c r="G180" s="98"/>
      <c r="H180" s="81"/>
      <c r="I180" s="81"/>
      <c r="J180" s="81"/>
      <c r="K180" s="54"/>
      <c r="L180" s="81"/>
      <c r="M180" s="81"/>
      <c r="N180" s="81"/>
      <c r="O180" s="52"/>
      <c r="P180" s="83"/>
      <c r="Q180" s="60"/>
      <c r="R180" s="79"/>
      <c r="S180" s="82"/>
      <c r="U180" s="94"/>
      <c r="V180" s="80"/>
      <c r="W180" s="80"/>
    </row>
    <row r="181" spans="1:23" s="72" customFormat="1" x14ac:dyDescent="0.25">
      <c r="A181" s="102" t="s">
        <v>143</v>
      </c>
      <c r="B181" s="57">
        <f>606793+23321.2</f>
        <v>630114.19999999995</v>
      </c>
      <c r="C181" s="57">
        <v>292504.10000000003</v>
      </c>
      <c r="D181" s="98">
        <f>101096.9+16119.8</f>
        <v>117216.7</v>
      </c>
      <c r="E181" s="98">
        <f>18847.9+110.8</f>
        <v>18958.7</v>
      </c>
      <c r="F181" s="98">
        <v>38468.199999999997</v>
      </c>
      <c r="G181" s="98">
        <v>885.2</v>
      </c>
      <c r="H181" s="81">
        <v>3377.7999999999997</v>
      </c>
      <c r="I181" s="81">
        <v>8734.4</v>
      </c>
      <c r="J181" s="81">
        <v>175423.5</v>
      </c>
      <c r="K181" s="54">
        <f>35703.7+5783.7+9069.8</f>
        <v>50557.2</v>
      </c>
      <c r="L181" s="81">
        <v>22382.399999999998</v>
      </c>
      <c r="M181" s="81">
        <f>747+52.5</f>
        <v>799.5</v>
      </c>
      <c r="N181" s="81">
        <v>153626.6</v>
      </c>
      <c r="O181" s="52">
        <v>229270.39999999999</v>
      </c>
      <c r="P181" s="83">
        <v>52495.100000000006</v>
      </c>
      <c r="Q181" s="60">
        <f>20.4+3590.3-544-12-3590.2-31.4-4.4</f>
        <v>-571.2999999999995</v>
      </c>
      <c r="R181" s="79">
        <f>74866+101485.9+1908.9-23321.2-9069.8</f>
        <v>145869.79999999999</v>
      </c>
      <c r="S181" s="82">
        <f t="shared" si="36"/>
        <v>1940112.4999999998</v>
      </c>
      <c r="U181" s="94"/>
      <c r="V181" s="80"/>
      <c r="W181" s="80"/>
    </row>
    <row r="182" spans="1:23" s="72" customFormat="1" x14ac:dyDescent="0.25">
      <c r="A182" s="102" t="s">
        <v>119</v>
      </c>
      <c r="B182" s="57">
        <f>609539.7+20659.4</f>
        <v>630199.1</v>
      </c>
      <c r="C182" s="57">
        <v>300716.79999999999</v>
      </c>
      <c r="D182" s="98">
        <f>114388.5+17161.1</f>
        <v>131549.6</v>
      </c>
      <c r="E182" s="98">
        <f>56727.9+110.8</f>
        <v>56838.700000000004</v>
      </c>
      <c r="F182" s="98">
        <v>34359.699999999997</v>
      </c>
      <c r="G182" s="98">
        <v>735.6</v>
      </c>
      <c r="H182" s="81">
        <v>5815.2</v>
      </c>
      <c r="I182" s="81">
        <v>8746.7000000000007</v>
      </c>
      <c r="J182" s="81">
        <v>172694</v>
      </c>
      <c r="K182" s="54">
        <f>35312+6278.2+9673.4</f>
        <v>51263.6</v>
      </c>
      <c r="L182" s="81">
        <v>20147.099999999999</v>
      </c>
      <c r="M182" s="81">
        <f>705.8+26.9</f>
        <v>732.69999999999993</v>
      </c>
      <c r="N182" s="81">
        <v>155919.79999999999</v>
      </c>
      <c r="O182" s="52">
        <v>229142.6</v>
      </c>
      <c r="P182" s="83">
        <v>57791.9</v>
      </c>
      <c r="Q182" s="60">
        <f>23+5325.6-1138.5-12-5325.6-31.4-3.9</f>
        <v>-1162.8000000000002</v>
      </c>
      <c r="R182" s="79">
        <f>74133.1+103033.1+2442.5-20659.4-9673.4</f>
        <v>149275.90000000002</v>
      </c>
      <c r="S182" s="82">
        <f t="shared" si="36"/>
        <v>2004766.2000000002</v>
      </c>
      <c r="U182" s="94"/>
      <c r="V182" s="80"/>
      <c r="W182" s="80"/>
    </row>
    <row r="183" spans="1:23" s="72" customFormat="1" x14ac:dyDescent="0.25">
      <c r="A183" s="102" t="s">
        <v>121</v>
      </c>
      <c r="B183" s="57">
        <f>615513.3+12839.6</f>
        <v>628352.9</v>
      </c>
      <c r="C183" s="57">
        <v>299742.40000000002</v>
      </c>
      <c r="D183" s="98">
        <f>114174+20897.7</f>
        <v>135071.70000000001</v>
      </c>
      <c r="E183" s="98">
        <f>40057.8+110.8</f>
        <v>40168.600000000006</v>
      </c>
      <c r="F183" s="98">
        <v>34318</v>
      </c>
      <c r="G183" s="98">
        <v>687.3</v>
      </c>
      <c r="H183" s="81">
        <v>2878.2</v>
      </c>
      <c r="I183" s="81">
        <v>8758.7999999999993</v>
      </c>
      <c r="J183" s="81">
        <v>182298.8</v>
      </c>
      <c r="K183" s="54">
        <f>33417.3+25417.3+7494.6</f>
        <v>66329.200000000012</v>
      </c>
      <c r="L183" s="81">
        <v>22087.8</v>
      </c>
      <c r="M183" s="81">
        <f>727.4+16.4</f>
        <v>743.8</v>
      </c>
      <c r="N183" s="81">
        <v>158712.29999999999</v>
      </c>
      <c r="O183" s="52">
        <v>242144.9</v>
      </c>
      <c r="P183" s="83">
        <v>34920.199999999997</v>
      </c>
      <c r="Q183" s="60">
        <f>26.4+5335.3-590.1-6.3-5348.4-31.4-20.5</f>
        <v>-635.00000000000034</v>
      </c>
      <c r="R183" s="79">
        <f>69008.2+105101.1+4262.6-12839.6-7494.6</f>
        <v>158037.69999999998</v>
      </c>
      <c r="S183" s="82">
        <f t="shared" si="36"/>
        <v>2014617.6000000001</v>
      </c>
      <c r="U183" s="94"/>
      <c r="V183" s="80"/>
      <c r="W183" s="80"/>
    </row>
    <row r="184" spans="1:23" s="72" customFormat="1" x14ac:dyDescent="0.25">
      <c r="A184" s="102" t="s">
        <v>124</v>
      </c>
      <c r="B184" s="57">
        <f>616437.7+28451.1</f>
        <v>644888.79999999993</v>
      </c>
      <c r="C184" s="57">
        <v>297953.89999999997</v>
      </c>
      <c r="D184" s="98">
        <f>113650.2+19758.5</f>
        <v>133408.70000000001</v>
      </c>
      <c r="E184" s="98">
        <f>30826.1+110.8</f>
        <v>30936.899999999998</v>
      </c>
      <c r="F184" s="98">
        <v>34076.6</v>
      </c>
      <c r="G184" s="98">
        <v>605.9</v>
      </c>
      <c r="H184" s="81">
        <v>3939.7</v>
      </c>
      <c r="I184" s="81">
        <v>8777.5999999999985</v>
      </c>
      <c r="J184" s="81">
        <v>246263.19999999998</v>
      </c>
      <c r="K184" s="54">
        <f>35112.9+7090.2+6912</f>
        <v>49115.1</v>
      </c>
      <c r="L184" s="81">
        <v>20985</v>
      </c>
      <c r="M184" s="81">
        <f>726.1+37.4</f>
        <v>763.5</v>
      </c>
      <c r="N184" s="81">
        <v>161703.89999999997</v>
      </c>
      <c r="O184" s="52">
        <v>242440.69999999998</v>
      </c>
      <c r="P184" s="83">
        <v>38247.300000000003</v>
      </c>
      <c r="Q184" s="60">
        <f>32+5369.7+2002.1-799-2008.3-5367.8-31.4</f>
        <v>-802.70000000000107</v>
      </c>
      <c r="R184" s="79">
        <f>70688.6+107650.5+2798.9-28451.1-6912</f>
        <v>145774.9</v>
      </c>
      <c r="S184" s="82">
        <f t="shared" si="36"/>
        <v>2059078.9999999998</v>
      </c>
      <c r="U184" s="94"/>
      <c r="V184" s="80"/>
      <c r="W184" s="80"/>
    </row>
    <row r="185" spans="1:23" s="72" customFormat="1" x14ac:dyDescent="0.25">
      <c r="A185" s="102" t="s">
        <v>127</v>
      </c>
      <c r="B185" s="57">
        <f>632884.9+21144.8</f>
        <v>654029.70000000007</v>
      </c>
      <c r="C185" s="57">
        <v>315624</v>
      </c>
      <c r="D185" s="98">
        <f>105537.5+19921.5</f>
        <v>125459</v>
      </c>
      <c r="E185" s="98">
        <f>22680.5+110.8</f>
        <v>22791.3</v>
      </c>
      <c r="F185" s="98">
        <v>39816.1</v>
      </c>
      <c r="G185" s="98">
        <v>613.30000000000007</v>
      </c>
      <c r="H185" s="81">
        <v>4498.8999999999996</v>
      </c>
      <c r="I185" s="81">
        <v>8795.7999999999993</v>
      </c>
      <c r="J185" s="81">
        <v>239184.09999999998</v>
      </c>
      <c r="K185" s="54">
        <f>41208.8+3540.2+7001.2</f>
        <v>51750.2</v>
      </c>
      <c r="L185" s="81">
        <v>19049.5</v>
      </c>
      <c r="M185" s="81">
        <f>1099.2+4.7</f>
        <v>1103.9000000000001</v>
      </c>
      <c r="N185" s="81">
        <v>156873.4</v>
      </c>
      <c r="O185" s="52">
        <v>242991.8</v>
      </c>
      <c r="P185" s="83">
        <v>44918.1</v>
      </c>
      <c r="Q185" s="60">
        <f>32.7+3594.2+4005.3-1159.5-4012.1-3594.2-31.4</f>
        <v>-1165</v>
      </c>
      <c r="R185" s="79">
        <f>58157.7+102620.3+1940.8-21144.8-7001.2</f>
        <v>134572.79999999999</v>
      </c>
      <c r="S185" s="82">
        <f t="shared" si="36"/>
        <v>2060906.9000000001</v>
      </c>
      <c r="U185" s="94"/>
      <c r="V185" s="80"/>
      <c r="W185" s="80"/>
    </row>
    <row r="186" spans="1:23" s="72" customFormat="1" x14ac:dyDescent="0.25">
      <c r="A186" s="102" t="s">
        <v>128</v>
      </c>
      <c r="B186" s="57">
        <f>625318.4+33608.8</f>
        <v>658927.20000000007</v>
      </c>
      <c r="C186" s="57">
        <v>314557.7</v>
      </c>
      <c r="D186" s="98">
        <f>105811.3+19743.5</f>
        <v>125554.8</v>
      </c>
      <c r="E186" s="98">
        <f>25059.9+110.7</f>
        <v>25170.600000000002</v>
      </c>
      <c r="F186" s="98">
        <v>39256.699999999997</v>
      </c>
      <c r="G186" s="98">
        <v>558.4</v>
      </c>
      <c r="H186" s="81">
        <v>3577.9</v>
      </c>
      <c r="I186" s="81">
        <v>8806</v>
      </c>
      <c r="J186" s="81">
        <v>286106</v>
      </c>
      <c r="K186" s="54">
        <f>36546.4+9858.7+10597.4</f>
        <v>57002.500000000007</v>
      </c>
      <c r="L186" s="81">
        <v>18952.900000000001</v>
      </c>
      <c r="M186" s="81">
        <f>1083.4+12.1</f>
        <v>1095.5</v>
      </c>
      <c r="N186" s="81">
        <v>198291.5</v>
      </c>
      <c r="O186" s="52">
        <v>243166</v>
      </c>
      <c r="P186" s="83">
        <v>46697.1</v>
      </c>
      <c r="Q186" s="60">
        <f>50.1+3606.7+900.1-1264.3-906.5-3606.7-31.4-8.4</f>
        <v>-1260.4000000000005</v>
      </c>
      <c r="R186" s="79">
        <f>78494.8+107357.9+1953.1-33608.8-10597.4</f>
        <v>143599.6</v>
      </c>
      <c r="S186" s="82">
        <f t="shared" si="36"/>
        <v>2170060</v>
      </c>
      <c r="U186" s="94"/>
      <c r="V186" s="80"/>
      <c r="W186" s="80"/>
    </row>
    <row r="187" spans="1:23" x14ac:dyDescent="0.25">
      <c r="A187" s="102"/>
      <c r="B187" s="57"/>
      <c r="C187" s="99"/>
      <c r="D187" s="99"/>
      <c r="E187" s="99"/>
      <c r="F187" s="99"/>
      <c r="G187" s="99"/>
      <c r="H187" s="58"/>
      <c r="I187" s="58"/>
      <c r="J187" s="58"/>
      <c r="K187" s="54"/>
      <c r="L187" s="58"/>
      <c r="M187" s="58"/>
      <c r="N187" s="58"/>
      <c r="O187" s="55"/>
      <c r="P187" s="59"/>
      <c r="Q187" s="60"/>
      <c r="R187" s="55"/>
      <c r="S187" s="111"/>
      <c r="U187" s="86"/>
      <c r="V187" s="56"/>
      <c r="W187" s="56"/>
    </row>
    <row r="188" spans="1:23" x14ac:dyDescent="0.2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3"/>
      <c r="P188" s="63"/>
      <c r="Q188" s="109"/>
      <c r="R188" s="110"/>
      <c r="S188" s="84"/>
      <c r="U188" s="56"/>
    </row>
    <row r="189" spans="1:23" x14ac:dyDescent="0.25">
      <c r="A189" s="88" t="s">
        <v>141</v>
      </c>
      <c r="B189" s="64"/>
      <c r="C189" s="65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6"/>
      <c r="P189" s="66"/>
      <c r="Q189" s="67"/>
      <c r="R189" s="66"/>
      <c r="S189" s="68"/>
    </row>
    <row r="190" spans="1:23" ht="0.75" customHeight="1" x14ac:dyDescent="0.25">
      <c r="A190" s="62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6"/>
    </row>
    <row r="192" spans="1:23" x14ac:dyDescent="0.25">
      <c r="Q192" s="45"/>
      <c r="S192" s="46"/>
    </row>
    <row r="193" spans="17:19" x14ac:dyDescent="0.25">
      <c r="Q193" s="45"/>
      <c r="S193" s="46"/>
    </row>
  </sheetData>
  <mergeCells count="4">
    <mergeCell ref="A4:S4"/>
    <mergeCell ref="A5:S5"/>
    <mergeCell ref="B190:S190"/>
    <mergeCell ref="E8:G9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Eliane NKENGURUTSE</cp:lastModifiedBy>
  <cp:lastPrinted>2017-07-11T06:04:39Z</cp:lastPrinted>
  <dcterms:created xsi:type="dcterms:W3CDTF">2000-09-13T05:55:37Z</dcterms:created>
  <dcterms:modified xsi:type="dcterms:W3CDTF">2018-09-21T09:16:09Z</dcterms:modified>
</cp:coreProperties>
</file>