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55" i="6" l="1"/>
  <c r="S55" i="6" s="1"/>
  <c r="P55" i="6"/>
  <c r="I55" i="6"/>
  <c r="G55" i="6"/>
  <c r="L55" i="6" s="1"/>
  <c r="O55" i="6" s="1"/>
  <c r="T55" i="6" s="1"/>
  <c r="C55" i="6"/>
  <c r="B55" i="6"/>
  <c r="E55" i="6" s="1"/>
  <c r="Q153" i="5"/>
  <c r="P153" i="5"/>
  <c r="S153" i="5" s="1"/>
  <c r="L153" i="5"/>
  <c r="O153" i="5" s="1"/>
  <c r="I153" i="5"/>
  <c r="G153" i="5"/>
  <c r="C153" i="5"/>
  <c r="B153" i="5"/>
  <c r="E153" i="5" s="1"/>
  <c r="U55" i="6" l="1"/>
  <c r="T153" i="5"/>
  <c r="U153" i="5"/>
  <c r="S18" i="7"/>
  <c r="P18" i="7"/>
  <c r="I18" i="7"/>
  <c r="G18" i="7"/>
  <c r="L18" i="7" s="1"/>
  <c r="O18" i="7" s="1"/>
  <c r="T18" i="7" s="1"/>
  <c r="E18" i="7"/>
  <c r="P54" i="6"/>
  <c r="S54" i="6" s="1"/>
  <c r="I54" i="6"/>
  <c r="G54" i="6"/>
  <c r="L54" i="6" s="1"/>
  <c r="O54" i="6" s="1"/>
  <c r="T54" i="6" s="1"/>
  <c r="E54" i="6"/>
  <c r="B152" i="5"/>
  <c r="C152" i="5"/>
  <c r="E152" i="5"/>
  <c r="G152" i="5"/>
  <c r="I152" i="5"/>
  <c r="L152" i="5"/>
  <c r="O152" i="5" s="1"/>
  <c r="P152" i="5"/>
  <c r="S152" i="5" s="1"/>
  <c r="Q152" i="5"/>
  <c r="U18" i="7" l="1"/>
  <c r="U54" i="6"/>
  <c r="T152" i="5"/>
  <c r="U152" i="5" s="1"/>
  <c r="Q151" i="5" l="1"/>
  <c r="P151" i="5"/>
  <c r="S151" i="5" s="1"/>
  <c r="I151" i="5"/>
  <c r="L151" i="5" s="1"/>
  <c r="O151" i="5" s="1"/>
  <c r="G151" i="5"/>
  <c r="C151" i="5"/>
  <c r="E151" i="5" s="1"/>
  <c r="P150" i="5"/>
  <c r="S150" i="5" s="1"/>
  <c r="I150" i="5"/>
  <c r="L150" i="5" s="1"/>
  <c r="O150" i="5" s="1"/>
  <c r="T150" i="5" s="1"/>
  <c r="G150" i="5"/>
  <c r="E150" i="5"/>
  <c r="T151" i="5" l="1"/>
  <c r="U151" i="5" s="1"/>
  <c r="U150" i="5"/>
  <c r="P149" i="5"/>
  <c r="S149" i="5" s="1"/>
  <c r="I149" i="5"/>
  <c r="G149" i="5"/>
  <c r="C149" i="5"/>
  <c r="B149" i="5"/>
  <c r="E149" i="5" s="1"/>
  <c r="P148" i="5"/>
  <c r="S148" i="5" s="1"/>
  <c r="I148" i="5"/>
  <c r="G148" i="5"/>
  <c r="C148" i="5"/>
  <c r="B148" i="5"/>
  <c r="E148" i="5" l="1"/>
  <c r="L148" i="5"/>
  <c r="O148" i="5" s="1"/>
  <c r="T148" i="5" s="1"/>
  <c r="L149" i="5"/>
  <c r="O149" i="5" s="1"/>
  <c r="T149" i="5" s="1"/>
  <c r="U149" i="5" s="1"/>
  <c r="U148" i="5" l="1"/>
  <c r="Q53" i="6"/>
  <c r="P53" i="6"/>
  <c r="S53" i="6" s="1"/>
  <c r="I53" i="6"/>
  <c r="G53" i="6"/>
  <c r="L53" i="6" s="1"/>
  <c r="O53" i="6" s="1"/>
  <c r="C53" i="6"/>
  <c r="B53" i="6"/>
  <c r="E53" i="6" s="1"/>
  <c r="Q147" i="5"/>
  <c r="P147" i="5"/>
  <c r="I147" i="5"/>
  <c r="G147" i="5"/>
  <c r="C147" i="5"/>
  <c r="B147" i="5"/>
  <c r="E147" i="5" s="1"/>
  <c r="P146" i="5"/>
  <c r="S146" i="5" s="1"/>
  <c r="I146" i="5"/>
  <c r="G146" i="5"/>
  <c r="L146" i="5" s="1"/>
  <c r="O146" i="5" s="1"/>
  <c r="C146" i="5"/>
  <c r="B146" i="5"/>
  <c r="P145" i="5"/>
  <c r="S145" i="5" s="1"/>
  <c r="I145" i="5"/>
  <c r="G145" i="5"/>
  <c r="C145" i="5"/>
  <c r="B145" i="5"/>
  <c r="E145" i="5" s="1"/>
  <c r="T53" i="6" l="1"/>
  <c r="U53" i="6" s="1"/>
  <c r="L147" i="5"/>
  <c r="O147" i="5" s="1"/>
  <c r="E146" i="5"/>
  <c r="L145" i="5"/>
  <c r="O145" i="5" s="1"/>
  <c r="T145" i="5" s="1"/>
  <c r="U145" i="5" s="1"/>
  <c r="S147" i="5"/>
  <c r="T146" i="5"/>
  <c r="U146" i="5" s="1"/>
  <c r="T147" i="5" l="1"/>
  <c r="U147" i="5" s="1"/>
  <c r="P52" i="6"/>
  <c r="S52" i="6" s="1"/>
  <c r="I52" i="6"/>
  <c r="G52" i="6"/>
  <c r="C52" i="6"/>
  <c r="B52" i="6"/>
  <c r="S51" i="6"/>
  <c r="G51" i="6"/>
  <c r="L51" i="6" s="1"/>
  <c r="O51" i="6" s="1"/>
  <c r="E51" i="6"/>
  <c r="S50" i="6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39" i="5"/>
  <c r="E140" i="5"/>
  <c r="E141" i="5"/>
  <c r="L139" i="5"/>
  <c r="O139" i="5" s="1"/>
  <c r="L140" i="5"/>
  <c r="O140" i="5" s="1"/>
  <c r="S139" i="5"/>
  <c r="S140" i="5"/>
  <c r="S141" i="5"/>
  <c r="S142" i="5"/>
  <c r="P144" i="5"/>
  <c r="S144" i="5" s="1"/>
  <c r="I144" i="5"/>
  <c r="G144" i="5"/>
  <c r="C144" i="5"/>
  <c r="B144" i="5"/>
  <c r="P143" i="5"/>
  <c r="S143" i="5" s="1"/>
  <c r="I143" i="5"/>
  <c r="G143" i="5"/>
  <c r="C143" i="5"/>
  <c r="B143" i="5"/>
  <c r="I142" i="5"/>
  <c r="G142" i="5"/>
  <c r="C142" i="5"/>
  <c r="B142" i="5"/>
  <c r="G141" i="5"/>
  <c r="L141" i="5" s="1"/>
  <c r="O141" i="5" s="1"/>
  <c r="T141" i="5" s="1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O127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L143" i="5" l="1"/>
  <c r="O143" i="5" s="1"/>
  <c r="E142" i="5"/>
  <c r="E143" i="5"/>
  <c r="E144" i="5"/>
  <c r="U141" i="5"/>
  <c r="L142" i="5"/>
  <c r="O142" i="5" s="1"/>
  <c r="T142" i="5" s="1"/>
  <c r="U142" i="5" s="1"/>
  <c r="L144" i="5"/>
  <c r="O144" i="5" s="1"/>
  <c r="T144" i="5" s="1"/>
  <c r="U144" i="5" s="1"/>
  <c r="T127" i="5"/>
  <c r="U127" i="5" s="1"/>
  <c r="L52" i="6"/>
  <c r="O52" i="6" s="1"/>
  <c r="T52" i="6" s="1"/>
  <c r="T49" i="6"/>
  <c r="U49" i="6" s="1"/>
  <c r="E52" i="6"/>
  <c r="T50" i="6"/>
  <c r="U50" i="6" s="1"/>
  <c r="T48" i="6"/>
  <c r="U48" i="6" s="1"/>
  <c r="T51" i="6"/>
  <c r="U51" i="6" s="1"/>
  <c r="T47" i="6"/>
  <c r="U47" i="6" s="1"/>
  <c r="T130" i="5"/>
  <c r="U130" i="5" s="1"/>
  <c r="T140" i="5"/>
  <c r="U140" i="5" s="1"/>
  <c r="T131" i="5"/>
  <c r="U131" i="5" s="1"/>
  <c r="T139" i="5"/>
  <c r="U139" i="5" s="1"/>
  <c r="T143" i="5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U143" i="5" l="1"/>
  <c r="U52" i="6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<sst xmlns="http://schemas.openxmlformats.org/spreadsheetml/2006/main" count="388" uniqueCount="83">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</sst>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8" fontId="14" fillId="0" borderId="10" xfId="0" quotePrefix="1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2" sqref="E12:E14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43921</v>
      </c>
    </row>
    <row r="13" spans="2:5">
      <c r="B13" s="7" t="s">
        <v>31</v>
      </c>
      <c r="C13" s="8" t="s">
        <v>60</v>
      </c>
      <c r="D13" s="8" t="s">
        <v>31</v>
      </c>
      <c r="E13" s="10" t="s">
        <v>81</v>
      </c>
    </row>
    <row r="14" spans="2:5">
      <c r="B14" s="7" t="s">
        <v>32</v>
      </c>
      <c r="C14" s="8" t="s">
        <v>38</v>
      </c>
      <c r="D14" s="8" t="s">
        <v>32</v>
      </c>
      <c r="E14" s="9" t="s">
        <v>76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55"/>
  <sheetViews>
    <sheetView workbookViewId="0">
      <pane xSplit="1" ySplit="6" topLeftCell="T145" activePane="bottomRight" state="frozen"/>
      <selection pane="topRight" activeCell="B1" sqref="B1"/>
      <selection pane="bottomLeft" activeCell="A7" sqref="A7"/>
      <selection pane="bottomRight" activeCell="U153" sqref="U153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44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44" si="15">S103+O103</f>
        <v>1525853.7583333333</v>
      </c>
      <c r="U103" s="31">
        <f t="shared" ref="U103:U144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44" si="17">SUM(F135:K135)</f>
        <v>1658161.8000000003</v>
      </c>
      <c r="M135" s="32">
        <v>353050.4</v>
      </c>
      <c r="N135" s="31">
        <v>67423.399999999994</v>
      </c>
      <c r="O135" s="33">
        <f t="shared" ref="O135:O144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44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8">
      <c r="A139" s="30" t="s">
        <v>64</v>
      </c>
      <c r="B139" s="32">
        <v>-182568.59999999998</v>
      </c>
      <c r="C139" s="32">
        <v>-55757.799999999988</v>
      </c>
      <c r="D139" s="32" t="s">
        <v>2</v>
      </c>
      <c r="E139" s="31">
        <f t="shared" si="19"/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si="17"/>
        <v>1781692.6</v>
      </c>
      <c r="M139" s="32">
        <v>370633.2</v>
      </c>
      <c r="N139" s="31">
        <v>61052.1</v>
      </c>
      <c r="O139" s="33">
        <f t="shared" si="18"/>
        <v>1350007.3</v>
      </c>
      <c r="P139" s="38">
        <v>36041.299999999996</v>
      </c>
      <c r="Q139" s="33">
        <v>977163.1</v>
      </c>
      <c r="R139" s="33">
        <v>6363.7</v>
      </c>
      <c r="S139" s="31">
        <f t="shared" si="13"/>
        <v>1019568.1</v>
      </c>
      <c r="T139" s="35">
        <f t="shared" si="15"/>
        <v>2369575.4</v>
      </c>
      <c r="U139" s="31">
        <f t="shared" si="16"/>
        <v>2131249</v>
      </c>
    </row>
    <row r="140" spans="1:21" s="37" customFormat="1" ht="18">
      <c r="A140" s="30" t="s">
        <v>65</v>
      </c>
      <c r="B140" s="32">
        <v>-148014.80000000002</v>
      </c>
      <c r="C140" s="32">
        <v>-56830.499999999971</v>
      </c>
      <c r="D140" s="32" t="s">
        <v>2</v>
      </c>
      <c r="E140" s="31">
        <f t="shared" si="19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17"/>
        <v>1831092.5</v>
      </c>
      <c r="M140" s="32">
        <v>368080.4</v>
      </c>
      <c r="N140" s="31">
        <v>64711.1</v>
      </c>
      <c r="O140" s="33">
        <f t="shared" si="18"/>
        <v>1398301</v>
      </c>
      <c r="P140" s="38">
        <v>34014.400000000001</v>
      </c>
      <c r="Q140" s="33">
        <v>991824.5</v>
      </c>
      <c r="R140" s="33">
        <v>6912.9</v>
      </c>
      <c r="S140" s="31">
        <f t="shared" si="13"/>
        <v>1032751.8</v>
      </c>
      <c r="T140" s="35">
        <f t="shared" si="15"/>
        <v>2431052.7999999998</v>
      </c>
      <c r="U140" s="31">
        <f t="shared" si="16"/>
        <v>2226207.5</v>
      </c>
    </row>
    <row r="141" spans="1:21" s="37" customFormat="1" ht="18">
      <c r="A141" s="30" t="s">
        <v>66</v>
      </c>
      <c r="B141" s="32">
        <v>-166782.39999999999</v>
      </c>
      <c r="C141" s="32">
        <v>-62620.70000000007</v>
      </c>
      <c r="D141" s="32" t="s">
        <v>2</v>
      </c>
      <c r="E141" s="31">
        <f t="shared" si="19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17"/>
        <v>1873915.0999999999</v>
      </c>
      <c r="M141" s="32">
        <v>412450</v>
      </c>
      <c r="N141" s="31">
        <v>58269.8</v>
      </c>
      <c r="O141" s="33">
        <f t="shared" si="18"/>
        <v>1403195.2999999998</v>
      </c>
      <c r="P141" s="38">
        <v>32296.6</v>
      </c>
      <c r="Q141" s="33">
        <v>1008148.3000000002</v>
      </c>
      <c r="R141" s="33">
        <v>6662.7</v>
      </c>
      <c r="S141" s="31">
        <f t="shared" si="13"/>
        <v>1047107.6000000001</v>
      </c>
      <c r="T141" s="35">
        <f t="shared" si="15"/>
        <v>2450302.9</v>
      </c>
      <c r="U141" s="31">
        <f t="shared" si="16"/>
        <v>2220899.7999999998</v>
      </c>
    </row>
    <row r="142" spans="1:21" s="37" customFormat="1" ht="18">
      <c r="A142" s="30" t="s">
        <v>67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19"/>
        <v>-236973.7</v>
      </c>
      <c r="F142" s="32">
        <v>195994.1</v>
      </c>
      <c r="G142" s="32">
        <f>50233.1+1006432.8+19500</f>
        <v>1076165.9000000001</v>
      </c>
      <c r="H142" s="32"/>
      <c r="I142" s="32">
        <f>16025.6+44311.4</f>
        <v>60337</v>
      </c>
      <c r="J142" s="32">
        <v>36225.9</v>
      </c>
      <c r="K142" s="32">
        <v>517334.5</v>
      </c>
      <c r="L142" s="33">
        <f t="shared" si="17"/>
        <v>1886057.4000000001</v>
      </c>
      <c r="M142" s="32">
        <v>390323.7</v>
      </c>
      <c r="N142" s="31">
        <v>56955.6</v>
      </c>
      <c r="O142" s="33">
        <f t="shared" si="18"/>
        <v>1438778.1</v>
      </c>
      <c r="P142" s="38">
        <v>33330.999999999993</v>
      </c>
      <c r="Q142" s="33">
        <v>1004160.3</v>
      </c>
      <c r="R142" s="33">
        <v>6674.3</v>
      </c>
      <c r="S142" s="31">
        <f t="shared" si="13"/>
        <v>1044165.6000000001</v>
      </c>
      <c r="T142" s="35">
        <f t="shared" si="15"/>
        <v>2482943.7000000002</v>
      </c>
      <c r="U142" s="31">
        <f t="shared" si="16"/>
        <v>2245970</v>
      </c>
    </row>
    <row r="143" spans="1:21" s="37" customFormat="1" ht="18">
      <c r="A143" s="30" t="s">
        <v>72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19"/>
        <v>-190248</v>
      </c>
      <c r="F143" s="32">
        <v>191866.3</v>
      </c>
      <c r="G143" s="32">
        <f>45273+1055617.8+16915</f>
        <v>1117805.8</v>
      </c>
      <c r="H143" s="32"/>
      <c r="I143" s="32">
        <f>16025.6+43211.6</f>
        <v>59237.2</v>
      </c>
      <c r="J143" s="32">
        <v>34832.6</v>
      </c>
      <c r="K143" s="32">
        <v>515247.9</v>
      </c>
      <c r="L143" s="33">
        <f t="shared" si="17"/>
        <v>1918989.8000000003</v>
      </c>
      <c r="M143" s="32">
        <v>428305.4</v>
      </c>
      <c r="N143" s="31">
        <v>67301.8</v>
      </c>
      <c r="O143" s="33">
        <f t="shared" si="18"/>
        <v>1423382.6000000003</v>
      </c>
      <c r="P143" s="38">
        <f>28149+101.6</f>
        <v>28250.6</v>
      </c>
      <c r="Q143" s="33">
        <v>1036819.9</v>
      </c>
      <c r="R143" s="33">
        <v>6967</v>
      </c>
      <c r="S143" s="31">
        <f t="shared" si="13"/>
        <v>1072037.5</v>
      </c>
      <c r="T143" s="35">
        <f t="shared" si="15"/>
        <v>2495420.1000000006</v>
      </c>
      <c r="U143" s="31">
        <f t="shared" si="16"/>
        <v>2305172.1000000006</v>
      </c>
    </row>
    <row r="144" spans="1:21" s="37" customFormat="1" ht="18">
      <c r="A144" s="30" t="s">
        <v>71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19"/>
        <v>-194252.90000000002</v>
      </c>
      <c r="F144" s="32">
        <v>216009.2</v>
      </c>
      <c r="G144" s="32">
        <f>42174.9+1084518.3+16965</f>
        <v>1143658.2</v>
      </c>
      <c r="H144" s="32"/>
      <c r="I144" s="32">
        <f>16025.6+40707.7</f>
        <v>56733.299999999996</v>
      </c>
      <c r="J144" s="32">
        <v>32046</v>
      </c>
      <c r="K144" s="32">
        <v>514038.8</v>
      </c>
      <c r="L144" s="33">
        <f t="shared" si="17"/>
        <v>1962485.5</v>
      </c>
      <c r="M144" s="32">
        <v>427944.6</v>
      </c>
      <c r="N144" s="31">
        <v>62402.2</v>
      </c>
      <c r="O144" s="33">
        <f t="shared" si="18"/>
        <v>1472138.7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13"/>
        <v>1103705.6000000001</v>
      </c>
      <c r="T144" s="35">
        <f t="shared" si="15"/>
        <v>2575844.2999999998</v>
      </c>
      <c r="U144" s="31">
        <f t="shared" si="16"/>
        <v>2381591.4</v>
      </c>
    </row>
    <row r="145" spans="1:23" s="37" customFormat="1" ht="18">
      <c r="A145" s="30" t="s">
        <v>69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ref="E145:E147" si="20">+SUM(B145:D145)</f>
        <v>-234029.10000000003</v>
      </c>
      <c r="F145" s="32">
        <v>158917.5</v>
      </c>
      <c r="G145" s="32">
        <f>43953+1112283.8+13837</f>
        <v>1170073.8</v>
      </c>
      <c r="H145" s="32"/>
      <c r="I145" s="32">
        <f>16025.6+41061.9</f>
        <v>57087.5</v>
      </c>
      <c r="J145" s="32">
        <v>30652.7</v>
      </c>
      <c r="K145" s="32">
        <v>512829.7</v>
      </c>
      <c r="L145" s="33">
        <f t="shared" ref="L145:L147" si="21">+SUM(F145:K145)</f>
        <v>1929561.2</v>
      </c>
      <c r="M145" s="32">
        <v>385962.8</v>
      </c>
      <c r="N145" s="31">
        <v>69016.7</v>
      </c>
      <c r="O145" s="33">
        <f t="shared" ref="O145:O153" si="22">+L145-M145-N145</f>
        <v>1474581.7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ref="S145:S147" si="23">SUM(P145:R145)</f>
        <v>1143603.1333333333</v>
      </c>
      <c r="T145" s="35">
        <f t="shared" ref="T145:T153" si="24">SUM(O145,S145)</f>
        <v>2618184.833333333</v>
      </c>
      <c r="U145" s="31">
        <f t="shared" ref="U145:U153" si="25">SUM(E145,T145)</f>
        <v>2384155.7333333329</v>
      </c>
    </row>
    <row r="146" spans="1:23" s="37" customFormat="1" ht="18">
      <c r="A146" s="30" t="s">
        <v>70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f>16025.6+41392</f>
        <v>57417.599999999999</v>
      </c>
      <c r="J146" s="32">
        <v>30652.7</v>
      </c>
      <c r="K146" s="32">
        <v>728838.8</v>
      </c>
      <c r="L146" s="33">
        <f t="shared" si="21"/>
        <v>2029365.2000000002</v>
      </c>
      <c r="M146" s="32">
        <v>467552.1</v>
      </c>
      <c r="N146" s="31">
        <v>76766.3</v>
      </c>
      <c r="O146" s="33">
        <f t="shared" si="22"/>
        <v>1485046.8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3"/>
        <v>1153935.4666666666</v>
      </c>
      <c r="T146" s="35">
        <f t="shared" si="24"/>
        <v>2638982.2666666666</v>
      </c>
      <c r="U146" s="31">
        <f t="shared" si="25"/>
        <v>2396462.5666666664</v>
      </c>
    </row>
    <row r="147" spans="1:23" s="37" customFormat="1" ht="18">
      <c r="A147" s="30" t="s">
        <v>73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f>16025.6+48045</f>
        <v>64070.6</v>
      </c>
      <c r="J147" s="32">
        <v>29259.4</v>
      </c>
      <c r="K147" s="32">
        <v>727629.7</v>
      </c>
      <c r="L147" s="33">
        <f t="shared" si="21"/>
        <v>2062352.3</v>
      </c>
      <c r="M147" s="32">
        <v>478795.5</v>
      </c>
      <c r="N147" s="31">
        <v>82107.899999999994</v>
      </c>
      <c r="O147" s="33">
        <f t="shared" si="22"/>
        <v>1501448.9000000001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3"/>
        <v>1179708.1000000001</v>
      </c>
      <c r="T147" s="35">
        <f t="shared" si="24"/>
        <v>2681157</v>
      </c>
      <c r="U147" s="31">
        <f t="shared" si="25"/>
        <v>2453574.7000000002</v>
      </c>
    </row>
    <row r="148" spans="1:23" s="37" customFormat="1" ht="18">
      <c r="A148" s="30" t="s">
        <v>74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ref="E148:E149" si="26">+SUM(B148:D148)</f>
        <v>-236232.9</v>
      </c>
      <c r="F148" s="32">
        <v>0</v>
      </c>
      <c r="G148" s="32">
        <f>53363+1194779.6+32675</f>
        <v>1280817.6000000001</v>
      </c>
      <c r="H148" s="32"/>
      <c r="I148" s="32">
        <f>16025.6+60022.3</f>
        <v>76047.900000000009</v>
      </c>
      <c r="J148" s="32">
        <v>26472.7</v>
      </c>
      <c r="K148" s="32">
        <v>725211.5</v>
      </c>
      <c r="L148" s="33">
        <f t="shared" ref="L148:L149" si="27">+SUM(F148:K148)</f>
        <v>2108549.7000000002</v>
      </c>
      <c r="M148" s="32">
        <v>498832</v>
      </c>
      <c r="N148" s="31">
        <v>93562</v>
      </c>
      <c r="O148" s="33">
        <f t="shared" si="22"/>
        <v>1516155.7000000002</v>
      </c>
      <c r="P148" s="38">
        <f>25102.5+101.6</f>
        <v>25204.1</v>
      </c>
      <c r="Q148" s="33">
        <v>1169942.3999999999</v>
      </c>
      <c r="R148" s="33">
        <v>547.9</v>
      </c>
      <c r="S148" s="31">
        <f t="shared" ref="S148:S149" si="28">SUM(P148:R148)</f>
        <v>1195694.3999999999</v>
      </c>
      <c r="T148" s="35">
        <f t="shared" si="24"/>
        <v>2711850.1</v>
      </c>
      <c r="U148" s="31">
        <f t="shared" si="25"/>
        <v>2475617.2000000002</v>
      </c>
    </row>
    <row r="149" spans="1:23" s="37" customFormat="1" ht="18">
      <c r="A149" s="30" t="s">
        <v>75</v>
      </c>
      <c r="B149" s="32">
        <f>126892.2-290211.4</f>
        <v>-163319.20000000001</v>
      </c>
      <c r="C149" s="32">
        <f>127575.1-218706.9</f>
        <v>-91131.799999999988</v>
      </c>
      <c r="D149" s="32" t="s">
        <v>2</v>
      </c>
      <c r="E149" s="31">
        <f t="shared" si="26"/>
        <v>-254451</v>
      </c>
      <c r="F149" s="32">
        <v>0</v>
      </c>
      <c r="G149" s="32">
        <f>53183+1221678.4+39075</f>
        <v>1313936.3999999999</v>
      </c>
      <c r="H149" s="32"/>
      <c r="I149" s="32">
        <f>16025.6+56935.1</f>
        <v>72960.7</v>
      </c>
      <c r="J149" s="32">
        <v>25079.5</v>
      </c>
      <c r="K149" s="32">
        <v>724002.3</v>
      </c>
      <c r="L149" s="33">
        <f t="shared" si="27"/>
        <v>2135978.9</v>
      </c>
      <c r="M149" s="32">
        <v>490631.8</v>
      </c>
      <c r="N149" s="31">
        <v>94982.5</v>
      </c>
      <c r="O149" s="33">
        <f t="shared" si="22"/>
        <v>1550364.5999999999</v>
      </c>
      <c r="P149" s="38">
        <f>25813.2+101.6</f>
        <v>25914.799999999999</v>
      </c>
      <c r="Q149" s="33">
        <v>1198837.8999999999</v>
      </c>
      <c r="R149" s="33">
        <v>496</v>
      </c>
      <c r="S149" s="31">
        <f t="shared" si="28"/>
        <v>1225248.7</v>
      </c>
      <c r="T149" s="35">
        <f t="shared" si="24"/>
        <v>2775613.3</v>
      </c>
      <c r="U149" s="31">
        <f t="shared" si="25"/>
        <v>2521162.2999999998</v>
      </c>
    </row>
    <row r="150" spans="1:23" s="37" customFormat="1" ht="18">
      <c r="A150" s="30" t="s">
        <v>77</v>
      </c>
      <c r="B150" s="32">
        <v>-129390.7</v>
      </c>
      <c r="C150" s="32">
        <v>-76949.600000000006</v>
      </c>
      <c r="D150" s="32" t="s">
        <v>2</v>
      </c>
      <c r="E150" s="31">
        <f t="shared" ref="E150:E152" si="29">+SUM(B150:D150)</f>
        <v>-206340.3</v>
      </c>
      <c r="F150" s="32">
        <v>0</v>
      </c>
      <c r="G150" s="32">
        <f>57683+1228622.8+55165.1</f>
        <v>1341470.9000000001</v>
      </c>
      <c r="H150" s="32"/>
      <c r="I150" s="32">
        <f>16025.6+54849.6</f>
        <v>70875.199999999997</v>
      </c>
      <c r="J150" s="32">
        <v>23686.2</v>
      </c>
      <c r="K150" s="32">
        <v>722793.2</v>
      </c>
      <c r="L150" s="33">
        <f t="shared" ref="L150:L152" si="30">+SUM(F150:K150)</f>
        <v>2158825.5</v>
      </c>
      <c r="M150" s="32">
        <v>443811.4</v>
      </c>
      <c r="N150" s="31">
        <v>95938.2</v>
      </c>
      <c r="O150" s="33">
        <f t="shared" si="22"/>
        <v>1619075.9000000001</v>
      </c>
      <c r="P150" s="38">
        <f>42076.6+101.6</f>
        <v>42178.2</v>
      </c>
      <c r="Q150" s="33">
        <v>1165927.2000000002</v>
      </c>
      <c r="R150" s="33">
        <v>458.5</v>
      </c>
      <c r="S150" s="31">
        <f t="shared" ref="S150:S152" si="31">SUM(P150:R150)</f>
        <v>1208563.9000000001</v>
      </c>
      <c r="T150" s="35">
        <f t="shared" si="24"/>
        <v>2827639.8000000003</v>
      </c>
      <c r="U150" s="31">
        <f t="shared" si="25"/>
        <v>2621299.5000000005</v>
      </c>
    </row>
    <row r="151" spans="1:23" s="37" customFormat="1" ht="18">
      <c r="A151" s="30" t="s">
        <v>78</v>
      </c>
      <c r="B151" s="32">
        <v>-173480.90000000002</v>
      </c>
      <c r="C151" s="32">
        <f>137465.3-279253.2</f>
        <v>-141787.90000000002</v>
      </c>
      <c r="D151" s="32" t="s">
        <v>2</v>
      </c>
      <c r="E151" s="31">
        <f t="shared" si="29"/>
        <v>-315268.80000000005</v>
      </c>
      <c r="F151" s="32">
        <v>0</v>
      </c>
      <c r="G151" s="32">
        <f>58183+1259952.3+60781.1</f>
        <v>1378916.4000000001</v>
      </c>
      <c r="H151" s="32"/>
      <c r="I151" s="32">
        <f>16025.6+102288.1</f>
        <v>118313.70000000001</v>
      </c>
      <c r="J151" s="32">
        <v>23686.1</v>
      </c>
      <c r="K151" s="32">
        <v>722793.2</v>
      </c>
      <c r="L151" s="33">
        <f t="shared" si="30"/>
        <v>2243709.4000000004</v>
      </c>
      <c r="M151" s="32">
        <v>447069.1</v>
      </c>
      <c r="N151" s="31">
        <v>97728.6</v>
      </c>
      <c r="O151" s="33">
        <f t="shared" si="22"/>
        <v>1698911.7000000002</v>
      </c>
      <c r="P151" s="38">
        <f>37419.8+101.6</f>
        <v>37521.4</v>
      </c>
      <c r="Q151" s="33">
        <f>1136828+4675.1+51103.3</f>
        <v>1192606.4000000001</v>
      </c>
      <c r="R151" s="33">
        <v>370.8</v>
      </c>
      <c r="S151" s="31">
        <f t="shared" si="31"/>
        <v>1230498.6000000001</v>
      </c>
      <c r="T151" s="35">
        <f t="shared" si="24"/>
        <v>2929410.3000000003</v>
      </c>
      <c r="U151" s="31">
        <f t="shared" si="25"/>
        <v>2614141.5</v>
      </c>
    </row>
    <row r="152" spans="1:23" s="37" customFormat="1" ht="18">
      <c r="A152" s="30" t="s">
        <v>80</v>
      </c>
      <c r="B152" s="32">
        <f>231895.4-363145.9</f>
        <v>-131250.50000000003</v>
      </c>
      <c r="C152" s="32">
        <f>154904-268234.5</f>
        <v>-113330.5</v>
      </c>
      <c r="D152" s="32" t="s">
        <v>2</v>
      </c>
      <c r="E152" s="31">
        <f t="shared" si="29"/>
        <v>-244581.00000000003</v>
      </c>
      <c r="F152" s="32">
        <v>0</v>
      </c>
      <c r="G152" s="32">
        <f>57464.1+1268439.4+61016.5</f>
        <v>1386920</v>
      </c>
      <c r="H152" s="32"/>
      <c r="I152" s="32">
        <f>16025.6+102880.8</f>
        <v>118906.40000000001</v>
      </c>
      <c r="J152" s="32">
        <v>22292.799999999999</v>
      </c>
      <c r="K152" s="32">
        <v>721584.1</v>
      </c>
      <c r="L152" s="33">
        <f t="shared" si="30"/>
        <v>2249703.2999999998</v>
      </c>
      <c r="M152" s="32">
        <v>456936.3</v>
      </c>
      <c r="N152" s="31">
        <v>96011.1</v>
      </c>
      <c r="O152" s="33">
        <f t="shared" si="22"/>
        <v>1696755.8999999997</v>
      </c>
      <c r="P152" s="38">
        <f>34652.5+101.6</f>
        <v>34754.1</v>
      </c>
      <c r="Q152" s="33">
        <f>1123994.2+4675.1+49335.8</f>
        <v>1178005.1000000001</v>
      </c>
      <c r="R152" s="33">
        <v>327</v>
      </c>
      <c r="S152" s="31">
        <f t="shared" si="31"/>
        <v>1213086.2000000002</v>
      </c>
      <c r="T152" s="35">
        <f t="shared" si="24"/>
        <v>2909842.0999999996</v>
      </c>
      <c r="U152" s="31">
        <f t="shared" si="25"/>
        <v>2665261.0999999996</v>
      </c>
    </row>
    <row r="153" spans="1:23" s="37" customFormat="1" ht="18">
      <c r="A153" s="30" t="s">
        <v>82</v>
      </c>
      <c r="B153" s="32">
        <f>194289.3-361308.8</f>
        <v>-167019.5</v>
      </c>
      <c r="C153" s="32">
        <f>143352.6-281170.6</f>
        <v>-137817.99999999997</v>
      </c>
      <c r="D153" s="32" t="s">
        <v>2</v>
      </c>
      <c r="E153" s="31">
        <f t="shared" ref="E153" si="32">+SUM(B153:D153)</f>
        <v>-304837.5</v>
      </c>
      <c r="F153" s="32">
        <v>0</v>
      </c>
      <c r="G153" s="32">
        <f>51183+1270664.1+59841.5</f>
        <v>1381688.6</v>
      </c>
      <c r="H153" s="32"/>
      <c r="I153" s="32">
        <f>16025.6+103560.4</f>
        <v>119586</v>
      </c>
      <c r="J153" s="32">
        <v>19506.2</v>
      </c>
      <c r="K153" s="32">
        <v>719165.8</v>
      </c>
      <c r="L153" s="33">
        <f t="shared" ref="L153" si="33">+SUM(F153:K153)</f>
        <v>2239946.6</v>
      </c>
      <c r="M153" s="32">
        <v>504029.1</v>
      </c>
      <c r="N153" s="31">
        <v>77027.199999999997</v>
      </c>
      <c r="O153" s="33">
        <f t="shared" si="22"/>
        <v>1658890.3</v>
      </c>
      <c r="P153" s="38">
        <f>32138.3+101.6</f>
        <v>32239.899999999998</v>
      </c>
      <c r="Q153" s="33">
        <f>1149458.2+4675.1+47836</f>
        <v>1201969.3</v>
      </c>
      <c r="R153" s="33">
        <v>342.2</v>
      </c>
      <c r="S153" s="31">
        <f t="shared" ref="S153" si="34">SUM(P153:R153)</f>
        <v>1234551.3999999999</v>
      </c>
      <c r="T153" s="35">
        <f t="shared" si="24"/>
        <v>2893441.7</v>
      </c>
      <c r="U153" s="31">
        <f t="shared" si="25"/>
        <v>2588604.2000000002</v>
      </c>
    </row>
    <row r="154" spans="1:23" s="41" customFormat="1" ht="19.5">
      <c r="A154" s="47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9"/>
      <c r="W154" s="42"/>
    </row>
    <row r="155" spans="1:23" s="37" customFormat="1" ht="15.7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2"/>
    </row>
  </sheetData>
  <mergeCells count="10">
    <mergeCell ref="A154:U155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7"/>
  <sheetViews>
    <sheetView workbookViewId="0">
      <pane xSplit="1" ySplit="6" topLeftCell="S51" activePane="bottomRight" state="frozen"/>
      <selection pane="topRight" activeCell="B1" sqref="B1"/>
      <selection pane="bottomLeft" activeCell="A7" sqref="A7"/>
      <selection pane="bottomRight" activeCell="C55" sqref="C55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2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2" si="7">SUM(F28:K28)</f>
        <v>489508.3</v>
      </c>
      <c r="M28" s="34">
        <v>190482.9</v>
      </c>
      <c r="N28" s="31">
        <v>15910.9</v>
      </c>
      <c r="O28" s="33">
        <f t="shared" ref="O28:O52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2" si="9">SUM(P28:R28)</f>
        <v>758772.8</v>
      </c>
      <c r="T28" s="35">
        <f t="shared" ref="T28:T52" si="10">S28+O28</f>
        <v>1041887.3</v>
      </c>
      <c r="U28" s="31">
        <f t="shared" ref="U28:U52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8">
      <c r="A51" s="30" t="s">
        <v>66</v>
      </c>
      <c r="B51" s="32">
        <v>-166782.39999999999</v>
      </c>
      <c r="C51" s="32">
        <v>-62620.70000000007</v>
      </c>
      <c r="D51" s="32" t="s">
        <v>2</v>
      </c>
      <c r="E51" s="31">
        <f t="shared" si="6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si="7"/>
        <v>1873915.0999999999</v>
      </c>
      <c r="M51" s="32">
        <v>412450</v>
      </c>
      <c r="N51" s="31">
        <v>58269.8</v>
      </c>
      <c r="O51" s="33">
        <f t="shared" si="8"/>
        <v>1403195.2999999998</v>
      </c>
      <c r="P51" s="38">
        <v>32296.6</v>
      </c>
      <c r="Q51" s="33">
        <v>1008148.3000000002</v>
      </c>
      <c r="R51" s="33">
        <v>6662.7</v>
      </c>
      <c r="S51" s="31">
        <f t="shared" si="9"/>
        <v>1047107.6000000001</v>
      </c>
      <c r="T51" s="35">
        <f t="shared" si="10"/>
        <v>2450302.9</v>
      </c>
      <c r="U51" s="31">
        <f t="shared" si="11"/>
        <v>2220899.7999999998</v>
      </c>
    </row>
    <row r="52" spans="1:22" s="37" customFormat="1" ht="18">
      <c r="A52" s="30" t="s">
        <v>68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6"/>
        <v>-194252.90000000002</v>
      </c>
      <c r="F52" s="32">
        <v>216009.2</v>
      </c>
      <c r="G52" s="32">
        <f>42174.9+1084518.3+16965</f>
        <v>1143658.2</v>
      </c>
      <c r="H52" s="32"/>
      <c r="I52" s="32">
        <f>16025.6+40707.7</f>
        <v>56733.299999999996</v>
      </c>
      <c r="J52" s="32">
        <v>32046</v>
      </c>
      <c r="K52" s="32">
        <v>514038.8</v>
      </c>
      <c r="L52" s="33">
        <f t="shared" si="7"/>
        <v>1962485.5</v>
      </c>
      <c r="M52" s="32">
        <v>427944.6</v>
      </c>
      <c r="N52" s="31">
        <v>62402.2</v>
      </c>
      <c r="O52" s="33">
        <f t="shared" si="8"/>
        <v>1472138.7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si="9"/>
        <v>1103705.6000000001</v>
      </c>
      <c r="T52" s="35">
        <f t="shared" si="10"/>
        <v>2575844.2999999998</v>
      </c>
      <c r="U52" s="31">
        <f t="shared" si="11"/>
        <v>2381591.4</v>
      </c>
    </row>
    <row r="53" spans="1:22" s="37" customFormat="1" ht="18">
      <c r="A53" s="30" t="s">
        <v>73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ref="E53" si="12">+SUM(B53:D53)</f>
        <v>-227582.3</v>
      </c>
      <c r="F53" s="32">
        <v>0</v>
      </c>
      <c r="G53" s="32">
        <f>52783.1+1160384.5+28225</f>
        <v>1241392.6000000001</v>
      </c>
      <c r="H53" s="32"/>
      <c r="I53" s="32">
        <f>16025.6+48045</f>
        <v>64070.6</v>
      </c>
      <c r="J53" s="32">
        <v>29259.4</v>
      </c>
      <c r="K53" s="32">
        <v>727629.7</v>
      </c>
      <c r="L53" s="33">
        <f t="shared" ref="L53" si="13">+SUM(F53:K53)</f>
        <v>2062352.3</v>
      </c>
      <c r="M53" s="32">
        <v>478795.5</v>
      </c>
      <c r="N53" s="31">
        <v>82107.899999999994</v>
      </c>
      <c r="O53" s="33">
        <f t="shared" ref="O53:O55" si="14">+L53-M53-N53</f>
        <v>1501448.9000000001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ref="S53" si="15">SUM(P53:R53)</f>
        <v>1179708.1000000001</v>
      </c>
      <c r="T53" s="35">
        <f t="shared" ref="T53:T55" si="16">SUM(O53,S53)</f>
        <v>2681157</v>
      </c>
      <c r="U53" s="31">
        <f t="shared" ref="U53:U55" si="17">SUM(E53,T53)</f>
        <v>2453574.7000000002</v>
      </c>
    </row>
    <row r="54" spans="1:22" s="37" customFormat="1" ht="18">
      <c r="A54" s="30" t="s">
        <v>77</v>
      </c>
      <c r="B54" s="32">
        <v>-129390.7</v>
      </c>
      <c r="C54" s="32">
        <v>-76949.600000000006</v>
      </c>
      <c r="D54" s="32" t="s">
        <v>2</v>
      </c>
      <c r="E54" s="31">
        <f t="shared" ref="E54" si="18">+SUM(B54:D54)</f>
        <v>-206340.3</v>
      </c>
      <c r="F54" s="32">
        <v>0</v>
      </c>
      <c r="G54" s="32">
        <f>57683+1228622.8+55165.1</f>
        <v>1341470.9000000001</v>
      </c>
      <c r="H54" s="32"/>
      <c r="I54" s="32">
        <f>16025.6+54849.6</f>
        <v>70875.199999999997</v>
      </c>
      <c r="J54" s="32">
        <v>23686.2</v>
      </c>
      <c r="K54" s="32">
        <v>722793.2</v>
      </c>
      <c r="L54" s="33">
        <f t="shared" ref="L54" si="19">+SUM(F54:K54)</f>
        <v>2158825.5</v>
      </c>
      <c r="M54" s="32">
        <v>443811.4</v>
      </c>
      <c r="N54" s="31">
        <v>95938.2</v>
      </c>
      <c r="O54" s="33">
        <f t="shared" si="14"/>
        <v>1619075.9000000001</v>
      </c>
      <c r="P54" s="38">
        <f>42076.6+101.6</f>
        <v>42178.2</v>
      </c>
      <c r="Q54" s="33">
        <v>1165927.2000000002</v>
      </c>
      <c r="R54" s="33">
        <v>458.5</v>
      </c>
      <c r="S54" s="31">
        <f t="shared" ref="S54" si="20">SUM(P54:R54)</f>
        <v>1208563.9000000001</v>
      </c>
      <c r="T54" s="35">
        <f t="shared" si="16"/>
        <v>2827639.8000000003</v>
      </c>
      <c r="U54" s="31">
        <f t="shared" si="17"/>
        <v>2621299.5000000005</v>
      </c>
    </row>
    <row r="55" spans="1:22" s="37" customFormat="1" ht="18">
      <c r="A55" s="30" t="s">
        <v>82</v>
      </c>
      <c r="B55" s="32">
        <f>194289.3-361308.8</f>
        <v>-167019.5</v>
      </c>
      <c r="C55" s="32">
        <f>143352.6-281170.6</f>
        <v>-137817.99999999997</v>
      </c>
      <c r="D55" s="32" t="s">
        <v>2</v>
      </c>
      <c r="E55" s="31">
        <f t="shared" ref="E55" si="21">+SUM(B55:D55)</f>
        <v>-304837.5</v>
      </c>
      <c r="F55" s="32">
        <v>0</v>
      </c>
      <c r="G55" s="32">
        <f>51183+1270664.1+59841.5</f>
        <v>1381688.6</v>
      </c>
      <c r="H55" s="32"/>
      <c r="I55" s="32">
        <f>16025.6+103560.4</f>
        <v>119586</v>
      </c>
      <c r="J55" s="32">
        <v>19506.2</v>
      </c>
      <c r="K55" s="32">
        <v>719165.8</v>
      </c>
      <c r="L55" s="33">
        <f t="shared" ref="L55" si="22">+SUM(F55:K55)</f>
        <v>2239946.6</v>
      </c>
      <c r="M55" s="32">
        <v>504029.1</v>
      </c>
      <c r="N55" s="31">
        <v>77027.199999999997</v>
      </c>
      <c r="O55" s="33">
        <f t="shared" si="14"/>
        <v>1658890.3</v>
      </c>
      <c r="P55" s="38">
        <f>32138.3+101.6</f>
        <v>32239.899999999998</v>
      </c>
      <c r="Q55" s="33">
        <f>1149458.2+4675.1+47836</f>
        <v>1201969.3</v>
      </c>
      <c r="R55" s="33">
        <v>342.2</v>
      </c>
      <c r="S55" s="31">
        <f t="shared" ref="S55" si="23">SUM(P55:R55)</f>
        <v>1234551.3999999999</v>
      </c>
      <c r="T55" s="35">
        <f t="shared" si="16"/>
        <v>2893441.7</v>
      </c>
      <c r="U55" s="31">
        <f t="shared" si="17"/>
        <v>2588604.2000000002</v>
      </c>
    </row>
    <row r="56" spans="1:22" s="37" customFormat="1" ht="15.75">
      <c r="A56" s="47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36"/>
    </row>
    <row r="57" spans="1:22" s="37" customFormat="1" ht="15.7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2"/>
      <c r="V57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6:U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6" topLeftCell="S13" activePane="bottomRight" state="frozen"/>
      <selection pane="topRight" activeCell="B1" sqref="B1"/>
      <selection pane="bottomLeft" activeCell="A7" sqref="A7"/>
      <selection pane="bottomRight" activeCell="V18" sqref="V18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8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8">
      <c r="A18" s="39" t="s">
        <v>79</v>
      </c>
      <c r="B18" s="32">
        <v>-129390.7</v>
      </c>
      <c r="C18" s="32">
        <v>-76949.600000000006</v>
      </c>
      <c r="D18" s="32" t="s">
        <v>2</v>
      </c>
      <c r="E18" s="31">
        <f t="shared" ref="E18" si="12">+SUM(B18:D18)</f>
        <v>-206340.3</v>
      </c>
      <c r="F18" s="32">
        <v>0</v>
      </c>
      <c r="G18" s="32">
        <f>57683+1228622.8+55165.1</f>
        <v>1341470.9000000001</v>
      </c>
      <c r="H18" s="32"/>
      <c r="I18" s="32">
        <f>16025.6+54849.6</f>
        <v>70875.199999999997</v>
      </c>
      <c r="J18" s="32">
        <v>23686.2</v>
      </c>
      <c r="K18" s="32">
        <v>722793.2</v>
      </c>
      <c r="L18" s="33">
        <f t="shared" ref="L18" si="13">+SUM(F18:K18)</f>
        <v>2158825.5</v>
      </c>
      <c r="M18" s="32">
        <v>443811.4</v>
      </c>
      <c r="N18" s="31">
        <v>95938.2</v>
      </c>
      <c r="O18" s="33">
        <f t="shared" si="8"/>
        <v>1619075.9000000001</v>
      </c>
      <c r="P18" s="38">
        <f>42076.6+101.6</f>
        <v>42178.2</v>
      </c>
      <c r="Q18" s="33">
        <v>1165927.2000000002</v>
      </c>
      <c r="R18" s="33">
        <v>458.5</v>
      </c>
      <c r="S18" s="31">
        <f t="shared" ref="S18" si="14">SUM(P18:R18)</f>
        <v>1208563.9000000001</v>
      </c>
      <c r="T18" s="35">
        <f t="shared" ref="T18" si="15">SUM(O18,S18)</f>
        <v>2827639.8000000003</v>
      </c>
      <c r="U18" s="31">
        <f t="shared" ref="U18" si="16">SUM(E18,T18)</f>
        <v>2621299.5000000005</v>
      </c>
    </row>
    <row r="19" spans="1:22" s="37" customFormat="1" ht="15.75">
      <c r="A19" s="47" t="s">
        <v>45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36"/>
    </row>
    <row r="20" spans="1:22" s="37" customFormat="1" ht="15.7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2"/>
      <c r="V20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9:U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2020-06-15T06:23:42Z</dcterms:modified>
</cp:coreProperties>
</file>